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D563BC65-B689-42B7-BD13-3DA097E566CE}" xr6:coauthVersionLast="47" xr6:coauthVersionMax="47" xr10:uidLastSave="{00000000-0000-0000-0000-000000000000}"/>
  <bookViews>
    <workbookView xWindow="-120" yWindow="-120" windowWidth="20730" windowHeight="11040" firstSheet="3" activeTab="3" xr2:uid="{553334EB-114C-4539-BDA7-5544E243F2F9}"/>
  </bookViews>
  <sheets>
    <sheet name="GERAL " sheetId="1" r:id="rId1"/>
    <sheet name="GERAL  (2)" sheetId="27" state="hidden" r:id="rId2"/>
    <sheet name="QUADRO RESUMO RUAS" sheetId="36" state="hidden" r:id="rId3"/>
    <sheet name="RESUMO SD " sheetId="2" r:id="rId4"/>
    <sheet name="CRONOGRAMA SD" sheetId="7" r:id="rId5"/>
    <sheet name="ORÇAMENTO SD" sheetId="6" r:id="rId6"/>
    <sheet name="COMPOSIÇÕES UNITÁRIAS SD" sheetId="9" r:id="rId7"/>
    <sheet name="Memoria de Calculo " sheetId="16" r:id="rId8"/>
    <sheet name="BDI SD" sheetId="3" r:id="rId9"/>
    <sheet name="QCI " sheetId="15" r:id="rId10"/>
    <sheet name="ENCARGOS" sheetId="4" r:id="rId11"/>
    <sheet name="RESUMO CD" sheetId="31" r:id="rId12"/>
    <sheet name="CRONOGRAMA CD" sheetId="32" r:id="rId13"/>
    <sheet name="ORÇAMENTO CD" sheetId="33" r:id="rId14"/>
    <sheet name="COMPOSIÇÕES UNITÁRIAS CD" sheetId="34" r:id="rId15"/>
    <sheet name="BDI CD" sheetId="5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___OUT98" hidden="1">{#N/A,#N/A,TRUE,"Serviços"}</definedName>
    <definedName name="______________OUT98" hidden="1">{#N/A,#N/A,TRUE,"Serviços"}</definedName>
    <definedName name="_____________OUT98" hidden="1">{#N/A,#N/A,TRUE,"Serviços"}</definedName>
    <definedName name="____________OUT98" hidden="1">{#N/A,#N/A,TRUE,"Serviços"}</definedName>
    <definedName name="____________OUT988" hidden="1">{#N/A,#N/A,TRUE,"Serviços"}</definedName>
    <definedName name="___________OUT98" hidden="1">{#N/A,#N/A,TRUE,"Serviços"}</definedName>
    <definedName name="___________OUT988" hidden="1">{#N/A,#N/A,TRUE,"Serviços"}</definedName>
    <definedName name="___________OUT9888" hidden="1">{#N/A,#N/A,TRUE,"Serviços"}</definedName>
    <definedName name="__________OUT98" hidden="1">{#N/A,#N/A,TRUE,"Serviços"}</definedName>
    <definedName name="_________OUT98" hidden="1">{#N/A,#N/A,TRUE,"Serviços"}</definedName>
    <definedName name="_________OUTT98" hidden="1">{#N/A,#N/A,TRUE,"Serviços"}</definedName>
    <definedName name="_________OUTT988" hidden="1">{#N/A,#N/A,TRUE,"Serviços"}</definedName>
    <definedName name="________OUT98" hidden="1">{#N/A,#N/A,TRUE,"Serviços"}</definedName>
    <definedName name="________OUTTT98" hidden="1">{#N/A,#N/A,TRUE,"Serviços"}</definedName>
    <definedName name="_______OUT98" hidden="1">{#N/A,#N/A,TRUE,"Serviços"}</definedName>
    <definedName name="_______OUT9888" hidden="1">{#N/A,#N/A,TRUE,"Serviços"}</definedName>
    <definedName name="______OUT98" hidden="1">{#N/A,#N/A,TRUE,"Serviços"}</definedName>
    <definedName name="______OUTT98888" hidden="1">{#N/A,#N/A,TRUE,"Serviços"}</definedName>
    <definedName name="_____OUT98" hidden="1">{#N/A,#N/A,TRUE,"Serviços"}</definedName>
    <definedName name="_____OUTTT988" hidden="1">{#N/A,#N/A,TRUE,"Serviços"}</definedName>
    <definedName name="____OUT98" hidden="1">{#N/A,#N/A,TRUE,"Serviços"}</definedName>
    <definedName name="____out99" hidden="1">{#N/A,#N/A,TRUE,"Serviços"}</definedName>
    <definedName name="____OUTTT98" hidden="1">{#N/A,#N/A,TRUE,"Serviços"}</definedName>
    <definedName name="___OUT98" hidden="1">{#N/A,#N/A,TRUE,"Serviços"}</definedName>
    <definedName name="___out99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IntlFixup" hidden="1">TRUE</definedName>
    <definedName name="__OUT98" hidden="1">{#N/A,#N/A,TRUE,"Serviços"}</definedName>
    <definedName name="__OUT988888" hidden="1">{#N/A,#N/A,TRUE,"Serviços"}</definedName>
    <definedName name="__xlfn.AVERAGEIF" hidden="1">#NAME?</definedName>
    <definedName name="__xlfn.RTD" hidden="1">#NAME?</definedName>
    <definedName name="_1830201" hidden="1">#N/A</definedName>
    <definedName name="_Fill" hidden="1">#REF!</definedName>
    <definedName name="_Key1" hidden="1">'[3]1.6'!$A$11</definedName>
    <definedName name="_Key2" hidden="1">#REF!</definedName>
    <definedName name="_Order1" hidden="1">255</definedName>
    <definedName name="_Order2" hidden="1">0</definedName>
    <definedName name="_OUT98" hidden="1">{#N/A,#N/A,TRUE,"Serviços"}</definedName>
    <definedName name="_OUT98_" hidden="1">{#N/A,#N/A,TRUE,"Serviços"}</definedName>
    <definedName name="_OUTTTT9888" hidden="1">{#N/A,#N/A,TRUE,"Serviços"}</definedName>
    <definedName name="_Parse_On" hidden="1">#REF!</definedName>
    <definedName name="_Parse_Out" hidden="1">#REF!</definedName>
    <definedName name="_Regression_Int" hidden="1">1</definedName>
    <definedName name="_Sort" hidden="1">#REF!</definedName>
    <definedName name="aaaa" hidden="1">#REF!</definedName>
    <definedName name="AccessDatabase" hidden="1">"D:\Arquivos do excel\Planilha modelo1.mdb"</definedName>
    <definedName name="acost" hidden="1">{#N/A,#N/A,TRUE,"Serviços"}</definedName>
    <definedName name="AGO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lex" hidden="1">{#N/A,#N/A,FALSE,"MO (2)"}</definedName>
    <definedName name="alex_1" hidden="1">{#N/A,#N/A,FALSE,"MO (2)"}</definedName>
    <definedName name="Anexo" hidden="1">{#N/A,#N/A,FALSE,"Planilha";#N/A,#N/A,FALSE,"Resumo";#N/A,#N/A,FALSE,"Fisico";#N/A,#N/A,FALSE,"Financeiro";#N/A,#N/A,FALSE,"Financeiro"}</definedName>
    <definedName name="anscount" hidden="1">3</definedName>
    <definedName name="ant" hidden="1">{#N/A,#N/A,FALSE,"MO (2)"}</definedName>
    <definedName name="ant_1" hidden="1">{#N/A,#N/A,FALSE,"MO (2)"}</definedName>
    <definedName name="_xlnm.Print_Area" localSheetId="14">'COMPOSIÇÕES UNITÁRIAS CD'!$A$1:$G$87</definedName>
    <definedName name="_xlnm.Print_Area" localSheetId="6">'COMPOSIÇÕES UNITÁRIAS SD'!$A$1:$G$87</definedName>
    <definedName name="_xlnm.Print_Area" localSheetId="12">'CRONOGRAMA CD'!$A$1:$I$46</definedName>
    <definedName name="_xlnm.Print_Area" localSheetId="4">'CRONOGRAMA SD'!$A$1:$I$46</definedName>
    <definedName name="_xlnm.Print_Area" localSheetId="0">'GERAL '!$A$1:$H$34</definedName>
    <definedName name="_xlnm.Print_Area" localSheetId="1">'GERAL  (2)'!$A$1:$I$12</definedName>
    <definedName name="_xlnm.Print_Area" localSheetId="7">'Memoria de Calculo '!$A$1:$E$517</definedName>
    <definedName name="_xlnm.Print_Area" localSheetId="9">'QCI '!$A$1:$D$34</definedName>
    <definedName name="_xlnm.Print_Area" localSheetId="2">'QUADRO RESUMO RUAS'!$A$1:$K$12</definedName>
    <definedName name="_xlnm.Print_Area" localSheetId="11">'RESUMO CD'!$A$1:$F$25</definedName>
    <definedName name="_xlnm.Print_Area" localSheetId="3">'RESUMO SD '!$A$1:$F$25</definedName>
    <definedName name="ASDFG" hidden="1">{#N/A,#N/A,TRUE,"Serviços"}</definedName>
    <definedName name="ASFGG" hidden="1">{#N/A,#N/A,TRUE,"Serviços"}</definedName>
    <definedName name="batista" hidden="1">{#N/A,#N/A,FALSE,"SS 1";#N/A,#N/A,FALSE,"SS 2";#N/A,#N/A,FALSE,"TER 1 (1)";#N/A,#N/A,FALSE,"TER 1 (2)";#N/A,#N/A,FALSE,"TER 2 ";#N/A,#N/A,FALSE,"TP  (1)";#N/A,#N/A,FALSE,"TP  (2)";#N/A,#N/A,FALSE,"CM BAR"}</definedName>
    <definedName name="bbbb" hidden="1">{#N/A,#N/A,FALSE,"MO (2)"}</definedName>
    <definedName name="bbbb_1" hidden="1">{#N/A,#N/A,FALSE,"MO (2)"}</definedName>
    <definedName name="BDI">[4]DADOS!$B$7</definedName>
    <definedName name="Bloco" hidden="1">#REF!</definedName>
    <definedName name="Bloco2" hidden="1">#REF!</definedName>
    <definedName name="cadeira" hidden="1">{#N/A,#N/A,TRUE,"Serviços"}</definedName>
    <definedName name="CadIns" hidden="1">#REF!</definedName>
    <definedName name="CadSrv" hidden="1">#REF!</definedName>
    <definedName name="CAPA" hidden="1">{#N/A,#N/A,TRUE,"Serviços"}</definedName>
    <definedName name="capa1" hidden="1">{#N/A,#N/A,TRUE,"Serviços"}</definedName>
    <definedName name="capa11" hidden="1">{#N/A,#N/A,TRUE,"Serviços"}</definedName>
    <definedName name="capa22" hidden="1">{#N/A,#N/A,TRUE,"Serviços"}</definedName>
    <definedName name="CAPAA" hidden="1">{#N/A,#N/A,TRUE,"Serviços"}</definedName>
    <definedName name="CARL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hidden="1">#REF!</definedName>
    <definedName name="Chave1" hidden="1">#REF!</definedName>
    <definedName name="Clas" hidden="1">MAX(LEN(#REF!))</definedName>
    <definedName name="Clas_1" hidden="1">MAX(LEN(#REF!))</definedName>
    <definedName name="Cliente" hidden="1">""</definedName>
    <definedName name="Cls" hidden="1">#N/A</definedName>
    <definedName name="Coluna" hidden="1">#REF!</definedName>
    <definedName name="Comp" hidden="1">#REF!</definedName>
    <definedName name="CpuAux" hidden="1">#REF!</definedName>
    <definedName name="CPUs" hidden="1">#REF!</definedName>
    <definedName name="CRIT" hidden="1">#REF!</definedName>
    <definedName name="Cron" hidden="1">{#N/A,#N/A,FALSE,"MO (2)"}</definedName>
    <definedName name="Cron_1" hidden="1">{#N/A,#N/A,FALSE,"MO (2)"}</definedName>
    <definedName name="cronograma" hidden="1">{#N/A,#N/A,TRUE,"Plan1"}</definedName>
    <definedName name="Cun" hidden="1">#N/A</definedName>
    <definedName name="CunEq" hidden="1">SUM(IF(#REF! =#REF!,(#REF!)*(#REF!="EQ")))</definedName>
    <definedName name="CunEq_1" hidden="1">SUM(IF(#REF! =#REF!,(#REF!)*(#REF!="EQ")))</definedName>
    <definedName name="CunMo" hidden="1">SUM(IF(#REF! =#REF!,(#REF!)*(#REF!="MO")))</definedName>
    <definedName name="CunMo_1" hidden="1">SUM(IF(#REF! =#REF!,(#REF!)*(#REF!="MO")))</definedName>
    <definedName name="CunMp" hidden="1">SUM(IF(#REF! =#REF!,(#REF!)*(#REF!="MP")))</definedName>
    <definedName name="CunMp_1" hidden="1">SUM(IF(#REF! =#REF!,(#REF!)*(#REF!="MP")))</definedName>
    <definedName name="DAER1" hidden="1">{#N/A,#N/A,TRUE,"Serviços"}</definedName>
    <definedName name="DAER11" hidden="1">{#N/A,#N/A,TRUE,"Serviços"}</definedName>
    <definedName name="DescAux" hidden="1">#N/A</definedName>
    <definedName name="dfgs" hidden="1">{#N/A,#N/A,TRUE,"Serviços"}</definedName>
    <definedName name="dfgss" hidden="1">{#N/A,#N/A,TRUE,"Serviços"}</definedName>
    <definedName name="DGF" hidden="1">{#N/A,#N/A,FALSE,"MO (2)"}</definedName>
    <definedName name="DGF_1" hidden="1">{#N/A,#N/A,FALSE,"MO (2)"}</definedName>
    <definedName name="Dom_Páscoa" hidden="1">#N/A</definedName>
    <definedName name="Dsc" hidden="1">#N/A</definedName>
    <definedName name="Edit" hidden="1">#REF!</definedName>
    <definedName name="EmpAux" hidden="1">""</definedName>
    <definedName name="Empr" hidden="1">#REF!</definedName>
    <definedName name="EQ" hidden="1">#REF!</definedName>
    <definedName name="ES" hidden="1">#REF!</definedName>
    <definedName name="EU" hidden="1">{#N/A,#N/A,FALSE,"MO (2)"}</definedName>
    <definedName name="EU_1" hidden="1">{#N/A,#N/A,FALSE,"MO (2)"}</definedName>
    <definedName name="FATUR" hidden="1">{#N/A,#N/A,FALSE,"Planilha";#N/A,#N/A,FALSE,"Resumo";#N/A,#N/A,FALSE,"Fisico";#N/A,#N/A,FALSE,"Financeiro";#N/A,#N/A,FALSE,"Financeiro"}</definedName>
    <definedName name="FATURAS2002" hidden="1">{#N/A,#N/A,TRUE,"Serviços"}</definedName>
    <definedName name="FATURAS20022" hidden="1">{#N/A,#N/A,TRUE,"Serviços"}</definedName>
    <definedName name="fernan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gff" hidden="1">{#N/A,#N/A,FALSE,"MO (2)"}</definedName>
    <definedName name="fgff_1" hidden="1">{#N/A,#N/A,FALSE,"MO (2)"}</definedName>
    <definedName name="figura1">"Figura 1"</definedName>
    <definedName name="FOLHA01" hidden="1">{#N/A,#N/A,TRUE,"Serviços"}</definedName>
    <definedName name="FOLHA011" hidden="1">{#N/A,#N/A,TRUE,"Serviços"}</definedName>
    <definedName name="folha1" hidden="1">{#N/A,#N/A,TRUE,"Serviços"}</definedName>
    <definedName name="folha11" hidden="1">{#N/A,#N/A,TRUE,"Serviços"}</definedName>
    <definedName name="Fresagem01" hidden="1">{#N/A,#N/A,TRUE,"Serviços"}</definedName>
    <definedName name="Fresagem011" hidden="1">{#N/A,#N/A,TRUE,"Serviços"}</definedName>
    <definedName name="gtryfj" hidden="1">{#N/A,#N/A,TRUE,"Serviços"}</definedName>
    <definedName name="gtryfjj" hidden="1">{#N/A,#N/A,TRUE,"Serviços"}</definedName>
    <definedName name="Guia">"Figura 1"</definedName>
    <definedName name="Insumos" hidden="1">#REF!</definedName>
    <definedName name="Itens" hidden="1">#REF!</definedName>
    <definedName name="JANEIRO2003" hidden="1">{#N/A,#N/A,TRUE,"Serviços"}</definedName>
    <definedName name="JANEIRO20033" hidden="1">{#N/A,#N/A,TRUE,"Serviços"}</definedName>
    <definedName name="JOAO" hidden="1">{#N/A,#N/A,FALSE,"SS 1";#N/A,#N/A,FALSE,"SS 2";#N/A,#N/A,FALSE,"TER 1 (1)";#N/A,#N/A,FALSE,"TER 1 (2)";#N/A,#N/A,FALSE,"TER 2 ";#N/A,#N/A,FALSE,"TP  (1)";#N/A,#N/A,FALSE,"TP  (2)";#N/A,#N/A,FALSE,"CM BAR"}</definedName>
    <definedName name="JOAO1" hidden="1">{#N/A,#N/A,FALSE,"LEVFER V2 P";#N/A,#N/A,FALSE,"LEVFER V2 P10%"}</definedName>
    <definedName name="JOSE" hidden="1">{#N/A,#N/A,FALSE,"LEVFER V2 P";#N/A,#N/A,FALSE,"LEVFER V2 P10%"}</definedName>
    <definedName name="juca" hidden="1">{#N/A,#N/A,FALSE,"SS 1";#N/A,#N/A,FALSE,"TER 1 (A)";#N/A,#N/A,FALSE,"SS 2";#N/A,#N/A,FALSE,"TER 1 (B)";#N/A,#N/A,FALSE,"TER 1 (C)";#N/A,#N/A,FALSE,"TER 1 (D)";#N/A,#N/A,FALSE,"TER 1 (E)";#N/A,#N/A,FALSE,"TER 2 "}</definedName>
    <definedName name="la" hidden="1">{#N/A,#N/A,FALSE,"MO (2)"}</definedName>
    <definedName name="la_1" hidden="1">{#N/A,#N/A,FALSE,"MO (2)"}</definedName>
    <definedName name="lab" hidden="1">{#N/A,#N/A,TRUE,"Serviços"}</definedName>
    <definedName name="labb" hidden="1">{#N/A,#N/A,TRUE,"Serviços"}</definedName>
    <definedName name="limcount" hidden="1">1</definedName>
    <definedName name="LOGOTIPO">"Figura 3"</definedName>
    <definedName name="Max" hidden="1">COUNTIF(#REF!,"&lt;&gt;0")+3</definedName>
    <definedName name="MO" hidden="1">#REF!</definedName>
    <definedName name="Mob" hidden="1">#REF!</definedName>
    <definedName name="MP" hidden="1">#REF!</definedName>
    <definedName name="NLEq" hidden="1">4</definedName>
    <definedName name="NLMo" hidden="1">6</definedName>
    <definedName name="NLMp" hidden="1">5</definedName>
    <definedName name="NLTr" hidden="1">3</definedName>
    <definedName name="Obra" hidden="1">""</definedName>
    <definedName name="OnOff" hidden="1">"ON"</definedName>
    <definedName name="orçamrest" hidden="1">{#N/A,#N/A,TRUE,"Serviços"}</definedName>
    <definedName name="orçamrestt" hidden="1">{#N/A,#N/A,TRUE,"Serviços"}</definedName>
    <definedName name="Ordem" hidden="1">#REF!</definedName>
    <definedName name="Origem" hidden="1">#REF!</definedName>
    <definedName name="Payment_Needed">"Pagamento necessário"</definedName>
    <definedName name="pcf">[4]DADOS!$F$8</definedName>
    <definedName name="PISTA" hidden="1">{#N/A,#N/A,TRUE,"Serviços"}</definedName>
    <definedName name="Plan1" hidden="1">#REF!</definedName>
    <definedName name="PLANILHA" hidden="1">{#N/A,#N/A,TRUE,"Serviços"}</definedName>
    <definedName name="Posição" hidden="1">#REF!</definedName>
    <definedName name="Prd" hidden="1">#N/A</definedName>
    <definedName name="PrdAux" hidden="1">#N/A</definedName>
    <definedName name="PROD_1" hidden="1">{#N/A,#N/A,TRUE,"Serviços"}</definedName>
    <definedName name="PROD_11" hidden="1">{#N/A,#N/A,TRUE,"Serviços"}</definedName>
    <definedName name="Pto" hidden="1">ROUND([5]Planilha!$D1*[5]Planilha!$E1,2)</definedName>
    <definedName name="Pun" hidden="1">#N/A</definedName>
    <definedName name="QD" hidden="1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Reimbursement">"Reembolso"</definedName>
    <definedName name="REL" hidden="1">{#N/A,#N/A,TRUE,"Serviços"}</definedName>
    <definedName name="Relat" hidden="1">#REF!</definedName>
    <definedName name="RELL" hidden="1">{#N/A,#N/A,TRUE,"Serviços"}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umou" hidden="1">{#N/A,#N/A,TRUE,"Plan1"}</definedName>
    <definedName name="Rod" hidden="1">#REF!</definedName>
    <definedName name="rrff" hidden="1">{#N/A,#N/A,TRUE,"Serviços"}</definedName>
    <definedName name="rrfff" hidden="1">{#N/A,#N/A,TRUE,"Serviços"}</definedName>
    <definedName name="rrr" hidden="1">{#N/A,#N/A,TRUE,"Serviços"}</definedName>
    <definedName name="SASASA" hidden="1">{#N/A,#N/A,FALSE,"MO (2)"}</definedName>
    <definedName name="SASASA_1" hidden="1">{#N/A,#N/A,FALSE,"MO (2)"}</definedName>
    <definedName name="sasda" hidden="1">{#N/A,#N/A,TRUE,"Serviços"}</definedName>
    <definedName name="sasdaa" hidden="1">{#N/A,#N/A,TRUE,"Serviços"}</definedName>
    <definedName name="SE" hidden="1">#REF!</definedName>
    <definedName name="sencount" hidden="1">1</definedName>
    <definedName name="SETEMBRO" hidden="1">{#N/A,#N/A,TRUE,"Serviços"}</definedName>
    <definedName name="SETEMBROO" hidden="1">{#N/A,#N/A,TRUE,"Serviços"}</definedName>
    <definedName name="SINTETICO" hidden="1">{#N/A,#N/A,TRUE,"TER  EXT";#N/A,#N/A,TRUE,"TER  EXT";#N/A,#N/A,TRUE,"LAT  ESQ";#N/A,#N/A,TRUE,"FRONTAL";#N/A,#N/A,TRUE,"POST";#N/A,#N/A,TRUE,"LAT  DIR"}</definedName>
    <definedName name="solver_lin" hidden="1">0</definedName>
    <definedName name="solver_num" hidden="1">0</definedName>
    <definedName name="solver_opt" hidden="1">'[6]61M-CBMI:MAT-BET'!$H$18</definedName>
    <definedName name="solver_typ" hidden="1">1</definedName>
    <definedName name="solver_val" hidden="1">0</definedName>
    <definedName name="SRV" hidden="1">#REF!</definedName>
    <definedName name="SS" hidden="1">#REF!</definedName>
    <definedName name="SSS_1" hidden="1">{#N/A,#N/A,FALSE,"MO (2)"}</definedName>
    <definedName name="sssssssssssssssssssss" hidden="1">{#N/A,#N/A,TRUE,"Plan1"}</definedName>
    <definedName name="sssssssssssssssssssss_1" hidden="1">{#N/A,#N/A,TRUE,"Plan1"}</definedName>
    <definedName name="sxcc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Tachas" hidden="1">{#N/A,#N/A,TRUE,"Plan1"}</definedName>
    <definedName name="Tachas_1" hidden="1">{#N/A,#N/A,TRUE,"Plan1"}</definedName>
    <definedName name="TYUIO" hidden="1">{#N/A,#N/A,TRUE,"Serviços"}</definedName>
    <definedName name="TYUIOO" hidden="1">{#N/A,#N/A,TRUE,"Serviços"}</definedName>
    <definedName name="un" hidden="1">#N/A</definedName>
    <definedName name="Und" hidden="1">#N/A</definedName>
    <definedName name="UnidAux" hidden="1">#N/A</definedName>
    <definedName name="uuu" hidden="1">{#N/A,#N/A,TRUE,"Serviços"}</definedName>
    <definedName name="vvv" hidden="1">{#N/A,#N/A,FALSE,"MO (2)"}</definedName>
    <definedName name="vvv_1" hidden="1">{#N/A,#N/A,FALSE,"MO (2)"}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FACHADA." hidden="1">{#N/A,#N/A,TRUE,"TER  EXT";#N/A,#N/A,TRUE,"TER  EXT";#N/A,#N/A,TRUE,"LAT  ESQ";#N/A,#N/A,TRUE,"FRONTAL";#N/A,#N/A,TRUE,"POST";#N/A,#N/A,TRUE,"LAT  DIR"}</definedName>
    <definedName name="wrn.LEVFER." hidden="1">{#N/A,#N/A,FALSE,"LEVFER V2 P";#N/A,#N/A,FALSE,"LEVFER V2 P10%"}</definedName>
    <definedName name="wrn.mo2." hidden="1">{#N/A,#N/A,FALSE,"MO (2)"}</definedName>
    <definedName name="wrn.mo2._1" hidden="1">{#N/A,#N/A,FALSE,"MO (2)"}</definedName>
    <definedName name="wrn.Orçamento." hidden="1">{#N/A,#N/A,FALSE,"Planilha";#N/A,#N/A,FALSE,"Resumo";#N/A,#N/A,FALSE,"Fisico";#N/A,#N/A,FALSE,"Financeiro";#N/A,#N/A,FALSE,"Financeiro"}</definedName>
    <definedName name="wrn.Orçamento._1" hidden="1">{#N/A,#N/A,FALSE,"Planilha";#N/A,#N/A,FALSE,"Resumo";#N/A,#N/A,FALSE,"Fisico";#N/A,#N/A,FALSE,"Financeiro";#N/A,#N/A,FALSE,"Financeiro"}</definedName>
    <definedName name="wrn.Orçamento._2" hidden="1">{#N/A,#N/A,FALSE,"Planilha";#N/A,#N/A,FALSE,"Resumo";#N/A,#N/A,FALSE,"Fisico";#N/A,#N/A,FALSE,"Financeiro";#N/A,#N/A,FALSE,"Financeiro"}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lext." hidden="1">{#N/A,#N/A,TRUE,"Plan1"}</definedName>
    <definedName name="wrn.relext._1" hidden="1">{#N/A,#N/A,TRUE,"Plan1"}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Tipo." hidden="1">{#N/A,#N/A,TRUE,"Serviços"}</definedName>
    <definedName name="wrn.Tipo.." hidden="1">{#N/A,#N/A,TRUE,"Serviços"}</definedName>
    <definedName name="yy" hidden="1">{#N/A,#N/A,TRUE,"Serviços"}</definedName>
    <definedName name="z_1" hidden="1">{#N/A,#N/A,FALSE,"MO (2)"}</definedName>
    <definedName name="zaza" hidden="1">{#N/A,#N/A,FALSE,"MO (2)"}</definedName>
    <definedName name="zaza_1" hidden="1">{#N/A,#N/A,FALSE,"MO (2)"}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5" l="1"/>
  <c r="E4" i="36" l="1"/>
  <c r="E5" i="36"/>
  <c r="E6" i="36"/>
  <c r="E7" i="36"/>
  <c r="E9" i="36"/>
  <c r="D9" i="36"/>
  <c r="C9" i="36"/>
  <c r="D8" i="36"/>
  <c r="C8" i="36"/>
  <c r="E8" i="36" s="1"/>
  <c r="D7" i="36"/>
  <c r="C7" i="36"/>
  <c r="D6" i="36"/>
  <c r="C6" i="36"/>
  <c r="D5" i="36"/>
  <c r="C5" i="36"/>
  <c r="D4" i="36"/>
  <c r="C4" i="36"/>
  <c r="D3" i="36"/>
  <c r="C3" i="36"/>
  <c r="E3" i="36" s="1"/>
  <c r="F11" i="36"/>
  <c r="C27" i="15"/>
  <c r="G175" i="33"/>
  <c r="G172" i="33"/>
  <c r="G171" i="33"/>
  <c r="G168" i="33"/>
  <c r="G167" i="33"/>
  <c r="G164" i="33"/>
  <c r="G163" i="33"/>
  <c r="G160" i="33"/>
  <c r="G151" i="33"/>
  <c r="G148" i="33"/>
  <c r="G147" i="33"/>
  <c r="G144" i="33"/>
  <c r="G143" i="33"/>
  <c r="G140" i="33"/>
  <c r="G139" i="33"/>
  <c r="G136" i="33"/>
  <c r="G127" i="33"/>
  <c r="G124" i="33"/>
  <c r="G123" i="33"/>
  <c r="G120" i="33"/>
  <c r="G119" i="33"/>
  <c r="G116" i="33"/>
  <c r="G115" i="33"/>
  <c r="G112" i="33"/>
  <c r="G103" i="33"/>
  <c r="G100" i="33"/>
  <c r="H100" i="33" s="1"/>
  <c r="G99" i="33"/>
  <c r="G96" i="33"/>
  <c r="G95" i="33"/>
  <c r="G92" i="33"/>
  <c r="G91" i="33"/>
  <c r="G88" i="33"/>
  <c r="G79" i="33"/>
  <c r="G76" i="33"/>
  <c r="G75" i="33"/>
  <c r="G72" i="33"/>
  <c r="G71" i="33"/>
  <c r="G68" i="33"/>
  <c r="G67" i="33"/>
  <c r="G64" i="33"/>
  <c r="G55" i="33"/>
  <c r="G52" i="33"/>
  <c r="H52" i="33" s="1"/>
  <c r="G51" i="33"/>
  <c r="G48" i="33"/>
  <c r="G47" i="33"/>
  <c r="G44" i="33"/>
  <c r="G43" i="33"/>
  <c r="G40" i="33"/>
  <c r="G31" i="33"/>
  <c r="G28" i="33"/>
  <c r="G27" i="33"/>
  <c r="G24" i="33"/>
  <c r="G23" i="33"/>
  <c r="G20" i="33"/>
  <c r="G19" i="33"/>
  <c r="G16" i="33"/>
  <c r="G13" i="33"/>
  <c r="G12" i="33"/>
  <c r="G11" i="33"/>
  <c r="H11" i="33" s="1"/>
  <c r="F3" i="34"/>
  <c r="F175" i="33"/>
  <c r="E175" i="33"/>
  <c r="F172" i="33"/>
  <c r="E172" i="33"/>
  <c r="F171" i="33"/>
  <c r="E171" i="33"/>
  <c r="F168" i="33"/>
  <c r="E168" i="33"/>
  <c r="F167" i="33"/>
  <c r="E167" i="33"/>
  <c r="F164" i="33"/>
  <c r="E164" i="33"/>
  <c r="F163" i="33"/>
  <c r="E163" i="33"/>
  <c r="F160" i="33"/>
  <c r="E160" i="33"/>
  <c r="B156" i="33"/>
  <c r="B155" i="33"/>
  <c r="F151" i="33"/>
  <c r="E151" i="33"/>
  <c r="F148" i="33"/>
  <c r="F147" i="33"/>
  <c r="F144" i="33"/>
  <c r="F143" i="33"/>
  <c r="F140" i="33"/>
  <c r="F139" i="33"/>
  <c r="F136" i="33"/>
  <c r="B132" i="33"/>
  <c r="B131" i="33"/>
  <c r="F127" i="33"/>
  <c r="E127" i="33"/>
  <c r="F124" i="33"/>
  <c r="F123" i="33"/>
  <c r="F120" i="33"/>
  <c r="F119" i="33"/>
  <c r="F116" i="33"/>
  <c r="F115" i="33"/>
  <c r="F112" i="33"/>
  <c r="B108" i="33"/>
  <c r="B107" i="33"/>
  <c r="F103" i="33"/>
  <c r="E103" i="33"/>
  <c r="F100" i="33"/>
  <c r="E100" i="33"/>
  <c r="F99" i="33"/>
  <c r="E99" i="33"/>
  <c r="F96" i="33"/>
  <c r="E96" i="33"/>
  <c r="F95" i="33"/>
  <c r="E95" i="33"/>
  <c r="F92" i="33"/>
  <c r="E92" i="33"/>
  <c r="H92" i="33" s="1"/>
  <c r="F91" i="33"/>
  <c r="H91" i="33" s="1"/>
  <c r="E91" i="33"/>
  <c r="F88" i="33"/>
  <c r="E88" i="33"/>
  <c r="B84" i="33"/>
  <c r="B83" i="33"/>
  <c r="F79" i="33"/>
  <c r="E79" i="33"/>
  <c r="F76" i="33"/>
  <c r="E76" i="33"/>
  <c r="F75" i="33"/>
  <c r="E75" i="33"/>
  <c r="F72" i="33"/>
  <c r="E72" i="33"/>
  <c r="F71" i="33"/>
  <c r="E71" i="33"/>
  <c r="F68" i="33"/>
  <c r="E68" i="33"/>
  <c r="F67" i="33"/>
  <c r="H67" i="33" s="1"/>
  <c r="E67" i="33"/>
  <c r="F64" i="33"/>
  <c r="E64" i="33"/>
  <c r="B60" i="33"/>
  <c r="B59" i="33"/>
  <c r="F55" i="33"/>
  <c r="E55" i="33"/>
  <c r="F52" i="33"/>
  <c r="E52" i="33"/>
  <c r="F51" i="33"/>
  <c r="E51" i="33"/>
  <c r="F48" i="33"/>
  <c r="E48" i="33"/>
  <c r="F47" i="33"/>
  <c r="E47" i="33"/>
  <c r="F44" i="33"/>
  <c r="E44" i="33"/>
  <c r="F43" i="33"/>
  <c r="H43" i="33" s="1"/>
  <c r="E43" i="33"/>
  <c r="F40" i="33"/>
  <c r="E40" i="33"/>
  <c r="B36" i="33"/>
  <c r="B35" i="33"/>
  <c r="F31" i="33"/>
  <c r="E31" i="33"/>
  <c r="F28" i="33"/>
  <c r="F27" i="33"/>
  <c r="F24" i="33"/>
  <c r="E24" i="33"/>
  <c r="F23" i="33"/>
  <c r="F20" i="33"/>
  <c r="F19" i="33"/>
  <c r="F16" i="33"/>
  <c r="F13" i="33"/>
  <c r="F12" i="33"/>
  <c r="E12" i="33"/>
  <c r="F11" i="33"/>
  <c r="E11" i="33"/>
  <c r="B7" i="33"/>
  <c r="B6" i="33"/>
  <c r="A4" i="33"/>
  <c r="A4" i="34" s="1"/>
  <c r="H3" i="33"/>
  <c r="G3" i="34" s="1"/>
  <c r="G3" i="33"/>
  <c r="A3" i="33"/>
  <c r="A3" i="34" s="1"/>
  <c r="B33" i="32"/>
  <c r="B30" i="32"/>
  <c r="B27" i="32"/>
  <c r="B24" i="32"/>
  <c r="B21" i="32"/>
  <c r="B18" i="32"/>
  <c r="B15" i="32"/>
  <c r="I10" i="32"/>
  <c r="H10" i="32"/>
  <c r="G10" i="32"/>
  <c r="F10" i="32"/>
  <c r="E10" i="32"/>
  <c r="A2" i="32"/>
  <c r="F160" i="6"/>
  <c r="F164" i="6"/>
  <c r="F163" i="6"/>
  <c r="F168" i="6"/>
  <c r="F167" i="6"/>
  <c r="F172" i="6"/>
  <c r="F171" i="6"/>
  <c r="F175" i="6"/>
  <c r="F151" i="6"/>
  <c r="F148" i="6"/>
  <c r="F147" i="6"/>
  <c r="F144" i="6"/>
  <c r="F143" i="6"/>
  <c r="F140" i="6"/>
  <c r="F139" i="6"/>
  <c r="F136" i="6"/>
  <c r="F112" i="6"/>
  <c r="F116" i="6"/>
  <c r="F115" i="6"/>
  <c r="F120" i="6"/>
  <c r="F119" i="6"/>
  <c r="F124" i="6"/>
  <c r="F123" i="6"/>
  <c r="F127" i="6"/>
  <c r="F103" i="6"/>
  <c r="F100" i="6"/>
  <c r="F99" i="6"/>
  <c r="F96" i="6"/>
  <c r="F95" i="6"/>
  <c r="F92" i="6"/>
  <c r="F91" i="6"/>
  <c r="F88" i="6"/>
  <c r="F79" i="6"/>
  <c r="F76" i="6"/>
  <c r="F75" i="6"/>
  <c r="F72" i="6"/>
  <c r="F71" i="6"/>
  <c r="F68" i="6"/>
  <c r="F67" i="6"/>
  <c r="F64" i="6"/>
  <c r="F55" i="6"/>
  <c r="F52" i="6"/>
  <c r="F51" i="6"/>
  <c r="F48" i="6"/>
  <c r="F47" i="6"/>
  <c r="F44" i="6"/>
  <c r="F43" i="6"/>
  <c r="F40" i="6"/>
  <c r="F24" i="6"/>
  <c r="F27" i="6"/>
  <c r="F28" i="6"/>
  <c r="F31" i="6"/>
  <c r="F23" i="6"/>
  <c r="F20" i="6"/>
  <c r="F19" i="6"/>
  <c r="F16" i="6"/>
  <c r="F13" i="6"/>
  <c r="F12" i="6"/>
  <c r="F11" i="6"/>
  <c r="B16" i="1"/>
  <c r="B13" i="1"/>
  <c r="B12" i="1"/>
  <c r="B11" i="1"/>
  <c r="E11" i="6"/>
  <c r="E175" i="6"/>
  <c r="E172" i="6"/>
  <c r="E171" i="6"/>
  <c r="E168" i="6"/>
  <c r="E167" i="6"/>
  <c r="E164" i="6"/>
  <c r="E163" i="6"/>
  <c r="E160" i="6"/>
  <c r="C450" i="16"/>
  <c r="C449" i="16"/>
  <c r="C517" i="16"/>
  <c r="C511" i="16"/>
  <c r="C471" i="16"/>
  <c r="C477" i="16" s="1"/>
  <c r="C482" i="16" s="1"/>
  <c r="C489" i="16" s="1"/>
  <c r="C470" i="16"/>
  <c r="E151" i="6"/>
  <c r="C379" i="16"/>
  <c r="C400" i="16" s="1"/>
  <c r="C406" i="16" s="1"/>
  <c r="C411" i="16" s="1"/>
  <c r="C418" i="16" s="1"/>
  <c r="C399" i="16"/>
  <c r="C446" i="16"/>
  <c r="C440" i="16"/>
  <c r="E127" i="6"/>
  <c r="C237" i="16"/>
  <c r="C258" i="16" s="1"/>
  <c r="C264" i="16" s="1"/>
  <c r="C269" i="16" s="1"/>
  <c r="C276" i="16" s="1"/>
  <c r="C236" i="16"/>
  <c r="C257" i="16" s="1"/>
  <c r="C308" i="16"/>
  <c r="C329" i="16" s="1"/>
  <c r="C335" i="16" s="1"/>
  <c r="C340" i="16" s="1"/>
  <c r="C347" i="16" s="1"/>
  <c r="C307" i="16"/>
  <c r="C328" i="16" s="1"/>
  <c r="C375" i="16"/>
  <c r="C369" i="16"/>
  <c r="C304" i="16"/>
  <c r="E103" i="6" s="1"/>
  <c r="C298" i="16"/>
  <c r="C85" i="16"/>
  <c r="E11" i="36" l="1"/>
  <c r="H171" i="33"/>
  <c r="H172" i="33"/>
  <c r="H163" i="33"/>
  <c r="H99" i="33"/>
  <c r="H98" i="33" s="1"/>
  <c r="H75" i="33"/>
  <c r="H74" i="33" s="1"/>
  <c r="H76" i="33"/>
  <c r="H51" i="33"/>
  <c r="H50" i="33" s="1"/>
  <c r="H12" i="33"/>
  <c r="D9" i="32" s="1"/>
  <c r="H55" i="33"/>
  <c r="H54" i="33" s="1"/>
  <c r="H31" i="33"/>
  <c r="H30" i="33" s="1"/>
  <c r="H151" i="33"/>
  <c r="H150" i="33" s="1"/>
  <c r="H79" i="33"/>
  <c r="H78" i="33" s="1"/>
  <c r="H127" i="33"/>
  <c r="H126" i="33" s="1"/>
  <c r="H175" i="33"/>
  <c r="H174" i="33" s="1"/>
  <c r="H103" i="33"/>
  <c r="H102" i="33" s="1"/>
  <c r="H48" i="33"/>
  <c r="H168" i="33"/>
  <c r="H96" i="33"/>
  <c r="H72" i="33"/>
  <c r="H167" i="33"/>
  <c r="H166" i="33" s="1"/>
  <c r="H47" i="33"/>
  <c r="H71" i="33"/>
  <c r="H70" i="33" s="1"/>
  <c r="H95" i="33"/>
  <c r="H90" i="33"/>
  <c r="H160" i="33"/>
  <c r="H159" i="33" s="1"/>
  <c r="H40" i="33"/>
  <c r="H39" i="33" s="1"/>
  <c r="H64" i="33"/>
  <c r="H63" i="33" s="1"/>
  <c r="H88" i="33"/>
  <c r="H87" i="33" s="1"/>
  <c r="D7" i="32"/>
  <c r="E7" i="32" s="1"/>
  <c r="E7" i="31"/>
  <c r="H44" i="33"/>
  <c r="H42" i="33" s="1"/>
  <c r="H68" i="33"/>
  <c r="H66" i="33" s="1"/>
  <c r="H164" i="33"/>
  <c r="H162" i="33" s="1"/>
  <c r="H24" i="33"/>
  <c r="C472" i="16"/>
  <c r="C476" i="16"/>
  <c r="C487" i="16"/>
  <c r="C405" i="16"/>
  <c r="C401" i="16"/>
  <c r="C416" i="16"/>
  <c r="C334" i="16"/>
  <c r="C330" i="16"/>
  <c r="C345" i="16"/>
  <c r="C274" i="16"/>
  <c r="C259" i="16"/>
  <c r="E88" i="6" s="1"/>
  <c r="C263" i="16"/>
  <c r="C166" i="16"/>
  <c r="C187" i="16" s="1"/>
  <c r="C193" i="16" s="1"/>
  <c r="C198" i="16" s="1"/>
  <c r="C205" i="16" s="1"/>
  <c r="C165" i="16"/>
  <c r="C186" i="16" s="1"/>
  <c r="C233" i="16"/>
  <c r="E79" i="6" s="1"/>
  <c r="C227" i="16"/>
  <c r="C95" i="16"/>
  <c r="C116" i="16" s="1"/>
  <c r="C94" i="16"/>
  <c r="C115" i="16" s="1"/>
  <c r="C162" i="16"/>
  <c r="E55" i="6" s="1"/>
  <c r="C156" i="16"/>
  <c r="B155" i="6"/>
  <c r="G175" i="6"/>
  <c r="H175" i="6" s="1"/>
  <c r="H174" i="6" s="1"/>
  <c r="G167" i="6"/>
  <c r="H167" i="6" s="1"/>
  <c r="G160" i="6"/>
  <c r="H160" i="6" s="1"/>
  <c r="H159" i="6" s="1"/>
  <c r="B156" i="6"/>
  <c r="B131" i="6"/>
  <c r="G151" i="6"/>
  <c r="H151" i="6" s="1"/>
  <c r="H150" i="6" s="1"/>
  <c r="G143" i="6"/>
  <c r="G136" i="6"/>
  <c r="B132" i="6"/>
  <c r="B15" i="1" s="1"/>
  <c r="B107" i="6"/>
  <c r="G127" i="6"/>
  <c r="H127" i="6" s="1"/>
  <c r="H126" i="6" s="1"/>
  <c r="G119" i="6"/>
  <c r="G112" i="6"/>
  <c r="B108" i="6"/>
  <c r="B14" i="1" s="1"/>
  <c r="B83" i="6"/>
  <c r="G103" i="6"/>
  <c r="H103" i="6" s="1"/>
  <c r="H102" i="6" s="1"/>
  <c r="G95" i="6"/>
  <c r="G88" i="6"/>
  <c r="B84" i="6"/>
  <c r="B59" i="6"/>
  <c r="G79" i="6"/>
  <c r="G71" i="6"/>
  <c r="G64" i="6"/>
  <c r="B60" i="6"/>
  <c r="B35" i="6"/>
  <c r="G55" i="6"/>
  <c r="G47" i="6"/>
  <c r="G40" i="6"/>
  <c r="B36" i="6"/>
  <c r="B6" i="6"/>
  <c r="F10" i="7"/>
  <c r="G10" i="7"/>
  <c r="H10" i="7"/>
  <c r="I10" i="7"/>
  <c r="E10" i="7"/>
  <c r="B33" i="7"/>
  <c r="B30" i="7"/>
  <c r="B27" i="7"/>
  <c r="B24" i="7"/>
  <c r="B21" i="7"/>
  <c r="B18" i="7"/>
  <c r="B15" i="7"/>
  <c r="B19" i="15"/>
  <c r="D5" i="27"/>
  <c r="E112" i="6" l="1"/>
  <c r="H112" i="6" s="1"/>
  <c r="H111" i="6" s="1"/>
  <c r="E112" i="33"/>
  <c r="H112" i="33" s="1"/>
  <c r="H111" i="33" s="1"/>
  <c r="E136" i="6"/>
  <c r="H136" i="6" s="1"/>
  <c r="H135" i="6" s="1"/>
  <c r="E136" i="33"/>
  <c r="H136" i="33" s="1"/>
  <c r="H135" i="33" s="1"/>
  <c r="H170" i="33"/>
  <c r="H94" i="33"/>
  <c r="H105" i="33"/>
  <c r="D24" i="32" s="1"/>
  <c r="H81" i="33"/>
  <c r="D21" i="32" s="1"/>
  <c r="E8" i="31"/>
  <c r="H46" i="33"/>
  <c r="H57" i="33" s="1"/>
  <c r="D18" i="32" s="1"/>
  <c r="H177" i="33"/>
  <c r="E17" i="31" s="1"/>
  <c r="E9" i="32"/>
  <c r="I9" i="32"/>
  <c r="H9" i="32"/>
  <c r="F9" i="32"/>
  <c r="G9" i="32"/>
  <c r="C493" i="16"/>
  <c r="C495" i="16" s="1"/>
  <c r="C490" i="16"/>
  <c r="C478" i="16"/>
  <c r="C499" i="16" s="1"/>
  <c r="C481" i="16"/>
  <c r="C483" i="16" s="1"/>
  <c r="C419" i="16"/>
  <c r="C422" i="16"/>
  <c r="C424" i="16" s="1"/>
  <c r="C407" i="16"/>
  <c r="E139" i="33" s="1"/>
  <c r="H139" i="33" s="1"/>
  <c r="C410" i="16"/>
  <c r="C412" i="16" s="1"/>
  <c r="H88" i="6"/>
  <c r="H87" i="6" s="1"/>
  <c r="C348" i="16"/>
  <c r="C351" i="16"/>
  <c r="C353" i="16" s="1"/>
  <c r="C336" i="16"/>
  <c r="E115" i="33" s="1"/>
  <c r="H115" i="33" s="1"/>
  <c r="C339" i="16"/>
  <c r="C341" i="16" s="1"/>
  <c r="C268" i="16"/>
  <c r="C270" i="16" s="1"/>
  <c r="E92" i="6" s="1"/>
  <c r="C265" i="16"/>
  <c r="H79" i="6"/>
  <c r="H78" i="6" s="1"/>
  <c r="C280" i="16"/>
  <c r="C282" i="16" s="1"/>
  <c r="E96" i="6" s="1"/>
  <c r="C277" i="16"/>
  <c r="E95" i="6" s="1"/>
  <c r="H95" i="6" s="1"/>
  <c r="G76" i="6"/>
  <c r="C132" i="16"/>
  <c r="C138" i="16" s="1"/>
  <c r="C140" i="16" s="1"/>
  <c r="E48" i="6" s="1"/>
  <c r="C121" i="16"/>
  <c r="C126" i="16" s="1"/>
  <c r="C117" i="16"/>
  <c r="E40" i="6" s="1"/>
  <c r="H40" i="6" s="1"/>
  <c r="H39" i="6" s="1"/>
  <c r="C122" i="16"/>
  <c r="C127" i="16" s="1"/>
  <c r="C134" i="16" s="1"/>
  <c r="C192" i="16"/>
  <c r="C188" i="16"/>
  <c r="E64" i="6" s="1"/>
  <c r="H64" i="6" s="1"/>
  <c r="H63" i="6" s="1"/>
  <c r="C203" i="16"/>
  <c r="H55" i="6"/>
  <c r="H54" i="6" s="1"/>
  <c r="C56" i="16"/>
  <c r="C63" i="16" s="1"/>
  <c r="C55" i="16"/>
  <c r="E120" i="6" l="1"/>
  <c r="E120" i="33"/>
  <c r="H120" i="33" s="1"/>
  <c r="E116" i="6"/>
  <c r="E116" i="33"/>
  <c r="H116" i="33" s="1"/>
  <c r="H114" i="33" s="1"/>
  <c r="E119" i="6"/>
  <c r="H119" i="6" s="1"/>
  <c r="E119" i="33"/>
  <c r="H119" i="33" s="1"/>
  <c r="E140" i="6"/>
  <c r="E140" i="33"/>
  <c r="H140" i="33" s="1"/>
  <c r="H138" i="33" s="1"/>
  <c r="E144" i="6"/>
  <c r="E144" i="33"/>
  <c r="H144" i="33" s="1"/>
  <c r="E143" i="6"/>
  <c r="H143" i="6" s="1"/>
  <c r="E143" i="33"/>
  <c r="H143" i="33" s="1"/>
  <c r="H142" i="33" s="1"/>
  <c r="D33" i="32"/>
  <c r="I33" i="32" s="1"/>
  <c r="E14" i="31"/>
  <c r="E13" i="31"/>
  <c r="E12" i="31"/>
  <c r="G24" i="32"/>
  <c r="F24" i="32"/>
  <c r="F21" i="32"/>
  <c r="E18" i="32"/>
  <c r="G52" i="6"/>
  <c r="C507" i="16"/>
  <c r="C512" i="16" s="1"/>
  <c r="C504" i="16"/>
  <c r="C428" i="16"/>
  <c r="C436" i="16" s="1"/>
  <c r="C441" i="16" s="1"/>
  <c r="E139" i="6"/>
  <c r="C357" i="16"/>
  <c r="C365" i="16" s="1"/>
  <c r="C370" i="16" s="1"/>
  <c r="E115" i="6"/>
  <c r="C286" i="16"/>
  <c r="C294" i="16" s="1"/>
  <c r="C299" i="16" s="1"/>
  <c r="E100" i="6" s="1"/>
  <c r="E91" i="6"/>
  <c r="C291" i="16"/>
  <c r="E99" i="6" s="1"/>
  <c r="G124" i="6"/>
  <c r="G172" i="6"/>
  <c r="H172" i="6" s="1"/>
  <c r="G100" i="6"/>
  <c r="G28" i="6"/>
  <c r="G148" i="6"/>
  <c r="C135" i="16"/>
  <c r="G92" i="6"/>
  <c r="H92" i="6" s="1"/>
  <c r="G68" i="6"/>
  <c r="G44" i="6"/>
  <c r="G140" i="6"/>
  <c r="H140" i="6" s="1"/>
  <c r="G20" i="6"/>
  <c r="G116" i="6"/>
  <c r="H116" i="6" s="1"/>
  <c r="G164" i="6"/>
  <c r="H164" i="6" s="1"/>
  <c r="C123" i="16"/>
  <c r="C128" i="16"/>
  <c r="E44" i="6" s="1"/>
  <c r="C206" i="16"/>
  <c r="E71" i="6" s="1"/>
  <c r="H71" i="6" s="1"/>
  <c r="C209" i="16"/>
  <c r="C211" i="16" s="1"/>
  <c r="E72" i="6" s="1"/>
  <c r="C197" i="16"/>
  <c r="C199" i="16" s="1"/>
  <c r="E68" i="6" s="1"/>
  <c r="C194" i="16"/>
  <c r="C57" i="16"/>
  <c r="H118" i="33" l="1"/>
  <c r="E124" i="6"/>
  <c r="E124" i="33"/>
  <c r="H124" i="33" s="1"/>
  <c r="E148" i="6"/>
  <c r="E148" i="33"/>
  <c r="H148" i="33" s="1"/>
  <c r="E20" i="6"/>
  <c r="H20" i="6" s="1"/>
  <c r="E20" i="33"/>
  <c r="H20" i="33" s="1"/>
  <c r="H148" i="6"/>
  <c r="C433" i="16"/>
  <c r="C362" i="16"/>
  <c r="H124" i="6"/>
  <c r="H100" i="6"/>
  <c r="C215" i="16"/>
  <c r="C220" i="16" s="1"/>
  <c r="E75" i="6" s="1"/>
  <c r="E67" i="6"/>
  <c r="H68" i="6"/>
  <c r="E47" i="6"/>
  <c r="H47" i="6" s="1"/>
  <c r="H44" i="6"/>
  <c r="C144" i="16"/>
  <c r="E43" i="6"/>
  <c r="D6" i="15"/>
  <c r="D5" i="15"/>
  <c r="G3" i="6"/>
  <c r="G13" i="6"/>
  <c r="G11" i="6"/>
  <c r="E24" i="6"/>
  <c r="F41" i="4"/>
  <c r="E41" i="4"/>
  <c r="D41" i="4"/>
  <c r="C41" i="4"/>
  <c r="F37" i="4"/>
  <c r="E37" i="4"/>
  <c r="D37" i="4"/>
  <c r="C37" i="4"/>
  <c r="F30" i="4"/>
  <c r="E30" i="4"/>
  <c r="D30" i="4"/>
  <c r="C30" i="4"/>
  <c r="F18" i="4"/>
  <c r="E18" i="4"/>
  <c r="D18" i="4"/>
  <c r="C18" i="4"/>
  <c r="B17" i="15"/>
  <c r="B21" i="15"/>
  <c r="B27" i="15"/>
  <c r="C91" i="16"/>
  <c r="C16" i="16"/>
  <c r="E12" i="6" s="1"/>
  <c r="C51" i="16"/>
  <c r="C50" i="16"/>
  <c r="C45" i="16"/>
  <c r="C44" i="16"/>
  <c r="C61" i="16" s="1"/>
  <c r="C64" i="16" s="1"/>
  <c r="C12" i="16"/>
  <c r="E123" i="6" l="1"/>
  <c r="E123" i="33"/>
  <c r="H123" i="33" s="1"/>
  <c r="H122" i="33" s="1"/>
  <c r="H129" i="33" s="1"/>
  <c r="E147" i="6"/>
  <c r="E147" i="33"/>
  <c r="H147" i="33" s="1"/>
  <c r="H146" i="33" s="1"/>
  <c r="H153" i="33" s="1"/>
  <c r="E23" i="6"/>
  <c r="C24" i="1" s="1"/>
  <c r="E23" i="33"/>
  <c r="H23" i="33" s="1"/>
  <c r="C223" i="16"/>
  <c r="C228" i="16" s="1"/>
  <c r="E76" i="6" s="1"/>
  <c r="H76" i="6" s="1"/>
  <c r="C149" i="16"/>
  <c r="E51" i="6" s="1"/>
  <c r="C152" i="16"/>
  <c r="C157" i="16" s="1"/>
  <c r="E52" i="6" s="1"/>
  <c r="H52" i="6" s="1"/>
  <c r="G51" i="6"/>
  <c r="G123" i="6"/>
  <c r="H123" i="6" s="1"/>
  <c r="H122" i="6" s="1"/>
  <c r="G171" i="6"/>
  <c r="H171" i="6" s="1"/>
  <c r="H170" i="6" s="1"/>
  <c r="G99" i="6"/>
  <c r="H99" i="6" s="1"/>
  <c r="H98" i="6" s="1"/>
  <c r="G147" i="6"/>
  <c r="G75" i="6"/>
  <c r="H75" i="6" s="1"/>
  <c r="E31" i="6"/>
  <c r="H11" i="6"/>
  <c r="D7" i="7" s="1"/>
  <c r="F42" i="4"/>
  <c r="D42" i="4"/>
  <c r="E42" i="4"/>
  <c r="C42" i="4"/>
  <c r="C67" i="16"/>
  <c r="C69" i="16" s="1"/>
  <c r="C52" i="16"/>
  <c r="C46" i="16"/>
  <c r="E16" i="33" s="1"/>
  <c r="H16" i="33" s="1"/>
  <c r="H15" i="33" s="1"/>
  <c r="D27" i="32" l="1"/>
  <c r="G27" i="32" s="1"/>
  <c r="G36" i="32" s="1"/>
  <c r="E15" i="31"/>
  <c r="H147" i="6"/>
  <c r="H146" i="6" s="1"/>
  <c r="D30" i="32"/>
  <c r="E16" i="31"/>
  <c r="C29" i="1"/>
  <c r="G24" i="1"/>
  <c r="C73" i="16"/>
  <c r="C81" i="16" s="1"/>
  <c r="C86" i="16" s="1"/>
  <c r="E19" i="33"/>
  <c r="H19" i="33" s="1"/>
  <c r="D29" i="1"/>
  <c r="H22" i="33"/>
  <c r="H74" i="6"/>
  <c r="H51" i="6"/>
  <c r="H50" i="6" s="1"/>
  <c r="G144" i="6"/>
  <c r="H144" i="6" s="1"/>
  <c r="H142" i="6" s="1"/>
  <c r="G168" i="6"/>
  <c r="H168" i="6" s="1"/>
  <c r="H166" i="6" s="1"/>
  <c r="G120" i="6"/>
  <c r="H120" i="6" s="1"/>
  <c r="H118" i="6" s="1"/>
  <c r="G48" i="6"/>
  <c r="H48" i="6" s="1"/>
  <c r="H46" i="6" s="1"/>
  <c r="G96" i="6"/>
  <c r="H96" i="6" s="1"/>
  <c r="H94" i="6" s="1"/>
  <c r="G72" i="6"/>
  <c r="H72" i="6" s="1"/>
  <c r="H70" i="6" s="1"/>
  <c r="E19" i="6"/>
  <c r="C23" i="1" s="1"/>
  <c r="G24" i="6"/>
  <c r="H24" i="6" s="1"/>
  <c r="E7" i="7"/>
  <c r="E16" i="6"/>
  <c r="H30" i="32" l="1"/>
  <c r="H36" i="32" s="1"/>
  <c r="I30" i="32"/>
  <c r="H18" i="33"/>
  <c r="D28" i="1"/>
  <c r="C28" i="1"/>
  <c r="G23" i="1"/>
  <c r="E28" i="6"/>
  <c r="H28" i="6" s="1"/>
  <c r="E28" i="33"/>
  <c r="H28" i="33" s="1"/>
  <c r="C78" i="16"/>
  <c r="G27" i="6"/>
  <c r="E27" i="6" l="1"/>
  <c r="H27" i="6" s="1"/>
  <c r="H26" i="6" s="1"/>
  <c r="C24" i="15" s="1"/>
  <c r="E27" i="33"/>
  <c r="H27" i="33" s="1"/>
  <c r="H26" i="33" s="1"/>
  <c r="H33" i="33" l="1"/>
  <c r="D15" i="32" s="1"/>
  <c r="E11" i="31"/>
  <c r="E10" i="31" s="1"/>
  <c r="G23" i="6"/>
  <c r="E15" i="32" l="1"/>
  <c r="E36" i="32" s="1"/>
  <c r="E37" i="32" s="1"/>
  <c r="F15" i="32"/>
  <c r="F36" i="32" s="1"/>
  <c r="G31" i="6"/>
  <c r="F37" i="32" l="1"/>
  <c r="G37" i="32" s="1"/>
  <c r="H37" i="32" s="1"/>
  <c r="G16" i="6"/>
  <c r="H16" i="6" s="1"/>
  <c r="H15" i="6" s="1"/>
  <c r="C15" i="15" s="1"/>
  <c r="H31" i="6"/>
  <c r="H30" i="6" s="1"/>
  <c r="F3" i="9" l="1"/>
  <c r="A2" i="7"/>
  <c r="G12" i="6" l="1"/>
  <c r="H12" i="6" s="1"/>
  <c r="G115" i="6" l="1"/>
  <c r="H115" i="6" s="1"/>
  <c r="H114" i="6" s="1"/>
  <c r="H129" i="6" s="1"/>
  <c r="G91" i="6"/>
  <c r="H91" i="6" s="1"/>
  <c r="H90" i="6" s="1"/>
  <c r="H105" i="6" s="1"/>
  <c r="G163" i="6"/>
  <c r="H163" i="6" s="1"/>
  <c r="H162" i="6" s="1"/>
  <c r="H177" i="6" s="1"/>
  <c r="G67" i="6"/>
  <c r="H67" i="6" s="1"/>
  <c r="H66" i="6" s="1"/>
  <c r="H81" i="6" s="1"/>
  <c r="G43" i="6"/>
  <c r="H43" i="6" s="1"/>
  <c r="H42" i="6" s="1"/>
  <c r="H57" i="6" s="1"/>
  <c r="G139" i="6"/>
  <c r="H139" i="6" s="1"/>
  <c r="H138" i="6" s="1"/>
  <c r="H153" i="6" s="1"/>
  <c r="G19" i="6"/>
  <c r="D9" i="7"/>
  <c r="B7" i="6"/>
  <c r="H3" i="6"/>
  <c r="A4" i="6"/>
  <c r="A3" i="6"/>
  <c r="H67" i="5"/>
  <c r="I63" i="5"/>
  <c r="I62" i="5"/>
  <c r="I61" i="5"/>
  <c r="K49" i="5"/>
  <c r="G42" i="5"/>
  <c r="I64" i="5" s="1"/>
  <c r="D40" i="5"/>
  <c r="D39" i="5"/>
  <c r="K34" i="5"/>
  <c r="J34" i="5"/>
  <c r="K32" i="5"/>
  <c r="J32" i="5"/>
  <c r="K31" i="5"/>
  <c r="J31" i="5"/>
  <c r="K28" i="5"/>
  <c r="J28" i="5"/>
  <c r="D28" i="5" s="1"/>
  <c r="K26" i="5"/>
  <c r="J26" i="5"/>
  <c r="H21" i="5"/>
  <c r="B21" i="5"/>
  <c r="H20" i="5"/>
  <c r="H19" i="5"/>
  <c r="H18" i="5"/>
  <c r="H17" i="5"/>
  <c r="H16" i="5"/>
  <c r="H11" i="5"/>
  <c r="D11" i="5"/>
  <c r="H10" i="5"/>
  <c r="D10" i="5"/>
  <c r="H66" i="3"/>
  <c r="I62" i="3"/>
  <c r="I61" i="3"/>
  <c r="I60" i="3"/>
  <c r="K48" i="3"/>
  <c r="D40" i="3"/>
  <c r="D39" i="3"/>
  <c r="K34" i="3"/>
  <c r="J34" i="3"/>
  <c r="K32" i="3"/>
  <c r="J32" i="3"/>
  <c r="K31" i="3"/>
  <c r="J31" i="3"/>
  <c r="K28" i="3"/>
  <c r="J28" i="3"/>
  <c r="K26" i="3"/>
  <c r="J26" i="3"/>
  <c r="H21" i="3"/>
  <c r="B21" i="3"/>
  <c r="H20" i="3"/>
  <c r="H19" i="3"/>
  <c r="H18" i="3"/>
  <c r="H17" i="3"/>
  <c r="H16" i="3"/>
  <c r="H11" i="3"/>
  <c r="D11" i="3"/>
  <c r="H10" i="3"/>
  <c r="H12" i="3" s="1"/>
  <c r="D10" i="3"/>
  <c r="D12" i="5" l="1"/>
  <c r="B12" i="5" s="1"/>
  <c r="K46" i="5" s="1"/>
  <c r="C3" i="27"/>
  <c r="C5" i="27" s="1"/>
  <c r="B10" i="1"/>
  <c r="B18" i="1" s="1"/>
  <c r="F3" i="31" s="1"/>
  <c r="D27" i="7"/>
  <c r="G27" i="7" s="1"/>
  <c r="E15" i="2"/>
  <c r="D30" i="7"/>
  <c r="E16" i="2"/>
  <c r="E13" i="2"/>
  <c r="D21" i="7"/>
  <c r="F21" i="7" s="1"/>
  <c r="D18" i="7"/>
  <c r="E18" i="7" s="1"/>
  <c r="E12" i="2"/>
  <c r="E17" i="2"/>
  <c r="D33" i="7"/>
  <c r="I33" i="7" s="1"/>
  <c r="D24" i="7"/>
  <c r="E14" i="2"/>
  <c r="D28" i="3"/>
  <c r="I9" i="7"/>
  <c r="H9" i="7"/>
  <c r="G9" i="7"/>
  <c r="F9" i="7"/>
  <c r="E9" i="7"/>
  <c r="E8" i="2"/>
  <c r="G3" i="9"/>
  <c r="F4" i="1"/>
  <c r="D12" i="3"/>
  <c r="B12" i="3" s="1"/>
  <c r="K45" i="3" s="1"/>
  <c r="D34" i="5"/>
  <c r="H4" i="1"/>
  <c r="H22" i="5"/>
  <c r="D31" i="5"/>
  <c r="D32" i="5"/>
  <c r="H22" i="3"/>
  <c r="B22" i="3" s="1"/>
  <c r="H12" i="5"/>
  <c r="I65" i="5"/>
  <c r="I66" i="5" s="1"/>
  <c r="G63" i="5" s="1"/>
  <c r="A3" i="9"/>
  <c r="A4" i="9"/>
  <c r="D32" i="3"/>
  <c r="D26" i="3"/>
  <c r="D26" i="5"/>
  <c r="D31" i="3"/>
  <c r="D34" i="3"/>
  <c r="H23" i="6"/>
  <c r="D24" i="1" s="1"/>
  <c r="B22" i="5"/>
  <c r="I14" i="5"/>
  <c r="G64" i="5" l="1"/>
  <c r="G73" i="5"/>
  <c r="I67" i="5" s="1"/>
  <c r="D63" i="5"/>
  <c r="C19" i="16"/>
  <c r="C20" i="16" s="1"/>
  <c r="E13" i="6" s="1"/>
  <c r="I30" i="7"/>
  <c r="H30" i="7"/>
  <c r="H36" i="7" s="1"/>
  <c r="G24" i="7"/>
  <c r="G36" i="7" s="1"/>
  <c r="F24" i="7"/>
  <c r="E7" i="2"/>
  <c r="H19" i="6"/>
  <c r="D23" i="1" s="1"/>
  <c r="I14" i="3"/>
  <c r="B38" i="3" s="1"/>
  <c r="D38" i="3" s="1"/>
  <c r="H22" i="6"/>
  <c r="C21" i="15" s="1"/>
  <c r="B38" i="5"/>
  <c r="D38" i="5" s="1"/>
  <c r="F38" i="5"/>
  <c r="F37" i="5"/>
  <c r="K48" i="5"/>
  <c r="K47" i="5"/>
  <c r="G67" i="5" s="1"/>
  <c r="K46" i="3"/>
  <c r="K47" i="3"/>
  <c r="E13" i="33" l="1"/>
  <c r="D9" i="31" s="1"/>
  <c r="D9" i="2"/>
  <c r="H13" i="6"/>
  <c r="H10" i="6" s="1"/>
  <c r="C11" i="15" s="1"/>
  <c r="H18" i="6"/>
  <c r="C17" i="15" s="1"/>
  <c r="F3" i="2"/>
  <c r="F38" i="3"/>
  <c r="F37" i="3"/>
  <c r="G37" i="3"/>
  <c r="G41" i="3" s="1"/>
  <c r="I63" i="3" s="1"/>
  <c r="I64" i="3" s="1"/>
  <c r="I65" i="3" s="1"/>
  <c r="G63" i="3" s="1"/>
  <c r="E9" i="2" l="1"/>
  <c r="E6" i="2" s="1"/>
  <c r="D11" i="7"/>
  <c r="H13" i="33"/>
  <c r="E9" i="31" s="1"/>
  <c r="E6" i="31" s="1"/>
  <c r="F19" i="31" s="1"/>
  <c r="C6" i="1" s="1"/>
  <c r="H33" i="6"/>
  <c r="I11" i="7"/>
  <c r="I36" i="7" s="1"/>
  <c r="E11" i="2"/>
  <c r="E10" i="2" s="1"/>
  <c r="C28" i="15"/>
  <c r="D27" i="15" s="1"/>
  <c r="D62" i="3"/>
  <c r="G62" i="3"/>
  <c r="G72" i="3"/>
  <c r="I66" i="3" s="1"/>
  <c r="D63" i="3" s="1"/>
  <c r="G66" i="3"/>
  <c r="A29" i="1"/>
  <c r="C18" i="1"/>
  <c r="D11" i="32" l="1"/>
  <c r="I11" i="32" s="1"/>
  <c r="H10" i="33"/>
  <c r="H179" i="33" s="1"/>
  <c r="D36" i="32"/>
  <c r="C11" i="32" s="1"/>
  <c r="D15" i="7"/>
  <c r="H179" i="6"/>
  <c r="I12" i="7"/>
  <c r="F28" i="1"/>
  <c r="F29" i="1"/>
  <c r="F19" i="2"/>
  <c r="B6" i="1" s="1"/>
  <c r="C7" i="1"/>
  <c r="D24" i="15"/>
  <c r="D11" i="15"/>
  <c r="D17" i="15"/>
  <c r="D15" i="15"/>
  <c r="D21" i="15"/>
  <c r="G28" i="1"/>
  <c r="G29" i="1"/>
  <c r="C33" i="32" l="1"/>
  <c r="C18" i="32"/>
  <c r="C21" i="32"/>
  <c r="E39" i="32"/>
  <c r="D38" i="32"/>
  <c r="C15" i="32"/>
  <c r="C27" i="32"/>
  <c r="C30" i="32"/>
  <c r="G38" i="32"/>
  <c r="C24" i="32"/>
  <c r="C9" i="32"/>
  <c r="E38" i="32"/>
  <c r="C7" i="32"/>
  <c r="F38" i="32"/>
  <c r="H38" i="32"/>
  <c r="F39" i="32"/>
  <c r="G39" i="32"/>
  <c r="H39" i="32"/>
  <c r="I12" i="32"/>
  <c r="I36" i="32"/>
  <c r="E15" i="7"/>
  <c r="E36" i="7" s="1"/>
  <c r="F15" i="7"/>
  <c r="F36" i="7" s="1"/>
  <c r="D36" i="7"/>
  <c r="C27" i="7" s="1"/>
  <c r="B7" i="1"/>
  <c r="F24" i="1"/>
  <c r="F23" i="1"/>
  <c r="D28" i="15"/>
  <c r="I38" i="32" l="1"/>
  <c r="I37" i="32"/>
  <c r="I39" i="32" s="1"/>
  <c r="C33" i="7"/>
  <c r="G38" i="7"/>
  <c r="H38" i="7"/>
  <c r="I38" i="7"/>
  <c r="C30" i="7"/>
  <c r="C21" i="7"/>
  <c r="C24" i="7"/>
  <c r="C11" i="7"/>
  <c r="C15" i="7"/>
  <c r="D38" i="7"/>
  <c r="C18" i="7"/>
  <c r="C9" i="7"/>
  <c r="C7" i="7"/>
  <c r="E38" i="7"/>
  <c r="F38" i="7"/>
  <c r="E37" i="7" l="1"/>
  <c r="F37" i="7" s="1"/>
  <c r="G37" i="7" l="1"/>
  <c r="F39" i="7"/>
  <c r="E39" i="7"/>
  <c r="H37" i="7" l="1"/>
  <c r="G39" i="7"/>
  <c r="I37" i="7" l="1"/>
  <c r="I39" i="7" s="1"/>
  <c r="H39" i="7"/>
</calcChain>
</file>

<file path=xl/sharedStrings.xml><?xml version="1.0" encoding="utf-8"?>
<sst xmlns="http://schemas.openxmlformats.org/spreadsheetml/2006/main" count="2564" uniqueCount="425">
  <si>
    <t>OBRA</t>
  </si>
  <si>
    <t xml:space="preserve">PAVIMENTAÇÃO EM PARALELEPÍPEDO DE VIAS </t>
  </si>
  <si>
    <t>SINAPI SEM DESONERAÇÃO</t>
  </si>
  <si>
    <t>SINAPI COM DESONERAÇÃO</t>
  </si>
  <si>
    <t>MUNICÍPIO</t>
  </si>
  <si>
    <t>LOCALIDADE</t>
  </si>
  <si>
    <t>BDI</t>
  </si>
  <si>
    <t>ZONA</t>
  </si>
  <si>
    <t>LEIS SOCIAIS</t>
  </si>
  <si>
    <t>SEM DESONERAÇÃO</t>
  </si>
  <si>
    <t>COM DESONERAÇÃO</t>
  </si>
  <si>
    <t>VALOR TOTAL</t>
  </si>
  <si>
    <t>VALOR (m²)</t>
  </si>
  <si>
    <t>TRECHO</t>
  </si>
  <si>
    <t>ÁREA</t>
  </si>
  <si>
    <t>m²</t>
  </si>
  <si>
    <t xml:space="preserve">EXTENSÃO TOTAL </t>
  </si>
  <si>
    <t>PARCELA DE RELEVÂNCIA SEM DESONERAÇÃO</t>
  </si>
  <si>
    <t>EXIGÊNCIA MÁX.</t>
  </si>
  <si>
    <t>SERVIÇO</t>
  </si>
  <si>
    <t>QUANTIDADE</t>
  </si>
  <si>
    <t>%</t>
  </si>
  <si>
    <t>PARCELA DE RELEVÂNCIA COM DESONERAÇÃO</t>
  </si>
  <si>
    <t>Assentamento de guia (meio-fio), confeccionada em concreto pré-fabricado, dimensões 100x15x13x30 (comprimento x base inferiror x base superior x altura), para vias urbanas ( m )</t>
  </si>
  <si>
    <t>ÁREA TOTAL (m²):</t>
  </si>
  <si>
    <t>ITEM</t>
  </si>
  <si>
    <t>DISCRIMINAÇÃO</t>
  </si>
  <si>
    <t>UNID.</t>
  </si>
  <si>
    <t>QUANT.</t>
  </si>
  <si>
    <t>PREÇO TOTAL</t>
  </si>
  <si>
    <t>1.0</t>
  </si>
  <si>
    <t>SERVIÇOS PRELIMINARES</t>
  </si>
  <si>
    <t>1.1</t>
  </si>
  <si>
    <t>2.0</t>
  </si>
  <si>
    <t>PAVIMENTAÇÃO DE VIAS EM PARALELEPÍPEDO</t>
  </si>
  <si>
    <t>2.1</t>
  </si>
  <si>
    <t>unid.</t>
  </si>
  <si>
    <t>TOTAL GERAL ORÇAMENTÁRIO..................................................R$</t>
  </si>
  <si>
    <t>Placa de Obra em chapa de aço galvanizado</t>
  </si>
  <si>
    <t>Administração local da obra</t>
  </si>
  <si>
    <t>mês</t>
  </si>
  <si>
    <t>SEM DESONERAÇÃO
BDI: 21,96%</t>
  </si>
  <si>
    <t xml:space="preserve">PLANILHA RESUMO - SEM DESONERAÇÃO </t>
  </si>
  <si>
    <t>COMPOSIÇÃO DA PARCELA DE BDI (BONIFICAÇÃO E DESPESAS INDIRETAS)</t>
  </si>
  <si>
    <t>TIPO DE BDI</t>
  </si>
  <si>
    <t>X</t>
  </si>
  <si>
    <t>TIPO DE SERVIÇO</t>
  </si>
  <si>
    <t>CONSTRUÇÃO DE EDIFICAÇÕES</t>
  </si>
  <si>
    <t>CONSTRUÇÃO DE RODOVIAS E FERROVIAS</t>
  </si>
  <si>
    <t>CONSTRUÇÃO DE REDES DE ABASTECIMENTO DE ÁGUA, COLETA DE ESGOTO E CONSTRUÇÕES DE CORRELATAS</t>
  </si>
  <si>
    <t>CONSTRUÇÃO E MANUTENÇÃO DE ESTAÇÕES E REDES DE DISTRIBUIÇÃO DE ENERGIA ELÉTRICA</t>
  </si>
  <si>
    <t>OBRAS PORTUÁRIAS, MARÍTIMAS E FLUVIAIS</t>
  </si>
  <si>
    <t>FORNECIMENTO DE MATERIAIS</t>
  </si>
  <si>
    <t>ÍNDICES PERCENTUAIS</t>
  </si>
  <si>
    <t>min</t>
  </si>
  <si>
    <t>max</t>
  </si>
  <si>
    <t>ADMINISTRAÇÃO CENTRAL</t>
  </si>
  <si>
    <t>A =</t>
  </si>
  <si>
    <t>DESPESAS FINANCEIRAS</t>
  </si>
  <si>
    <t>DF =</t>
  </si>
  <si>
    <t>SEGURO, GARANTIA E RISCOS</t>
  </si>
  <si>
    <t>SEGURO + GARANTIA  (S + G) =</t>
  </si>
  <si>
    <t>RISCO (R) =</t>
  </si>
  <si>
    <t>LUCRO</t>
  </si>
  <si>
    <t>L =</t>
  </si>
  <si>
    <t>IMPOSTOS</t>
  </si>
  <si>
    <t>PIS =</t>
  </si>
  <si>
    <t>COFINS =</t>
  </si>
  <si>
    <t xml:space="preserve">T = </t>
  </si>
  <si>
    <t>CÁLCULO</t>
  </si>
  <si>
    <t>LISTA DE ERROS</t>
  </si>
  <si>
    <t>AC =</t>
  </si>
  <si>
    <t>TAXA DE RATEIO DA ADMINISTRAÇÃO CENTRAL</t>
  </si>
  <si>
    <t>S + G =</t>
  </si>
  <si>
    <t>SEGURO E GARANTIA DO EMPREENDIMENTO</t>
  </si>
  <si>
    <t>R =</t>
  </si>
  <si>
    <t>TAXA DE RISCO</t>
  </si>
  <si>
    <t>TAXA DE DESPESAS FINANCEIRAS</t>
  </si>
  <si>
    <t>TAXA DE LUCRO</t>
  </si>
  <si>
    <t>T =</t>
  </si>
  <si>
    <t>TAXA DE TRIBUTOS</t>
  </si>
  <si>
    <t>BDI DE REFERÊNCIAS S/ INSS</t>
  </si>
  <si>
    <t>BDI DE REFERÊNCIAS C/ INSS</t>
  </si>
  <si>
    <t>MÍNIMO</t>
  </si>
  <si>
    <t>MÁXIMO</t>
  </si>
  <si>
    <t>BDI CALCULADO  =</t>
  </si>
  <si>
    <t>DE ACORDO COM:</t>
  </si>
  <si>
    <t>LEI Nº 12.546, DE 14 DE DEZEMBRO DE 2011</t>
  </si>
  <si>
    <t>LEI Nº 13.161, DE 31 DE AGOSTO DE 2015</t>
  </si>
  <si>
    <t>ACÓRDÃO Nº 2622/2013 – TCU – Plenário</t>
  </si>
  <si>
    <t>BDI CALCULADO</t>
  </si>
  <si>
    <r>
      <rPr>
        <b/>
        <sz val="8"/>
        <rFont val="Arial"/>
        <family val="2"/>
      </rPr>
      <t>ENCARGOS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SOCIAIS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SOBRE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MÃO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OBRA</t>
    </r>
  </si>
  <si>
    <t>CÓDIGO</t>
  </si>
  <si>
    <t>DESCRIÇÃO</t>
  </si>
  <si>
    <r>
      <rPr>
        <b/>
        <sz val="8"/>
        <rFont val="Arial"/>
        <family val="2"/>
      </rPr>
      <t>COM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</si>
  <si>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</si>
  <si>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HORISTA
%</t>
    </r>
  </si>
  <si>
    <r>
      <rPr>
        <b/>
        <sz val="8"/>
        <rFont val="Arial"/>
        <family val="2"/>
      </rPr>
      <t>MENSALISTA
%</t>
    </r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</si>
  <si>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</t>
    </r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</si>
  <si>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</si>
  <si>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</si>
  <si>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</si>
  <si>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</si>
  <si>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</si>
  <si>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</si>
  <si>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</si>
  <si>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</si>
  <si>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</si>
  <si>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</si>
  <si>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</si>
  <si>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</si>
  <si>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</si>
  <si>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</si>
  <si>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</si>
  <si>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</si>
  <si>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</si>
  <si>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</si>
  <si>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</si>
  <si>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</si>
  <si>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</t>
    </r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</si>
  <si>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</si>
  <si>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</si>
  <si>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</si>
  <si>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</si>
  <si>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</si>
  <si>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</si>
  <si>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</si>
  <si>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</si>
  <si>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</si>
  <si>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</si>
  <si>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</si>
  <si>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</si>
  <si>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</si>
  <si>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</si>
  <si>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</si>
  <si>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</si>
  <si>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</si>
  <si>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</si>
  <si>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</si>
  <si>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</si>
  <si>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</si>
  <si>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</si>
  <si>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</t>
    </r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</si>
  <si>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</si>
  <si>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</si>
  <si>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</si>
  <si>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</si>
  <si>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</si>
  <si>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</si>
  <si>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</si>
  <si>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</si>
  <si>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</si>
  <si>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</si>
  <si>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</si>
  <si>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</t>
    </r>
  </si>
  <si>
    <t>D1</t>
  </si>
  <si>
    <t>Reincidência de Grupo A sobre Grupo B</t>
  </si>
  <si>
    <t>D2</t>
  </si>
  <si>
    <t>Reincidência de Grupo A sobre Aviso Prévio Trabalhado e Reincidência do FGTS sobre Aviso
Prévio Indenizado</t>
  </si>
  <si>
    <t>D</t>
  </si>
  <si>
    <t>TOTAL(A+B+C+D)</t>
  </si>
  <si>
    <t>CPRB=</t>
  </si>
  <si>
    <t xml:space="preserve">OBRA: PAVIMENTAÇÃO EM PARALELEPIPEDO </t>
  </si>
  <si>
    <t xml:space="preserve">PLANILHA ORÇAMENTÁRIA </t>
  </si>
  <si>
    <t>TRECHO:</t>
  </si>
  <si>
    <t>LARGURA (m):</t>
  </si>
  <si>
    <t>ÁREA (m²):</t>
  </si>
  <si>
    <t>EXTENSÃO (m):</t>
  </si>
  <si>
    <t>PREÇO</t>
  </si>
  <si>
    <t>UNIT. SEM BDI</t>
  </si>
  <si>
    <t>UNIT. COM BDI</t>
  </si>
  <si>
    <t>TOTAL</t>
  </si>
  <si>
    <t>1.2</t>
  </si>
  <si>
    <t>TERRAPLENAGEM</t>
  </si>
  <si>
    <t>Regularização em superficies em terra com motoniveladora</t>
  </si>
  <si>
    <t>3.0</t>
  </si>
  <si>
    <t>PAVIMENTAÇÃO</t>
  </si>
  <si>
    <t>3.1</t>
  </si>
  <si>
    <t>4.0</t>
  </si>
  <si>
    <t>SERVIÇOS COMPLEMENTARES</t>
  </si>
  <si>
    <t>4.1</t>
  </si>
  <si>
    <t>Assentamento de guia (meio-fio), confeccionada em concreto pré-fabricado, dimensões 100x15x13x30 (comprimento x base inferiror x base superior x altura), para vias urbanas</t>
  </si>
  <si>
    <t>m</t>
  </si>
  <si>
    <t>4.2</t>
  </si>
  <si>
    <t>und</t>
  </si>
  <si>
    <t>CRONOGRAMA FÍSICO-FINANCEIRO</t>
  </si>
  <si>
    <t>DISCRIMINAÇÃO DOS SERVIÇOS</t>
  </si>
  <si>
    <t>DIAS</t>
  </si>
  <si>
    <t>VALOR TOTAL (R$)</t>
  </si>
  <si>
    <t>TOTAL (%)</t>
  </si>
  <si>
    <t>PESO                      (%)</t>
  </si>
  <si>
    <t>PAVIMENTAÇÃO EM PARALELEPÍPEDO</t>
  </si>
  <si>
    <t>COMPOSIÇÕES DE CUSTO UNITÁRIOS - CCU</t>
  </si>
  <si>
    <t>BDI SERVIÇOS:</t>
  </si>
  <si>
    <t>Código</t>
  </si>
  <si>
    <t>Descrição</t>
  </si>
  <si>
    <t>SINAPI</t>
  </si>
  <si>
    <t xml:space="preserve"> 88262 </t>
  </si>
  <si>
    <t>H</t>
  </si>
  <si>
    <t xml:space="preserve"> 88316 </t>
  </si>
  <si>
    <t>m³</t>
  </si>
  <si>
    <t>M</t>
  </si>
  <si>
    <t xml:space="preserve"> 00004813 </t>
  </si>
  <si>
    <t>KG</t>
  </si>
  <si>
    <t>TOTAL:</t>
  </si>
  <si>
    <t>Engenheiro civil de obra junior com encargos complementares</t>
  </si>
  <si>
    <t>Encarregado geral com encargos complementares</t>
  </si>
  <si>
    <t>Servente com encargos complementares</t>
  </si>
  <si>
    <t>Calceteiro com encargos complementares</t>
  </si>
  <si>
    <t>Areia grossa - posto jazida/fornecedor (retirado na jazida, sem transporte)</t>
  </si>
  <si>
    <t>Pedreiro com encargos complementares</t>
  </si>
  <si>
    <t xml:space="preserve"> 88309 </t>
  </si>
  <si>
    <t xml:space="preserve"> 00000370 </t>
  </si>
  <si>
    <t xml:space="preserve"> 00004517 </t>
  </si>
  <si>
    <t xml:space="preserve"> 00034492 </t>
  </si>
  <si>
    <t xml:space="preserve"> 88629 </t>
  </si>
  <si>
    <t xml:space="preserve"> 00004059 </t>
  </si>
  <si>
    <t>Argamassa traço 1:3 (em volume de cimento e areia média úmida), preparo manual. af_08/2019</t>
  </si>
  <si>
    <t>Areia media - posto jazida/fornecedor (retirado na jazida, sem transporte)</t>
  </si>
  <si>
    <t>Meio-fio ou guia de concreto, pre-moldado, comp 1 m, *30 x 12/15* cm (h x l1/l2)</t>
  </si>
  <si>
    <t xml:space="preserve"> 00006212 </t>
  </si>
  <si>
    <t>Sarrafo *2,5 x 7,5* cm em pinus, mista ou equivalente da regiao - bruta</t>
  </si>
  <si>
    <t>Tabua *2,5 x 30 cm em pinus, mista ou equivalente da regiao - bruta</t>
  </si>
  <si>
    <t>Concreto usinado bombeavel, classe de resistencia c20, com brita 0 e 1, slump = 100 +/- 20 mm, exclui servico de bombeamento (nbr 8953)</t>
  </si>
  <si>
    <t xml:space="preserve">OBRA: PAVIMENTAÇÃO EM PARALELEPÍPEDO </t>
  </si>
  <si>
    <t>VALOR DAS OBRAS E SERVIÇOS  (R$)</t>
  </si>
  <si>
    <t>TOTAL GERAL R$</t>
  </si>
  <si>
    <t xml:space="preserve">TRANSPORTE </t>
  </si>
  <si>
    <t>t.Km</t>
  </si>
  <si>
    <t>5.0</t>
  </si>
  <si>
    <t>5.1</t>
  </si>
  <si>
    <t xml:space="preserve">QUADRO DE COMPOSIÇÃO DO INVESTIMENTO - QCI </t>
  </si>
  <si>
    <t>ENCARGOS HORISTAS:</t>
  </si>
  <si>
    <t>ENCARGOS MENSALISTAS:</t>
  </si>
  <si>
    <t xml:space="preserve">DISCRIMINAÇÃO </t>
  </si>
  <si>
    <t xml:space="preserve">ITEM </t>
  </si>
  <si>
    <t>VALOR R$</t>
  </si>
  <si>
    <t xml:space="preserve">TERRAPLENAGEM </t>
  </si>
  <si>
    <t xml:space="preserve">PAVIMENTAÇÃO </t>
  </si>
  <si>
    <t xml:space="preserve">SERVIÇOS COMPLEMENTARES </t>
  </si>
  <si>
    <t>Banco</t>
  </si>
  <si>
    <t>Und</t>
  </si>
  <si>
    <t>Quant.</t>
  </si>
  <si>
    <t>Valor Unit</t>
  </si>
  <si>
    <t>TXKM</t>
  </si>
  <si>
    <t xml:space="preserve"> 91386 </t>
  </si>
  <si>
    <t>CHP</t>
  </si>
  <si>
    <t xml:space="preserve"> 91387 </t>
  </si>
  <si>
    <t>CHI</t>
  </si>
  <si>
    <t>milheiro</t>
  </si>
  <si>
    <t>Quantidade</t>
  </si>
  <si>
    <t>mil/m²</t>
  </si>
  <si>
    <t>t/m³</t>
  </si>
  <si>
    <t>Km</t>
  </si>
  <si>
    <t>103689/SINAPI PI</t>
  </si>
  <si>
    <t>COMP. SADA 01</t>
  </si>
  <si>
    <t>COMP. SADA 02</t>
  </si>
  <si>
    <t>Execução de pavimento em paralelepípedos, rejuntamento com argamassa traço 1:3 (cimento e areia)</t>
  </si>
  <si>
    <t>6.0</t>
  </si>
  <si>
    <t>SINALIZAÇÃO</t>
  </si>
  <si>
    <t>6.1</t>
  </si>
  <si>
    <t>COMP. SADA 03</t>
  </si>
  <si>
    <t>Execução de sarjeta de concreto usinado, moldada in loco em trecho reto, 30 cm base x  3 cm altura</t>
  </si>
  <si>
    <t xml:space="preserve"> 103689 </t>
  </si>
  <si>
    <t xml:space="preserve"> 102234 </t>
  </si>
  <si>
    <t xml:space="preserve"> 00004509 </t>
  </si>
  <si>
    <t xml:space="preserve"> 00005065 </t>
  </si>
  <si>
    <t xml:space="preserve"> 00005069 </t>
  </si>
  <si>
    <t xml:space="preserve"> 100575 </t>
  </si>
  <si>
    <t xml:space="preserve"> 5932 </t>
  </si>
  <si>
    <t xml:space="preserve"> 5934 </t>
  </si>
  <si>
    <t xml:space="preserve"> 93244 </t>
  </si>
  <si>
    <t xml:space="preserve"> 94273 </t>
  </si>
  <si>
    <t>COMP. SADA 04</t>
  </si>
  <si>
    <t>UN</t>
  </si>
  <si>
    <t>UND</t>
  </si>
  <si>
    <t>Fornecimento e instalação de placa de obra com chapa galvanizada e estrutura de madeira. af_03/2022_ps</t>
  </si>
  <si>
    <t>Pintura imunizante para madeira, 2 demãos. af_01/2021</t>
  </si>
  <si>
    <t>Carpinteiro de formas com encargos complementares</t>
  </si>
  <si>
    <t>Sarrafo *2,5 x 10* cm em pinus, mista ou equivalente da regiao - bruta</t>
  </si>
  <si>
    <t>Placa de obra (para construcao civil) em chapa galvanizada *n. 22*, adesivada, de *2,4 x 1,2* m (sem postes para fixacao)</t>
  </si>
  <si>
    <t>Prego de aco polido com cabeca 10 x 10 (7/8 x 17)</t>
  </si>
  <si>
    <t>Prego de aco polido com cabeca 17 x 27 (2 1/2 x 11)</t>
  </si>
  <si>
    <t>Regularização de superfícies com motoniveladora. af_09/2024</t>
  </si>
  <si>
    <t>Motoniveladora potência básica líquida (primeira marcha) 125 hp, peso bruto 13032 kg, largura da lâmina de 3,7 m - chp diurno. af_06/2014</t>
  </si>
  <si>
    <t>Motoniveladora potência básica líquida (primeira marcha) 125 hp, peso bruto 13032 kg, largura da lâmina de 3,7 m - chi diurno. af_06/2014</t>
  </si>
  <si>
    <t>Rolo compactador vibratório pé de carneiro para solos, potência 80 hp, peso operacional sem/com lastro 7,4 / 8,8 t, largura de trabalho 1,68 m - chi diurno. af_02/2016</t>
  </si>
  <si>
    <t>Argamassa traço 1:3 (em volume de cimento e areia média úmida), preparo mecânico com betoneira 400 l. af_08/2019</t>
  </si>
  <si>
    <t>Assentamento de guia (meio-fio) em trecho reto, confeccionada em concreto pré-fabricado, dimensões 100x15x13x30 cm (comprimento x base inferior x base superior x altura). af_01/2024</t>
  </si>
  <si>
    <t>Limpeza final da obra</t>
  </si>
  <si>
    <t>Caminhão basculante 10 m3, trucado cabine simples, peso bruto total 23.000 kg, carga útil máxima 15.935 kg, distância entre eixos 4,80 m, potência 230 cv inclusive caçamba metálica - chp diurno. af_06/2014</t>
  </si>
  <si>
    <t>Caminhão basculante 10 m3, trucado cabine simples, peso bruto total 23.000 kg, carga útil máxima 15.935 kg, distância entre eixos 4,80 m, potência 230 cv inclusive caçamba metálica - chi diurno. af_06/2014</t>
  </si>
  <si>
    <t>MEMÓRIA DE CÁLCULO</t>
  </si>
  <si>
    <t>Comprimento</t>
  </si>
  <si>
    <t>Largura</t>
  </si>
  <si>
    <t>u n</t>
  </si>
  <si>
    <t>Área total (projeto)</t>
  </si>
  <si>
    <t xml:space="preserve">Quantidade </t>
  </si>
  <si>
    <t>Quantidade (medição atual)</t>
  </si>
  <si>
    <t>Comprimento =</t>
  </si>
  <si>
    <t>Largura da rua =</t>
  </si>
  <si>
    <t>Comprimento total (projeto)</t>
  </si>
  <si>
    <t>Execução de sarjeta de concreto usinado, moldada in loco em trecho reto, 30 cm base x 3 cm altura</t>
  </si>
  <si>
    <t xml:space="preserve">SINALIZAÇÃO </t>
  </si>
  <si>
    <t>Quantidade projeto</t>
  </si>
  <si>
    <t>Área</t>
  </si>
  <si>
    <t xml:space="preserve">Consumo </t>
  </si>
  <si>
    <t xml:space="preserve">Volume </t>
  </si>
  <si>
    <t>m³/m²</t>
  </si>
  <si>
    <t xml:space="preserve">Peso Específico </t>
  </si>
  <si>
    <t xml:space="preserve">DMT </t>
  </si>
  <si>
    <t xml:space="preserve">Área total </t>
  </si>
  <si>
    <t xml:space="preserve">DMT Obra à Jazida </t>
  </si>
  <si>
    <t xml:space="preserve">Km </t>
  </si>
  <si>
    <t xml:space="preserve">Contenção </t>
  </si>
  <si>
    <t xml:space="preserve">Total </t>
  </si>
  <si>
    <t>txKm</t>
  </si>
  <si>
    <t>LOCAL: REDENÇÃO DO GURGUEIA - PI</t>
  </si>
  <si>
    <t>HORISTA: 113,33%
MENSALISTA: 71,12%</t>
  </si>
  <si>
    <t xml:space="preserve">URBANA E RURAL </t>
  </si>
  <si>
    <t>2.2</t>
  </si>
  <si>
    <t>2.3</t>
  </si>
  <si>
    <t>2.4</t>
  </si>
  <si>
    <t>2.5</t>
  </si>
  <si>
    <t>3.2</t>
  </si>
  <si>
    <t>Próprio</t>
  </si>
  <si>
    <t xml:space="preserve"> 94969 </t>
  </si>
  <si>
    <t xml:space="preserve"> 00039126 </t>
  </si>
  <si>
    <t xml:space="preserve"> 00007696 </t>
  </si>
  <si>
    <t xml:space="preserve"> I2525 </t>
  </si>
  <si>
    <t>SEINFRA</t>
  </si>
  <si>
    <t xml:space="preserve"> 00013521 </t>
  </si>
  <si>
    <t>Placa esmaltada para identificação de nome de rua, dimensões 45 x 20 cm com tubo de aço</t>
  </si>
  <si>
    <t>SERVIÇOS DIVERSOS</t>
  </si>
  <si>
    <t>1.3</t>
  </si>
  <si>
    <t>9537 - SINAPI/PI</t>
  </si>
  <si>
    <t>BASE DE PREÇO SEM DESONERAÇÃO</t>
  </si>
  <si>
    <t xml:space="preserve">Quantidade total </t>
  </si>
  <si>
    <t xml:space="preserve">Limpeza final da obra </t>
  </si>
  <si>
    <t xml:space="preserve">Área Total </t>
  </si>
  <si>
    <t xml:space="preserve">RUA PROJETADA </t>
  </si>
  <si>
    <t>Transporte com caminhão basculante de 10 m³, em via urbana em leito natural</t>
  </si>
  <si>
    <t>LOCAL: PAJEÚ DO PIAUI- PI</t>
  </si>
  <si>
    <t>COMP. SADA 05</t>
  </si>
  <si>
    <t xml:space="preserve">Compactação Mecânica </t>
  </si>
  <si>
    <t>COORDENADAS</t>
  </si>
  <si>
    <t xml:space="preserve"> -7.846060°                                                                -42.819788°</t>
  </si>
  <si>
    <t xml:space="preserve">BARRO DURO </t>
  </si>
  <si>
    <t>BREJO DE BAIXO, MALHADA</t>
  </si>
  <si>
    <t xml:space="preserve">RUA SETE DE SETEMBRO </t>
  </si>
  <si>
    <t xml:space="preserve">RUA FIO </t>
  </si>
  <si>
    <t xml:space="preserve">RUA CANDIDA VIEIRA </t>
  </si>
  <si>
    <t xml:space="preserve">RUA SÃO PEDRO </t>
  </si>
  <si>
    <t xml:space="preserve">RUA DO SAQUIM </t>
  </si>
  <si>
    <t xml:space="preserve">RUA DO PAIOL AO BREJO DE BAIXO </t>
  </si>
  <si>
    <t xml:space="preserve">RUA DO MORRO DO BAIRRO MALHADA </t>
  </si>
  <si>
    <t>2.6</t>
  </si>
  <si>
    <t>2.7</t>
  </si>
  <si>
    <t>TOTAL GERAL DA PAVIMENTAÇÃO R$</t>
  </si>
  <si>
    <t xml:space="preserve">LOGRADOURO: RUA SETE DE SETEMBRO </t>
  </si>
  <si>
    <t>LOGRADOURO: RUA FIO</t>
  </si>
  <si>
    <t>5.2</t>
  </si>
  <si>
    <t>Transporte com caminhão basculante de 10 m³, em via urbana pavimentada, adicional para dmt excedente a 30 km (unidade: txkm). af_07/2020</t>
  </si>
  <si>
    <t>LOGRADOURO: RUA CÂNDIDA VIEIRA</t>
  </si>
  <si>
    <t xml:space="preserve">LOGRADOURO: RUA SÃO PEDRO </t>
  </si>
  <si>
    <t xml:space="preserve">LOGRADOURO: RUA DO SAQUIM </t>
  </si>
  <si>
    <t xml:space="preserve">LOGRADOURO: RUA DO PAIOL AO BREJO DE BAIXO </t>
  </si>
  <si>
    <t xml:space="preserve">LOGRADOURO: RUA DO MORRO DO BAIRRO DA MALHADA </t>
  </si>
  <si>
    <t>OBJETO:  PAVIMENTAÇÃO DE VIAS PÚBLICAS NO MUNÍCIO DE BARRO DURO-PI</t>
  </si>
  <si>
    <t>LOCAL: BREJO DE BAIXO, MALHADA</t>
  </si>
  <si>
    <t>FONTE:  
SINAPI 06/2025</t>
  </si>
  <si>
    <t>SERVENTE COM ENCARGOS COMPLEMENTARES</t>
  </si>
  <si>
    <t xml:space="preserve"> 90777 </t>
  </si>
  <si>
    <t xml:space="preserve"> 90776 </t>
  </si>
  <si>
    <t xml:space="preserve"> 9537 </t>
  </si>
  <si>
    <t xml:space="preserve"> 00000003 </t>
  </si>
  <si>
    <t>L</t>
  </si>
  <si>
    <t xml:space="preserve"> 88260 </t>
  </si>
  <si>
    <t xml:space="preserve"> 88628 </t>
  </si>
  <si>
    <t xml:space="preserve"> COMPOSIÇÃO SADA 05 </t>
  </si>
  <si>
    <t>DESMONTE MANUAL DE ROCHA DE ORIGEM ARENÍTICA</t>
  </si>
  <si>
    <t xml:space="preserve"> 00000367 </t>
  </si>
  <si>
    <t xml:space="preserve"> 00001442 </t>
  </si>
  <si>
    <t>PEDREIRO COM ENCARGOS COMPLEMENTARES</t>
  </si>
  <si>
    <t xml:space="preserve"> 95878 </t>
  </si>
  <si>
    <t xml:space="preserve"> 93596 </t>
  </si>
  <si>
    <t>Acido cloridrico / acido muriatico, diluicao 10% a 12% para uso em limpeza</t>
  </si>
  <si>
    <t>Pavimentação em paralelepípedo</t>
  </si>
  <si>
    <t>Desmonte manual de rocha de origem arenítica</t>
  </si>
  <si>
    <t>Compactação mecânica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</si>
  <si>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</si>
  <si>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>Transporte com caminhão basculante de 10 m³, em via urbana pavimentada, dmt até 30 km (unidade: txkm). af_07/2020</t>
  </si>
  <si>
    <t xml:space="preserve"> COMP. SADA01 </t>
  </si>
  <si>
    <t>CONCRETO FCK = 15MPA, TRAÇO 1:3,4:3,5 (EM MASSA SECA DE CIMENTO/ AREIA MÉDIA/ BRITA 1) - PREPARO MECÂNICO COM BETONEIRA 600 L. AF_05/2021</t>
  </si>
  <si>
    <t>ABRACADEIRA EM ACO PARA AMARRACAO DE ELETRODUTOS, TIPO D, COM 4" E CUNHA DE FIXACAO</t>
  </si>
  <si>
    <t>TUBO ACO GALVANIZADO COM COSTURA, CLASSE MEDIA, DN 2", E = *3,65* MM, PESO *5,10* KG/M (NBR 5580)</t>
  </si>
  <si>
    <t>PARAFUSO C/PORCA E ARRUELA DE 1/4X1 1/2"</t>
  </si>
  <si>
    <t>PLACA DE ACO ESMALTADA PARA IDENTIFICACAO DE RUA, *45 CM X 20* CM</t>
  </si>
  <si>
    <t xml:space="preserve"> COTAÇÃO 11 </t>
  </si>
  <si>
    <t>Indenização de jazida</t>
  </si>
  <si>
    <t xml:space="preserve"> COMPOSIÇÃO SADA TCE PI</t>
  </si>
  <si>
    <t xml:space="preserve"> COMP. SADA02 </t>
  </si>
  <si>
    <t xml:space="preserve"> COMP. SADA03 </t>
  </si>
  <si>
    <t xml:space="preserve"> COMP. SADA04 </t>
  </si>
  <si>
    <t xml:space="preserve"> COMP. SADA05 </t>
  </si>
  <si>
    <t>OBJETO:  PAVIMENTAÇÃO DE VIAS PÚBLICAS NO MUNÍCIO DE BARRO DURO   -PI</t>
  </si>
  <si>
    <t>OBJETO:  PAVIMENTAÇÃO DE VIAS PÚBLICAS NO MUNÍCIO DE BARRO DURO  -PI</t>
  </si>
  <si>
    <t>BANCA: SINAPI 06/2025 - Sem desoneração</t>
  </si>
  <si>
    <r>
      <t xml:space="preserve">OBRA: </t>
    </r>
    <r>
      <rPr>
        <sz val="10"/>
        <color theme="1"/>
        <rFont val="Arial"/>
        <family val="2"/>
      </rPr>
      <t>PAVIMENTAÇÃO EM BARRO DURO   -PI</t>
    </r>
  </si>
  <si>
    <t>BASE DE PREÇO: SINAPI PI 06/2025</t>
  </si>
  <si>
    <t>HORISTA: 90,66%
MENSALISTA: 52,90%</t>
  </si>
  <si>
    <t>COMPRIMENTO</t>
  </si>
  <si>
    <t xml:space="preserve">LARGURA </t>
  </si>
  <si>
    <t xml:space="preserve"> -5.817345°                       -42.515908°</t>
  </si>
  <si>
    <t xml:space="preserve"> -5.818333°          -42.515259°</t>
  </si>
  <si>
    <t xml:space="preserve"> -5.822059°               -42.509574°</t>
  </si>
  <si>
    <t xml:space="preserve"> -5.820902°                                 -42.506318°</t>
  </si>
  <si>
    <t xml:space="preserve"> -5.775064°                   -42.539827°</t>
  </si>
  <si>
    <t xml:space="preserve"> -5.777379°                        -42.529654°</t>
  </si>
  <si>
    <t xml:space="preserve"> -5.848201°                                    -42.457964°</t>
  </si>
  <si>
    <t xml:space="preserve">PLANILHA RESUMO - COM DESONERAÇÃO </t>
  </si>
  <si>
    <t>SINAPI 06/2025</t>
  </si>
  <si>
    <t>BANCA: SINAPI - 06/2025</t>
  </si>
  <si>
    <t>BANCA: SINAPI 06/2025 - Com desoneração - Horista: 90,66 % / Mensalista: 52,90% - BDI: 26,86 %</t>
  </si>
  <si>
    <t>COM DESONERAÇÃO
BDI: 26,86%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</si>
</sst>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General\ &quot;m²&quot;"/>
    <numFmt numFmtId="165" formatCode="#,##0.0000"/>
    <numFmt numFmtId="166" formatCode="#,##0.000"/>
    <numFmt numFmtId="167" formatCode="_(* #,##0.00_);_(* \(#,##0.00\);_(* &quot;-&quot;??_);_(@_)"/>
    <numFmt numFmtId="168" formatCode="&quot;R$&quot;\ #,##0.00"/>
    <numFmt numFmtId="169" formatCode="#,##0.00;[Red]#,##0.00"/>
    <numFmt numFmtId="170" formatCode="&quot;R$&quot;\ #,##0.00;[Red]&quot;R$&quot;\ #,##0.00"/>
    <numFmt numFmtId="171" formatCode="0.0000"/>
    <numFmt numFmtId="172" formatCode="0.0000%"/>
    <numFmt numFmtId="173" formatCode="_(&quot;R$ &quot;* #,##0.00_);_(&quot;R$ &quot;* \(#,##0.00\);_(&quot;R$ &quot;* &quot;-&quot;??_);_(@_)"/>
    <numFmt numFmtId="174" formatCode="#,##0.0000000"/>
    <numFmt numFmtId="175" formatCode="_(* #,##0.000_);_(* \(#,##0.0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1"/>
    </font>
    <font>
      <b/>
      <sz val="8"/>
      <name val="Arial"/>
      <family val="1"/>
    </font>
    <font>
      <b/>
      <sz val="8"/>
      <color rgb="FF000000"/>
      <name val="Arial"/>
      <family val="1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name val="Arial"/>
      <family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28" fillId="0" borderId="0"/>
  </cellStyleXfs>
  <cellXfs count="445">
    <xf numFmtId="0" fontId="0" fillId="0" borderId="0" xfId="0"/>
    <xf numFmtId="10" fontId="3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vertical="center"/>
    </xf>
    <xf numFmtId="166" fontId="2" fillId="2" borderId="3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/>
    </xf>
    <xf numFmtId="10" fontId="3" fillId="0" borderId="2" xfId="3" applyNumberFormat="1" applyFont="1" applyFill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9" fontId="7" fillId="0" borderId="8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170" fontId="5" fillId="5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2" fontId="9" fillId="0" borderId="0" xfId="4" applyNumberFormat="1" applyFont="1" applyAlignment="1" applyProtection="1">
      <alignment horizontal="center" vertical="center"/>
      <protection hidden="1"/>
    </xf>
    <xf numFmtId="10" fontId="9" fillId="0" borderId="0" xfId="4" applyNumberFormat="1" applyFont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center" vertical="center"/>
      <protection hidden="1"/>
    </xf>
    <xf numFmtId="0" fontId="4" fillId="0" borderId="16" xfId="4" applyFont="1" applyBorder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5" xfId="4" applyFont="1" applyBorder="1" applyAlignment="1" applyProtection="1">
      <alignment vertical="center"/>
      <protection hidden="1"/>
    </xf>
    <xf numFmtId="0" fontId="6" fillId="0" borderId="3" xfId="4" applyFont="1" applyBorder="1" applyAlignment="1" applyProtection="1">
      <alignment vertical="center"/>
      <protection hidden="1"/>
    </xf>
    <xf numFmtId="2" fontId="4" fillId="0" borderId="2" xfId="4" applyNumberFormat="1" applyFont="1" applyBorder="1" applyAlignment="1" applyProtection="1">
      <alignment horizontal="center" vertical="center"/>
      <protection locked="0" hidden="1"/>
    </xf>
    <xf numFmtId="2" fontId="10" fillId="0" borderId="0" xfId="4" applyNumberFormat="1" applyFont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/>
      <protection hidden="1"/>
    </xf>
    <xf numFmtId="2" fontId="4" fillId="0" borderId="0" xfId="4" applyNumberFormat="1" applyFont="1" applyAlignment="1" applyProtection="1">
      <alignment horizontal="center" vertical="center"/>
      <protection locked="0"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2" fontId="10" fillId="0" borderId="16" xfId="4" applyNumberFormat="1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 wrapText="1"/>
      <protection hidden="1"/>
    </xf>
    <xf numFmtId="0" fontId="4" fillId="0" borderId="17" xfId="4" applyFont="1" applyBorder="1" applyAlignment="1" applyProtection="1">
      <alignment horizontal="center" vertical="center"/>
      <protection hidden="1"/>
    </xf>
    <xf numFmtId="2" fontId="10" fillId="0" borderId="19" xfId="4" applyNumberFormat="1" applyFont="1" applyBorder="1" applyAlignment="1" applyProtection="1">
      <alignment horizontal="center" vertical="center"/>
      <protection hidden="1"/>
    </xf>
    <xf numFmtId="2" fontId="10" fillId="0" borderId="20" xfId="4" applyNumberFormat="1" applyFont="1" applyBorder="1" applyAlignment="1" applyProtection="1">
      <alignment horizontal="center" vertical="center"/>
      <protection hidden="1"/>
    </xf>
    <xf numFmtId="2" fontId="4" fillId="0" borderId="22" xfId="4" applyNumberFormat="1" applyFont="1" applyBorder="1" applyAlignment="1" applyProtection="1">
      <alignment horizontal="center" vertical="center"/>
      <protection hidden="1"/>
    </xf>
    <xf numFmtId="2" fontId="4" fillId="0" borderId="0" xfId="4" applyNumberFormat="1" applyFont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horizontal="right" vertical="center"/>
      <protection hidden="1"/>
    </xf>
    <xf numFmtId="0" fontId="6" fillId="0" borderId="19" xfId="4" applyFont="1" applyBorder="1" applyAlignment="1" applyProtection="1">
      <alignment horizontal="center" vertical="center"/>
      <protection hidden="1"/>
    </xf>
    <xf numFmtId="2" fontId="4" fillId="0" borderId="18" xfId="4" applyNumberFormat="1" applyFont="1" applyBorder="1" applyAlignment="1" applyProtection="1">
      <alignment horizontal="center" vertical="center"/>
      <protection hidden="1"/>
    </xf>
    <xf numFmtId="0" fontId="11" fillId="0" borderId="0" xfId="4" applyFont="1" applyAlignment="1" applyProtection="1">
      <alignment horizontal="center" vertical="center"/>
      <protection hidden="1"/>
    </xf>
    <xf numFmtId="2" fontId="6" fillId="0" borderId="22" xfId="4" applyNumberFormat="1" applyFont="1" applyBorder="1" applyAlignment="1" applyProtection="1">
      <alignment horizontal="center" vertical="center"/>
      <protection hidden="1"/>
    </xf>
    <xf numFmtId="2" fontId="6" fillId="0" borderId="23" xfId="4" applyNumberFormat="1" applyFont="1" applyBorder="1" applyAlignment="1" applyProtection="1">
      <alignment horizontal="center" vertical="center"/>
      <protection hidden="1"/>
    </xf>
    <xf numFmtId="0" fontId="6" fillId="0" borderId="5" xfId="4" applyFont="1" applyBorder="1" applyAlignment="1" applyProtection="1">
      <alignment horizontal="center" vertical="center"/>
      <protection hidden="1"/>
    </xf>
    <xf numFmtId="2" fontId="6" fillId="0" borderId="16" xfId="4" applyNumberFormat="1" applyFont="1" applyBorder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left" vertical="center"/>
      <protection hidden="1"/>
    </xf>
    <xf numFmtId="0" fontId="6" fillId="0" borderId="8" xfId="4" applyFont="1" applyBorder="1" applyAlignment="1" applyProtection="1">
      <alignment horizontal="center" vertical="center"/>
      <protection hidden="1"/>
    </xf>
    <xf numFmtId="0" fontId="6" fillId="0" borderId="8" xfId="4" applyFont="1" applyBorder="1" applyAlignment="1" applyProtection="1">
      <alignment horizontal="right" vertical="center"/>
      <protection hidden="1"/>
    </xf>
    <xf numFmtId="10" fontId="6" fillId="0" borderId="4" xfId="4" applyNumberFormat="1" applyFont="1" applyBorder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left" vertical="center"/>
      <protection hidden="1"/>
    </xf>
    <xf numFmtId="10" fontId="6" fillId="0" borderId="0" xfId="4" applyNumberFormat="1" applyFont="1" applyAlignment="1" applyProtection="1">
      <alignment horizontal="center" vertical="center"/>
      <protection hidden="1"/>
    </xf>
    <xf numFmtId="10" fontId="6" fillId="0" borderId="4" xfId="5" applyNumberFormat="1" applyFont="1" applyFill="1" applyBorder="1" applyAlignment="1" applyProtection="1">
      <alignment horizontal="center" vertical="center"/>
      <protection locked="0"/>
    </xf>
    <xf numFmtId="171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0" xfId="4" applyFont="1" applyBorder="1" applyAlignment="1" applyProtection="1">
      <alignment vertical="center"/>
      <protection hidden="1"/>
    </xf>
    <xf numFmtId="0" fontId="6" fillId="0" borderId="15" xfId="4" applyFont="1" applyBorder="1" applyAlignment="1" applyProtection="1">
      <alignment horizontal="center" vertical="center"/>
      <protection hidden="1"/>
    </xf>
    <xf numFmtId="0" fontId="6" fillId="0" borderId="15" xfId="4" applyFont="1" applyBorder="1" applyAlignment="1" applyProtection="1">
      <alignment horizontal="right" vertical="center"/>
      <protection hidden="1"/>
    </xf>
    <xf numFmtId="10" fontId="6" fillId="0" borderId="11" xfId="5" applyNumberFormat="1" applyFont="1" applyFill="1" applyBorder="1" applyAlignment="1" applyProtection="1">
      <alignment horizontal="center" vertical="center"/>
      <protection hidden="1"/>
    </xf>
    <xf numFmtId="171" fontId="4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locked="0"/>
    </xf>
    <xf numFmtId="2" fontId="4" fillId="0" borderId="16" xfId="5" applyNumberFormat="1" applyFont="1" applyFill="1" applyBorder="1" applyAlignment="1" applyProtection="1">
      <alignment horizontal="center" vertical="center"/>
      <protection hidden="1"/>
    </xf>
    <xf numFmtId="0" fontId="6" fillId="0" borderId="13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right" vertical="center"/>
      <protection hidden="1"/>
    </xf>
    <xf numFmtId="10" fontId="6" fillId="0" borderId="6" xfId="4" applyNumberFormat="1" applyFont="1" applyBorder="1" applyAlignment="1" applyProtection="1">
      <alignment horizontal="center" vertical="center"/>
      <protection locked="0"/>
    </xf>
    <xf numFmtId="0" fontId="6" fillId="0" borderId="24" xfId="4" applyFont="1" applyBorder="1" applyAlignment="1" applyProtection="1">
      <alignment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hidden="1"/>
    </xf>
    <xf numFmtId="2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</xf>
    <xf numFmtId="10" fontId="6" fillId="0" borderId="6" xfId="5" applyNumberFormat="1" applyFont="1" applyFill="1" applyBorder="1" applyAlignment="1" applyProtection="1">
      <alignment horizontal="center" vertical="center"/>
      <protection hidden="1"/>
    </xf>
    <xf numFmtId="0" fontId="6" fillId="0" borderId="17" xfId="4" applyFont="1" applyBorder="1" applyAlignment="1" applyProtection="1">
      <alignment horizontal="center" vertical="center"/>
      <protection hidden="1"/>
    </xf>
    <xf numFmtId="167" fontId="6" fillId="0" borderId="19" xfId="5" applyFont="1" applyFill="1" applyBorder="1" applyAlignment="1" applyProtection="1">
      <alignment horizontal="center" vertical="center"/>
      <protection hidden="1"/>
    </xf>
    <xf numFmtId="2" fontId="6" fillId="0" borderId="19" xfId="5" applyNumberFormat="1" applyFont="1" applyFill="1" applyBorder="1" applyAlignment="1" applyProtection="1">
      <alignment horizontal="center" vertical="center"/>
      <protection hidden="1"/>
    </xf>
    <xf numFmtId="2" fontId="4" fillId="0" borderId="20" xfId="5" applyNumberFormat="1" applyFont="1" applyFill="1" applyBorder="1" applyAlignment="1" applyProtection="1">
      <alignment horizontal="center" vertical="center"/>
      <protection hidden="1"/>
    </xf>
    <xf numFmtId="1" fontId="9" fillId="0" borderId="0" xfId="4" applyNumberFormat="1" applyFont="1" applyAlignment="1" applyProtection="1">
      <alignment horizontal="center" vertical="center"/>
      <protection hidden="1"/>
    </xf>
    <xf numFmtId="0" fontId="6" fillId="0" borderId="19" xfId="4" applyFont="1" applyBorder="1" applyAlignment="1" applyProtection="1">
      <alignment vertical="center"/>
      <protection hidden="1"/>
    </xf>
    <xf numFmtId="2" fontId="6" fillId="0" borderId="19" xfId="4" applyNumberFormat="1" applyFont="1" applyBorder="1" applyAlignment="1" applyProtection="1">
      <alignment horizontal="center" vertical="center"/>
      <protection hidden="1"/>
    </xf>
    <xf numFmtId="2" fontId="6" fillId="0" borderId="20" xfId="4" applyNumberFormat="1" applyFont="1" applyBorder="1" applyAlignment="1" applyProtection="1">
      <alignment horizontal="center" vertical="center"/>
      <protection hidden="1"/>
    </xf>
    <xf numFmtId="0" fontId="6" fillId="0" borderId="22" xfId="4" applyFont="1" applyBorder="1" applyAlignment="1" applyProtection="1">
      <alignment horizontal="center" vertical="center"/>
      <protection hidden="1"/>
    </xf>
    <xf numFmtId="171" fontId="9" fillId="0" borderId="0" xfId="4" applyNumberFormat="1" applyFont="1" applyAlignment="1" applyProtection="1">
      <alignment horizontal="center" vertical="center"/>
      <protection hidden="1"/>
    </xf>
    <xf numFmtId="0" fontId="6" fillId="0" borderId="2" xfId="4" applyFont="1" applyBorder="1" applyAlignment="1" applyProtection="1">
      <alignment horizontal="center" vertical="center"/>
      <protection hidden="1"/>
    </xf>
    <xf numFmtId="10" fontId="6" fillId="0" borderId="2" xfId="4" applyNumberFormat="1" applyFont="1" applyBorder="1" applyAlignment="1" applyProtection="1">
      <alignment horizontal="center" vertical="center"/>
      <protection hidden="1"/>
    </xf>
    <xf numFmtId="10" fontId="6" fillId="0" borderId="19" xfId="4" applyNumberFormat="1" applyFont="1" applyBorder="1" applyAlignment="1" applyProtection="1">
      <alignment horizontal="center" vertical="center"/>
      <protection hidden="1"/>
    </xf>
    <xf numFmtId="172" fontId="9" fillId="0" borderId="0" xfId="4" applyNumberFormat="1" applyFont="1" applyAlignment="1" applyProtection="1">
      <alignment horizontal="center" vertical="center"/>
      <protection hidden="1"/>
    </xf>
    <xf numFmtId="0" fontId="9" fillId="0" borderId="0" xfId="4" applyFont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0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43" fontId="6" fillId="0" borderId="14" xfId="1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43" fontId="4" fillId="5" borderId="2" xfId="1" applyFont="1" applyFill="1" applyBorder="1" applyAlignment="1">
      <alignment horizontal="center" vertical="center" wrapText="1"/>
    </xf>
    <xf numFmtId="169" fontId="5" fillId="2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9" fontId="7" fillId="0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3" fontId="7" fillId="0" borderId="2" xfId="1" applyFont="1" applyFill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4" fontId="7" fillId="3" borderId="2" xfId="2" applyFont="1" applyFill="1" applyBorder="1" applyAlignment="1">
      <alignment horizontal="center" vertical="center" wrapText="1"/>
    </xf>
    <xf numFmtId="44" fontId="7" fillId="0" borderId="2" xfId="2" applyFont="1" applyFill="1" applyBorder="1" applyAlignment="1">
      <alignment horizontal="center" vertical="center" wrapText="1"/>
    </xf>
    <xf numFmtId="10" fontId="7" fillId="0" borderId="2" xfId="1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0" fontId="7" fillId="0" borderId="8" xfId="0" applyNumberFormat="1" applyFont="1" applyBorder="1" applyAlignment="1">
      <alignment horizontal="center" vertical="center" wrapText="1"/>
    </xf>
    <xf numFmtId="10" fontId="7" fillId="0" borderId="8" xfId="1" applyNumberFormat="1" applyFont="1" applyFill="1" applyBorder="1" applyAlignment="1">
      <alignment horizontal="center" vertical="center" wrapText="1"/>
    </xf>
    <xf numFmtId="10" fontId="7" fillId="0" borderId="4" xfId="1" applyNumberFormat="1" applyFont="1" applyFill="1" applyBorder="1" applyAlignment="1">
      <alignment horizontal="center" vertical="center" wrapText="1"/>
    </xf>
    <xf numFmtId="10" fontId="4" fillId="0" borderId="0" xfId="0" applyNumberFormat="1" applyFont="1" applyAlignment="1">
      <alignment horizontal="left"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0" xfId="0" applyFont="1"/>
    <xf numFmtId="0" fontId="4" fillId="0" borderId="19" xfId="4" applyFont="1" applyBorder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3" fillId="0" borderId="10" xfId="0" applyFont="1" applyBorder="1"/>
    <xf numFmtId="0" fontId="3" fillId="0" borderId="15" xfId="0" applyFont="1" applyBorder="1"/>
    <xf numFmtId="0" fontId="3" fillId="0" borderId="11" xfId="0" applyFont="1" applyBorder="1"/>
    <xf numFmtId="0" fontId="4" fillId="0" borderId="13" xfId="4" applyFont="1" applyBorder="1" applyAlignment="1" applyProtection="1">
      <alignment horizontal="center" vertical="center"/>
      <protection hidden="1"/>
    </xf>
    <xf numFmtId="0" fontId="4" fillId="0" borderId="14" xfId="4" applyFont="1" applyBorder="1" applyAlignment="1" applyProtection="1">
      <alignment horizontal="center" vertical="center"/>
      <protection hidden="1"/>
    </xf>
    <xf numFmtId="0" fontId="4" fillId="0" borderId="6" xfId="4" applyFont="1" applyBorder="1" applyAlignment="1" applyProtection="1">
      <alignment horizontal="center" vertical="center"/>
      <protection hidden="1"/>
    </xf>
    <xf numFmtId="2" fontId="4" fillId="0" borderId="23" xfId="4" applyNumberFormat="1" applyFont="1" applyBorder="1" applyAlignment="1" applyProtection="1">
      <alignment horizontal="center" vertical="center"/>
      <protection hidden="1"/>
    </xf>
    <xf numFmtId="2" fontId="4" fillId="0" borderId="16" xfId="4" applyNumberFormat="1" applyFont="1" applyBorder="1" applyAlignment="1" applyProtection="1">
      <alignment horizontal="center" vertical="center"/>
      <protection hidden="1"/>
    </xf>
    <xf numFmtId="167" fontId="6" fillId="0" borderId="0" xfId="5" applyFont="1" applyFill="1" applyBorder="1" applyAlignment="1" applyProtection="1">
      <alignment horizontal="center" vertical="center"/>
      <protection hidden="1"/>
    </xf>
    <xf numFmtId="2" fontId="6" fillId="0" borderId="0" xfId="5" applyNumberFormat="1" applyFont="1" applyFill="1" applyBorder="1" applyAlignment="1" applyProtection="1">
      <alignment horizontal="center" vertical="center"/>
      <protection hidden="1"/>
    </xf>
    <xf numFmtId="2" fontId="4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6" xfId="4" applyFont="1" applyBorder="1" applyAlignment="1" applyProtection="1">
      <alignment horizontal="center" vertical="center"/>
      <protection hidden="1"/>
    </xf>
    <xf numFmtId="10" fontId="4" fillId="0" borderId="27" xfId="5" applyNumberFormat="1" applyFont="1" applyFill="1" applyBorder="1" applyAlignment="1" applyProtection="1">
      <alignment horizontal="center" vertical="center"/>
      <protection hidden="1"/>
    </xf>
    <xf numFmtId="10" fontId="4" fillId="0" borderId="28" xfId="5" applyNumberFormat="1" applyFont="1" applyFill="1" applyBorder="1" applyAlignment="1" applyProtection="1">
      <alignment horizontal="center" vertical="center"/>
      <protection hidden="1"/>
    </xf>
    <xf numFmtId="10" fontId="4" fillId="0" borderId="0" xfId="5" applyNumberFormat="1" applyFont="1" applyFill="1" applyBorder="1" applyAlignment="1" applyProtection="1">
      <alignment horizontal="center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locked="0"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0" fontId="15" fillId="4" borderId="2" xfId="0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44" fontId="8" fillId="0" borderId="9" xfId="0" applyNumberFormat="1" applyFont="1" applyBorder="1" applyAlignment="1">
      <alignment horizontal="center" vertical="center"/>
    </xf>
    <xf numFmtId="10" fontId="8" fillId="0" borderId="9" xfId="3" applyNumberFormat="1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justify" vertical="center" wrapText="1"/>
    </xf>
    <xf numFmtId="0" fontId="15" fillId="3" borderId="2" xfId="0" applyFont="1" applyFill="1" applyBorder="1" applyAlignment="1">
      <alignment horizontal="justify" vertical="center" wrapText="1"/>
    </xf>
    <xf numFmtId="44" fontId="14" fillId="4" borderId="2" xfId="0" applyNumberFormat="1" applyFont="1" applyFill="1" applyBorder="1" applyAlignment="1">
      <alignment vertical="center"/>
    </xf>
    <xf numFmtId="10" fontId="14" fillId="4" borderId="2" xfId="3" applyNumberFormat="1" applyFont="1" applyFill="1" applyBorder="1" applyAlignment="1">
      <alignment horizontal="center" vertical="center"/>
    </xf>
    <xf numFmtId="43" fontId="4" fillId="5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174" fontId="17" fillId="0" borderId="2" xfId="0" applyNumberFormat="1" applyFont="1" applyBorder="1" applyAlignment="1">
      <alignment horizontal="right" vertical="center" wrapText="1"/>
    </xf>
    <xf numFmtId="169" fontId="2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9" fontId="2" fillId="4" borderId="2" xfId="3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right" vertical="center" wrapText="1"/>
    </xf>
    <xf numFmtId="0" fontId="23" fillId="3" borderId="10" xfId="11" applyFont="1" applyFill="1" applyBorder="1" applyAlignment="1">
      <alignment vertical="center"/>
    </xf>
    <xf numFmtId="0" fontId="24" fillId="3" borderId="15" xfId="11" applyFont="1" applyFill="1" applyBorder="1" applyAlignment="1">
      <alignment vertical="center"/>
    </xf>
    <xf numFmtId="0" fontId="22" fillId="0" borderId="0" xfId="11" applyAlignment="1">
      <alignment horizontal="left" vertical="top"/>
    </xf>
    <xf numFmtId="0" fontId="23" fillId="3" borderId="13" xfId="11" applyFont="1" applyFill="1" applyBorder="1" applyAlignment="1">
      <alignment vertical="center"/>
    </xf>
    <xf numFmtId="0" fontId="25" fillId="3" borderId="0" xfId="11" applyFont="1" applyFill="1" applyAlignment="1">
      <alignment horizontal="left" vertical="center"/>
    </xf>
    <xf numFmtId="43" fontId="0" fillId="0" borderId="0" xfId="12" applyFont="1" applyAlignment="1">
      <alignment horizontal="left" vertical="top"/>
    </xf>
    <xf numFmtId="167" fontId="16" fillId="0" borderId="0" xfId="4" applyNumberFormat="1" applyFont="1" applyAlignment="1">
      <alignment horizontal="center" vertical="top"/>
    </xf>
    <xf numFmtId="0" fontId="16" fillId="0" borderId="0" xfId="4" applyFont="1" applyAlignment="1">
      <alignment horizontal="justify" wrapText="1"/>
    </xf>
    <xf numFmtId="0" fontId="8" fillId="0" borderId="0" xfId="4" applyAlignment="1">
      <alignment vertical="center"/>
    </xf>
    <xf numFmtId="167" fontId="8" fillId="0" borderId="0" xfId="4" applyNumberFormat="1" applyAlignment="1">
      <alignment vertical="center"/>
    </xf>
    <xf numFmtId="167" fontId="16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top"/>
    </xf>
    <xf numFmtId="49" fontId="8" fillId="0" borderId="8" xfId="4" applyNumberFormat="1" applyBorder="1"/>
    <xf numFmtId="0" fontId="8" fillId="0" borderId="8" xfId="4" applyBorder="1"/>
    <xf numFmtId="167" fontId="8" fillId="0" borderId="8" xfId="4" applyNumberFormat="1" applyBorder="1"/>
    <xf numFmtId="167" fontId="8" fillId="0" borderId="4" xfId="4" applyNumberFormat="1" applyBorder="1" applyAlignment="1">
      <alignment horizontal="center"/>
    </xf>
    <xf numFmtId="167" fontId="8" fillId="0" borderId="0" xfId="4" applyNumberFormat="1" applyAlignment="1">
      <alignment horizontal="center"/>
    </xf>
    <xf numFmtId="0" fontId="8" fillId="0" borderId="0" xfId="4" applyAlignment="1">
      <alignment horizontal="justify" wrapText="1"/>
    </xf>
    <xf numFmtId="167" fontId="8" fillId="0" borderId="0" xfId="13" applyFont="1" applyBorder="1" applyAlignment="1"/>
    <xf numFmtId="167" fontId="8" fillId="0" borderId="0" xfId="4" applyNumberFormat="1"/>
    <xf numFmtId="167" fontId="16" fillId="2" borderId="2" xfId="13" applyFont="1" applyFill="1" applyBorder="1" applyAlignment="1"/>
    <xf numFmtId="167" fontId="16" fillId="2" borderId="2" xfId="4" applyNumberFormat="1" applyFont="1" applyFill="1" applyBorder="1"/>
    <xf numFmtId="167" fontId="16" fillId="0" borderId="0" xfId="13" applyFont="1" applyFill="1" applyBorder="1" applyAlignment="1"/>
    <xf numFmtId="167" fontId="26" fillId="0" borderId="0" xfId="13" applyFont="1" applyBorder="1" applyAlignment="1"/>
    <xf numFmtId="0" fontId="16" fillId="4" borderId="0" xfId="4" applyFont="1" applyFill="1" applyAlignment="1">
      <alignment vertical="top"/>
    </xf>
    <xf numFmtId="49" fontId="16" fillId="4" borderId="0" xfId="4" applyNumberFormat="1" applyFont="1" applyFill="1" applyAlignment="1">
      <alignment vertical="center"/>
    </xf>
    <xf numFmtId="0" fontId="16" fillId="0" borderId="0" xfId="4" applyFont="1" applyAlignment="1">
      <alignment vertical="top"/>
    </xf>
    <xf numFmtId="49" fontId="8" fillId="0" borderId="0" xfId="4" applyNumberFormat="1" applyAlignment="1">
      <alignment vertical="center"/>
    </xf>
    <xf numFmtId="167" fontId="8" fillId="0" borderId="0" xfId="13" applyFont="1" applyBorder="1" applyAlignment="1">
      <alignment vertical="center"/>
    </xf>
    <xf numFmtId="49" fontId="16" fillId="0" borderId="0" xfId="4" applyNumberFormat="1" applyFont="1" applyAlignment="1">
      <alignment wrapText="1"/>
    </xf>
    <xf numFmtId="167" fontId="16" fillId="0" borderId="0" xfId="4" applyNumberFormat="1" applyFont="1" applyAlignment="1">
      <alignment horizontal="center" vertical="center"/>
    </xf>
    <xf numFmtId="167" fontId="26" fillId="0" borderId="0" xfId="4" applyNumberFormat="1" applyFont="1" applyAlignment="1">
      <alignment horizontal="center"/>
    </xf>
    <xf numFmtId="0" fontId="26" fillId="0" borderId="0" xfId="4" applyFont="1" applyAlignment="1">
      <alignment horizontal="justify" wrapText="1"/>
    </xf>
    <xf numFmtId="167" fontId="26" fillId="0" borderId="0" xfId="4" applyNumberFormat="1" applyFont="1"/>
    <xf numFmtId="167" fontId="27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center"/>
    </xf>
    <xf numFmtId="49" fontId="22" fillId="0" borderId="0" xfId="11" applyNumberFormat="1"/>
    <xf numFmtId="0" fontId="22" fillId="0" borderId="0" xfId="11" applyAlignment="1">
      <alignment horizontal="center" vertical="center"/>
    </xf>
    <xf numFmtId="175" fontId="8" fillId="0" borderId="0" xfId="13" applyNumberFormat="1" applyFont="1" applyBorder="1" applyAlignment="1"/>
    <xf numFmtId="0" fontId="23" fillId="3" borderId="15" xfId="11" applyFont="1" applyFill="1" applyBorder="1" applyAlignment="1">
      <alignment vertical="center" wrapText="1"/>
    </xf>
    <xf numFmtId="0" fontId="23" fillId="3" borderId="14" xfId="11" applyFont="1" applyFill="1" applyBorder="1" applyAlignment="1">
      <alignment vertical="center" wrapText="1"/>
    </xf>
    <xf numFmtId="0" fontId="24" fillId="3" borderId="14" xfId="11" applyFont="1" applyFill="1" applyBorder="1" applyAlignment="1">
      <alignment vertical="center"/>
    </xf>
    <xf numFmtId="43" fontId="23" fillId="0" borderId="11" xfId="12" applyFont="1" applyFill="1" applyBorder="1" applyAlignment="1">
      <alignment horizontal="left" vertical="center"/>
    </xf>
    <xf numFmtId="43" fontId="23" fillId="0" borderId="6" xfId="12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4" fontId="2" fillId="4" borderId="2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7" fontId="4" fillId="0" borderId="15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43" fontId="6" fillId="0" borderId="15" xfId="1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/>
    </xf>
    <xf numFmtId="44" fontId="15" fillId="3" borderId="9" xfId="0" applyNumberFormat="1" applyFont="1" applyFill="1" applyBorder="1" applyAlignment="1">
      <alignment horizontal="center" vertical="center"/>
    </xf>
    <xf numFmtId="10" fontId="15" fillId="3" borderId="9" xfId="3" applyNumberFormat="1" applyFont="1" applyFill="1" applyBorder="1" applyAlignment="1">
      <alignment horizontal="center" vertical="center"/>
    </xf>
    <xf numFmtId="173" fontId="4" fillId="4" borderId="2" xfId="2" applyNumberFormat="1" applyFont="1" applyFill="1" applyBorder="1" applyAlignment="1">
      <alignment horizontal="center" vertical="center" wrapText="1"/>
    </xf>
    <xf numFmtId="10" fontId="4" fillId="4" borderId="2" xfId="3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justify" vertical="center"/>
    </xf>
    <xf numFmtId="0" fontId="2" fillId="2" borderId="8" xfId="0" applyFont="1" applyFill="1" applyBorder="1" applyAlignment="1">
      <alignment horizontal="center" vertical="center"/>
    </xf>
    <xf numFmtId="167" fontId="16" fillId="3" borderId="15" xfId="13" applyFont="1" applyFill="1" applyBorder="1" applyAlignment="1"/>
    <xf numFmtId="167" fontId="16" fillId="3" borderId="15" xfId="4" applyNumberFormat="1" applyFont="1" applyFill="1" applyBorder="1"/>
    <xf numFmtId="0" fontId="8" fillId="0" borderId="14" xfId="4" applyBorder="1" applyAlignment="1">
      <alignment vertical="center"/>
    </xf>
    <xf numFmtId="167" fontId="8" fillId="0" borderId="14" xfId="4" applyNumberFormat="1" applyBorder="1" applyAlignment="1">
      <alignment vertical="center"/>
    </xf>
    <xf numFmtId="44" fontId="0" fillId="0" borderId="0" xfId="0" applyNumberFormat="1"/>
    <xf numFmtId="0" fontId="7" fillId="0" borderId="3" xfId="0" applyFont="1" applyBorder="1" applyAlignment="1">
      <alignment horizontal="center" vertical="center" wrapText="1"/>
    </xf>
    <xf numFmtId="167" fontId="29" fillId="0" borderId="0" xfId="4" applyNumberFormat="1" applyFont="1" applyAlignment="1">
      <alignment horizontal="center"/>
    </xf>
    <xf numFmtId="167" fontId="30" fillId="0" borderId="0" xfId="4" applyNumberFormat="1" applyFont="1" applyAlignment="1">
      <alignment horizontal="center"/>
    </xf>
    <xf numFmtId="167" fontId="16" fillId="0" borderId="0" xfId="4" applyNumberFormat="1" applyFont="1"/>
    <xf numFmtId="0" fontId="18" fillId="0" borderId="2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174" fontId="19" fillId="0" borderId="2" xfId="0" applyNumberFormat="1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43" fontId="3" fillId="0" borderId="3" xfId="1" applyFont="1" applyFill="1" applyBorder="1" applyAlignment="1">
      <alignment vertical="center"/>
    </xf>
    <xf numFmtId="43" fontId="7" fillId="0" borderId="3" xfId="0" applyNumberFormat="1" applyFont="1" applyBorder="1" applyAlignment="1">
      <alignment horizontal="left" vertical="center" wrapText="1"/>
    </xf>
    <xf numFmtId="168" fontId="3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4" fontId="3" fillId="0" borderId="3" xfId="2" applyFont="1" applyFill="1" applyBorder="1" applyAlignment="1">
      <alignment vertical="center"/>
    </xf>
    <xf numFmtId="44" fontId="3" fillId="0" borderId="4" xfId="2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43" fontId="4" fillId="5" borderId="9" xfId="1" applyFont="1" applyFill="1" applyBorder="1" applyAlignment="1">
      <alignment horizontal="center" vertical="center"/>
    </xf>
    <xf numFmtId="43" fontId="4" fillId="5" borderId="12" xfId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43" fontId="4" fillId="5" borderId="10" xfId="1" applyFont="1" applyFill="1" applyBorder="1" applyAlignment="1">
      <alignment horizontal="center" vertical="center"/>
    </xf>
    <xf numFmtId="43" fontId="4" fillId="5" borderId="11" xfId="1" applyFont="1" applyFill="1" applyBorder="1" applyAlignment="1">
      <alignment horizontal="center" vertical="center"/>
    </xf>
    <xf numFmtId="43" fontId="4" fillId="5" borderId="13" xfId="1" applyFont="1" applyFill="1" applyBorder="1" applyAlignment="1">
      <alignment horizontal="center" vertical="center"/>
    </xf>
    <xf numFmtId="43" fontId="4" fillId="5" borderId="6" xfId="1" applyFont="1" applyFill="1" applyBorder="1" applyAlignment="1">
      <alignment horizontal="center" vertical="center"/>
    </xf>
    <xf numFmtId="169" fontId="7" fillId="0" borderId="3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68" fontId="5" fillId="2" borderId="8" xfId="0" applyNumberFormat="1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169" fontId="7" fillId="0" borderId="2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67" fontId="4" fillId="4" borderId="2" xfId="1" applyNumberFormat="1" applyFont="1" applyFill="1" applyBorder="1" applyAlignment="1">
      <alignment horizontal="center" vertical="center" wrapText="1"/>
    </xf>
    <xf numFmtId="167" fontId="4" fillId="4" borderId="2" xfId="1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73" fontId="5" fillId="4" borderId="9" xfId="2" applyNumberFormat="1" applyFont="1" applyFill="1" applyBorder="1" applyAlignment="1">
      <alignment horizontal="center" vertical="center" wrapText="1"/>
    </xf>
    <xf numFmtId="173" fontId="5" fillId="4" borderId="12" xfId="2" applyNumberFormat="1" applyFont="1" applyFill="1" applyBorder="1" applyAlignment="1">
      <alignment horizontal="center" vertical="center" wrapText="1"/>
    </xf>
    <xf numFmtId="10" fontId="5" fillId="4" borderId="9" xfId="0" applyNumberFormat="1" applyFont="1" applyFill="1" applyBorder="1" applyAlignment="1">
      <alignment horizontal="center" vertical="center" wrapText="1"/>
    </xf>
    <xf numFmtId="10" fontId="5" fillId="4" borderId="29" xfId="0" applyNumberFormat="1" applyFont="1" applyFill="1" applyBorder="1" applyAlignment="1">
      <alignment horizontal="center" vertical="center" wrapText="1"/>
    </xf>
    <xf numFmtId="10" fontId="5" fillId="4" borderId="12" xfId="0" applyNumberFormat="1" applyFont="1" applyFill="1" applyBorder="1" applyAlignment="1">
      <alignment horizontal="center" vertical="center" wrapText="1"/>
    </xf>
    <xf numFmtId="10" fontId="5" fillId="4" borderId="9" xfId="3" applyNumberFormat="1" applyFont="1" applyFill="1" applyBorder="1" applyAlignment="1">
      <alignment horizontal="center" vertical="center" wrapText="1"/>
    </xf>
    <xf numFmtId="10" fontId="5" fillId="4" borderId="12" xfId="3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43" fontId="4" fillId="5" borderId="3" xfId="1" applyFont="1" applyFill="1" applyBorder="1" applyAlignment="1">
      <alignment horizontal="center" vertical="center"/>
    </xf>
    <xf numFmtId="43" fontId="4" fillId="5" borderId="8" xfId="1" applyFont="1" applyFill="1" applyBorder="1" applyAlignment="1">
      <alignment horizontal="center" vertical="center"/>
    </xf>
    <xf numFmtId="43" fontId="4" fillId="5" borderId="4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49" fontId="8" fillId="0" borderId="8" xfId="4" applyNumberFormat="1" applyBorder="1" applyAlignment="1">
      <alignment horizontal="left" vertical="center" wrapText="1"/>
    </xf>
    <xf numFmtId="49" fontId="8" fillId="0" borderId="4" xfId="4" applyNumberFormat="1" applyBorder="1" applyAlignment="1">
      <alignment horizontal="left" vertical="center" wrapText="1"/>
    </xf>
    <xf numFmtId="49" fontId="8" fillId="0" borderId="14" xfId="4" applyNumberFormat="1" applyBorder="1" applyAlignment="1">
      <alignment horizontal="left" vertical="center" wrapText="1"/>
    </xf>
    <xf numFmtId="17" fontId="16" fillId="4" borderId="0" xfId="4" applyNumberFormat="1" applyFont="1" applyFill="1" applyAlignment="1">
      <alignment horizontal="left" vertical="center"/>
    </xf>
    <xf numFmtId="0" fontId="16" fillId="4" borderId="0" xfId="4" applyFont="1" applyFill="1" applyAlignment="1">
      <alignment horizontal="left" vertical="center"/>
    </xf>
    <xf numFmtId="167" fontId="16" fillId="2" borderId="2" xfId="4" applyNumberFormat="1" applyFont="1" applyFill="1" applyBorder="1" applyAlignment="1">
      <alignment horizontal="center" vertical="justify" wrapText="1"/>
    </xf>
    <xf numFmtId="0" fontId="16" fillId="4" borderId="2" xfId="4" applyFont="1" applyFill="1" applyBorder="1" applyAlignment="1">
      <alignment horizontal="center" vertical="center"/>
    </xf>
    <xf numFmtId="0" fontId="4" fillId="0" borderId="19" xfId="4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4" fillId="0" borderId="5" xfId="4" applyFont="1" applyBorder="1" applyAlignment="1" applyProtection="1">
      <alignment horizontal="left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18" xfId="4" applyFont="1" applyBorder="1" applyAlignment="1" applyProtection="1">
      <alignment horizontal="left" vertical="center"/>
      <protection hidden="1"/>
    </xf>
    <xf numFmtId="0" fontId="4" fillId="0" borderId="19" xfId="4" applyFont="1" applyBorder="1" applyAlignment="1" applyProtection="1">
      <alignment horizontal="left" vertical="center"/>
      <protection hidden="1"/>
    </xf>
    <xf numFmtId="0" fontId="4" fillId="0" borderId="21" xfId="4" applyFont="1" applyBorder="1" applyAlignment="1" applyProtection="1">
      <alignment horizontal="left" vertical="center"/>
      <protection hidden="1"/>
    </xf>
    <xf numFmtId="0" fontId="4" fillId="0" borderId="22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6" xfId="4" applyFont="1" applyBorder="1" applyAlignment="1" applyProtection="1">
      <alignment horizontal="right" vertical="center"/>
      <protection hidden="1"/>
    </xf>
    <xf numFmtId="0" fontId="4" fillId="0" borderId="27" xfId="4" applyFont="1" applyBorder="1" applyAlignment="1" applyProtection="1">
      <alignment horizontal="right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172" fontId="6" fillId="0" borderId="8" xfId="4" applyNumberFormat="1" applyFont="1" applyBorder="1" applyAlignment="1" applyProtection="1">
      <alignment horizontal="center" vertical="center"/>
      <protection hidden="1"/>
    </xf>
    <xf numFmtId="172" fontId="6" fillId="0" borderId="4" xfId="4" applyNumberFormat="1" applyFont="1" applyBorder="1" applyAlignment="1" applyProtection="1">
      <alignment horizontal="center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15" fillId="3" borderId="9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10" fontId="8" fillId="3" borderId="11" xfId="3" applyNumberFormat="1" applyFont="1" applyFill="1" applyBorder="1" applyAlignment="1">
      <alignment horizontal="center" vertical="center"/>
    </xf>
    <xf numFmtId="10" fontId="8" fillId="3" borderId="25" xfId="3" applyNumberFormat="1" applyFont="1" applyFill="1" applyBorder="1" applyAlignment="1">
      <alignment horizontal="center" vertical="center"/>
    </xf>
    <xf numFmtId="10" fontId="8" fillId="3" borderId="6" xfId="3" applyNumberFormat="1" applyFont="1" applyFill="1" applyBorder="1" applyAlignment="1">
      <alignment horizontal="center" vertical="center"/>
    </xf>
    <xf numFmtId="44" fontId="8" fillId="3" borderId="2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right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/>
    </xf>
    <xf numFmtId="10" fontId="15" fillId="0" borderId="11" xfId="3" applyNumberFormat="1" applyFont="1" applyFill="1" applyBorder="1" applyAlignment="1">
      <alignment horizontal="center" vertical="center"/>
    </xf>
    <xf numFmtId="10" fontId="15" fillId="0" borderId="6" xfId="3" applyNumberFormat="1" applyFont="1" applyFill="1" applyBorder="1" applyAlignment="1">
      <alignment horizontal="center" vertical="center"/>
    </xf>
    <xf numFmtId="10" fontId="15" fillId="3" borderId="2" xfId="3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0" fontId="15" fillId="0" borderId="2" xfId="3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44" fontId="15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15">
    <cellStyle name="Moeda" xfId="2" builtinId="4"/>
    <cellStyle name="Normal" xfId="0" builtinId="0"/>
    <cellStyle name="Normal 2" xfId="4" xr:uid="{00000000-0005-0000-0000-000002000000}"/>
    <cellStyle name="Normal 2 2 2 2" xfId="8" xr:uid="{26A06343-2AFA-43DE-8E79-C6E205D57E9C}"/>
    <cellStyle name="Normal 3" xfId="6" xr:uid="{00000000-0005-0000-0000-000003000000}"/>
    <cellStyle name="Normal 4" xfId="11" xr:uid="{1732E3E4-CCE5-48C0-B125-D197BED4EC01}"/>
    <cellStyle name="Normal 5" xfId="14" xr:uid="{1BDBC98E-F9C5-4DD8-B75F-94D0A1C88FEB}"/>
    <cellStyle name="Porcentagem" xfId="3" builtinId="5"/>
    <cellStyle name="Porcentagem 2" xfId="7" xr:uid="{00000000-0005-0000-0000-000005000000}"/>
    <cellStyle name="Porcentagem 3" xfId="9" xr:uid="{B5282DD0-FE38-41AA-90B3-EF6BFF257EDD}"/>
    <cellStyle name="Separador de milhares 2" xfId="5" xr:uid="{00000000-0005-0000-0000-000006000000}"/>
    <cellStyle name="Vírgula" xfId="1" builtinId="3"/>
    <cellStyle name="Vírgula 2" xfId="12" xr:uid="{A61B760A-2E72-451A-8CEF-FC2B8B2FA3C3}"/>
    <cellStyle name="Vírgula 2 2" xfId="13" xr:uid="{BDFAD721-879A-4A65-B30C-5CA6B3434D86}"/>
    <cellStyle name="Vírgula 3" xfId="10" xr:uid="{020FCBDC-51E3-4886-B310-96EB08A6CE95}"/>
  </cellStyles>
  <dxfs count="51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12620</xdr:colOff>
      <xdr:row>25</xdr:row>
      <xdr:rowOff>28574</xdr:rowOff>
    </xdr:from>
    <xdr:to>
      <xdr:col>3</xdr:col>
      <xdr:colOff>123824</xdr:colOff>
      <xdr:row>40</xdr:row>
      <xdr:rowOff>146541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34E70F-F015-BA1F-73AC-0881C5E2F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720" y="4381499"/>
          <a:ext cx="4349829" cy="2546842"/>
        </a:xfrm>
        <a:prstGeom prst="rect">
          <a:avLst/>
        </a:prstGeom>
      </xdr:spPr>
    </xdr:pic>
    <xdr:clientData/>
  </xdr:twoCellAnchor>
  <xdr:oneCellAnchor>
    <xdr:from>
      <xdr:col>1</xdr:col>
      <xdr:colOff>12620</xdr:colOff>
      <xdr:row>96</xdr:row>
      <xdr:rowOff>28574</xdr:rowOff>
    </xdr:from>
    <xdr:ext cx="4349829" cy="2546842"/>
    <xdr:pic>
      <xdr:nvPicPr>
        <xdr:cNvPr id="3" name="Imagem 2">
          <a:extLst>
            <a:ext uri="{FF2B5EF4-FFF2-40B4-BE49-F238E27FC236}">
              <a16:creationId xmlns:a16="http://schemas.microsoft.com/office/drawing/2014/main" id="{2CDB8772-73D9-4D8D-8992-214B8AD71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720" y="4381499"/>
          <a:ext cx="4349829" cy="2546842"/>
        </a:xfrm>
        <a:prstGeom prst="rect">
          <a:avLst/>
        </a:prstGeom>
      </xdr:spPr>
    </xdr:pic>
    <xdr:clientData/>
  </xdr:oneCellAnchor>
  <xdr:oneCellAnchor>
    <xdr:from>
      <xdr:col>1</xdr:col>
      <xdr:colOff>12620</xdr:colOff>
      <xdr:row>167</xdr:row>
      <xdr:rowOff>28574</xdr:rowOff>
    </xdr:from>
    <xdr:ext cx="4349829" cy="2546842"/>
    <xdr:pic>
      <xdr:nvPicPr>
        <xdr:cNvPr id="4" name="Imagem 3">
          <a:extLst>
            <a:ext uri="{FF2B5EF4-FFF2-40B4-BE49-F238E27FC236}">
              <a16:creationId xmlns:a16="http://schemas.microsoft.com/office/drawing/2014/main" id="{EE160DCE-8B27-4DA5-8367-18690B99B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720" y="15592424"/>
          <a:ext cx="4349829" cy="2546842"/>
        </a:xfrm>
        <a:prstGeom prst="rect">
          <a:avLst/>
        </a:prstGeom>
      </xdr:spPr>
    </xdr:pic>
    <xdr:clientData/>
  </xdr:oneCellAnchor>
  <xdr:oneCellAnchor>
    <xdr:from>
      <xdr:col>1</xdr:col>
      <xdr:colOff>12620</xdr:colOff>
      <xdr:row>238</xdr:row>
      <xdr:rowOff>28574</xdr:rowOff>
    </xdr:from>
    <xdr:ext cx="4349829" cy="2546842"/>
    <xdr:pic>
      <xdr:nvPicPr>
        <xdr:cNvPr id="5" name="Imagem 4">
          <a:extLst>
            <a:ext uri="{FF2B5EF4-FFF2-40B4-BE49-F238E27FC236}">
              <a16:creationId xmlns:a16="http://schemas.microsoft.com/office/drawing/2014/main" id="{52E40F78-1BB8-42E8-9B0C-CC422AA17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720" y="29832299"/>
          <a:ext cx="4349829" cy="2546842"/>
        </a:xfrm>
        <a:prstGeom prst="rect">
          <a:avLst/>
        </a:prstGeom>
      </xdr:spPr>
    </xdr:pic>
    <xdr:clientData/>
  </xdr:oneCellAnchor>
  <xdr:oneCellAnchor>
    <xdr:from>
      <xdr:col>1</xdr:col>
      <xdr:colOff>12620</xdr:colOff>
      <xdr:row>309</xdr:row>
      <xdr:rowOff>28574</xdr:rowOff>
    </xdr:from>
    <xdr:ext cx="4349829" cy="2546842"/>
    <xdr:pic>
      <xdr:nvPicPr>
        <xdr:cNvPr id="6" name="Imagem 5">
          <a:extLst>
            <a:ext uri="{FF2B5EF4-FFF2-40B4-BE49-F238E27FC236}">
              <a16:creationId xmlns:a16="http://schemas.microsoft.com/office/drawing/2014/main" id="{51A45E0E-6944-4C91-A6C2-1968507C8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720" y="42557699"/>
          <a:ext cx="4349829" cy="2546842"/>
        </a:xfrm>
        <a:prstGeom prst="rect">
          <a:avLst/>
        </a:prstGeom>
      </xdr:spPr>
    </xdr:pic>
    <xdr:clientData/>
  </xdr:oneCellAnchor>
  <xdr:oneCellAnchor>
    <xdr:from>
      <xdr:col>1</xdr:col>
      <xdr:colOff>12620</xdr:colOff>
      <xdr:row>380</xdr:row>
      <xdr:rowOff>28574</xdr:rowOff>
    </xdr:from>
    <xdr:ext cx="4349829" cy="2546842"/>
    <xdr:pic>
      <xdr:nvPicPr>
        <xdr:cNvPr id="7" name="Imagem 6">
          <a:extLst>
            <a:ext uri="{FF2B5EF4-FFF2-40B4-BE49-F238E27FC236}">
              <a16:creationId xmlns:a16="http://schemas.microsoft.com/office/drawing/2014/main" id="{2CD4A776-57B6-4D9B-AC74-50A098F4B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720" y="55283099"/>
          <a:ext cx="4349829" cy="2546842"/>
        </a:xfrm>
        <a:prstGeom prst="rect">
          <a:avLst/>
        </a:prstGeom>
      </xdr:spPr>
    </xdr:pic>
    <xdr:clientData/>
  </xdr:oneCellAnchor>
  <xdr:oneCellAnchor>
    <xdr:from>
      <xdr:col>1</xdr:col>
      <xdr:colOff>12620</xdr:colOff>
      <xdr:row>451</xdr:row>
      <xdr:rowOff>28574</xdr:rowOff>
    </xdr:from>
    <xdr:ext cx="4349829" cy="2546842"/>
    <xdr:pic>
      <xdr:nvPicPr>
        <xdr:cNvPr id="8" name="Imagem 7">
          <a:extLst>
            <a:ext uri="{FF2B5EF4-FFF2-40B4-BE49-F238E27FC236}">
              <a16:creationId xmlns:a16="http://schemas.microsoft.com/office/drawing/2014/main" id="{9C8B0654-9AC0-4673-8A9F-250E2C847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720" y="68008499"/>
          <a:ext cx="4349829" cy="254684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45</xdr:row>
      <xdr:rowOff>28575</xdr:rowOff>
    </xdr:from>
    <xdr:to>
      <xdr:col>6</xdr:col>
      <xdr:colOff>110977</xdr:colOff>
      <xdr:row>49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88487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46</xdr:row>
      <xdr:rowOff>28575</xdr:rowOff>
    </xdr:from>
    <xdr:to>
      <xdr:col>6</xdr:col>
      <xdr:colOff>110977</xdr:colOff>
      <xdr:row>50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90392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Graficos\CARACT%20PAV%20EXISTEN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alu\AppData\Local\Temp\b0b09fd2-5f33-4a3b-a2b8-cf450d6a7862_Reden&#231;&#227;o%20Sada%202%20Rural.zip.862\Reden&#231;&#227;o%20Sada%202%20Rural\Or&#231;amento\Reden&#231;&#227;o%20do%20Gurgueia%20Zona%20Rural.xlsm" TargetMode="External"/><Relationship Id="rId1" Type="http://schemas.openxmlformats.org/officeDocument/2006/relationships/externalLinkPath" Target="file:///C:\Users\analu\AppData\Local\Temp\b0b09fd2-5f33-4a3b-a2b8-cf450d6a7862_Reden&#231;&#227;o%20Sada%202%20Rural.zip.862\Reden&#231;&#227;o%20Sada%202%20Rural\Or&#231;amento\Reden&#231;&#227;o%20do%20Gurgueia%20Zona%20Rur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ACILIO\SharedDocs\Documents%20and%20Settings\OTACILIO_\Meus%20documentos\OR&#199;AMENTOS\SC-487\NATALINA\DNER\Br116_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astellar%20engenharia%20ltda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/Desktop/IDEPI/ABASTECIMENTO%20-%20BALNE&#193;RIO%20-%20MELHORIAS%20SANIT&#193;RIAS%20-%20BUEIRO/AGRICOLANDIA%20-%20BURACO%20DAGUA/AGRICOLANDIA%20-%20BURACO%20DAGUA/BDI%202016%20SEINFRA%20INSS%204,5%25%20ONERAD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  <cell r="C3" t="str">
            <v>ICDS</v>
          </cell>
          <cell r="D3" t="str">
            <v>ICDP</v>
          </cell>
          <cell r="E3" t="str">
            <v>ICDE</v>
          </cell>
        </row>
        <row r="4">
          <cell r="A4" t="str">
            <v>EXCELENTE</v>
          </cell>
          <cell r="B4">
            <v>0</v>
          </cell>
          <cell r="C4">
            <v>2.52</v>
          </cell>
          <cell r="D4">
            <v>1.1200000000000001</v>
          </cell>
          <cell r="E4">
            <v>0</v>
          </cell>
        </row>
        <row r="5">
          <cell r="A5" t="str">
            <v>BOM</v>
          </cell>
          <cell r="B5">
            <v>9.86</v>
          </cell>
          <cell r="C5">
            <v>32.18</v>
          </cell>
          <cell r="D5">
            <v>39.72</v>
          </cell>
          <cell r="E5">
            <v>8.2799999999999994</v>
          </cell>
        </row>
        <row r="6">
          <cell r="A6" t="str">
            <v>REGULAR</v>
          </cell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A7" t="str">
            <v>MAU</v>
          </cell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A8" t="str">
            <v>PÉSSIMO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Total</v>
          </cell>
          <cell r="B9">
            <v>85.32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/>
      <sheetData sheetId="1">
        <row r="6">
          <cell r="B6">
            <v>11.439114391143912</v>
          </cell>
          <cell r="C6">
            <v>33.210332103321036</v>
          </cell>
          <cell r="D6">
            <v>9.9630996309963091</v>
          </cell>
          <cell r="E6">
            <v>37.269372693726936</v>
          </cell>
          <cell r="F6">
            <v>8.1180811808118083</v>
          </cell>
        </row>
        <row r="8">
          <cell r="B8">
            <v>36.531365313653133</v>
          </cell>
          <cell r="C8">
            <v>14.760147601476014</v>
          </cell>
          <cell r="D8">
            <v>4.7970479704797047</v>
          </cell>
          <cell r="E8">
            <v>36.531365313653133</v>
          </cell>
          <cell r="F8">
            <v>7.3800738007380069</v>
          </cell>
        </row>
        <row r="10">
          <cell r="B10">
            <v>11.439114391143912</v>
          </cell>
          <cell r="C10">
            <v>23.247232472324722</v>
          </cell>
          <cell r="D10">
            <v>9.9630996309963091</v>
          </cell>
          <cell r="E10">
            <v>3.3210332103321036</v>
          </cell>
          <cell r="F10">
            <v>52.02952029520295</v>
          </cell>
        </row>
        <row r="12">
          <cell r="B12">
            <v>0</v>
          </cell>
          <cell r="C12">
            <v>45.38745387453875</v>
          </cell>
          <cell r="D12">
            <v>1.107011070110701</v>
          </cell>
          <cell r="E12">
            <v>53.505535055350549</v>
          </cell>
          <cell r="F12">
            <v>0</v>
          </cell>
        </row>
        <row r="14">
          <cell r="B14">
            <v>0</v>
          </cell>
          <cell r="C14">
            <v>45.38745387453875</v>
          </cell>
          <cell r="D14">
            <v>1.107011070110701</v>
          </cell>
          <cell r="E14">
            <v>53.505535055350549</v>
          </cell>
          <cell r="F14">
            <v>0</v>
          </cell>
        </row>
        <row r="16">
          <cell r="B16">
            <v>100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22">
          <cell r="B22">
            <v>0</v>
          </cell>
          <cell r="C22">
            <v>46.494464944649444</v>
          </cell>
          <cell r="D22">
            <v>53.505535055350549</v>
          </cell>
          <cell r="E22">
            <v>0</v>
          </cell>
          <cell r="F22">
            <v>0</v>
          </cell>
          <cell r="I22">
            <v>0</v>
          </cell>
          <cell r="J22">
            <v>2.52</v>
          </cell>
          <cell r="K22">
            <v>2.9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46.494464944649444</v>
          </cell>
          <cell r="C24">
            <v>0</v>
          </cell>
          <cell r="D24">
            <v>4.7970479704797047</v>
          </cell>
          <cell r="E24">
            <v>48.708487084870846</v>
          </cell>
          <cell r="F24">
            <v>0</v>
          </cell>
          <cell r="I24">
            <v>2.52</v>
          </cell>
          <cell r="J24">
            <v>0</v>
          </cell>
          <cell r="K24">
            <v>0.26</v>
          </cell>
          <cell r="L24">
            <v>2.64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54.243542435424352</v>
          </cell>
          <cell r="C26">
            <v>45.756457564575648</v>
          </cell>
          <cell r="D26">
            <v>0</v>
          </cell>
          <cell r="E26">
            <v>0</v>
          </cell>
          <cell r="F26">
            <v>0</v>
          </cell>
          <cell r="I26">
            <v>2.94</v>
          </cell>
          <cell r="J26">
            <v>2.48</v>
          </cell>
          <cell r="K26">
            <v>0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0</v>
          </cell>
          <cell r="D28">
            <v>49.815498154981555</v>
          </cell>
          <cell r="E28">
            <v>50.184501845018445</v>
          </cell>
          <cell r="F28">
            <v>0</v>
          </cell>
          <cell r="I28">
            <v>0</v>
          </cell>
          <cell r="J28">
            <v>0</v>
          </cell>
          <cell r="K28">
            <v>2.7</v>
          </cell>
          <cell r="L28">
            <v>2.72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ABC_S"/>
      <sheetName val="Plan1"/>
      <sheetName val="ABC_I"/>
      <sheetName val="COMPRAS"/>
      <sheetName val="CONTRATOS"/>
      <sheetName val="S"/>
      <sheetName val="I"/>
    </sheetNames>
    <sheetDataSet>
      <sheetData sheetId="0">
        <row r="7">
          <cell r="B7">
            <v>22.040000000000003</v>
          </cell>
        </row>
        <row r="8">
          <cell r="F8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CHE"/>
      <sheetName val="MObra"/>
      <sheetName val="Crono"/>
      <sheetName val="BDI"/>
      <sheetName val="EncSoc"/>
      <sheetName val="Cadastros"/>
      <sheetName val="QTR"/>
      <sheetName val="Dados"/>
      <sheetName val="TABELA"/>
      <sheetName val="QuQuant"/>
      <sheetName val="qorcamentodnerL1"/>
      <sheetName val="PROJETO"/>
      <sheetName val="A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Solicitação Interna de Fab"/>
      <sheetName val="Serviços"/>
      <sheetName val="Mat"/>
      <sheetName val="Faturamento 2016 (Diferimento)"/>
      <sheetName val="aux"/>
      <sheetName val="COMPOS1"/>
      <sheetName val="Calendári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ências"/>
      <sheetName val="BDI"/>
      <sheetName val="INFORMATIVO LEI"/>
      <sheetName val="ACÓRDÃO TCU 2622-37 P DE 2013"/>
    </sheetNames>
    <sheetDataSet>
      <sheetData sheetId="0" refreshError="1">
        <row r="11">
          <cell r="A11">
            <v>0</v>
          </cell>
        </row>
        <row r="13">
          <cell r="A13">
            <v>2</v>
          </cell>
          <cell r="B13">
            <v>3.7999999999999999E-2</v>
          </cell>
          <cell r="C13">
            <v>4.0099999999999997E-2</v>
          </cell>
          <cell r="D13">
            <v>4.6699999999999998E-2</v>
          </cell>
        </row>
        <row r="14">
          <cell r="A14">
            <v>3</v>
          </cell>
          <cell r="B14">
            <v>3.4299999999999997E-2</v>
          </cell>
          <cell r="C14">
            <v>4.9299999999999997E-2</v>
          </cell>
          <cell r="D14">
            <v>6.7100000000000007E-2</v>
          </cell>
        </row>
        <row r="15">
          <cell r="A15">
            <v>4</v>
          </cell>
          <cell r="B15">
            <v>5.2900000000000003E-2</v>
          </cell>
          <cell r="C15">
            <v>5.9200000000000003E-2</v>
          </cell>
          <cell r="D15">
            <v>7.9299999999999995E-2</v>
          </cell>
        </row>
        <row r="16">
          <cell r="A16">
            <v>5</v>
          </cell>
          <cell r="B16">
            <v>0.04</v>
          </cell>
          <cell r="C16">
            <v>5.5199999999999999E-2</v>
          </cell>
          <cell r="D16">
            <v>7.85E-2</v>
          </cell>
        </row>
        <row r="17">
          <cell r="A17">
            <v>6</v>
          </cell>
          <cell r="B17">
            <v>1.4999999999999999E-2</v>
          </cell>
          <cell r="C17">
            <v>3.4500000000000003E-2</v>
          </cell>
          <cell r="D17">
            <v>4.4900000000000002E-2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1</v>
          </cell>
        </row>
        <row r="22">
          <cell r="A22">
            <v>2</v>
          </cell>
          <cell r="B22">
            <v>3.2000000000000002E-3</v>
          </cell>
          <cell r="C22">
            <v>4.0000000000000001E-3</v>
          </cell>
          <cell r="D22">
            <v>7.4000000000000003E-3</v>
          </cell>
        </row>
        <row r="23">
          <cell r="A23">
            <v>3</v>
          </cell>
          <cell r="B23">
            <v>2.8E-3</v>
          </cell>
          <cell r="C23">
            <v>4.8999999999999998E-3</v>
          </cell>
          <cell r="D23">
            <v>7.4999999999999997E-3</v>
          </cell>
        </row>
        <row r="24">
          <cell r="A24">
            <v>4</v>
          </cell>
          <cell r="B24">
            <v>2.5000000000000001E-3</v>
          </cell>
          <cell r="C24">
            <v>5.1000000000000004E-3</v>
          </cell>
          <cell r="D24">
            <v>5.5999999999999999E-3</v>
          </cell>
        </row>
        <row r="25">
          <cell r="A25">
            <v>5</v>
          </cell>
          <cell r="B25">
            <v>8.0999999999999996E-3</v>
          </cell>
          <cell r="C25">
            <v>1.2200000000000001E-2</v>
          </cell>
          <cell r="D25">
            <v>1.9900000000000001E-2</v>
          </cell>
        </row>
        <row r="26">
          <cell r="A26">
            <v>6</v>
          </cell>
          <cell r="B26">
            <v>3.0000000000000001E-3</v>
          </cell>
          <cell r="C26">
            <v>4.7999999999999996E-3</v>
          </cell>
          <cell r="D26">
            <v>8.2000000000000007E-3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1</v>
          </cell>
        </row>
        <row r="31">
          <cell r="A31">
            <v>2</v>
          </cell>
          <cell r="B31">
            <v>5.0000000000000001E-3</v>
          </cell>
          <cell r="C31">
            <v>5.5999999999999999E-3</v>
          </cell>
          <cell r="D31">
            <v>9.7000000000000003E-3</v>
          </cell>
        </row>
        <row r="32">
          <cell r="A32">
            <v>3</v>
          </cell>
          <cell r="B32">
            <v>0.01</v>
          </cell>
          <cell r="C32">
            <v>1.3899999999999999E-2</v>
          </cell>
          <cell r="D32">
            <v>1.7399999999999999E-2</v>
          </cell>
        </row>
        <row r="33">
          <cell r="A33">
            <v>4</v>
          </cell>
          <cell r="B33">
            <v>0.01</v>
          </cell>
          <cell r="C33">
            <v>1.4800000000000001E-2</v>
          </cell>
          <cell r="D33">
            <v>1.9699999999999999E-2</v>
          </cell>
        </row>
        <row r="34">
          <cell r="A34">
            <v>5</v>
          </cell>
          <cell r="B34">
            <v>1.46E-2</v>
          </cell>
          <cell r="C34">
            <v>2.3199999999999998E-2</v>
          </cell>
          <cell r="D34">
            <v>3.1600000000000003E-2</v>
          </cell>
        </row>
        <row r="35">
          <cell r="A35">
            <v>6</v>
          </cell>
          <cell r="B35">
            <v>5.5999999999999999E-3</v>
          </cell>
          <cell r="C35">
            <v>8.5000000000000006E-3</v>
          </cell>
          <cell r="D35">
            <v>8.8999999999999999E-3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1</v>
          </cell>
        </row>
        <row r="40">
          <cell r="A40">
            <v>2</v>
          </cell>
          <cell r="B40">
            <v>1.0200000000000001E-2</v>
          </cell>
          <cell r="C40">
            <v>1.11E-2</v>
          </cell>
          <cell r="D40">
            <v>1.21E-2</v>
          </cell>
        </row>
        <row r="41">
          <cell r="A41">
            <v>3</v>
          </cell>
          <cell r="B41">
            <v>9.4000000000000004E-3</v>
          </cell>
          <cell r="C41">
            <v>9.9000000000000008E-3</v>
          </cell>
          <cell r="D41">
            <v>1.17E-2</v>
          </cell>
        </row>
        <row r="42">
          <cell r="A42">
            <v>4</v>
          </cell>
          <cell r="B42">
            <v>1.01E-2</v>
          </cell>
          <cell r="C42">
            <v>1.0699999999999999E-2</v>
          </cell>
          <cell r="D42">
            <v>1.11E-2</v>
          </cell>
        </row>
        <row r="43">
          <cell r="A43">
            <v>5</v>
          </cell>
          <cell r="B43">
            <v>9.4000000000000004E-3</v>
          </cell>
          <cell r="C43">
            <v>1.0200000000000001E-2</v>
          </cell>
          <cell r="D43">
            <v>1.3299999999999999E-2</v>
          </cell>
        </row>
        <row r="44">
          <cell r="A44">
            <v>6</v>
          </cell>
          <cell r="B44">
            <v>8.5000000000000006E-3</v>
          </cell>
          <cell r="C44">
            <v>8.5000000000000006E-3</v>
          </cell>
          <cell r="D44">
            <v>1.11E-2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1</v>
          </cell>
        </row>
        <row r="49">
          <cell r="A49">
            <v>2</v>
          </cell>
          <cell r="B49">
            <v>6.6400000000000001E-2</v>
          </cell>
          <cell r="C49">
            <v>7.2999999999999995E-2</v>
          </cell>
          <cell r="D49">
            <v>8.6900000000000005E-2</v>
          </cell>
        </row>
        <row r="50">
          <cell r="A50">
            <v>3</v>
          </cell>
          <cell r="B50">
            <v>6.7400000000000002E-2</v>
          </cell>
          <cell r="C50">
            <v>8.0399999999999999E-2</v>
          </cell>
          <cell r="D50">
            <v>9.4E-2</v>
          </cell>
        </row>
        <row r="51">
          <cell r="A51">
            <v>4</v>
          </cell>
          <cell r="B51">
            <v>0.08</v>
          </cell>
          <cell r="C51">
            <v>8.3099999999999993E-2</v>
          </cell>
          <cell r="D51">
            <v>9.5100000000000004E-2</v>
          </cell>
        </row>
        <row r="52">
          <cell r="A52">
            <v>5</v>
          </cell>
          <cell r="B52">
            <v>7.1400000000000005E-2</v>
          </cell>
          <cell r="C52">
            <v>8.4000000000000005E-2</v>
          </cell>
          <cell r="D52">
            <v>0.1043</v>
          </cell>
        </row>
        <row r="53">
          <cell r="A53">
            <v>6</v>
          </cell>
          <cell r="B53">
            <v>3.5000000000000003E-2</v>
          </cell>
          <cell r="C53">
            <v>5.11E-2</v>
          </cell>
          <cell r="D53">
            <v>6.2199999999999998E-2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H29"/>
  <sheetViews>
    <sheetView workbookViewId="0">
      <selection activeCell="D9" sqref="D9:E9"/>
    </sheetView>
  </sheetViews>
  <sheetFormatPr defaultRowHeight="15" x14ac:dyDescent="0.25"/>
  <cols>
    <col min="1" max="1" width="35.28515625" bestFit="1" customWidth="1"/>
    <col min="2" max="2" width="25.28515625" customWidth="1"/>
    <col min="3" max="3" width="16.7109375" bestFit="1" customWidth="1"/>
    <col min="4" max="4" width="15.42578125" customWidth="1"/>
    <col min="5" max="5" width="7.42578125" customWidth="1"/>
    <col min="6" max="6" width="8.140625" customWidth="1"/>
    <col min="7" max="7" width="22.42578125" bestFit="1" customWidth="1"/>
    <col min="8" max="8" width="6.5703125" bestFit="1" customWidth="1"/>
  </cols>
  <sheetData>
    <row r="1" spans="1:8" ht="15" customHeight="1" x14ac:dyDescent="0.25">
      <c r="A1" s="16" t="s">
        <v>0</v>
      </c>
      <c r="B1" s="287" t="s">
        <v>1</v>
      </c>
      <c r="C1" s="287"/>
      <c r="D1" s="290" t="s">
        <v>2</v>
      </c>
      <c r="E1" s="291"/>
      <c r="F1" s="296" t="s">
        <v>421</v>
      </c>
      <c r="G1" s="294" t="s">
        <v>3</v>
      </c>
      <c r="H1" s="296" t="s">
        <v>421</v>
      </c>
    </row>
    <row r="2" spans="1:8" x14ac:dyDescent="0.25">
      <c r="A2" s="16" t="s">
        <v>4</v>
      </c>
      <c r="B2" s="287" t="s">
        <v>347</v>
      </c>
      <c r="C2" s="287"/>
      <c r="D2" s="292"/>
      <c r="E2" s="293"/>
      <c r="F2" s="297"/>
      <c r="G2" s="295"/>
      <c r="H2" s="297"/>
    </row>
    <row r="3" spans="1:8" x14ac:dyDescent="0.25">
      <c r="A3" s="16" t="s">
        <v>5</v>
      </c>
      <c r="B3" s="288" t="s">
        <v>348</v>
      </c>
      <c r="C3" s="288"/>
      <c r="D3" s="289" t="s">
        <v>6</v>
      </c>
      <c r="E3" s="289"/>
      <c r="F3" s="1">
        <v>0.21959999999999999</v>
      </c>
      <c r="G3" s="11" t="s">
        <v>6</v>
      </c>
      <c r="H3" s="1">
        <v>0.28139999999999998</v>
      </c>
    </row>
    <row r="4" spans="1:8" x14ac:dyDescent="0.25">
      <c r="A4" s="16" t="s">
        <v>7</v>
      </c>
      <c r="B4" s="287" t="s">
        <v>319</v>
      </c>
      <c r="C4" s="287"/>
      <c r="D4" s="289" t="s">
        <v>8</v>
      </c>
      <c r="E4" s="289"/>
      <c r="F4" s="1">
        <f>ENCARGOS!E42</f>
        <v>1.1333</v>
      </c>
      <c r="G4" s="12" t="s">
        <v>8</v>
      </c>
      <c r="H4" s="1">
        <f>ENCARGOS!C42</f>
        <v>0.90659999999999985</v>
      </c>
    </row>
    <row r="5" spans="1:8" x14ac:dyDescent="0.25">
      <c r="A5" s="2"/>
      <c r="B5" s="3" t="s">
        <v>9</v>
      </c>
      <c r="C5" s="3" t="s">
        <v>10</v>
      </c>
      <c r="D5" s="4"/>
      <c r="E5" s="4"/>
      <c r="F5" s="4"/>
      <c r="G5" s="4"/>
      <c r="H5" s="23"/>
    </row>
    <row r="6" spans="1:8" x14ac:dyDescent="0.25">
      <c r="A6" s="9" t="s">
        <v>11</v>
      </c>
      <c r="B6" s="237">
        <f>'RESUMO SD '!F19</f>
        <v>748103.57000000007</v>
      </c>
      <c r="C6" s="22">
        <f>'RESUMO CD'!F19</f>
        <v>750778.6</v>
      </c>
      <c r="D6" s="4"/>
      <c r="E6" s="4"/>
      <c r="F6" s="4"/>
      <c r="G6" s="5"/>
    </row>
    <row r="7" spans="1:8" x14ac:dyDescent="0.25">
      <c r="A7" s="9" t="s">
        <v>12</v>
      </c>
      <c r="B7" s="22">
        <f>B6/B18</f>
        <v>137.2037725813847</v>
      </c>
      <c r="C7" s="22">
        <f>C6/B18</f>
        <v>137.69437872535534</v>
      </c>
      <c r="D7" s="4"/>
      <c r="E7" s="4"/>
      <c r="F7" s="4"/>
      <c r="G7" s="5"/>
    </row>
    <row r="8" spans="1:8" x14ac:dyDescent="0.25">
      <c r="A8" s="6"/>
      <c r="B8" s="5"/>
      <c r="C8" s="4"/>
      <c r="D8" s="4"/>
      <c r="E8" s="4"/>
      <c r="F8" s="4"/>
      <c r="G8" s="5"/>
    </row>
    <row r="9" spans="1:8" x14ac:dyDescent="0.25">
      <c r="A9" s="7" t="s">
        <v>13</v>
      </c>
      <c r="B9" s="298" t="s">
        <v>14</v>
      </c>
      <c r="C9" s="280"/>
      <c r="D9" s="299"/>
      <c r="E9" s="299"/>
      <c r="F9" s="4"/>
      <c r="G9" s="4"/>
    </row>
    <row r="10" spans="1:8" x14ac:dyDescent="0.25">
      <c r="A10" s="36" t="s">
        <v>349</v>
      </c>
      <c r="B10" s="13">
        <f>'ORÇAMENTO SD'!B7</f>
        <v>1086</v>
      </c>
      <c r="C10" s="14" t="s">
        <v>15</v>
      </c>
      <c r="D10" s="273"/>
      <c r="E10" s="15"/>
      <c r="F10" s="4"/>
      <c r="G10" s="5"/>
    </row>
    <row r="11" spans="1:8" x14ac:dyDescent="0.25">
      <c r="A11" s="36" t="s">
        <v>350</v>
      </c>
      <c r="B11" s="13">
        <f>'ORÇAMENTO SD'!B36</f>
        <v>196</v>
      </c>
      <c r="C11" s="14" t="s">
        <v>15</v>
      </c>
      <c r="D11" s="273"/>
      <c r="E11" s="15"/>
      <c r="F11" s="4"/>
      <c r="G11" s="5"/>
    </row>
    <row r="12" spans="1:8" x14ac:dyDescent="0.25">
      <c r="A12" s="36" t="s">
        <v>351</v>
      </c>
      <c r="B12" s="13">
        <f>'ORÇAMENTO SD'!B60</f>
        <v>94.5</v>
      </c>
      <c r="C12" s="14" t="s">
        <v>15</v>
      </c>
      <c r="D12" s="15"/>
      <c r="E12" s="15"/>
      <c r="F12" s="4"/>
      <c r="G12" s="5"/>
    </row>
    <row r="13" spans="1:8" x14ac:dyDescent="0.25">
      <c r="A13" s="36" t="s">
        <v>352</v>
      </c>
      <c r="B13" s="13">
        <f>'ORÇAMENTO SD'!B84</f>
        <v>470</v>
      </c>
      <c r="C13" s="14" t="s">
        <v>15</v>
      </c>
      <c r="D13" s="15"/>
      <c r="E13" s="15"/>
      <c r="F13" s="4"/>
      <c r="G13" s="5"/>
    </row>
    <row r="14" spans="1:8" x14ac:dyDescent="0.25">
      <c r="A14" s="36" t="s">
        <v>353</v>
      </c>
      <c r="B14" s="13">
        <f>'ORÇAMENTO SD'!B108</f>
        <v>900</v>
      </c>
      <c r="C14" s="14" t="s">
        <v>15</v>
      </c>
      <c r="D14" s="15"/>
      <c r="E14" s="15"/>
      <c r="F14" s="4"/>
      <c r="G14" s="5"/>
    </row>
    <row r="15" spans="1:8" x14ac:dyDescent="0.25">
      <c r="A15" s="36" t="s">
        <v>354</v>
      </c>
      <c r="B15" s="13">
        <f>'ORÇAMENTO SD'!B132</f>
        <v>2262</v>
      </c>
      <c r="C15" s="14" t="s">
        <v>15</v>
      </c>
      <c r="D15" s="15"/>
      <c r="E15" s="15"/>
      <c r="F15" s="4"/>
      <c r="G15" s="5"/>
    </row>
    <row r="16" spans="1:8" x14ac:dyDescent="0.25">
      <c r="A16" s="36" t="s">
        <v>355</v>
      </c>
      <c r="B16" s="13">
        <f>'ORÇAMENTO SD'!B156</f>
        <v>444</v>
      </c>
      <c r="C16" s="14" t="s">
        <v>15</v>
      </c>
      <c r="D16" s="15"/>
      <c r="E16" s="15"/>
      <c r="F16" s="4"/>
      <c r="G16" s="5"/>
    </row>
    <row r="17" spans="1:7" x14ac:dyDescent="0.25">
      <c r="A17" s="6"/>
      <c r="B17" s="8"/>
      <c r="C17" s="4"/>
      <c r="D17" s="4"/>
      <c r="E17" s="4"/>
      <c r="F17" s="5"/>
      <c r="G17" s="5"/>
    </row>
    <row r="18" spans="1:7" x14ac:dyDescent="0.25">
      <c r="A18" s="16" t="s">
        <v>16</v>
      </c>
      <c r="B18" s="17">
        <f>SUM(B10:B16)</f>
        <v>5452.5</v>
      </c>
      <c r="C18" s="18" t="str">
        <f>C10</f>
        <v>m²</v>
      </c>
      <c r="D18" s="19"/>
      <c r="E18" s="8"/>
      <c r="F18" s="4"/>
      <c r="G18" s="4"/>
    </row>
    <row r="19" spans="1:7" x14ac:dyDescent="0.25">
      <c r="A19" s="6"/>
      <c r="B19" s="4"/>
      <c r="C19" s="4"/>
      <c r="D19" s="4"/>
      <c r="E19" s="4"/>
      <c r="F19" s="4"/>
      <c r="G19" s="4"/>
    </row>
    <row r="20" spans="1:7" x14ac:dyDescent="0.25">
      <c r="A20" s="285"/>
      <c r="B20" s="286"/>
      <c r="C20" s="286"/>
      <c r="D20" s="286"/>
      <c r="E20" s="286"/>
      <c r="F20" s="286"/>
      <c r="G20" s="4"/>
    </row>
    <row r="21" spans="1:7" x14ac:dyDescent="0.25">
      <c r="A21" s="278" t="s">
        <v>17</v>
      </c>
      <c r="B21" s="279"/>
      <c r="C21" s="279"/>
      <c r="D21" s="279"/>
      <c r="E21" s="279"/>
      <c r="F21" s="280"/>
      <c r="G21" s="9" t="s">
        <v>18</v>
      </c>
    </row>
    <row r="22" spans="1:7" x14ac:dyDescent="0.25">
      <c r="A22" s="274" t="s">
        <v>19</v>
      </c>
      <c r="B22" s="275"/>
      <c r="C22" s="10" t="s">
        <v>20</v>
      </c>
      <c r="D22" s="276" t="s">
        <v>11</v>
      </c>
      <c r="E22" s="277"/>
      <c r="F22" s="10" t="s">
        <v>21</v>
      </c>
      <c r="G22" s="188">
        <v>0.5</v>
      </c>
    </row>
    <row r="23" spans="1:7" ht="24.75" customHeight="1" x14ac:dyDescent="0.25">
      <c r="A23" s="281" t="s">
        <v>257</v>
      </c>
      <c r="B23" s="282"/>
      <c r="C23" s="271">
        <f>'ORÇAMENTO SD'!E19+'ORÇAMENTO SD'!E43+'ORÇAMENTO SD'!E67+'ORÇAMENTO SD'!E91+'ORÇAMENTO SD'!E115+'ORÇAMENTO SD'!E139+'ORÇAMENTO SD'!E163</f>
        <v>5452.5</v>
      </c>
      <c r="D23" s="283">
        <f>'ORÇAMENTO SD'!H19+'ORÇAMENTO SD'!H43+'ORÇAMENTO SD'!H67+'ORÇAMENTO SD'!H91+'ORÇAMENTO SD'!H115+'ORÇAMENTO SD'!H139+'ORÇAMENTO SD'!H163</f>
        <v>466952.1</v>
      </c>
      <c r="E23" s="284"/>
      <c r="F23" s="21">
        <f>C23/B6</f>
        <v>7.2884293280407681E-3</v>
      </c>
      <c r="G23" s="20">
        <f>G22*C23</f>
        <v>2726.25</v>
      </c>
    </row>
    <row r="24" spans="1:7" ht="30.75" customHeight="1" x14ac:dyDescent="0.25">
      <c r="A24" s="281" t="s">
        <v>23</v>
      </c>
      <c r="B24" s="282"/>
      <c r="C24" s="271">
        <f>'ORÇAMENTO SD'!E23+'ORÇAMENTO SD'!E47+'ORÇAMENTO SD'!E71+'ORÇAMENTO SD'!E95+'ORÇAMENTO SD'!E119+'ORÇAMENTO SD'!E143+'ORÇAMENTO SD'!E167</f>
        <v>1929.5</v>
      </c>
      <c r="D24" s="283">
        <f>'ORÇAMENTO SD'!H23+'ORÇAMENTO SD'!H47+'ORÇAMENTO SD'!H71+'ORÇAMENTO SD'!H95+'ORÇAMENTO SD'!H119+'ORÇAMENTO SD'!H143+'ORÇAMENTO SD'!H167</f>
        <v>97652</v>
      </c>
      <c r="E24" s="284"/>
      <c r="F24" s="21">
        <f>C24/B6</f>
        <v>2.5791883335084202E-3</v>
      </c>
      <c r="G24" s="20">
        <f>G22*C24</f>
        <v>964.75</v>
      </c>
    </row>
    <row r="25" spans="1:7" x14ac:dyDescent="0.25">
      <c r="A25" s="6"/>
      <c r="B25" s="4"/>
      <c r="C25" s="4"/>
      <c r="D25" s="4"/>
      <c r="E25" s="4"/>
      <c r="F25" s="4"/>
      <c r="G25" s="4"/>
    </row>
    <row r="26" spans="1:7" x14ac:dyDescent="0.25">
      <c r="A26" s="278" t="s">
        <v>22</v>
      </c>
      <c r="B26" s="279"/>
      <c r="C26" s="279"/>
      <c r="D26" s="279"/>
      <c r="E26" s="279"/>
      <c r="F26" s="280"/>
      <c r="G26" s="9" t="s">
        <v>18</v>
      </c>
    </row>
    <row r="27" spans="1:7" ht="15.75" customHeight="1" x14ac:dyDescent="0.25">
      <c r="A27" s="274" t="s">
        <v>19</v>
      </c>
      <c r="B27" s="275"/>
      <c r="C27" s="10" t="s">
        <v>20</v>
      </c>
      <c r="D27" s="276" t="s">
        <v>11</v>
      </c>
      <c r="E27" s="277"/>
      <c r="F27" s="10" t="s">
        <v>21</v>
      </c>
      <c r="G27" s="188">
        <v>0.5</v>
      </c>
    </row>
    <row r="28" spans="1:7" ht="32.25" customHeight="1" x14ac:dyDescent="0.25">
      <c r="A28" s="281" t="s">
        <v>257</v>
      </c>
      <c r="B28" s="282"/>
      <c r="C28" s="20">
        <f>C23</f>
        <v>5452.5</v>
      </c>
      <c r="D28" s="283">
        <f>'ORÇAMENTO CD'!H19+'ORÇAMENTO CD'!H43+'ORÇAMENTO CD'!H67+'ORÇAMENTO CD'!H91+'ORÇAMENTO CD'!H115+'ORÇAMENTO CD'!H139+'ORÇAMENTO CD'!H163</f>
        <v>465316.35000000003</v>
      </c>
      <c r="E28" s="284"/>
      <c r="F28" s="21">
        <f>D28/C6</f>
        <v>0.61977838739676394</v>
      </c>
      <c r="G28" s="20">
        <f>G27*C28</f>
        <v>2726.25</v>
      </c>
    </row>
    <row r="29" spans="1:7" ht="33" customHeight="1" x14ac:dyDescent="0.25">
      <c r="A29" s="281" t="str">
        <f>A24</f>
        <v>Assentamento de guia (meio-fio), confeccionada em concreto pré-fabricado, dimensões 100x15x13x30 (comprimento x base inferiror x base superior x altura), para vias urbanas ( m )</v>
      </c>
      <c r="B29" s="282"/>
      <c r="C29" s="20">
        <f>C24</f>
        <v>1929.5</v>
      </c>
      <c r="D29" s="283">
        <f>'ORÇAMENTO CD'!H23+'ORÇAMENTO CD'!H47+'ORÇAMENTO CD'!H71+'ORÇAMENTO CD'!H95+'ORÇAMENTO CD'!H119+'ORÇAMENTO CD'!H143+'ORÇAMENTO CD'!H167</f>
        <v>100372.59000000001</v>
      </c>
      <c r="E29" s="284"/>
      <c r="F29" s="21">
        <f>D29/C6</f>
        <v>0.13369133057335414</v>
      </c>
      <c r="G29" s="20">
        <f>G27*C29</f>
        <v>964.75</v>
      </c>
    </row>
  </sheetData>
  <sheetProtection algorithmName="SHA-512" hashValue="pMicaYO3MXuv5dZxnOE4237s9m2exgAxgHaEaG+6EtWithOvs88y3RpCK4s+MTqdRIxYwetNKxO3bQuXRaQ8Ww==" saltValue="N12nVl+bKZeemuXJ6Ybdug==" spinCount="100000" sheet="1" objects="1" scenarios="1" selectLockedCells="1"/>
  <mergeCells count="27">
    <mergeCell ref="G1:G2"/>
    <mergeCell ref="F1:F2"/>
    <mergeCell ref="H1:H2"/>
    <mergeCell ref="B1:C1"/>
    <mergeCell ref="B9:C9"/>
    <mergeCell ref="D9:E9"/>
    <mergeCell ref="A20:F20"/>
    <mergeCell ref="B2:C2"/>
    <mergeCell ref="B3:C3"/>
    <mergeCell ref="D3:E3"/>
    <mergeCell ref="B4:C4"/>
    <mergeCell ref="D4:E4"/>
    <mergeCell ref="D1:E2"/>
    <mergeCell ref="A22:B22"/>
    <mergeCell ref="D22:E22"/>
    <mergeCell ref="A21:F21"/>
    <mergeCell ref="A28:B28"/>
    <mergeCell ref="A29:B29"/>
    <mergeCell ref="A23:B23"/>
    <mergeCell ref="D28:E28"/>
    <mergeCell ref="A24:B24"/>
    <mergeCell ref="D29:E29"/>
    <mergeCell ref="A26:F26"/>
    <mergeCell ref="A27:B27"/>
    <mergeCell ref="D27:E27"/>
    <mergeCell ref="D23:E23"/>
    <mergeCell ref="D24:E24"/>
  </mergeCells>
  <phoneticPr fontId="20" type="noConversion"/>
  <pageMargins left="0.51181102362204722" right="0.51181102362204722" top="1.7716535433070866" bottom="1.3779527559055118" header="0.51181102362204722" footer="0.51181102362204722"/>
  <pageSetup paperSize="9" scale="67" fitToHeight="0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  <pageSetUpPr fitToPage="1"/>
  </sheetPr>
  <dimension ref="A1:D28"/>
  <sheetViews>
    <sheetView topLeftCell="A28" workbookViewId="0">
      <selection sqref="A1:D1"/>
    </sheetView>
  </sheetViews>
  <sheetFormatPr defaultRowHeight="15" x14ac:dyDescent="0.25"/>
  <cols>
    <col min="1" max="1" width="25.5703125" bestFit="1" customWidth="1"/>
    <col min="2" max="2" width="68" bestFit="1" customWidth="1"/>
    <col min="3" max="3" width="19" customWidth="1"/>
    <col min="4" max="4" width="16.28515625" customWidth="1"/>
  </cols>
  <sheetData>
    <row r="1" spans="1:4" x14ac:dyDescent="0.25">
      <c r="A1" s="431" t="s">
        <v>231</v>
      </c>
      <c r="B1" s="431"/>
      <c r="C1" s="431"/>
      <c r="D1" s="431"/>
    </row>
    <row r="2" spans="1:4" x14ac:dyDescent="0.25">
      <c r="A2" s="432" t="s">
        <v>408</v>
      </c>
      <c r="B2" s="433"/>
      <c r="C2" s="433"/>
      <c r="D2" s="433"/>
    </row>
    <row r="3" spans="1:4" x14ac:dyDescent="0.25">
      <c r="A3" s="432" t="s">
        <v>409</v>
      </c>
      <c r="B3" s="431"/>
      <c r="C3" s="431"/>
      <c r="D3" s="431"/>
    </row>
    <row r="4" spans="1:4" x14ac:dyDescent="0.25">
      <c r="A4" s="434" t="s">
        <v>336</v>
      </c>
      <c r="B4" s="434"/>
      <c r="C4" s="434"/>
      <c r="D4" s="434"/>
    </row>
    <row r="5" spans="1:4" x14ac:dyDescent="0.25">
      <c r="A5" s="430" t="s">
        <v>232</v>
      </c>
      <c r="B5" s="430"/>
      <c r="C5" s="430"/>
      <c r="D5" s="169">
        <f>ENCARGOS!E42</f>
        <v>1.1333</v>
      </c>
    </row>
    <row r="6" spans="1:4" x14ac:dyDescent="0.25">
      <c r="A6" s="430" t="s">
        <v>233</v>
      </c>
      <c r="B6" s="430"/>
      <c r="C6" s="430"/>
      <c r="D6" s="169">
        <f>ENCARGOS!F42</f>
        <v>0.71120000000000005</v>
      </c>
    </row>
    <row r="7" spans="1:4" x14ac:dyDescent="0.25">
      <c r="A7" s="430" t="s">
        <v>193</v>
      </c>
      <c r="B7" s="430"/>
      <c r="C7" s="430"/>
      <c r="D7" s="169">
        <v>0.21959999999999999</v>
      </c>
    </row>
    <row r="8" spans="1:4" x14ac:dyDescent="0.25">
      <c r="A8" s="435"/>
      <c r="B8" s="436"/>
      <c r="C8" s="436"/>
      <c r="D8" s="437"/>
    </row>
    <row r="9" spans="1:4" x14ac:dyDescent="0.25">
      <c r="A9" s="431" t="s">
        <v>234</v>
      </c>
      <c r="B9" s="431" t="s">
        <v>235</v>
      </c>
      <c r="C9" s="431" t="s">
        <v>236</v>
      </c>
      <c r="D9" s="438" t="s">
        <v>21</v>
      </c>
    </row>
    <row r="10" spans="1:4" x14ac:dyDescent="0.25">
      <c r="A10" s="431"/>
      <c r="B10" s="431"/>
      <c r="C10" s="431"/>
      <c r="D10" s="439"/>
    </row>
    <row r="11" spans="1:4" x14ac:dyDescent="0.25">
      <c r="A11" s="441" t="s">
        <v>31</v>
      </c>
      <c r="B11" s="252" t="s">
        <v>38</v>
      </c>
      <c r="C11" s="440">
        <f>'ORÇAMENTO SD'!H10</f>
        <v>66011.799999999988</v>
      </c>
      <c r="D11" s="429">
        <f>C11/$C$28</f>
        <v>8.8238851740809074E-2</v>
      </c>
    </row>
    <row r="12" spans="1:4" x14ac:dyDescent="0.25">
      <c r="A12" s="441"/>
      <c r="B12" s="252" t="s">
        <v>39</v>
      </c>
      <c r="C12" s="440"/>
      <c r="D12" s="429"/>
    </row>
    <row r="13" spans="1:4" x14ac:dyDescent="0.25">
      <c r="A13" s="441"/>
      <c r="B13" s="252" t="s">
        <v>289</v>
      </c>
      <c r="C13" s="440"/>
      <c r="D13" s="429"/>
    </row>
    <row r="14" spans="1:4" x14ac:dyDescent="0.25">
      <c r="A14" s="407"/>
      <c r="B14" s="408"/>
      <c r="C14" s="408"/>
      <c r="D14" s="409"/>
    </row>
    <row r="15" spans="1:4" x14ac:dyDescent="0.25">
      <c r="A15" s="170" t="s">
        <v>237</v>
      </c>
      <c r="B15" s="171" t="s">
        <v>174</v>
      </c>
      <c r="C15" s="172">
        <f>'ORÇAMENTO SD'!H15+'ORÇAMENTO SD'!H39+'ORÇAMENTO SD'!H63+'ORÇAMENTO SD'!H87+'ORÇAMENTO SD'!H111+'ORÇAMENTO SD'!H135+'ORÇAMENTO SD'!H159</f>
        <v>3816.7500000000005</v>
      </c>
      <c r="D15" s="173">
        <f>C15/$C$28</f>
        <v>5.1019005296285384E-3</v>
      </c>
    </row>
    <row r="16" spans="1:4" x14ac:dyDescent="0.25">
      <c r="A16" s="410"/>
      <c r="B16" s="411"/>
      <c r="C16" s="411"/>
      <c r="D16" s="412"/>
    </row>
    <row r="17" spans="1:4" ht="25.5" customHeight="1" x14ac:dyDescent="0.25">
      <c r="A17" s="417" t="s">
        <v>238</v>
      </c>
      <c r="B17" s="405" t="str">
        <f>'ORÇAMENTO SD'!C19</f>
        <v>Execução de pavimento em paralelepípedos, rejuntamento com argamassa traço 1:3 (cimento e areia)</v>
      </c>
      <c r="C17" s="416">
        <f>'ORÇAMENTO SD'!H18+'ORÇAMENTO SD'!H42+'ORÇAMENTO SD'!H66+'ORÇAMENTO SD'!H90+'ORÇAMENTO SD'!H114+'ORÇAMENTO SD'!H138+'ORÇAMENTO SD'!H162</f>
        <v>477257.33</v>
      </c>
      <c r="D17" s="413">
        <f>C17/C28</f>
        <v>0.63795622576697497</v>
      </c>
    </row>
    <row r="18" spans="1:4" x14ac:dyDescent="0.25">
      <c r="A18" s="418"/>
      <c r="B18" s="406"/>
      <c r="C18" s="416"/>
      <c r="D18" s="414"/>
    </row>
    <row r="19" spans="1:4" x14ac:dyDescent="0.25">
      <c r="A19" s="419"/>
      <c r="B19" s="171" t="str">
        <f>'ORÇAMENTO SD'!C20</f>
        <v xml:space="preserve">Compactação Mecânica </v>
      </c>
      <c r="C19" s="416"/>
      <c r="D19" s="415"/>
    </row>
    <row r="20" spans="1:4" x14ac:dyDescent="0.25">
      <c r="A20" s="410"/>
      <c r="B20" s="411"/>
      <c r="C20" s="411"/>
      <c r="D20" s="412"/>
    </row>
    <row r="21" spans="1:4" ht="38.25" x14ac:dyDescent="0.25">
      <c r="A21" s="422" t="s">
        <v>239</v>
      </c>
      <c r="B21" s="174" t="str">
        <f>'ORÇAMENTO SD'!C23</f>
        <v>Assentamento de guia (meio-fio), confeccionada em concreto pré-fabricado, dimensões 100x15x13x30 (comprimento x base inferiror x base superior x altura), para vias urbanas</v>
      </c>
      <c r="C21" s="424">
        <f>'ORÇAMENTO SD'!H22+'ORÇAMENTO SD'!H46+'ORÇAMENTO SD'!H70+'ORÇAMENTO SD'!H94+'ORÇAMENTO SD'!H118+'ORÇAMENTO SD'!H142+'ORÇAMENTO SD'!H166</f>
        <v>139751.36000000002</v>
      </c>
      <c r="D21" s="425">
        <f>C21/C28</f>
        <v>0.18680750313756692</v>
      </c>
    </row>
    <row r="22" spans="1:4" ht="25.5" x14ac:dyDescent="0.25">
      <c r="A22" s="423"/>
      <c r="B22" s="174" t="s">
        <v>262</v>
      </c>
      <c r="C22" s="424"/>
      <c r="D22" s="426"/>
    </row>
    <row r="23" spans="1:4" x14ac:dyDescent="0.25">
      <c r="A23" s="410"/>
      <c r="B23" s="411"/>
      <c r="C23" s="411"/>
      <c r="D23" s="412"/>
    </row>
    <row r="24" spans="1:4" ht="25.5" x14ac:dyDescent="0.25">
      <c r="A24" s="428" t="s">
        <v>227</v>
      </c>
      <c r="B24" s="175" t="s">
        <v>391</v>
      </c>
      <c r="C24" s="424">
        <f>'ORÇAMENTO SD'!H26+'ORÇAMENTO SD'!H50+'ORÇAMENTO SD'!H74+'ORÇAMENTO SD'!H98+'ORÇAMENTO SD'!H122+'ORÇAMENTO SD'!H146+'ORÇAMENTO SD'!H170</f>
        <v>58098.619999999995</v>
      </c>
      <c r="D24" s="427">
        <f>C24/C28</f>
        <v>7.7661198702741102E-2</v>
      </c>
    </row>
    <row r="25" spans="1:4" ht="25.5" x14ac:dyDescent="0.25">
      <c r="A25" s="428"/>
      <c r="B25" s="175" t="s">
        <v>362</v>
      </c>
      <c r="C25" s="424"/>
      <c r="D25" s="427"/>
    </row>
    <row r="26" spans="1:4" x14ac:dyDescent="0.25">
      <c r="A26" s="410"/>
      <c r="B26" s="411"/>
      <c r="C26" s="411"/>
      <c r="D26" s="412"/>
    </row>
    <row r="27" spans="1:4" ht="25.5" x14ac:dyDescent="0.25">
      <c r="A27" s="245" t="s">
        <v>259</v>
      </c>
      <c r="B27" s="175" t="str">
        <f>'ORÇAMENTO SD'!C31</f>
        <v>Placa esmaltada para identificação de nome de rua, dimensões 45 x 20 cm com tubo de aço</v>
      </c>
      <c r="C27" s="246">
        <f>'ORÇAMENTO SD'!H30+'ORÇAMENTO SD'!H54+'ORÇAMENTO SD'!H78+'ORÇAMENTO SD'!H102+'ORÇAMENTO SD'!H126+'ORÇAMENTO SD'!H150+'ORÇAMENTO SD'!H174</f>
        <v>3167.7099999999991</v>
      </c>
      <c r="D27" s="247">
        <f>C27/C28</f>
        <v>4.2343201222793244E-3</v>
      </c>
    </row>
    <row r="28" spans="1:4" x14ac:dyDescent="0.25">
      <c r="A28" s="420" t="s">
        <v>204</v>
      </c>
      <c r="B28" s="421"/>
      <c r="C28" s="176">
        <f>SUM(C24,C21,C17,C15,C11,C27)</f>
        <v>748103.57000000007</v>
      </c>
      <c r="D28" s="177">
        <f>SUM(D24,D21,D17,D15,D11,D27,)</f>
        <v>0.99999999999999989</v>
      </c>
    </row>
  </sheetData>
  <sheetProtection algorithmName="SHA-512" hashValue="dCzDasLwImJFlPHxRrh0r7xgeDk/44FimbHX6Ii3gwKO9yxzctu9vMWDGsdxyzrEydMObCZByhvkXK9syUxMcg==" saltValue="JQ4O0tBhaAGWr3fSnfg30A==" spinCount="100000" sheet="1" objects="1" scenarios="1" selectLockedCells="1" selectUnlockedCells="1"/>
  <mergeCells count="31">
    <mergeCell ref="D11:D13"/>
    <mergeCell ref="A6:C6"/>
    <mergeCell ref="A1:D1"/>
    <mergeCell ref="A2:D2"/>
    <mergeCell ref="A3:D3"/>
    <mergeCell ref="A4:D4"/>
    <mergeCell ref="A5:C5"/>
    <mergeCell ref="A7:C7"/>
    <mergeCell ref="A8:D8"/>
    <mergeCell ref="A9:A10"/>
    <mergeCell ref="B9:B10"/>
    <mergeCell ref="C9:C10"/>
    <mergeCell ref="D9:D10"/>
    <mergeCell ref="C11:C13"/>
    <mergeCell ref="A11:A13"/>
    <mergeCell ref="A28:B28"/>
    <mergeCell ref="A20:D20"/>
    <mergeCell ref="A21:A22"/>
    <mergeCell ref="C21:C22"/>
    <mergeCell ref="D21:D22"/>
    <mergeCell ref="A23:D23"/>
    <mergeCell ref="A26:D26"/>
    <mergeCell ref="D24:D25"/>
    <mergeCell ref="A24:A25"/>
    <mergeCell ref="C24:C25"/>
    <mergeCell ref="B17:B18"/>
    <mergeCell ref="A14:D14"/>
    <mergeCell ref="A16:D16"/>
    <mergeCell ref="D17:D19"/>
    <mergeCell ref="C17:C19"/>
    <mergeCell ref="A17:A19"/>
  </mergeCells>
  <pageMargins left="0.39370078740157483" right="0.39370078740157483" top="1.1811023622047245" bottom="1.1811023622047245" header="0" footer="0"/>
  <pageSetup paperSize="9" scale="73" fitToHeight="0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4.9989318521683403E-2"/>
    <pageSetUpPr fitToPage="1"/>
  </sheetPr>
  <dimension ref="A1:F42"/>
  <sheetViews>
    <sheetView topLeftCell="A33" workbookViewId="0">
      <selection activeCell="F9" sqref="F9"/>
    </sheetView>
  </sheetViews>
  <sheetFormatPr defaultRowHeight="15" x14ac:dyDescent="0.25"/>
  <cols>
    <col min="1" max="1" width="15.7109375" style="108" customWidth="1"/>
    <col min="2" max="2" width="35.28515625" style="110" bestFit="1" customWidth="1"/>
    <col min="3" max="3" width="9.28515625" style="109" customWidth="1"/>
    <col min="4" max="4" width="12.28515625" style="110" customWidth="1"/>
    <col min="5" max="5" width="10.42578125" style="109" customWidth="1"/>
    <col min="6" max="6" width="11.42578125" style="109" customWidth="1"/>
  </cols>
  <sheetData>
    <row r="1" spans="1:6" x14ac:dyDescent="0.25">
      <c r="A1" s="383" t="s">
        <v>162</v>
      </c>
      <c r="B1" s="384"/>
      <c r="C1" s="384"/>
      <c r="D1" s="384"/>
      <c r="E1" s="384"/>
      <c r="F1" s="384"/>
    </row>
    <row r="2" spans="1:6" x14ac:dyDescent="0.25">
      <c r="A2" s="385" t="s">
        <v>317</v>
      </c>
      <c r="B2" s="385"/>
      <c r="C2" s="385"/>
      <c r="D2" s="385"/>
      <c r="E2" s="385"/>
      <c r="F2" s="385"/>
    </row>
    <row r="3" spans="1:6" x14ac:dyDescent="0.25">
      <c r="A3" s="385" t="s">
        <v>422</v>
      </c>
      <c r="B3" s="385"/>
      <c r="C3" s="385"/>
      <c r="D3" s="385"/>
      <c r="E3" s="385"/>
      <c r="F3" s="385"/>
    </row>
    <row r="5" spans="1:6" x14ac:dyDescent="0.25">
      <c r="A5" s="442" t="s">
        <v>91</v>
      </c>
      <c r="B5" s="442"/>
      <c r="C5" s="442"/>
      <c r="D5" s="442"/>
      <c r="E5" s="442"/>
      <c r="F5" s="442"/>
    </row>
    <row r="6" spans="1:6" x14ac:dyDescent="0.25">
      <c r="A6" s="443" t="s">
        <v>92</v>
      </c>
      <c r="B6" s="444" t="s">
        <v>93</v>
      </c>
      <c r="C6" s="442" t="s">
        <v>94</v>
      </c>
      <c r="D6" s="442"/>
      <c r="E6" s="442" t="s">
        <v>95</v>
      </c>
      <c r="F6" s="442"/>
    </row>
    <row r="7" spans="1:6" ht="22.5" x14ac:dyDescent="0.25">
      <c r="A7" s="443"/>
      <c r="B7" s="444"/>
      <c r="C7" s="111" t="s">
        <v>96</v>
      </c>
      <c r="D7" s="111" t="s">
        <v>97</v>
      </c>
      <c r="E7" s="111" t="s">
        <v>96</v>
      </c>
      <c r="F7" s="111" t="s">
        <v>97</v>
      </c>
    </row>
    <row r="8" spans="1:6" x14ac:dyDescent="0.25">
      <c r="A8" s="442" t="s">
        <v>98</v>
      </c>
      <c r="B8" s="442"/>
      <c r="C8" s="442"/>
      <c r="D8" s="442"/>
      <c r="E8" s="442"/>
      <c r="F8" s="442"/>
    </row>
    <row r="9" spans="1:6" x14ac:dyDescent="0.25">
      <c r="A9" s="111" t="s">
        <v>99</v>
      </c>
      <c r="B9" s="112" t="s">
        <v>100</v>
      </c>
      <c r="C9" s="113">
        <v>0.05</v>
      </c>
      <c r="D9" s="113">
        <v>0.05</v>
      </c>
      <c r="E9" s="113">
        <v>0.2</v>
      </c>
      <c r="F9" s="113">
        <v>0.2</v>
      </c>
    </row>
    <row r="10" spans="1:6" x14ac:dyDescent="0.25">
      <c r="A10" s="111" t="s">
        <v>101</v>
      </c>
      <c r="B10" s="112" t="s">
        <v>102</v>
      </c>
      <c r="C10" s="113">
        <v>1.4999999999999999E-2</v>
      </c>
      <c r="D10" s="113">
        <v>1.4999999999999999E-2</v>
      </c>
      <c r="E10" s="113">
        <v>1.4999999999999999E-2</v>
      </c>
      <c r="F10" s="113">
        <v>1.4999999999999999E-2</v>
      </c>
    </row>
    <row r="11" spans="1:6" x14ac:dyDescent="0.25">
      <c r="A11" s="111" t="s">
        <v>103</v>
      </c>
      <c r="B11" s="112" t="s">
        <v>104</v>
      </c>
      <c r="C11" s="113">
        <v>0.01</v>
      </c>
      <c r="D11" s="113">
        <v>0.01</v>
      </c>
      <c r="E11" s="113">
        <v>0.01</v>
      </c>
      <c r="F11" s="113">
        <v>0.01</v>
      </c>
    </row>
    <row r="12" spans="1:6" x14ac:dyDescent="0.25">
      <c r="A12" s="111" t="s">
        <v>105</v>
      </c>
      <c r="B12" s="112" t="s">
        <v>106</v>
      </c>
      <c r="C12" s="113">
        <v>2E-3</v>
      </c>
      <c r="D12" s="113">
        <v>2E-3</v>
      </c>
      <c r="E12" s="113">
        <v>2E-3</v>
      </c>
      <c r="F12" s="113">
        <v>2E-3</v>
      </c>
    </row>
    <row r="13" spans="1:6" x14ac:dyDescent="0.25">
      <c r="A13" s="111" t="s">
        <v>107</v>
      </c>
      <c r="B13" s="112" t="s">
        <v>108</v>
      </c>
      <c r="C13" s="113">
        <v>6.0000000000000001E-3</v>
      </c>
      <c r="D13" s="113">
        <v>6.0000000000000001E-3</v>
      </c>
      <c r="E13" s="113">
        <v>6.0000000000000001E-3</v>
      </c>
      <c r="F13" s="113">
        <v>6.0000000000000001E-3</v>
      </c>
    </row>
    <row r="14" spans="1:6" x14ac:dyDescent="0.25">
      <c r="A14" s="111" t="s">
        <v>109</v>
      </c>
      <c r="B14" s="112" t="s">
        <v>110</v>
      </c>
      <c r="C14" s="113">
        <v>2.5000000000000001E-2</v>
      </c>
      <c r="D14" s="113">
        <v>2.5000000000000001E-2</v>
      </c>
      <c r="E14" s="113">
        <v>2.5000000000000001E-2</v>
      </c>
      <c r="F14" s="113">
        <v>2.5000000000000001E-2</v>
      </c>
    </row>
    <row r="15" spans="1:6" x14ac:dyDescent="0.25">
      <c r="A15" s="111" t="s">
        <v>111</v>
      </c>
      <c r="B15" s="112" t="s">
        <v>112</v>
      </c>
      <c r="C15" s="113">
        <v>0.03</v>
      </c>
      <c r="D15" s="113">
        <v>0.03</v>
      </c>
      <c r="E15" s="113">
        <v>0.03</v>
      </c>
      <c r="F15" s="113">
        <v>0.03</v>
      </c>
    </row>
    <row r="16" spans="1:6" x14ac:dyDescent="0.25">
      <c r="A16" s="111" t="s">
        <v>113</v>
      </c>
      <c r="B16" s="112" t="s">
        <v>114</v>
      </c>
      <c r="C16" s="113">
        <v>0.08</v>
      </c>
      <c r="D16" s="113">
        <v>0.08</v>
      </c>
      <c r="E16" s="113">
        <v>0.08</v>
      </c>
      <c r="F16" s="113">
        <v>0.08</v>
      </c>
    </row>
    <row r="17" spans="1:6" x14ac:dyDescent="0.25">
      <c r="A17" s="111" t="s">
        <v>115</v>
      </c>
      <c r="B17" s="112" t="s">
        <v>116</v>
      </c>
      <c r="C17" s="113">
        <v>0</v>
      </c>
      <c r="D17" s="113">
        <v>0</v>
      </c>
      <c r="E17" s="113">
        <v>0</v>
      </c>
      <c r="F17" s="113">
        <v>0</v>
      </c>
    </row>
    <row r="18" spans="1:6" x14ac:dyDescent="0.25">
      <c r="A18" s="114" t="s">
        <v>117</v>
      </c>
      <c r="B18" s="115" t="s">
        <v>118</v>
      </c>
      <c r="C18" s="116">
        <f>SUM(C9:C17)</f>
        <v>0.21800000000000003</v>
      </c>
      <c r="D18" s="116">
        <f t="shared" ref="D18:F18" si="0">SUM(D9:D17)</f>
        <v>0.21800000000000003</v>
      </c>
      <c r="E18" s="116">
        <f t="shared" si="0"/>
        <v>0.36800000000000005</v>
      </c>
      <c r="F18" s="116">
        <f t="shared" si="0"/>
        <v>0.36800000000000005</v>
      </c>
    </row>
    <row r="19" spans="1:6" x14ac:dyDescent="0.25">
      <c r="A19" s="442" t="s">
        <v>119</v>
      </c>
      <c r="B19" s="442"/>
      <c r="C19" s="442"/>
      <c r="D19" s="442"/>
      <c r="E19" s="442"/>
      <c r="F19" s="442"/>
    </row>
    <row r="20" spans="1:6" x14ac:dyDescent="0.25">
      <c r="A20" s="111" t="s">
        <v>120</v>
      </c>
      <c r="B20" s="112" t="s">
        <v>121</v>
      </c>
      <c r="C20" s="113">
        <v>0.1782</v>
      </c>
      <c r="D20" s="111" t="s">
        <v>122</v>
      </c>
      <c r="E20" s="113">
        <v>0.1782</v>
      </c>
      <c r="F20" s="111" t="s">
        <v>122</v>
      </c>
    </row>
    <row r="21" spans="1:6" x14ac:dyDescent="0.25">
      <c r="A21" s="111" t="s">
        <v>123</v>
      </c>
      <c r="B21" s="112" t="s">
        <v>124</v>
      </c>
      <c r="C21" s="113">
        <v>3.95E-2</v>
      </c>
      <c r="D21" s="111" t="s">
        <v>122</v>
      </c>
      <c r="E21" s="113">
        <v>3.95E-2</v>
      </c>
      <c r="F21" s="111" t="s">
        <v>122</v>
      </c>
    </row>
    <row r="22" spans="1:6" x14ac:dyDescent="0.25">
      <c r="A22" s="111" t="s">
        <v>125</v>
      </c>
      <c r="B22" s="112" t="s">
        <v>126</v>
      </c>
      <c r="C22" s="113">
        <v>8.6E-3</v>
      </c>
      <c r="D22" s="113">
        <v>6.4999999999999997E-3</v>
      </c>
      <c r="E22" s="113">
        <v>8.6E-3</v>
      </c>
      <c r="F22" s="113">
        <v>6.4999999999999997E-3</v>
      </c>
    </row>
    <row r="23" spans="1:6" x14ac:dyDescent="0.25">
      <c r="A23" s="111" t="s">
        <v>127</v>
      </c>
      <c r="B23" s="112" t="s">
        <v>128</v>
      </c>
      <c r="C23" s="113">
        <v>0.1096</v>
      </c>
      <c r="D23" s="113">
        <v>8.3299999999999999E-2</v>
      </c>
      <c r="E23" s="113">
        <v>0.1096</v>
      </c>
      <c r="F23" s="113">
        <v>8.3299999999999999E-2</v>
      </c>
    </row>
    <row r="24" spans="1:6" x14ac:dyDescent="0.25">
      <c r="A24" s="111" t="s">
        <v>129</v>
      </c>
      <c r="B24" s="112" t="s">
        <v>130</v>
      </c>
      <c r="C24" s="113">
        <v>6.9999999999999999E-4</v>
      </c>
      <c r="D24" s="113">
        <v>5.0000000000000001E-4</v>
      </c>
      <c r="E24" s="113">
        <v>6.9999999999999999E-4</v>
      </c>
      <c r="F24" s="113">
        <v>5.0000000000000001E-4</v>
      </c>
    </row>
    <row r="25" spans="1:6" x14ac:dyDescent="0.25">
      <c r="A25" s="111" t="s">
        <v>131</v>
      </c>
      <c r="B25" s="112" t="s">
        <v>132</v>
      </c>
      <c r="C25" s="113">
        <v>7.3000000000000001E-3</v>
      </c>
      <c r="D25" s="113">
        <v>5.5999999999999999E-3</v>
      </c>
      <c r="E25" s="113">
        <v>7.3000000000000001E-3</v>
      </c>
      <c r="F25" s="113">
        <v>5.5999999999999999E-3</v>
      </c>
    </row>
    <row r="26" spans="1:6" x14ac:dyDescent="0.25">
      <c r="A26" s="111" t="s">
        <v>133</v>
      </c>
      <c r="B26" s="112" t="s">
        <v>134</v>
      </c>
      <c r="C26" s="113">
        <v>1.17E-2</v>
      </c>
      <c r="D26" s="111" t="s">
        <v>122</v>
      </c>
      <c r="E26" s="113">
        <v>1.17E-2</v>
      </c>
      <c r="F26" s="111" t="s">
        <v>122</v>
      </c>
    </row>
    <row r="27" spans="1:6" x14ac:dyDescent="0.25">
      <c r="A27" s="111" t="s">
        <v>135</v>
      </c>
      <c r="B27" s="112" t="s">
        <v>136</v>
      </c>
      <c r="C27" s="113">
        <v>1E-3</v>
      </c>
      <c r="D27" s="113">
        <v>6.9999999999999999E-4</v>
      </c>
      <c r="E27" s="113">
        <v>1E-3</v>
      </c>
      <c r="F27" s="113">
        <v>6.9999999999999999E-4</v>
      </c>
    </row>
    <row r="28" spans="1:6" x14ac:dyDescent="0.25">
      <c r="A28" s="111" t="s">
        <v>137</v>
      </c>
      <c r="B28" s="112" t="s">
        <v>138</v>
      </c>
      <c r="C28" s="113">
        <v>0.1171</v>
      </c>
      <c r="D28" s="113">
        <v>8.8999999999999996E-2</v>
      </c>
      <c r="E28" s="113">
        <v>0.1171</v>
      </c>
      <c r="F28" s="113">
        <v>8.8999999999999996E-2</v>
      </c>
    </row>
    <row r="29" spans="1:6" x14ac:dyDescent="0.25">
      <c r="A29" s="111" t="s">
        <v>139</v>
      </c>
      <c r="B29" s="112" t="s">
        <v>140</v>
      </c>
      <c r="C29" s="113">
        <v>2.9999999999999997E-4</v>
      </c>
      <c r="D29" s="113">
        <v>2.9999999999999997E-4</v>
      </c>
      <c r="E29" s="113">
        <v>2.9999999999999997E-4</v>
      </c>
      <c r="F29" s="113">
        <v>2.9999999999999997E-4</v>
      </c>
    </row>
    <row r="30" spans="1:6" x14ac:dyDescent="0.25">
      <c r="A30" s="114" t="s">
        <v>141</v>
      </c>
      <c r="B30" s="115" t="s">
        <v>118</v>
      </c>
      <c r="C30" s="116">
        <f>SUM(C20:C29)</f>
        <v>0.47399999999999992</v>
      </c>
      <c r="D30" s="116">
        <f t="shared" ref="D30:F30" si="1">SUM(D20:D29)</f>
        <v>0.18589999999999998</v>
      </c>
      <c r="E30" s="116">
        <f t="shared" si="1"/>
        <v>0.47399999999999992</v>
      </c>
      <c r="F30" s="116">
        <f t="shared" si="1"/>
        <v>0.18589999999999998</v>
      </c>
    </row>
    <row r="31" spans="1:6" x14ac:dyDescent="0.25">
      <c r="A31" s="442" t="s">
        <v>142</v>
      </c>
      <c r="B31" s="442"/>
      <c r="C31" s="442"/>
      <c r="D31" s="442"/>
      <c r="E31" s="442"/>
      <c r="F31" s="442"/>
    </row>
    <row r="32" spans="1:6" x14ac:dyDescent="0.25">
      <c r="A32" s="111" t="s">
        <v>143</v>
      </c>
      <c r="B32" s="112" t="s">
        <v>144</v>
      </c>
      <c r="C32" s="113">
        <v>5.2999999999999999E-2</v>
      </c>
      <c r="D32" s="113">
        <v>4.0300000000000002E-2</v>
      </c>
      <c r="E32" s="113">
        <v>5.2999999999999999E-2</v>
      </c>
      <c r="F32" s="113">
        <v>4.0300000000000002E-2</v>
      </c>
    </row>
    <row r="33" spans="1:6" x14ac:dyDescent="0.25">
      <c r="A33" s="111" t="s">
        <v>145</v>
      </c>
      <c r="B33" s="112" t="s">
        <v>146</v>
      </c>
      <c r="C33" s="113">
        <v>1.1999999999999999E-3</v>
      </c>
      <c r="D33" s="113">
        <v>8.9999999999999998E-4</v>
      </c>
      <c r="E33" s="113">
        <v>1.1999999999999999E-3</v>
      </c>
      <c r="F33" s="113">
        <v>8.9999999999999998E-4</v>
      </c>
    </row>
    <row r="34" spans="1:6" x14ac:dyDescent="0.25">
      <c r="A34" s="111" t="s">
        <v>147</v>
      </c>
      <c r="B34" s="112" t="s">
        <v>148</v>
      </c>
      <c r="C34" s="113">
        <v>2.46E-2</v>
      </c>
      <c r="D34" s="113">
        <v>1.8700000000000001E-2</v>
      </c>
      <c r="E34" s="113">
        <v>2.46E-2</v>
      </c>
      <c r="F34" s="113">
        <v>1.8700000000000001E-2</v>
      </c>
    </row>
    <row r="35" spans="1:6" x14ac:dyDescent="0.25">
      <c r="A35" s="111" t="s">
        <v>149</v>
      </c>
      <c r="B35" s="112" t="s">
        <v>150</v>
      </c>
      <c r="C35" s="113">
        <v>2.8899999999999999E-2</v>
      </c>
      <c r="D35" s="113">
        <v>2.1999999999999999E-2</v>
      </c>
      <c r="E35" s="113">
        <v>2.8899999999999999E-2</v>
      </c>
      <c r="F35" s="113">
        <v>2.1999999999999999E-2</v>
      </c>
    </row>
    <row r="36" spans="1:6" x14ac:dyDescent="0.25">
      <c r="A36" s="111" t="s">
        <v>151</v>
      </c>
      <c r="B36" s="112" t="s">
        <v>152</v>
      </c>
      <c r="C36" s="113">
        <v>4.4999999999999997E-3</v>
      </c>
      <c r="D36" s="113">
        <v>3.3999999999999998E-3</v>
      </c>
      <c r="E36" s="113">
        <v>4.4999999999999997E-3</v>
      </c>
      <c r="F36" s="113">
        <v>3.3999999999999998E-3</v>
      </c>
    </row>
    <row r="37" spans="1:6" x14ac:dyDescent="0.25">
      <c r="A37" s="114" t="s">
        <v>153</v>
      </c>
      <c r="B37" s="115" t="s">
        <v>118</v>
      </c>
      <c r="C37" s="116">
        <f>SUM(C32:C36)</f>
        <v>0.11219999999999999</v>
      </c>
      <c r="D37" s="116">
        <f t="shared" ref="D37:F37" si="2">SUM(D32:D36)</f>
        <v>8.5300000000000001E-2</v>
      </c>
      <c r="E37" s="116">
        <f t="shared" si="2"/>
        <v>0.11219999999999999</v>
      </c>
      <c r="F37" s="116">
        <f t="shared" si="2"/>
        <v>8.5300000000000001E-2</v>
      </c>
    </row>
    <row r="38" spans="1:6" x14ac:dyDescent="0.25">
      <c r="A38" s="442" t="s">
        <v>154</v>
      </c>
      <c r="B38" s="442"/>
      <c r="C38" s="442"/>
      <c r="D38" s="442"/>
      <c r="E38" s="442"/>
      <c r="F38" s="442"/>
    </row>
    <row r="39" spans="1:6" x14ac:dyDescent="0.25">
      <c r="A39" s="111" t="s">
        <v>155</v>
      </c>
      <c r="B39" s="112" t="s">
        <v>156</v>
      </c>
      <c r="C39" s="113">
        <v>9.7900000000000001E-2</v>
      </c>
      <c r="D39" s="113">
        <v>3.6400000000000002E-2</v>
      </c>
      <c r="E39" s="113">
        <v>0.1744</v>
      </c>
      <c r="F39" s="113">
        <v>6.8400000000000002E-2</v>
      </c>
    </row>
    <row r="40" spans="1:6" ht="33.75" x14ac:dyDescent="0.25">
      <c r="A40" s="111" t="s">
        <v>157</v>
      </c>
      <c r="B40" s="112" t="s">
        <v>158</v>
      </c>
      <c r="C40" s="113">
        <v>4.4999999999999997E-3</v>
      </c>
      <c r="D40" s="113">
        <v>3.3999999999999998E-3</v>
      </c>
      <c r="E40" s="113">
        <v>4.7000000000000002E-3</v>
      </c>
      <c r="F40" s="113">
        <v>3.5999999999999999E-3</v>
      </c>
    </row>
    <row r="41" spans="1:6" x14ac:dyDescent="0.25">
      <c r="A41" s="114" t="s">
        <v>159</v>
      </c>
      <c r="B41" s="115" t="s">
        <v>118</v>
      </c>
      <c r="C41" s="116">
        <f>SUM(C39:C40)</f>
        <v>0.1024</v>
      </c>
      <c r="D41" s="116">
        <f t="shared" ref="D41:F41" si="3">SUM(D39:D40)</f>
        <v>3.9800000000000002E-2</v>
      </c>
      <c r="E41" s="116">
        <f t="shared" si="3"/>
        <v>0.17910000000000001</v>
      </c>
      <c r="F41" s="116">
        <f t="shared" si="3"/>
        <v>7.2000000000000008E-2</v>
      </c>
    </row>
    <row r="42" spans="1:6" x14ac:dyDescent="0.25">
      <c r="A42" s="443" t="s">
        <v>160</v>
      </c>
      <c r="B42" s="443"/>
      <c r="C42" s="116">
        <f>SUM(C41,C37,C30,C18)</f>
        <v>0.90659999999999985</v>
      </c>
      <c r="D42" s="116">
        <f t="shared" ref="D42:F42" si="4">SUM(D41,D37,D30,D18)</f>
        <v>0.52899999999999991</v>
      </c>
      <c r="E42" s="116">
        <f t="shared" si="4"/>
        <v>1.1333</v>
      </c>
      <c r="F42" s="116">
        <f t="shared" si="4"/>
        <v>0.71120000000000005</v>
      </c>
    </row>
  </sheetData>
  <sheetProtection algorithmName="SHA-512" hashValue="v7whcTKm9J3z7xuyKD4nlPGhy7p7gt8/gYwUoYqJUHrRkA1jNdo+AM2kbLUO4VPkophJCJxiXOxHuWHsZmZVRg==" saltValue="sFasHlk2iYsk2SAanbq5dQ==" spinCount="100000" sheet="1" objects="1" scenarios="1" selectLockedCells="1" selectUnlockedCells="1"/>
  <mergeCells count="13">
    <mergeCell ref="A8:F8"/>
    <mergeCell ref="A19:F19"/>
    <mergeCell ref="A31:F31"/>
    <mergeCell ref="A38:F38"/>
    <mergeCell ref="A42:B42"/>
    <mergeCell ref="A1:F1"/>
    <mergeCell ref="A2:F2"/>
    <mergeCell ref="A3:F3"/>
    <mergeCell ref="A5:F5"/>
    <mergeCell ref="A6:A7"/>
    <mergeCell ref="B6:B7"/>
    <mergeCell ref="C6:D6"/>
    <mergeCell ref="E6:F6"/>
  </mergeCells>
  <pageMargins left="0.51181102362204722" right="0.51181102362204722" top="1.7716535433070868" bottom="1.1811023622047245" header="0.51181102362204722" footer="0.51181102362204722"/>
  <pageSetup paperSize="9" scale="97" fitToHeight="0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0238-E445-492D-A773-B3ADF40DB321}">
  <sheetPr>
    <tabColor theme="0" tint="-0.14999847407452621"/>
    <pageSetUpPr fitToPage="1"/>
  </sheetPr>
  <dimension ref="A1:F19"/>
  <sheetViews>
    <sheetView topLeftCell="A8" workbookViewId="0">
      <selection activeCell="E3" sqref="E3"/>
    </sheetView>
  </sheetViews>
  <sheetFormatPr defaultRowHeight="15" x14ac:dyDescent="0.25"/>
  <cols>
    <col min="1" max="1" width="4.7109375" bestFit="1" customWidth="1"/>
    <col min="2" max="2" width="38.28515625" customWidth="1"/>
    <col min="3" max="3" width="4.85546875" bestFit="1" customWidth="1"/>
    <col min="4" max="4" width="7.85546875" bestFit="1" customWidth="1"/>
    <col min="5" max="5" width="16.28515625" bestFit="1" customWidth="1"/>
    <col min="6" max="6" width="14.7109375" bestFit="1" customWidth="1"/>
    <col min="7" max="7" width="22.42578125" bestFit="1" customWidth="1"/>
  </cols>
  <sheetData>
    <row r="1" spans="1:6" x14ac:dyDescent="0.25">
      <c r="A1" s="304" t="s">
        <v>420</v>
      </c>
      <c r="B1" s="304"/>
      <c r="C1" s="304"/>
      <c r="D1" s="304"/>
      <c r="E1" s="304"/>
      <c r="F1" s="304"/>
    </row>
    <row r="2" spans="1:6" ht="33.75" x14ac:dyDescent="0.25">
      <c r="A2" s="305" t="s">
        <v>368</v>
      </c>
      <c r="B2" s="306"/>
      <c r="C2" s="307" t="s">
        <v>370</v>
      </c>
      <c r="D2" s="307"/>
      <c r="E2" s="24" t="s">
        <v>424</v>
      </c>
      <c r="F2" s="25" t="s">
        <v>410</v>
      </c>
    </row>
    <row r="3" spans="1:6" x14ac:dyDescent="0.25">
      <c r="A3" s="308" t="s">
        <v>369</v>
      </c>
      <c r="B3" s="309"/>
      <c r="C3" s="309"/>
      <c r="D3" s="309"/>
      <c r="E3" s="26" t="s">
        <v>24</v>
      </c>
      <c r="F3" s="27">
        <f>'GERAL '!B18</f>
        <v>5452.5</v>
      </c>
    </row>
    <row r="4" spans="1:6" x14ac:dyDescent="0.25">
      <c r="A4" s="300" t="s">
        <v>25</v>
      </c>
      <c r="B4" s="300" t="s">
        <v>26</v>
      </c>
      <c r="C4" s="300" t="s">
        <v>27</v>
      </c>
      <c r="D4" s="302" t="s">
        <v>28</v>
      </c>
      <c r="E4" s="310" t="s">
        <v>29</v>
      </c>
      <c r="F4" s="311"/>
    </row>
    <row r="5" spans="1:6" x14ac:dyDescent="0.25">
      <c r="A5" s="301"/>
      <c r="B5" s="301"/>
      <c r="C5" s="301"/>
      <c r="D5" s="303"/>
      <c r="E5" s="312"/>
      <c r="F5" s="313"/>
    </row>
    <row r="6" spans="1:6" x14ac:dyDescent="0.25">
      <c r="A6" s="28" t="s">
        <v>30</v>
      </c>
      <c r="B6" s="317" t="s">
        <v>31</v>
      </c>
      <c r="C6" s="318"/>
      <c r="D6" s="318"/>
      <c r="E6" s="319">
        <f>SUM(E7:F9)</f>
        <v>63978</v>
      </c>
      <c r="F6" s="320"/>
    </row>
    <row r="7" spans="1:6" x14ac:dyDescent="0.25">
      <c r="A7" s="29" t="s">
        <v>32</v>
      </c>
      <c r="B7" s="36" t="s">
        <v>38</v>
      </c>
      <c r="C7" s="30" t="s">
        <v>15</v>
      </c>
      <c r="D7" s="37">
        <v>6</v>
      </c>
      <c r="E7" s="314">
        <f>'ORÇAMENTO CD'!H11</f>
        <v>3542.22</v>
      </c>
      <c r="F7" s="315"/>
    </row>
    <row r="8" spans="1:6" x14ac:dyDescent="0.25">
      <c r="A8" s="29" t="s">
        <v>172</v>
      </c>
      <c r="B8" s="36" t="s">
        <v>39</v>
      </c>
      <c r="C8" s="30" t="s">
        <v>40</v>
      </c>
      <c r="D8" s="37">
        <v>3</v>
      </c>
      <c r="E8" s="314">
        <f>'ORÇAMENTO CD'!H12</f>
        <v>33118.75</v>
      </c>
      <c r="F8" s="315"/>
    </row>
    <row r="9" spans="1:6" x14ac:dyDescent="0.25">
      <c r="A9" s="29" t="s">
        <v>334</v>
      </c>
      <c r="B9" s="36" t="s">
        <v>39</v>
      </c>
      <c r="C9" s="30" t="s">
        <v>15</v>
      </c>
      <c r="D9" s="37">
        <f>'ORÇAMENTO CD'!E13</f>
        <v>5452.5</v>
      </c>
      <c r="E9" s="314">
        <f>'ORÇAMENTO CD'!H13</f>
        <v>27317.03</v>
      </c>
      <c r="F9" s="315"/>
    </row>
    <row r="10" spans="1:6" x14ac:dyDescent="0.25">
      <c r="A10" s="28" t="s">
        <v>33</v>
      </c>
      <c r="B10" s="317" t="s">
        <v>34</v>
      </c>
      <c r="C10" s="318"/>
      <c r="D10" s="318"/>
      <c r="E10" s="319">
        <f>SUM(E11:F17)</f>
        <v>686800.6</v>
      </c>
      <c r="F10" s="320"/>
    </row>
    <row r="11" spans="1:6" x14ac:dyDescent="0.25">
      <c r="A11" s="29" t="s">
        <v>35</v>
      </c>
      <c r="B11" s="36" t="s">
        <v>349</v>
      </c>
      <c r="C11" s="30" t="s">
        <v>36</v>
      </c>
      <c r="D11" s="38">
        <v>1</v>
      </c>
      <c r="E11" s="314">
        <f>SUM('ORÇAMENTO CD'!H30,'ORÇAMENTO CD'!H26,'ORÇAMENTO CD'!H22,'ORÇAMENTO CD'!H18,'ORÇAMENTO CD'!H15)</f>
        <v>127534</v>
      </c>
      <c r="F11" s="315"/>
    </row>
    <row r="12" spans="1:6" x14ac:dyDescent="0.25">
      <c r="A12" s="29" t="s">
        <v>320</v>
      </c>
      <c r="B12" s="36" t="s">
        <v>350</v>
      </c>
      <c r="C12" s="30" t="s">
        <v>36</v>
      </c>
      <c r="D12" s="38">
        <v>1</v>
      </c>
      <c r="E12" s="314">
        <f>'ORÇAMENTO CD'!H57</f>
        <v>27915.88</v>
      </c>
      <c r="F12" s="315"/>
    </row>
    <row r="13" spans="1:6" x14ac:dyDescent="0.25">
      <c r="A13" s="29" t="s">
        <v>321</v>
      </c>
      <c r="B13" s="36" t="s">
        <v>351</v>
      </c>
      <c r="C13" s="30" t="s">
        <v>36</v>
      </c>
      <c r="D13" s="38">
        <v>1</v>
      </c>
      <c r="E13" s="314">
        <f>'ORÇAMENTO CD'!H81</f>
        <v>13432.330000000002</v>
      </c>
      <c r="F13" s="315"/>
    </row>
    <row r="14" spans="1:6" x14ac:dyDescent="0.25">
      <c r="A14" s="29" t="s">
        <v>322</v>
      </c>
      <c r="B14" s="36" t="s">
        <v>352</v>
      </c>
      <c r="C14" s="30" t="s">
        <v>36</v>
      </c>
      <c r="D14" s="38">
        <v>1</v>
      </c>
      <c r="E14" s="314">
        <f>'ORÇAMENTO CD'!H105</f>
        <v>62466.87000000001</v>
      </c>
      <c r="F14" s="315"/>
    </row>
    <row r="15" spans="1:6" x14ac:dyDescent="0.25">
      <c r="A15" s="29" t="s">
        <v>323</v>
      </c>
      <c r="B15" s="36" t="s">
        <v>353</v>
      </c>
      <c r="C15" s="30" t="s">
        <v>36</v>
      </c>
      <c r="D15" s="38">
        <v>1</v>
      </c>
      <c r="E15" s="314">
        <f>'ORÇAMENTO CD'!H129</f>
        <v>113647.5</v>
      </c>
      <c r="F15" s="315"/>
    </row>
    <row r="16" spans="1:6" x14ac:dyDescent="0.25">
      <c r="A16" s="29" t="s">
        <v>356</v>
      </c>
      <c r="B16" s="36" t="s">
        <v>354</v>
      </c>
      <c r="C16" s="30" t="s">
        <v>36</v>
      </c>
      <c r="D16" s="38">
        <v>1</v>
      </c>
      <c r="E16" s="314">
        <f>'ORÇAMENTO CD'!H153</f>
        <v>284726.58</v>
      </c>
      <c r="F16" s="315"/>
    </row>
    <row r="17" spans="1:6" x14ac:dyDescent="0.25">
      <c r="A17" s="29" t="s">
        <v>357</v>
      </c>
      <c r="B17" s="36" t="s">
        <v>355</v>
      </c>
      <c r="C17" s="30" t="s">
        <v>36</v>
      </c>
      <c r="D17" s="38">
        <v>1</v>
      </c>
      <c r="E17" s="314">
        <f>'ORÇAMENTO CD'!H177</f>
        <v>57077.439999999995</v>
      </c>
      <c r="F17" s="315"/>
    </row>
    <row r="18" spans="1:6" x14ac:dyDescent="0.25">
      <c r="A18" s="31"/>
      <c r="B18" s="32"/>
      <c r="C18" s="32"/>
      <c r="D18" s="33"/>
      <c r="E18" s="33"/>
      <c r="F18" s="34"/>
    </row>
    <row r="19" spans="1:6" x14ac:dyDescent="0.25">
      <c r="A19" s="316" t="s">
        <v>37</v>
      </c>
      <c r="B19" s="316"/>
      <c r="C19" s="316"/>
      <c r="D19" s="316"/>
      <c r="E19" s="316"/>
      <c r="F19" s="35">
        <f>E6+E10</f>
        <v>750778.6</v>
      </c>
    </row>
  </sheetData>
  <sheetProtection algorithmName="SHA-512" hashValue="mSlPV5DFisI+yZPaCE0uC+voOGgJxT+XFzBpsqHKi9v9lf0OHNWGlpVYXLaFeTsoTIijrTve83PtnVgsg+LU9A==" saltValue="Xr7vHZ+MGOjug9Ai8541CQ==" spinCount="100000" sheet="1" objects="1" scenarios="1" selectLockedCells="1" selectUnlockedCells="1"/>
  <mergeCells count="24">
    <mergeCell ref="E17:F17"/>
    <mergeCell ref="A19:E19"/>
    <mergeCell ref="E11:F11"/>
    <mergeCell ref="E12:F12"/>
    <mergeCell ref="E13:F13"/>
    <mergeCell ref="E14:F14"/>
    <mergeCell ref="E15:F15"/>
    <mergeCell ref="E16:F16"/>
    <mergeCell ref="B10:D10"/>
    <mergeCell ref="E10:F10"/>
    <mergeCell ref="A1:F1"/>
    <mergeCell ref="A2:B2"/>
    <mergeCell ref="C2:D2"/>
    <mergeCell ref="A3:D3"/>
    <mergeCell ref="A4:A5"/>
    <mergeCell ref="B4:B5"/>
    <mergeCell ref="C4:C5"/>
    <mergeCell ref="D4:D5"/>
    <mergeCell ref="E4:F5"/>
    <mergeCell ref="B6:D6"/>
    <mergeCell ref="E6:F6"/>
    <mergeCell ref="E7:F7"/>
    <mergeCell ref="E8:F8"/>
    <mergeCell ref="E9:F9"/>
  </mergeCells>
  <pageMargins left="0.51181102362204722" right="0.51181102362204722" top="1.7716535433070868" bottom="1.1811023622047245" header="0.51181102362204722" footer="0.51181102362204722"/>
  <pageSetup paperSize="9" fitToHeight="0" orientation="portrait" r:id="rId1"/>
  <headerFooter>
    <oddHeader>&amp;C&amp;G</oddHeader>
    <oddFooter>&amp;C&amp;G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E636D-D568-442E-9255-F38C2467BCE1}">
  <sheetPr>
    <tabColor theme="0" tint="-0.14999847407452621"/>
    <pageSetUpPr fitToPage="1"/>
  </sheetPr>
  <dimension ref="A1:J39"/>
  <sheetViews>
    <sheetView topLeftCell="A30" workbookViewId="0">
      <selection sqref="A1:I1"/>
    </sheetView>
  </sheetViews>
  <sheetFormatPr defaultRowHeight="15" x14ac:dyDescent="0.25"/>
  <cols>
    <col min="1" max="1" width="9.140625" style="23"/>
    <col min="2" max="2" width="32.42578125" bestFit="1" customWidth="1"/>
    <col min="3" max="3" width="7.28515625" customWidth="1"/>
    <col min="4" max="4" width="15.28515625" customWidth="1"/>
    <col min="5" max="5" width="14.42578125" bestFit="1" customWidth="1"/>
    <col min="6" max="8" width="14.42578125" customWidth="1"/>
    <col min="9" max="9" width="14.42578125" bestFit="1" customWidth="1"/>
    <col min="10" max="10" width="12.140625" bestFit="1" customWidth="1"/>
  </cols>
  <sheetData>
    <row r="1" spans="1:9" x14ac:dyDescent="0.25">
      <c r="A1" s="328" t="s">
        <v>185</v>
      </c>
      <c r="B1" s="329"/>
      <c r="C1" s="329"/>
      <c r="D1" s="329"/>
      <c r="E1" s="329"/>
      <c r="F1" s="329"/>
      <c r="G1" s="329"/>
      <c r="H1" s="329"/>
      <c r="I1" s="330"/>
    </row>
    <row r="2" spans="1:9" ht="15" customHeight="1" x14ac:dyDescent="0.25">
      <c r="A2" s="331" t="str">
        <f>'RESUMO CD'!A2:B2</f>
        <v>OBJETO:  PAVIMENTAÇÃO DE VIAS PÚBLICAS NO MUNÍCIO DE BARRO DURO-PI</v>
      </c>
      <c r="B2" s="332"/>
      <c r="C2" s="332"/>
      <c r="D2" s="332"/>
      <c r="E2" s="332"/>
      <c r="F2" s="332"/>
      <c r="G2" s="332"/>
      <c r="H2" s="332"/>
      <c r="I2" s="333"/>
    </row>
    <row r="3" spans="1:9" x14ac:dyDescent="0.25">
      <c r="A3" s="334"/>
      <c r="B3" s="335"/>
      <c r="C3" s="335"/>
      <c r="D3" s="335"/>
      <c r="E3" s="335"/>
      <c r="F3" s="335"/>
      <c r="G3" s="335"/>
      <c r="H3" s="335"/>
      <c r="I3" s="336"/>
    </row>
    <row r="4" spans="1:9" ht="15.75" customHeight="1" x14ac:dyDescent="0.25">
      <c r="A4" s="337" t="s">
        <v>25</v>
      </c>
      <c r="B4" s="337" t="s">
        <v>186</v>
      </c>
      <c r="C4" s="338" t="s">
        <v>190</v>
      </c>
      <c r="D4" s="339" t="s">
        <v>225</v>
      </c>
      <c r="E4" s="340" t="s">
        <v>187</v>
      </c>
      <c r="F4" s="340"/>
      <c r="G4" s="340"/>
      <c r="H4" s="340"/>
      <c r="I4" s="340"/>
    </row>
    <row r="5" spans="1:9" ht="23.25" customHeight="1" x14ac:dyDescent="0.25">
      <c r="A5" s="337"/>
      <c r="B5" s="337"/>
      <c r="C5" s="338"/>
      <c r="D5" s="339"/>
      <c r="E5" s="251">
        <v>30</v>
      </c>
      <c r="F5" s="251">
        <v>90</v>
      </c>
      <c r="G5" s="251">
        <v>150</v>
      </c>
      <c r="H5" s="251">
        <v>210</v>
      </c>
      <c r="I5" s="251">
        <v>270</v>
      </c>
    </row>
    <row r="6" spans="1:9" x14ac:dyDescent="0.25">
      <c r="A6" s="250" t="s">
        <v>30</v>
      </c>
      <c r="B6" s="325" t="s">
        <v>31</v>
      </c>
      <c r="C6" s="326"/>
      <c r="D6" s="326"/>
      <c r="E6" s="326"/>
      <c r="F6" s="326"/>
      <c r="G6" s="326"/>
      <c r="H6" s="326"/>
      <c r="I6" s="327"/>
    </row>
    <row r="7" spans="1:9" x14ac:dyDescent="0.25">
      <c r="A7" s="321" t="s">
        <v>32</v>
      </c>
      <c r="B7" s="322" t="s">
        <v>38</v>
      </c>
      <c r="C7" s="323">
        <f>D7/$D$36</f>
        <v>4.7180620225456618E-3</v>
      </c>
      <c r="D7" s="324">
        <f>'ORÇAMENTO CD'!H11</f>
        <v>3542.22</v>
      </c>
      <c r="E7" s="132">
        <f>D7*E8</f>
        <v>3542.22</v>
      </c>
      <c r="F7" s="132"/>
      <c r="G7" s="132"/>
      <c r="H7" s="132"/>
      <c r="I7" s="133"/>
    </row>
    <row r="8" spans="1:9" x14ac:dyDescent="0.25">
      <c r="A8" s="321"/>
      <c r="B8" s="322"/>
      <c r="C8" s="323"/>
      <c r="D8" s="324"/>
      <c r="E8" s="134">
        <v>1</v>
      </c>
      <c r="F8" s="134"/>
      <c r="G8" s="134"/>
      <c r="H8" s="134"/>
      <c r="I8" s="134"/>
    </row>
    <row r="9" spans="1:9" x14ac:dyDescent="0.25">
      <c r="A9" s="321" t="s">
        <v>172</v>
      </c>
      <c r="B9" s="322" t="s">
        <v>39</v>
      </c>
      <c r="C9" s="323">
        <f>D9/$D$36</f>
        <v>4.4112538636556779E-2</v>
      </c>
      <c r="D9" s="324">
        <f>'ORÇAMENTO CD'!H12</f>
        <v>33118.75</v>
      </c>
      <c r="E9" s="132">
        <f>D9*E10</f>
        <v>6623.75</v>
      </c>
      <c r="F9" s="132">
        <f>D9*F10</f>
        <v>6623.75</v>
      </c>
      <c r="G9" s="132">
        <f>D9*G10</f>
        <v>6623.75</v>
      </c>
      <c r="H9" s="132">
        <f>D9*H10</f>
        <v>6623.75</v>
      </c>
      <c r="I9" s="132">
        <f>D9*I10</f>
        <v>6623.75</v>
      </c>
    </row>
    <row r="10" spans="1:9" x14ac:dyDescent="0.25">
      <c r="A10" s="321"/>
      <c r="B10" s="322"/>
      <c r="C10" s="323"/>
      <c r="D10" s="324"/>
      <c r="E10" s="134">
        <f>100%/5</f>
        <v>0.2</v>
      </c>
      <c r="F10" s="134">
        <f t="shared" ref="F10:I10" si="0">100%/5</f>
        <v>0.2</v>
      </c>
      <c r="G10" s="134">
        <f t="shared" si="0"/>
        <v>0.2</v>
      </c>
      <c r="H10" s="134">
        <f t="shared" si="0"/>
        <v>0.2</v>
      </c>
      <c r="I10" s="134">
        <f t="shared" si="0"/>
        <v>0.2</v>
      </c>
    </row>
    <row r="11" spans="1:9" x14ac:dyDescent="0.25">
      <c r="A11" s="321" t="s">
        <v>334</v>
      </c>
      <c r="B11" s="322" t="s">
        <v>289</v>
      </c>
      <c r="C11" s="323">
        <f>D11/$D$36</f>
        <v>3.6384934253586881E-2</v>
      </c>
      <c r="D11" s="324">
        <f>'ORÇAMENTO CD'!H13</f>
        <v>27317.03</v>
      </c>
      <c r="E11" s="132"/>
      <c r="F11" s="132"/>
      <c r="G11" s="132"/>
      <c r="H11" s="132"/>
      <c r="I11" s="132">
        <f>D11</f>
        <v>27317.03</v>
      </c>
    </row>
    <row r="12" spans="1:9" x14ac:dyDescent="0.25">
      <c r="A12" s="321"/>
      <c r="B12" s="322"/>
      <c r="C12" s="323"/>
      <c r="D12" s="324"/>
      <c r="E12" s="134"/>
      <c r="F12" s="134"/>
      <c r="G12" s="134"/>
      <c r="H12" s="134"/>
      <c r="I12" s="134">
        <f>I11/D11</f>
        <v>1</v>
      </c>
    </row>
    <row r="13" spans="1:9" x14ac:dyDescent="0.25">
      <c r="A13" s="31"/>
      <c r="B13" s="135"/>
      <c r="C13" s="136"/>
      <c r="D13" s="33"/>
      <c r="E13" s="137"/>
      <c r="F13" s="137"/>
      <c r="G13" s="137"/>
      <c r="H13" s="137"/>
      <c r="I13" s="138"/>
    </row>
    <row r="14" spans="1:9" x14ac:dyDescent="0.25">
      <c r="A14" s="250" t="s">
        <v>33</v>
      </c>
      <c r="B14" s="325" t="s">
        <v>34</v>
      </c>
      <c r="C14" s="326"/>
      <c r="D14" s="326"/>
      <c r="E14" s="326"/>
      <c r="F14" s="326"/>
      <c r="G14" s="326"/>
      <c r="H14" s="326"/>
      <c r="I14" s="327"/>
    </row>
    <row r="15" spans="1:9" x14ac:dyDescent="0.25">
      <c r="A15" s="321" t="s">
        <v>35</v>
      </c>
      <c r="B15" s="322" t="str">
        <f>'RESUMO CD'!B11</f>
        <v xml:space="preserve">RUA SETE DE SETEMBRO </v>
      </c>
      <c r="C15" s="323">
        <f>D15/$D$36</f>
        <v>0.16986898667596548</v>
      </c>
      <c r="D15" s="324">
        <f>'ORÇAMENTO CD'!H33</f>
        <v>127534</v>
      </c>
      <c r="E15" s="132">
        <f>D15*E16</f>
        <v>89273.799999999988</v>
      </c>
      <c r="F15" s="132">
        <f>D15*F16</f>
        <v>38260.199999999997</v>
      </c>
      <c r="G15" s="132"/>
      <c r="H15" s="132"/>
      <c r="I15" s="133"/>
    </row>
    <row r="16" spans="1:9" x14ac:dyDescent="0.25">
      <c r="A16" s="321"/>
      <c r="B16" s="322"/>
      <c r="C16" s="323"/>
      <c r="D16" s="324"/>
      <c r="E16" s="134">
        <v>0.7</v>
      </c>
      <c r="F16" s="134">
        <v>0.3</v>
      </c>
      <c r="G16" s="134"/>
      <c r="H16" s="134"/>
      <c r="I16" s="134"/>
    </row>
    <row r="17" spans="1:10" x14ac:dyDescent="0.25">
      <c r="A17" s="234"/>
      <c r="B17" s="235"/>
      <c r="C17" s="235"/>
      <c r="D17" s="235"/>
      <c r="E17" s="235"/>
      <c r="F17" s="235"/>
      <c r="G17" s="235"/>
      <c r="H17" s="235"/>
      <c r="I17" s="236"/>
    </row>
    <row r="18" spans="1:10" x14ac:dyDescent="0.25">
      <c r="A18" s="321" t="s">
        <v>320</v>
      </c>
      <c r="B18" s="322" t="str">
        <f>'RESUMO CD'!B12</f>
        <v xml:space="preserve">RUA FIO </v>
      </c>
      <c r="C18" s="323">
        <f>D18/$D$36</f>
        <v>3.7182572865023064E-2</v>
      </c>
      <c r="D18" s="324">
        <f>'ORÇAMENTO CD'!H57</f>
        <v>27915.88</v>
      </c>
      <c r="E18" s="132">
        <f>D18*E19</f>
        <v>27915.88</v>
      </c>
      <c r="F18" s="132"/>
      <c r="G18" s="132"/>
      <c r="H18" s="132"/>
      <c r="I18" s="132"/>
    </row>
    <row r="19" spans="1:10" x14ac:dyDescent="0.25">
      <c r="A19" s="321"/>
      <c r="B19" s="322"/>
      <c r="C19" s="323"/>
      <c r="D19" s="324"/>
      <c r="E19" s="134">
        <v>1</v>
      </c>
      <c r="F19" s="134"/>
      <c r="G19" s="134"/>
      <c r="H19" s="134"/>
      <c r="I19" s="134"/>
    </row>
    <row r="20" spans="1:10" x14ac:dyDescent="0.25">
      <c r="A20" s="31"/>
      <c r="B20" s="135"/>
      <c r="C20" s="136"/>
      <c r="D20" s="33"/>
      <c r="E20" s="137"/>
      <c r="F20" s="137"/>
      <c r="G20" s="137"/>
      <c r="H20" s="137"/>
      <c r="I20" s="138"/>
    </row>
    <row r="21" spans="1:10" x14ac:dyDescent="0.25">
      <c r="A21" s="321" t="s">
        <v>321</v>
      </c>
      <c r="B21" s="322" t="str">
        <f>'RESUMO CD'!B13</f>
        <v xml:space="preserve">RUA CANDIDA VIEIRA </v>
      </c>
      <c r="C21" s="323">
        <f>D21/$D$36</f>
        <v>1.7891199882362128E-2</v>
      </c>
      <c r="D21" s="324">
        <f>'ORÇAMENTO CD'!H81</f>
        <v>13432.330000000002</v>
      </c>
      <c r="E21" s="132"/>
      <c r="F21" s="132">
        <f>D21*F22</f>
        <v>13432.330000000002</v>
      </c>
      <c r="G21" s="132"/>
      <c r="H21" s="132"/>
      <c r="I21" s="132"/>
    </row>
    <row r="22" spans="1:10" x14ac:dyDescent="0.25">
      <c r="A22" s="321"/>
      <c r="B22" s="322"/>
      <c r="C22" s="323"/>
      <c r="D22" s="324"/>
      <c r="E22" s="134"/>
      <c r="F22" s="134">
        <v>1</v>
      </c>
      <c r="G22" s="134"/>
      <c r="H22" s="134"/>
      <c r="I22" s="134"/>
    </row>
    <row r="23" spans="1:10" x14ac:dyDescent="0.25">
      <c r="A23" s="31"/>
      <c r="B23" s="135"/>
      <c r="C23" s="136"/>
      <c r="D23" s="33"/>
      <c r="E23" s="137"/>
      <c r="F23" s="137"/>
      <c r="G23" s="137"/>
      <c r="H23" s="137"/>
      <c r="I23" s="138"/>
    </row>
    <row r="24" spans="1:10" x14ac:dyDescent="0.25">
      <c r="A24" s="321" t="s">
        <v>322</v>
      </c>
      <c r="B24" s="322" t="str">
        <f>'RESUMO CD'!B14</f>
        <v xml:space="preserve">RUA SÃO PEDRO </v>
      </c>
      <c r="C24" s="323">
        <f>D24/$D$36</f>
        <v>8.3202784416071554E-2</v>
      </c>
      <c r="D24" s="324">
        <f>'ORÇAMENTO CD'!H105</f>
        <v>62466.87000000001</v>
      </c>
      <c r="E24" s="132"/>
      <c r="F24" s="132">
        <f>D24*F25</f>
        <v>37480.122000000003</v>
      </c>
      <c r="G24" s="132">
        <f>D24*G25</f>
        <v>24986.748000000007</v>
      </c>
      <c r="H24" s="132"/>
      <c r="I24" s="132"/>
      <c r="J24" s="258"/>
    </row>
    <row r="25" spans="1:10" x14ac:dyDescent="0.25">
      <c r="A25" s="321"/>
      <c r="B25" s="322"/>
      <c r="C25" s="323"/>
      <c r="D25" s="324"/>
      <c r="E25" s="134"/>
      <c r="F25" s="134">
        <v>0.6</v>
      </c>
      <c r="G25" s="134">
        <v>0.4</v>
      </c>
      <c r="H25" s="134"/>
      <c r="I25" s="134"/>
    </row>
    <row r="26" spans="1:10" x14ac:dyDescent="0.25">
      <c r="A26" s="31"/>
      <c r="B26" s="135"/>
      <c r="C26" s="136"/>
      <c r="D26" s="33"/>
      <c r="E26" s="137"/>
      <c r="F26" s="137"/>
      <c r="G26" s="137"/>
      <c r="H26" s="137"/>
      <c r="I26" s="138"/>
    </row>
    <row r="27" spans="1:10" x14ac:dyDescent="0.25">
      <c r="A27" s="321" t="s">
        <v>323</v>
      </c>
      <c r="B27" s="322" t="str">
        <f>'RESUMO CD'!B15</f>
        <v xml:space="preserve">RUA DO SAQUIM </v>
      </c>
      <c r="C27" s="323">
        <f>D27/$D$36</f>
        <v>0.15137285479367688</v>
      </c>
      <c r="D27" s="324">
        <f>'ORÇAMENTO CD'!H129</f>
        <v>113647.5</v>
      </c>
      <c r="E27" s="132"/>
      <c r="F27" s="132"/>
      <c r="G27" s="132">
        <f>D27*G28</f>
        <v>113647.5</v>
      </c>
      <c r="H27" s="132"/>
      <c r="I27" s="132"/>
    </row>
    <row r="28" spans="1:10" x14ac:dyDescent="0.25">
      <c r="A28" s="321"/>
      <c r="B28" s="322"/>
      <c r="C28" s="323"/>
      <c r="D28" s="324"/>
      <c r="E28" s="134"/>
      <c r="F28" s="134"/>
      <c r="G28" s="134">
        <v>1</v>
      </c>
      <c r="H28" s="134"/>
      <c r="I28" s="134"/>
    </row>
    <row r="29" spans="1:10" x14ac:dyDescent="0.25">
      <c r="A29" s="31"/>
      <c r="B29" s="135"/>
      <c r="C29" s="136"/>
      <c r="D29" s="33"/>
      <c r="E29" s="137"/>
      <c r="F29" s="137"/>
      <c r="G29" s="137"/>
      <c r="H29" s="137"/>
      <c r="I29" s="138"/>
    </row>
    <row r="30" spans="1:10" x14ac:dyDescent="0.25">
      <c r="A30" s="321" t="s">
        <v>356</v>
      </c>
      <c r="B30" s="322" t="str">
        <f>'RESUMO CD'!B16</f>
        <v xml:space="preserve">RUA DO PAIOL AO BREJO DE BAIXO </v>
      </c>
      <c r="C30" s="323">
        <f>D30/$D$36</f>
        <v>0.37924173651193582</v>
      </c>
      <c r="D30" s="324">
        <f>'ORÇAMENTO CD'!H153</f>
        <v>284726.58</v>
      </c>
      <c r="E30" s="132"/>
      <c r="F30" s="132"/>
      <c r="G30" s="132"/>
      <c r="H30" s="132">
        <f>D30*H31</f>
        <v>142363.29</v>
      </c>
      <c r="I30" s="132">
        <f>D30*I31</f>
        <v>142363.29</v>
      </c>
    </row>
    <row r="31" spans="1:10" x14ac:dyDescent="0.25">
      <c r="A31" s="321"/>
      <c r="B31" s="322"/>
      <c r="C31" s="323"/>
      <c r="D31" s="324"/>
      <c r="E31" s="134"/>
      <c r="F31" s="134"/>
      <c r="G31" s="134"/>
      <c r="H31" s="134">
        <v>0.5</v>
      </c>
      <c r="I31" s="134">
        <v>0.5</v>
      </c>
    </row>
    <row r="32" spans="1:10" x14ac:dyDescent="0.25">
      <c r="A32" s="234"/>
      <c r="B32" s="235"/>
      <c r="C32" s="235"/>
      <c r="D32" s="235"/>
      <c r="E32" s="235"/>
      <c r="F32" s="235"/>
      <c r="G32" s="235"/>
      <c r="H32" s="235"/>
      <c r="I32" s="236"/>
    </row>
    <row r="33" spans="1:9" x14ac:dyDescent="0.25">
      <c r="A33" s="321" t="s">
        <v>357</v>
      </c>
      <c r="B33" s="322" t="str">
        <f>'RESUMO CD'!B17</f>
        <v xml:space="preserve">RUA DO MORRO DO BAIRRO MALHADA </v>
      </c>
      <c r="C33" s="323">
        <f>D33/$D$36</f>
        <v>7.6024329942275939E-2</v>
      </c>
      <c r="D33" s="324">
        <f>'ORÇAMENTO CD'!H177</f>
        <v>57077.439999999995</v>
      </c>
      <c r="E33" s="132"/>
      <c r="F33" s="132"/>
      <c r="G33" s="132"/>
      <c r="H33" s="132"/>
      <c r="I33" s="132">
        <f>D33*I34</f>
        <v>57077.439999999995</v>
      </c>
    </row>
    <row r="34" spans="1:9" x14ac:dyDescent="0.25">
      <c r="A34" s="321"/>
      <c r="B34" s="322"/>
      <c r="C34" s="323"/>
      <c r="D34" s="324"/>
      <c r="E34" s="134"/>
      <c r="F34" s="134"/>
      <c r="G34" s="134"/>
      <c r="H34" s="134"/>
      <c r="I34" s="134">
        <v>1</v>
      </c>
    </row>
    <row r="35" spans="1:9" x14ac:dyDescent="0.25">
      <c r="A35" s="234"/>
      <c r="B35" s="235"/>
      <c r="C35" s="235"/>
      <c r="D35" s="235"/>
      <c r="E35" s="235"/>
      <c r="F35" s="235"/>
      <c r="G35" s="235"/>
      <c r="H35" s="235"/>
      <c r="I35" s="236"/>
    </row>
    <row r="36" spans="1:9" x14ac:dyDescent="0.25">
      <c r="A36" s="341" t="s">
        <v>188</v>
      </c>
      <c r="B36" s="342"/>
      <c r="C36" s="347"/>
      <c r="D36" s="345">
        <f>SUM(D27,D24,D21,D18,D15,D11,D9,D7,D30,D33)</f>
        <v>750778.59999999986</v>
      </c>
      <c r="E36" s="248">
        <f>SUM(E27,E24,E21,E18,E15,E9,E7,E11,E30,E33)</f>
        <v>127355.65</v>
      </c>
      <c r="F36" s="248">
        <f t="shared" ref="F36:I36" si="1">SUM(F27,F24,F21,F18,F15,F9,F7,F11,F30,F33)</f>
        <v>95796.402000000002</v>
      </c>
      <c r="G36" s="248">
        <f t="shared" si="1"/>
        <v>145257.99800000002</v>
      </c>
      <c r="H36" s="248">
        <f t="shared" si="1"/>
        <v>148987.04</v>
      </c>
      <c r="I36" s="248">
        <f t="shared" si="1"/>
        <v>233381.51</v>
      </c>
    </row>
    <row r="37" spans="1:9" x14ac:dyDescent="0.25">
      <c r="A37" s="343"/>
      <c r="B37" s="344"/>
      <c r="C37" s="348"/>
      <c r="D37" s="346"/>
      <c r="E37" s="248">
        <f>E36</f>
        <v>127355.65</v>
      </c>
      <c r="F37" s="248">
        <f>E37+F36</f>
        <v>223152.052</v>
      </c>
      <c r="G37" s="248">
        <f>F37+G36</f>
        <v>368410.05000000005</v>
      </c>
      <c r="H37" s="248">
        <f>G37+H36</f>
        <v>517397.09000000008</v>
      </c>
      <c r="I37" s="248">
        <f>H37+I36</f>
        <v>750778.60000000009</v>
      </c>
    </row>
    <row r="38" spans="1:9" x14ac:dyDescent="0.25">
      <c r="A38" s="341" t="s">
        <v>189</v>
      </c>
      <c r="B38" s="342"/>
      <c r="C38" s="348"/>
      <c r="D38" s="350">
        <f t="shared" ref="D38:I38" si="2">D36/$D$36</f>
        <v>1</v>
      </c>
      <c r="E38" s="249">
        <f t="shared" si="2"/>
        <v>0.16963143328805591</v>
      </c>
      <c r="F38" s="249">
        <f t="shared" si="2"/>
        <v>0.12759607426210606</v>
      </c>
      <c r="G38" s="249">
        <f t="shared" si="2"/>
        <v>0.19347647628741688</v>
      </c>
      <c r="H38" s="249">
        <f t="shared" si="2"/>
        <v>0.19844337598327927</v>
      </c>
      <c r="I38" s="249">
        <f t="shared" si="2"/>
        <v>0.3108526401791421</v>
      </c>
    </row>
    <row r="39" spans="1:9" x14ac:dyDescent="0.25">
      <c r="A39" s="343"/>
      <c r="B39" s="344"/>
      <c r="C39" s="349"/>
      <c r="D39" s="351"/>
      <c r="E39" s="249">
        <f>E37/$D$36</f>
        <v>0.16963143328805591</v>
      </c>
      <c r="F39" s="249">
        <f>F37/$D$36</f>
        <v>0.29722750755016197</v>
      </c>
      <c r="G39" s="249">
        <f>G37/$D$36</f>
        <v>0.49070398383757891</v>
      </c>
      <c r="H39" s="249">
        <f>H37/$D$36</f>
        <v>0.68914735982085817</v>
      </c>
      <c r="I39" s="249">
        <f>I37/$D$36</f>
        <v>1.0000000000000002</v>
      </c>
    </row>
  </sheetData>
  <sheetProtection algorithmName="SHA-512" hashValue="eVRxgdYxLpT9GhZuBCAWhvJX1gKgb57EtrzfcQlGpOre/nQrkjBAXPbNgaZGr62EAflwDMcuGnUvUd+hmv2EZw==" saltValue="hEmqW3eCC+psLgvHsZ06EQ==" spinCount="100000" sheet="1" objects="1" scenarios="1" selectLockedCells="1" selectUnlockedCells="1"/>
  <mergeCells count="55">
    <mergeCell ref="A33:A34"/>
    <mergeCell ref="B33:B34"/>
    <mergeCell ref="C33:C34"/>
    <mergeCell ref="D33:D34"/>
    <mergeCell ref="A36:B37"/>
    <mergeCell ref="C36:C39"/>
    <mergeCell ref="D36:D37"/>
    <mergeCell ref="A38:B39"/>
    <mergeCell ref="D38:D39"/>
    <mergeCell ref="A27:A28"/>
    <mergeCell ref="B27:B28"/>
    <mergeCell ref="C27:C28"/>
    <mergeCell ref="D27:D28"/>
    <mergeCell ref="A30:A31"/>
    <mergeCell ref="B30:B31"/>
    <mergeCell ref="C30:C31"/>
    <mergeCell ref="D30:D31"/>
    <mergeCell ref="A21:A22"/>
    <mergeCell ref="B21:B22"/>
    <mergeCell ref="C21:C22"/>
    <mergeCell ref="D21:D22"/>
    <mergeCell ref="A24:A25"/>
    <mergeCell ref="B24:B25"/>
    <mergeCell ref="C24:C25"/>
    <mergeCell ref="D24:D25"/>
    <mergeCell ref="B14:I14"/>
    <mergeCell ref="A18:A19"/>
    <mergeCell ref="B18:B19"/>
    <mergeCell ref="C18:C19"/>
    <mergeCell ref="D18:D19"/>
    <mergeCell ref="A15:A16"/>
    <mergeCell ref="B15:B16"/>
    <mergeCell ref="C15:C16"/>
    <mergeCell ref="D15:D16"/>
    <mergeCell ref="B6:I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:I1"/>
    <mergeCell ref="A2:I2"/>
    <mergeCell ref="A3:I3"/>
    <mergeCell ref="A4:A5"/>
    <mergeCell ref="B4:B5"/>
    <mergeCell ref="C4:C5"/>
    <mergeCell ref="D4:D5"/>
    <mergeCell ref="E4:I4"/>
  </mergeCells>
  <conditionalFormatting sqref="E17:I17">
    <cfRule type="expression" dxfId="24" priority="1" stopIfTrue="1">
      <formula>LEN(TRIM(E17))&gt;0</formula>
    </cfRule>
  </conditionalFormatting>
  <conditionalFormatting sqref="E32:I32 E35:I35">
    <cfRule type="expression" dxfId="23" priority="2" stopIfTrue="1">
      <formula>LEN(TRIM(E32))&gt;0</formula>
    </cfRule>
  </conditionalFormatting>
  <pageMargins left="0.51181102362204722" right="0.51181102362204722" top="1.7716535433070868" bottom="1.1811023622047245" header="0.51181102362204722" footer="0.51181102362204722"/>
  <pageSetup paperSize="9" scale="67" fitToHeight="0" orientation="portrait" r:id="rId1"/>
  <headerFooter>
    <oddHeader>&amp;C&amp;G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057A-4EAF-4A84-81AF-B0FEB2216429}">
  <sheetPr>
    <tabColor theme="0" tint="-0.14999847407452621"/>
    <pageSetUpPr fitToPage="1"/>
  </sheetPr>
  <dimension ref="A1:H179"/>
  <sheetViews>
    <sheetView workbookViewId="0">
      <selection activeCell="G3" sqref="G3:G4"/>
    </sheetView>
  </sheetViews>
  <sheetFormatPr defaultRowHeight="15" x14ac:dyDescent="0.25"/>
  <cols>
    <col min="1" max="1" width="9.28515625" style="108" bestFit="1" customWidth="1"/>
    <col min="2" max="2" width="17.5703125" style="109" customWidth="1"/>
    <col min="3" max="3" width="44.7109375" style="109" bestFit="1" customWidth="1"/>
    <col min="4" max="4" width="12.5703125" style="109" bestFit="1" customWidth="1"/>
    <col min="5" max="5" width="8.7109375" style="109" bestFit="1" customWidth="1"/>
    <col min="6" max="6" width="12" style="109" bestFit="1" customWidth="1"/>
    <col min="7" max="7" width="16.28515625" style="109" bestFit="1" customWidth="1"/>
    <col min="8" max="8" width="17.28515625" style="108" bestFit="1" customWidth="1"/>
  </cols>
  <sheetData>
    <row r="1" spans="1:8" ht="15" customHeight="1" x14ac:dyDescent="0.25">
      <c r="A1" s="304" t="s">
        <v>163</v>
      </c>
      <c r="B1" s="304"/>
      <c r="C1" s="304"/>
      <c r="D1" s="304"/>
      <c r="E1" s="304"/>
      <c r="F1" s="304"/>
      <c r="G1" s="304"/>
      <c r="H1" s="304"/>
    </row>
    <row r="2" spans="1:8" ht="15" customHeight="1" x14ac:dyDescent="0.25">
      <c r="A2" s="304"/>
      <c r="B2" s="304"/>
      <c r="C2" s="304"/>
      <c r="D2" s="304"/>
      <c r="E2" s="304"/>
      <c r="F2" s="304"/>
      <c r="G2" s="304"/>
      <c r="H2" s="304"/>
    </row>
    <row r="3" spans="1:8" ht="23.25" customHeight="1" x14ac:dyDescent="0.25">
      <c r="A3" s="331" t="str">
        <f>'RESUMO CD'!A2:B2</f>
        <v>OBJETO:  PAVIMENTAÇÃO DE VIAS PÚBLICAS NO MUNÍCIO DE BARRO DURO-PI</v>
      </c>
      <c r="B3" s="332"/>
      <c r="C3" s="332"/>
      <c r="D3" s="332"/>
      <c r="E3" s="332"/>
      <c r="F3" s="357" t="s">
        <v>370</v>
      </c>
      <c r="G3" s="357" t="str">
        <f>'RESUMO CD'!E2</f>
        <v>COM DESONERAÇÃO
BDI: 26,86%</v>
      </c>
      <c r="H3" s="359" t="str">
        <f>'RESUMO CD'!F2</f>
        <v>HORISTA: 90,66%
MENSALISTA: 52,90%</v>
      </c>
    </row>
    <row r="4" spans="1:8" ht="15" customHeight="1" x14ac:dyDescent="0.25">
      <c r="A4" s="168" t="str">
        <f>'RESUMO CD'!A3:D3</f>
        <v>LOCAL: BREJO DE BAIXO, MALHADA</v>
      </c>
      <c r="B4" s="117"/>
      <c r="C4" s="117"/>
      <c r="D4" s="361"/>
      <c r="E4" s="361"/>
      <c r="F4" s="358"/>
      <c r="G4" s="358"/>
      <c r="H4" s="360"/>
    </row>
    <row r="5" spans="1:8" x14ac:dyDescent="0.25">
      <c r="A5" s="130"/>
      <c r="B5" s="117"/>
      <c r="C5" s="117"/>
      <c r="D5" s="181"/>
      <c r="E5" s="181"/>
      <c r="F5" s="179"/>
      <c r="G5" s="179"/>
      <c r="H5" s="180"/>
    </row>
    <row r="6" spans="1:8" x14ac:dyDescent="0.25">
      <c r="A6" s="240" t="s">
        <v>164</v>
      </c>
      <c r="B6" s="241" t="str">
        <f>'RESUMO CD'!B11</f>
        <v xml:space="preserve">RUA SETE DE SETEMBRO </v>
      </c>
      <c r="C6" s="242"/>
      <c r="D6" s="239" t="s">
        <v>165</v>
      </c>
      <c r="E6" s="243">
        <v>6</v>
      </c>
      <c r="F6" s="244"/>
      <c r="G6" s="244"/>
      <c r="H6" s="238"/>
    </row>
    <row r="7" spans="1:8" x14ac:dyDescent="0.25">
      <c r="A7" s="131" t="s">
        <v>166</v>
      </c>
      <c r="B7" s="129">
        <f>E7*E6</f>
        <v>1086</v>
      </c>
      <c r="C7" s="119"/>
      <c r="D7" s="120" t="s">
        <v>167</v>
      </c>
      <c r="E7" s="121">
        <v>181</v>
      </c>
      <c r="F7" s="122"/>
      <c r="G7" s="122"/>
      <c r="H7" s="187"/>
    </row>
    <row r="8" spans="1:8" x14ac:dyDescent="0.25">
      <c r="A8" s="300" t="s">
        <v>25</v>
      </c>
      <c r="B8" s="300" t="s">
        <v>92</v>
      </c>
      <c r="C8" s="300" t="s">
        <v>26</v>
      </c>
      <c r="D8" s="300" t="s">
        <v>27</v>
      </c>
      <c r="E8" s="302" t="s">
        <v>28</v>
      </c>
      <c r="F8" s="354" t="s">
        <v>168</v>
      </c>
      <c r="G8" s="355"/>
      <c r="H8" s="356"/>
    </row>
    <row r="9" spans="1:8" x14ac:dyDescent="0.25">
      <c r="A9" s="301"/>
      <c r="B9" s="301"/>
      <c r="C9" s="301"/>
      <c r="D9" s="301"/>
      <c r="E9" s="303"/>
      <c r="F9" s="123" t="s">
        <v>169</v>
      </c>
      <c r="G9" s="123" t="s">
        <v>170</v>
      </c>
      <c r="H9" s="178" t="s">
        <v>171</v>
      </c>
    </row>
    <row r="10" spans="1:8" x14ac:dyDescent="0.25">
      <c r="A10" s="28" t="s">
        <v>30</v>
      </c>
      <c r="B10" s="317" t="s">
        <v>333</v>
      </c>
      <c r="C10" s="318"/>
      <c r="D10" s="318"/>
      <c r="E10" s="318"/>
      <c r="F10" s="318"/>
      <c r="G10" s="365"/>
      <c r="H10" s="124">
        <f>SUM(H11:H13)</f>
        <v>63978</v>
      </c>
    </row>
    <row r="11" spans="1:8" x14ac:dyDescent="0.25">
      <c r="A11" s="29" t="s">
        <v>32</v>
      </c>
      <c r="B11" s="111" t="s">
        <v>254</v>
      </c>
      <c r="C11" s="125" t="s">
        <v>38</v>
      </c>
      <c r="D11" s="111" t="s">
        <v>15</v>
      </c>
      <c r="E11" s="126">
        <f>'Memoria de Calculo '!C12</f>
        <v>6</v>
      </c>
      <c r="F11" s="126">
        <f>'COMPOSIÇÕES UNITÁRIAS CD'!G7</f>
        <v>460.72</v>
      </c>
      <c r="G11" s="128">
        <f>ROUND(F11*1.2814,2)</f>
        <v>590.37</v>
      </c>
      <c r="H11" s="128">
        <f>ROUND(E11*G11,2)</f>
        <v>3542.22</v>
      </c>
    </row>
    <row r="12" spans="1:8" x14ac:dyDescent="0.25">
      <c r="A12" s="29" t="s">
        <v>172</v>
      </c>
      <c r="B12" s="111" t="s">
        <v>255</v>
      </c>
      <c r="C12" s="125" t="s">
        <v>39</v>
      </c>
      <c r="D12" s="111" t="s">
        <v>40</v>
      </c>
      <c r="E12" s="126">
        <f>'Memoria de Calculo '!C16</f>
        <v>5</v>
      </c>
      <c r="F12" s="126">
        <f>'COMPOSIÇÕES UNITÁRIAS CD'!G17</f>
        <v>5169.1499999999996</v>
      </c>
      <c r="G12" s="128">
        <f>ROUND(F12*1.2814,2)</f>
        <v>6623.75</v>
      </c>
      <c r="H12" s="128">
        <f>ROUND(E12*G12,2)</f>
        <v>33118.75</v>
      </c>
    </row>
    <row r="13" spans="1:8" x14ac:dyDescent="0.25">
      <c r="A13" s="29" t="s">
        <v>334</v>
      </c>
      <c r="B13" s="111" t="s">
        <v>335</v>
      </c>
      <c r="C13" s="125" t="s">
        <v>289</v>
      </c>
      <c r="D13" s="111" t="s">
        <v>15</v>
      </c>
      <c r="E13" s="126">
        <f>'Memoria de Calculo '!C20</f>
        <v>5452.5</v>
      </c>
      <c r="F13" s="126">
        <f>'COMPOSIÇÕES UNITÁRIAS CD'!G22</f>
        <v>3.91</v>
      </c>
      <c r="G13" s="128">
        <f>ROUND(F13*1.2814,2)</f>
        <v>5.01</v>
      </c>
      <c r="H13" s="128">
        <f>ROUND(E13*G13,2)</f>
        <v>27317.03</v>
      </c>
    </row>
    <row r="14" spans="1:8" x14ac:dyDescent="0.25">
      <c r="A14" s="362"/>
      <c r="B14" s="363"/>
      <c r="C14" s="363"/>
      <c r="D14" s="363"/>
      <c r="E14" s="363"/>
      <c r="F14" s="363"/>
      <c r="G14" s="363"/>
      <c r="H14" s="364"/>
    </row>
    <row r="15" spans="1:8" x14ac:dyDescent="0.25">
      <c r="A15" s="28" t="s">
        <v>33</v>
      </c>
      <c r="B15" s="353" t="s">
        <v>173</v>
      </c>
      <c r="C15" s="353"/>
      <c r="D15" s="353"/>
      <c r="E15" s="353"/>
      <c r="F15" s="353"/>
      <c r="G15" s="353"/>
      <c r="H15" s="124">
        <f>H16</f>
        <v>781.92</v>
      </c>
    </row>
    <row r="16" spans="1:8" x14ac:dyDescent="0.25">
      <c r="A16" s="29" t="s">
        <v>35</v>
      </c>
      <c r="B16" s="111">
        <v>100575</v>
      </c>
      <c r="C16" s="127" t="s">
        <v>174</v>
      </c>
      <c r="D16" s="30" t="s">
        <v>15</v>
      </c>
      <c r="E16" s="126">
        <f>'Memoria de Calculo '!C46</f>
        <v>1086</v>
      </c>
      <c r="F16" s="126">
        <f>'COMPOSIÇÕES UNITÁRIAS CD'!$G$27</f>
        <v>0.56000000000000005</v>
      </c>
      <c r="G16" s="128">
        <f>ROUND(F16*1.2814,2)</f>
        <v>0.72</v>
      </c>
      <c r="H16" s="128">
        <f>ROUND(E16*G16,2)</f>
        <v>781.92</v>
      </c>
    </row>
    <row r="17" spans="1:8" x14ac:dyDescent="0.25">
      <c r="A17" s="321"/>
      <c r="B17" s="321"/>
      <c r="C17" s="321"/>
      <c r="D17" s="321"/>
      <c r="E17" s="321"/>
      <c r="F17" s="321"/>
      <c r="G17" s="321"/>
      <c r="H17" s="321"/>
    </row>
    <row r="18" spans="1:8" x14ac:dyDescent="0.25">
      <c r="A18" s="28" t="s">
        <v>175</v>
      </c>
      <c r="B18" s="353" t="s">
        <v>176</v>
      </c>
      <c r="C18" s="353"/>
      <c r="D18" s="353"/>
      <c r="E18" s="353"/>
      <c r="F18" s="353"/>
      <c r="G18" s="353"/>
      <c r="H18" s="124">
        <f>SUM(H19:H20)</f>
        <v>94840.38</v>
      </c>
    </row>
    <row r="19" spans="1:8" ht="22.5" x14ac:dyDescent="0.25">
      <c r="A19" s="29" t="s">
        <v>177</v>
      </c>
      <c r="B19" s="111" t="s">
        <v>256</v>
      </c>
      <c r="C19" s="127" t="s">
        <v>257</v>
      </c>
      <c r="D19" s="30" t="s">
        <v>15</v>
      </c>
      <c r="E19" s="126">
        <f>'Memoria de Calculo '!C52</f>
        <v>1086</v>
      </c>
      <c r="F19" s="126">
        <f>'COMPOSIÇÕES UNITÁRIAS CD'!$G$34</f>
        <v>66.599999999999994</v>
      </c>
      <c r="G19" s="128">
        <f>ROUND(F19*1.2814,2)</f>
        <v>85.34</v>
      </c>
      <c r="H19" s="128">
        <f>ROUND(E19*G19,2)</f>
        <v>92679.24</v>
      </c>
    </row>
    <row r="20" spans="1:8" x14ac:dyDescent="0.25">
      <c r="A20" s="29" t="s">
        <v>324</v>
      </c>
      <c r="B20" s="111" t="s">
        <v>261</v>
      </c>
      <c r="C20" s="127" t="s">
        <v>344</v>
      </c>
      <c r="D20" s="30" t="s">
        <v>15</v>
      </c>
      <c r="E20" s="126">
        <f>'Memoria de Calculo '!C57</f>
        <v>1086</v>
      </c>
      <c r="F20" s="126">
        <f>'COMPOSIÇÕES UNITÁRIAS CD'!$G$42</f>
        <v>1.55</v>
      </c>
      <c r="G20" s="128">
        <f>ROUND(F20*1.2814,2)</f>
        <v>1.99</v>
      </c>
      <c r="H20" s="128">
        <f>ROUND(E20*G20,2)</f>
        <v>2161.14</v>
      </c>
    </row>
    <row r="21" spans="1:8" x14ac:dyDescent="0.25">
      <c r="A21" s="321"/>
      <c r="B21" s="321"/>
      <c r="C21" s="321"/>
      <c r="D21" s="321"/>
      <c r="E21" s="321"/>
      <c r="F21" s="321"/>
      <c r="G21" s="321"/>
      <c r="H21" s="321"/>
    </row>
    <row r="22" spans="1:8" x14ac:dyDescent="0.25">
      <c r="A22" s="28" t="s">
        <v>178</v>
      </c>
      <c r="B22" s="353" t="s">
        <v>179</v>
      </c>
      <c r="C22" s="353"/>
      <c r="D22" s="353"/>
      <c r="E22" s="353"/>
      <c r="F22" s="353"/>
      <c r="G22" s="353"/>
      <c r="H22" s="124">
        <f>SUM(H23:H24)</f>
        <v>19198.82</v>
      </c>
    </row>
    <row r="23" spans="1:8" ht="33.75" x14ac:dyDescent="0.25">
      <c r="A23" s="29" t="s">
        <v>180</v>
      </c>
      <c r="B23" s="111">
        <v>94273</v>
      </c>
      <c r="C23" s="127" t="s">
        <v>181</v>
      </c>
      <c r="D23" s="30" t="s">
        <v>182</v>
      </c>
      <c r="E23" s="126">
        <f>'Memoria de Calculo '!C64</f>
        <v>368</v>
      </c>
      <c r="F23" s="126">
        <f>'COMPOSIÇÕES UNITÁRIAS CD'!$G$47</f>
        <v>40.6</v>
      </c>
      <c r="G23" s="128">
        <f t="shared" ref="G23:G24" si="0">ROUND(F23*1.2814,2)</f>
        <v>52.02</v>
      </c>
      <c r="H23" s="128">
        <f>ROUND(E23*G23,2)</f>
        <v>19143.36</v>
      </c>
    </row>
    <row r="24" spans="1:8" ht="22.5" x14ac:dyDescent="0.25">
      <c r="A24" s="29" t="s">
        <v>183</v>
      </c>
      <c r="B24" s="111" t="s">
        <v>273</v>
      </c>
      <c r="C24" s="127" t="s">
        <v>262</v>
      </c>
      <c r="D24" s="30" t="s">
        <v>182</v>
      </c>
      <c r="E24" s="126">
        <f>'Memoria de Calculo '!C68</f>
        <v>2</v>
      </c>
      <c r="F24" s="126">
        <f>'COMPOSIÇÕES UNITÁRIAS CD'!$G$55</f>
        <v>21.64</v>
      </c>
      <c r="G24" s="128">
        <f t="shared" si="0"/>
        <v>27.73</v>
      </c>
      <c r="H24" s="128">
        <f>ROUND(E24*G24,2)</f>
        <v>55.46</v>
      </c>
    </row>
    <row r="25" spans="1:8" x14ac:dyDescent="0.25">
      <c r="A25" s="321"/>
      <c r="B25" s="321"/>
      <c r="C25" s="321"/>
      <c r="D25" s="321"/>
      <c r="E25" s="321"/>
      <c r="F25" s="321"/>
      <c r="G25" s="321"/>
      <c r="H25" s="321"/>
    </row>
    <row r="26" spans="1:8" x14ac:dyDescent="0.25">
      <c r="A26" s="28" t="s">
        <v>229</v>
      </c>
      <c r="B26" s="353" t="s">
        <v>227</v>
      </c>
      <c r="C26" s="353"/>
      <c r="D26" s="353"/>
      <c r="E26" s="353"/>
      <c r="F26" s="353"/>
      <c r="G26" s="353"/>
      <c r="H26" s="124">
        <f>SUM(H27:H28)</f>
        <v>12237.9</v>
      </c>
    </row>
    <row r="27" spans="1:8" ht="33.75" x14ac:dyDescent="0.25">
      <c r="A27" s="29" t="s">
        <v>230</v>
      </c>
      <c r="B27" s="111" t="s">
        <v>384</v>
      </c>
      <c r="C27" s="125" t="s">
        <v>391</v>
      </c>
      <c r="D27" s="30" t="s">
        <v>228</v>
      </c>
      <c r="E27" s="126">
        <f>'Memoria de Calculo '!C78</f>
        <v>5172.3999999999996</v>
      </c>
      <c r="F27" s="126">
        <f>'COMPOSIÇÕES UNITÁRIAS CD'!$G$64</f>
        <v>1.6</v>
      </c>
      <c r="G27" s="128">
        <f t="shared" ref="G27:G28" si="1">ROUND(F27*1.2814,2)</f>
        <v>2.0499999999999998</v>
      </c>
      <c r="H27" s="128">
        <f>ROUND(E27*G27,2)</f>
        <v>10603.42</v>
      </c>
    </row>
    <row r="28" spans="1:8" ht="33.75" x14ac:dyDescent="0.25">
      <c r="A28" s="29" t="s">
        <v>361</v>
      </c>
      <c r="B28" s="111" t="s">
        <v>385</v>
      </c>
      <c r="C28" s="125" t="s">
        <v>362</v>
      </c>
      <c r="D28" s="30" t="s">
        <v>228</v>
      </c>
      <c r="E28" s="126">
        <f>'Memoria de Calculo '!C86</f>
        <v>2068.96</v>
      </c>
      <c r="F28" s="126">
        <f>'COMPOSIÇÕES UNITÁRIAS CD'!$G$69</f>
        <v>0.62</v>
      </c>
      <c r="G28" s="128">
        <f t="shared" si="1"/>
        <v>0.79</v>
      </c>
      <c r="H28" s="128">
        <f>ROUND(E28*G28,2)</f>
        <v>1634.48</v>
      </c>
    </row>
    <row r="29" spans="1:8" x14ac:dyDescent="0.25">
      <c r="A29" s="321"/>
      <c r="B29" s="321"/>
      <c r="C29" s="321"/>
      <c r="D29" s="321"/>
      <c r="E29" s="321"/>
      <c r="F29" s="321"/>
      <c r="G29" s="321"/>
      <c r="H29" s="321"/>
    </row>
    <row r="30" spans="1:8" x14ac:dyDescent="0.25">
      <c r="A30" s="28" t="s">
        <v>258</v>
      </c>
      <c r="B30" s="353" t="s">
        <v>259</v>
      </c>
      <c r="C30" s="353"/>
      <c r="D30" s="353"/>
      <c r="E30" s="353"/>
      <c r="F30" s="353"/>
      <c r="G30" s="353"/>
      <c r="H30" s="124">
        <f>SUM(H31:H31)</f>
        <v>474.98</v>
      </c>
    </row>
    <row r="31" spans="1:8" ht="22.5" x14ac:dyDescent="0.25">
      <c r="A31" s="29" t="s">
        <v>260</v>
      </c>
      <c r="B31" s="111" t="s">
        <v>343</v>
      </c>
      <c r="C31" s="127" t="s">
        <v>332</v>
      </c>
      <c r="D31" s="30" t="s">
        <v>275</v>
      </c>
      <c r="E31" s="126">
        <f>'Memoria de Calculo '!C91</f>
        <v>1</v>
      </c>
      <c r="F31" s="126">
        <f>'COMPOSIÇÕES UNITÁRIAS CD'!$G$74</f>
        <v>370.67</v>
      </c>
      <c r="G31" s="128">
        <f>ROUND(F31*1.2814,2)</f>
        <v>474.98</v>
      </c>
      <c r="H31" s="128">
        <f>ROUND(E31*G31,2)</f>
        <v>474.98</v>
      </c>
    </row>
    <row r="32" spans="1:8" x14ac:dyDescent="0.25">
      <c r="A32" s="321"/>
      <c r="B32" s="321"/>
      <c r="C32" s="321"/>
      <c r="D32" s="321"/>
      <c r="E32" s="321"/>
      <c r="F32" s="321"/>
      <c r="G32" s="321"/>
      <c r="H32" s="321"/>
    </row>
    <row r="33" spans="1:8" x14ac:dyDescent="0.25">
      <c r="A33" s="352" t="s">
        <v>226</v>
      </c>
      <c r="B33" s="352"/>
      <c r="C33" s="352"/>
      <c r="D33" s="352"/>
      <c r="E33" s="352"/>
      <c r="F33" s="352"/>
      <c r="G33" s="352"/>
      <c r="H33" s="186">
        <f>SUM(H30,H26,H22,H18,H15)</f>
        <v>127534</v>
      </c>
    </row>
    <row r="35" spans="1:8" x14ac:dyDescent="0.25">
      <c r="A35" s="240" t="s">
        <v>164</v>
      </c>
      <c r="B35" s="241" t="str">
        <f>'RESUMO CD'!B12</f>
        <v xml:space="preserve">RUA FIO </v>
      </c>
      <c r="C35" s="242"/>
      <c r="D35" s="239" t="s">
        <v>165</v>
      </c>
      <c r="E35" s="243">
        <v>4</v>
      </c>
      <c r="F35" s="244"/>
      <c r="G35" s="244"/>
      <c r="H35" s="238"/>
    </row>
    <row r="36" spans="1:8" x14ac:dyDescent="0.25">
      <c r="A36" s="131" t="s">
        <v>166</v>
      </c>
      <c r="B36" s="129">
        <f>E36*E35</f>
        <v>196</v>
      </c>
      <c r="C36" s="119"/>
      <c r="D36" s="120" t="s">
        <v>167</v>
      </c>
      <c r="E36" s="121">
        <v>49</v>
      </c>
      <c r="F36" s="122"/>
      <c r="G36" s="122"/>
      <c r="H36" s="187"/>
    </row>
    <row r="37" spans="1:8" x14ac:dyDescent="0.25">
      <c r="A37" s="300" t="s">
        <v>25</v>
      </c>
      <c r="B37" s="300" t="s">
        <v>92</v>
      </c>
      <c r="C37" s="300" t="s">
        <v>26</v>
      </c>
      <c r="D37" s="300" t="s">
        <v>27</v>
      </c>
      <c r="E37" s="302" t="s">
        <v>28</v>
      </c>
      <c r="F37" s="354" t="s">
        <v>168</v>
      </c>
      <c r="G37" s="355"/>
      <c r="H37" s="356"/>
    </row>
    <row r="38" spans="1:8" x14ac:dyDescent="0.25">
      <c r="A38" s="301"/>
      <c r="B38" s="301"/>
      <c r="C38" s="301"/>
      <c r="D38" s="301"/>
      <c r="E38" s="303"/>
      <c r="F38" s="123" t="s">
        <v>169</v>
      </c>
      <c r="G38" s="123" t="s">
        <v>170</v>
      </c>
      <c r="H38" s="178" t="s">
        <v>171</v>
      </c>
    </row>
    <row r="39" spans="1:8" x14ac:dyDescent="0.25">
      <c r="A39" s="28" t="s">
        <v>33</v>
      </c>
      <c r="B39" s="353" t="s">
        <v>173</v>
      </c>
      <c r="C39" s="353"/>
      <c r="D39" s="353"/>
      <c r="E39" s="353"/>
      <c r="F39" s="353"/>
      <c r="G39" s="353"/>
      <c r="H39" s="124">
        <f>H40</f>
        <v>141.12</v>
      </c>
    </row>
    <row r="40" spans="1:8" x14ac:dyDescent="0.25">
      <c r="A40" s="29" t="s">
        <v>35</v>
      </c>
      <c r="B40" s="111">
        <v>100575</v>
      </c>
      <c r="C40" s="127" t="s">
        <v>174</v>
      </c>
      <c r="D40" s="30" t="s">
        <v>15</v>
      </c>
      <c r="E40" s="126">
        <f>'Memoria de Calculo '!C117</f>
        <v>196</v>
      </c>
      <c r="F40" s="126">
        <f>'COMPOSIÇÕES UNITÁRIAS CD'!$G$27</f>
        <v>0.56000000000000005</v>
      </c>
      <c r="G40" s="128">
        <f>ROUND(F40*1.2814,2)</f>
        <v>0.72</v>
      </c>
      <c r="H40" s="128">
        <f>ROUND(E40*G40,2)</f>
        <v>141.12</v>
      </c>
    </row>
    <row r="41" spans="1:8" x14ac:dyDescent="0.25">
      <c r="A41" s="321"/>
      <c r="B41" s="321"/>
      <c r="C41" s="321"/>
      <c r="D41" s="321"/>
      <c r="E41" s="321"/>
      <c r="F41" s="321"/>
      <c r="G41" s="321"/>
      <c r="H41" s="321"/>
    </row>
    <row r="42" spans="1:8" x14ac:dyDescent="0.25">
      <c r="A42" s="28" t="s">
        <v>175</v>
      </c>
      <c r="B42" s="353" t="s">
        <v>176</v>
      </c>
      <c r="C42" s="353"/>
      <c r="D42" s="353"/>
      <c r="E42" s="353"/>
      <c r="F42" s="353"/>
      <c r="G42" s="353"/>
      <c r="H42" s="124">
        <f>SUM(H43:H44)</f>
        <v>17116.68</v>
      </c>
    </row>
    <row r="43" spans="1:8" ht="22.5" x14ac:dyDescent="0.25">
      <c r="A43" s="29" t="s">
        <v>177</v>
      </c>
      <c r="B43" s="111" t="s">
        <v>256</v>
      </c>
      <c r="C43" s="127" t="s">
        <v>257</v>
      </c>
      <c r="D43" s="30" t="s">
        <v>15</v>
      </c>
      <c r="E43" s="126">
        <f>'Memoria de Calculo '!C123</f>
        <v>196</v>
      </c>
      <c r="F43" s="126">
        <f>'COMPOSIÇÕES UNITÁRIAS CD'!$G$34</f>
        <v>66.599999999999994</v>
      </c>
      <c r="G43" s="128">
        <f>ROUND(F43*1.2814,2)</f>
        <v>85.34</v>
      </c>
      <c r="H43" s="128">
        <f>ROUND(E43*G43,2)</f>
        <v>16726.64</v>
      </c>
    </row>
    <row r="44" spans="1:8" x14ac:dyDescent="0.25">
      <c r="A44" s="29" t="s">
        <v>324</v>
      </c>
      <c r="B44" s="111" t="s">
        <v>261</v>
      </c>
      <c r="C44" s="127" t="s">
        <v>344</v>
      </c>
      <c r="D44" s="30" t="s">
        <v>15</v>
      </c>
      <c r="E44" s="126">
        <f>'Memoria de Calculo '!C128</f>
        <v>196</v>
      </c>
      <c r="F44" s="126">
        <f>'COMPOSIÇÕES UNITÁRIAS CD'!$G$42</f>
        <v>1.55</v>
      </c>
      <c r="G44" s="128">
        <f>ROUND(F44*1.2814,2)</f>
        <v>1.99</v>
      </c>
      <c r="H44" s="128">
        <f>ROUND(E44*G44,2)</f>
        <v>390.04</v>
      </c>
    </row>
    <row r="45" spans="1:8" x14ac:dyDescent="0.25">
      <c r="A45" s="321"/>
      <c r="B45" s="321"/>
      <c r="C45" s="321"/>
      <c r="D45" s="321"/>
      <c r="E45" s="321"/>
      <c r="F45" s="321"/>
      <c r="G45" s="321"/>
      <c r="H45" s="321"/>
    </row>
    <row r="46" spans="1:8" x14ac:dyDescent="0.25">
      <c r="A46" s="28" t="s">
        <v>178</v>
      </c>
      <c r="B46" s="353" t="s">
        <v>179</v>
      </c>
      <c r="C46" s="353"/>
      <c r="D46" s="353"/>
      <c r="E46" s="353"/>
      <c r="F46" s="353"/>
      <c r="G46" s="353"/>
      <c r="H46" s="124">
        <f>SUM(H47:H48)</f>
        <v>8023.58</v>
      </c>
    </row>
    <row r="47" spans="1:8" ht="33.75" x14ac:dyDescent="0.25">
      <c r="A47" s="29" t="s">
        <v>180</v>
      </c>
      <c r="B47" s="111">
        <v>94273</v>
      </c>
      <c r="C47" s="127" t="s">
        <v>181</v>
      </c>
      <c r="D47" s="30" t="s">
        <v>182</v>
      </c>
      <c r="E47" s="126">
        <f>'Memoria de Calculo '!C135</f>
        <v>102</v>
      </c>
      <c r="F47" s="126">
        <f>'COMPOSIÇÕES UNITÁRIAS CD'!$G$47</f>
        <v>40.6</v>
      </c>
      <c r="G47" s="128">
        <f t="shared" ref="G47:G48" si="2">ROUND(F47*1.2814,2)</f>
        <v>52.02</v>
      </c>
      <c r="H47" s="128">
        <f>ROUND(E47*G47,2)</f>
        <v>5306.04</v>
      </c>
    </row>
    <row r="48" spans="1:8" ht="22.5" x14ac:dyDescent="0.25">
      <c r="A48" s="29" t="s">
        <v>183</v>
      </c>
      <c r="B48" s="111" t="s">
        <v>273</v>
      </c>
      <c r="C48" s="127" t="s">
        <v>262</v>
      </c>
      <c r="D48" s="30" t="s">
        <v>182</v>
      </c>
      <c r="E48" s="126">
        <f>'Memoria de Calculo '!C140</f>
        <v>98</v>
      </c>
      <c r="F48" s="126">
        <f>'COMPOSIÇÕES UNITÁRIAS CD'!$G$55</f>
        <v>21.64</v>
      </c>
      <c r="G48" s="128">
        <f t="shared" si="2"/>
        <v>27.73</v>
      </c>
      <c r="H48" s="128">
        <f>ROUND(E48*G48,2)</f>
        <v>2717.54</v>
      </c>
    </row>
    <row r="49" spans="1:8" x14ac:dyDescent="0.25">
      <c r="A49" s="321"/>
      <c r="B49" s="321"/>
      <c r="C49" s="321"/>
      <c r="D49" s="321"/>
      <c r="E49" s="321"/>
      <c r="F49" s="321"/>
      <c r="G49" s="321"/>
      <c r="H49" s="321"/>
    </row>
    <row r="50" spans="1:8" x14ac:dyDescent="0.25">
      <c r="A50" s="28" t="s">
        <v>229</v>
      </c>
      <c r="B50" s="353" t="s">
        <v>227</v>
      </c>
      <c r="C50" s="353"/>
      <c r="D50" s="353"/>
      <c r="E50" s="353"/>
      <c r="F50" s="353"/>
      <c r="G50" s="353"/>
      <c r="H50" s="124">
        <f>SUM(H51:H52)</f>
        <v>2159.52</v>
      </c>
    </row>
    <row r="51" spans="1:8" ht="33.75" x14ac:dyDescent="0.25">
      <c r="A51" s="29" t="s">
        <v>230</v>
      </c>
      <c r="B51" s="111" t="s">
        <v>384</v>
      </c>
      <c r="C51" s="125" t="s">
        <v>391</v>
      </c>
      <c r="D51" s="30" t="s">
        <v>228</v>
      </c>
      <c r="E51" s="126">
        <f>'Memoria de Calculo '!C149</f>
        <v>933.51</v>
      </c>
      <c r="F51" s="126">
        <f>'COMPOSIÇÕES UNITÁRIAS CD'!$G$64</f>
        <v>1.6</v>
      </c>
      <c r="G51" s="128">
        <f t="shared" ref="G51:G52" si="3">ROUND(F51*1.2814,2)</f>
        <v>2.0499999999999998</v>
      </c>
      <c r="H51" s="128">
        <f>ROUND(E51*G51,2)</f>
        <v>1913.7</v>
      </c>
    </row>
    <row r="52" spans="1:8" ht="33.75" x14ac:dyDescent="0.25">
      <c r="A52" s="29" t="s">
        <v>361</v>
      </c>
      <c r="B52" s="111" t="s">
        <v>385</v>
      </c>
      <c r="C52" s="125" t="s">
        <v>362</v>
      </c>
      <c r="D52" s="30" t="s">
        <v>228</v>
      </c>
      <c r="E52" s="126">
        <f>'Memoria de Calculo '!C157</f>
        <v>311.17</v>
      </c>
      <c r="F52" s="126">
        <f>'COMPOSIÇÕES UNITÁRIAS CD'!$G$69</f>
        <v>0.62</v>
      </c>
      <c r="G52" s="128">
        <f t="shared" si="3"/>
        <v>0.79</v>
      </c>
      <c r="H52" s="128">
        <f>ROUND(E52*G52,2)</f>
        <v>245.82</v>
      </c>
    </row>
    <row r="53" spans="1:8" x14ac:dyDescent="0.25">
      <c r="A53" s="321"/>
      <c r="B53" s="321"/>
      <c r="C53" s="321"/>
      <c r="D53" s="321"/>
      <c r="E53" s="321"/>
      <c r="F53" s="321"/>
      <c r="G53" s="321"/>
      <c r="H53" s="321"/>
    </row>
    <row r="54" spans="1:8" x14ac:dyDescent="0.25">
      <c r="A54" s="28" t="s">
        <v>258</v>
      </c>
      <c r="B54" s="353" t="s">
        <v>259</v>
      </c>
      <c r="C54" s="353"/>
      <c r="D54" s="353"/>
      <c r="E54" s="353"/>
      <c r="F54" s="353"/>
      <c r="G54" s="353"/>
      <c r="H54" s="124">
        <f>SUM(H55:H55)</f>
        <v>474.98</v>
      </c>
    </row>
    <row r="55" spans="1:8" ht="22.5" x14ac:dyDescent="0.25">
      <c r="A55" s="29" t="s">
        <v>260</v>
      </c>
      <c r="B55" s="111" t="s">
        <v>343</v>
      </c>
      <c r="C55" s="127" t="s">
        <v>332</v>
      </c>
      <c r="D55" s="30" t="s">
        <v>275</v>
      </c>
      <c r="E55" s="126">
        <f>'Memoria de Calculo '!C162</f>
        <v>1</v>
      </c>
      <c r="F55" s="126">
        <f>'COMPOSIÇÕES UNITÁRIAS CD'!$G$74</f>
        <v>370.67</v>
      </c>
      <c r="G55" s="128">
        <f>ROUND(F55*1.2814,2)</f>
        <v>474.98</v>
      </c>
      <c r="H55" s="128">
        <f>ROUND(E55*G55,2)</f>
        <v>474.98</v>
      </c>
    </row>
    <row r="56" spans="1:8" x14ac:dyDescent="0.25">
      <c r="A56" s="321"/>
      <c r="B56" s="321"/>
      <c r="C56" s="321"/>
      <c r="D56" s="321"/>
      <c r="E56" s="321"/>
      <c r="F56" s="321"/>
      <c r="G56" s="321"/>
      <c r="H56" s="321"/>
    </row>
    <row r="57" spans="1:8" x14ac:dyDescent="0.25">
      <c r="A57" s="352" t="s">
        <v>226</v>
      </c>
      <c r="B57" s="352"/>
      <c r="C57" s="352"/>
      <c r="D57" s="352"/>
      <c r="E57" s="352"/>
      <c r="F57" s="352"/>
      <c r="G57" s="352"/>
      <c r="H57" s="186">
        <f>SUM(H54,H50,H46,H42,H39)</f>
        <v>27915.88</v>
      </c>
    </row>
    <row r="59" spans="1:8" x14ac:dyDescent="0.25">
      <c r="A59" s="240" t="s">
        <v>164</v>
      </c>
      <c r="B59" s="241" t="str">
        <f>'RESUMO CD'!B13</f>
        <v xml:space="preserve">RUA CANDIDA VIEIRA </v>
      </c>
      <c r="C59" s="242"/>
      <c r="D59" s="239" t="s">
        <v>165</v>
      </c>
      <c r="E59" s="243">
        <v>4.5</v>
      </c>
      <c r="F59" s="244"/>
      <c r="G59" s="244"/>
      <c r="H59" s="238"/>
    </row>
    <row r="60" spans="1:8" x14ac:dyDescent="0.25">
      <c r="A60" s="131" t="s">
        <v>166</v>
      </c>
      <c r="B60" s="129">
        <f>E60*E59</f>
        <v>94.5</v>
      </c>
      <c r="C60" s="119"/>
      <c r="D60" s="120" t="s">
        <v>167</v>
      </c>
      <c r="E60" s="121">
        <v>21</v>
      </c>
      <c r="F60" s="122"/>
      <c r="G60" s="122"/>
      <c r="H60" s="187"/>
    </row>
    <row r="61" spans="1:8" x14ac:dyDescent="0.25">
      <c r="A61" s="300" t="s">
        <v>25</v>
      </c>
      <c r="B61" s="300" t="s">
        <v>92</v>
      </c>
      <c r="C61" s="300" t="s">
        <v>26</v>
      </c>
      <c r="D61" s="300" t="s">
        <v>27</v>
      </c>
      <c r="E61" s="302" t="s">
        <v>28</v>
      </c>
      <c r="F61" s="354" t="s">
        <v>168</v>
      </c>
      <c r="G61" s="355"/>
      <c r="H61" s="356"/>
    </row>
    <row r="62" spans="1:8" x14ac:dyDescent="0.25">
      <c r="A62" s="301"/>
      <c r="B62" s="301"/>
      <c r="C62" s="301"/>
      <c r="D62" s="301"/>
      <c r="E62" s="303"/>
      <c r="F62" s="123" t="s">
        <v>169</v>
      </c>
      <c r="G62" s="123" t="s">
        <v>170</v>
      </c>
      <c r="H62" s="178" t="s">
        <v>171</v>
      </c>
    </row>
    <row r="63" spans="1:8" x14ac:dyDescent="0.25">
      <c r="A63" s="28" t="s">
        <v>33</v>
      </c>
      <c r="B63" s="353" t="s">
        <v>173</v>
      </c>
      <c r="C63" s="353"/>
      <c r="D63" s="353"/>
      <c r="E63" s="353"/>
      <c r="F63" s="353"/>
      <c r="G63" s="353"/>
      <c r="H63" s="124">
        <f>H64</f>
        <v>68.040000000000006</v>
      </c>
    </row>
    <row r="64" spans="1:8" x14ac:dyDescent="0.25">
      <c r="A64" s="29" t="s">
        <v>35</v>
      </c>
      <c r="B64" s="111">
        <v>100575</v>
      </c>
      <c r="C64" s="127" t="s">
        <v>174</v>
      </c>
      <c r="D64" s="30" t="s">
        <v>15</v>
      </c>
      <c r="E64" s="126">
        <f>'Memoria de Calculo '!C188</f>
        <v>94.5</v>
      </c>
      <c r="F64" s="126">
        <f>'COMPOSIÇÕES UNITÁRIAS CD'!$G$27</f>
        <v>0.56000000000000005</v>
      </c>
      <c r="G64" s="128">
        <f>ROUND(F64*1.2814,2)</f>
        <v>0.72</v>
      </c>
      <c r="H64" s="128">
        <f>ROUND(E64*G64,2)</f>
        <v>68.040000000000006</v>
      </c>
    </row>
    <row r="65" spans="1:8" x14ac:dyDescent="0.25">
      <c r="A65" s="321"/>
      <c r="B65" s="321"/>
      <c r="C65" s="321"/>
      <c r="D65" s="321"/>
      <c r="E65" s="321"/>
      <c r="F65" s="321"/>
      <c r="G65" s="321"/>
      <c r="H65" s="321"/>
    </row>
    <row r="66" spans="1:8" x14ac:dyDescent="0.25">
      <c r="A66" s="28" t="s">
        <v>175</v>
      </c>
      <c r="B66" s="353" t="s">
        <v>176</v>
      </c>
      <c r="C66" s="353"/>
      <c r="D66" s="353"/>
      <c r="E66" s="353"/>
      <c r="F66" s="353"/>
      <c r="G66" s="353"/>
      <c r="H66" s="124">
        <f>SUM(H67:H68)</f>
        <v>8252.69</v>
      </c>
    </row>
    <row r="67" spans="1:8" ht="22.5" x14ac:dyDescent="0.25">
      <c r="A67" s="29" t="s">
        <v>177</v>
      </c>
      <c r="B67" s="111" t="s">
        <v>256</v>
      </c>
      <c r="C67" s="127" t="s">
        <v>257</v>
      </c>
      <c r="D67" s="30" t="s">
        <v>15</v>
      </c>
      <c r="E67" s="126">
        <f>'Memoria de Calculo '!C194</f>
        <v>94.5</v>
      </c>
      <c r="F67" s="126">
        <f>'COMPOSIÇÕES UNITÁRIAS CD'!$G$34</f>
        <v>66.599999999999994</v>
      </c>
      <c r="G67" s="128">
        <f t="shared" ref="G67:G68" si="4">ROUND(F67*1.2814,2)</f>
        <v>85.34</v>
      </c>
      <c r="H67" s="128">
        <f>ROUND(E67*G67,2)</f>
        <v>8064.63</v>
      </c>
    </row>
    <row r="68" spans="1:8" x14ac:dyDescent="0.25">
      <c r="A68" s="29" t="s">
        <v>324</v>
      </c>
      <c r="B68" s="111" t="s">
        <v>261</v>
      </c>
      <c r="C68" s="127" t="s">
        <v>344</v>
      </c>
      <c r="D68" s="30" t="s">
        <v>15</v>
      </c>
      <c r="E68" s="126">
        <f>'Memoria de Calculo '!C199</f>
        <v>94.5</v>
      </c>
      <c r="F68" s="126">
        <f>'COMPOSIÇÕES UNITÁRIAS CD'!$G$42</f>
        <v>1.55</v>
      </c>
      <c r="G68" s="128">
        <f t="shared" si="4"/>
        <v>1.99</v>
      </c>
      <c r="H68" s="128">
        <f>ROUND(E68*G68,2)</f>
        <v>188.06</v>
      </c>
    </row>
    <row r="69" spans="1:8" x14ac:dyDescent="0.25">
      <c r="A69" s="321"/>
      <c r="B69" s="321"/>
      <c r="C69" s="321"/>
      <c r="D69" s="321"/>
      <c r="E69" s="321"/>
      <c r="F69" s="321"/>
      <c r="G69" s="321"/>
      <c r="H69" s="321"/>
    </row>
    <row r="70" spans="1:8" x14ac:dyDescent="0.25">
      <c r="A70" s="28" t="s">
        <v>178</v>
      </c>
      <c r="B70" s="353" t="s">
        <v>179</v>
      </c>
      <c r="C70" s="353"/>
      <c r="D70" s="353"/>
      <c r="E70" s="353"/>
      <c r="F70" s="353"/>
      <c r="G70" s="353"/>
      <c r="H70" s="124">
        <f>SUM(H71:H72)</f>
        <v>3583.59</v>
      </c>
    </row>
    <row r="71" spans="1:8" ht="33.75" x14ac:dyDescent="0.25">
      <c r="A71" s="29" t="s">
        <v>180</v>
      </c>
      <c r="B71" s="111">
        <v>94273</v>
      </c>
      <c r="C71" s="127" t="s">
        <v>181</v>
      </c>
      <c r="D71" s="30" t="s">
        <v>182</v>
      </c>
      <c r="E71" s="126">
        <f>'Memoria de Calculo '!C206</f>
        <v>46.5</v>
      </c>
      <c r="F71" s="126">
        <f>'COMPOSIÇÕES UNITÁRIAS CD'!$G$47</f>
        <v>40.6</v>
      </c>
      <c r="G71" s="128">
        <f t="shared" ref="G71:G72" si="5">ROUND(F71*1.2814,2)</f>
        <v>52.02</v>
      </c>
      <c r="H71" s="128">
        <f>ROUND(E71*G71,2)</f>
        <v>2418.9299999999998</v>
      </c>
    </row>
    <row r="72" spans="1:8" ht="22.5" x14ac:dyDescent="0.25">
      <c r="A72" s="29" t="s">
        <v>183</v>
      </c>
      <c r="B72" s="111" t="s">
        <v>273</v>
      </c>
      <c r="C72" s="127" t="s">
        <v>262</v>
      </c>
      <c r="D72" s="30" t="s">
        <v>182</v>
      </c>
      <c r="E72" s="126">
        <f>'Memoria de Calculo '!C211</f>
        <v>42</v>
      </c>
      <c r="F72" s="126">
        <f>'COMPOSIÇÕES UNITÁRIAS CD'!$G$55</f>
        <v>21.64</v>
      </c>
      <c r="G72" s="128">
        <f t="shared" si="5"/>
        <v>27.73</v>
      </c>
      <c r="H72" s="128">
        <f>ROUND(E72*G72,2)</f>
        <v>1164.6600000000001</v>
      </c>
    </row>
    <row r="73" spans="1:8" x14ac:dyDescent="0.25">
      <c r="A73" s="321"/>
      <c r="B73" s="321"/>
      <c r="C73" s="321"/>
      <c r="D73" s="321"/>
      <c r="E73" s="321"/>
      <c r="F73" s="321"/>
      <c r="G73" s="321"/>
      <c r="H73" s="321"/>
    </row>
    <row r="74" spans="1:8" x14ac:dyDescent="0.25">
      <c r="A74" s="28" t="s">
        <v>229</v>
      </c>
      <c r="B74" s="353" t="s">
        <v>227</v>
      </c>
      <c r="C74" s="353"/>
      <c r="D74" s="353"/>
      <c r="E74" s="353"/>
      <c r="F74" s="353"/>
      <c r="G74" s="353"/>
      <c r="H74" s="124">
        <f>SUM(H75:H76)</f>
        <v>1053.03</v>
      </c>
    </row>
    <row r="75" spans="1:8" ht="33.75" x14ac:dyDescent="0.25">
      <c r="A75" s="29" t="s">
        <v>230</v>
      </c>
      <c r="B75" s="111" t="s">
        <v>384</v>
      </c>
      <c r="C75" s="125" t="s">
        <v>391</v>
      </c>
      <c r="D75" s="30" t="s">
        <v>228</v>
      </c>
      <c r="E75" s="126">
        <f>'Memoria de Calculo '!C220</f>
        <v>450.08</v>
      </c>
      <c r="F75" s="126">
        <f>'COMPOSIÇÕES UNITÁRIAS CD'!$G$64</f>
        <v>1.6</v>
      </c>
      <c r="G75" s="128">
        <f t="shared" ref="G75:G76" si="6">ROUND(F75*1.2814,2)</f>
        <v>2.0499999999999998</v>
      </c>
      <c r="H75" s="128">
        <f>ROUND(E75*G75,2)</f>
        <v>922.66</v>
      </c>
    </row>
    <row r="76" spans="1:8" ht="33.75" x14ac:dyDescent="0.25">
      <c r="A76" s="29" t="s">
        <v>361</v>
      </c>
      <c r="B76" s="111" t="s">
        <v>385</v>
      </c>
      <c r="C76" s="125" t="s">
        <v>362</v>
      </c>
      <c r="D76" s="30" t="s">
        <v>228</v>
      </c>
      <c r="E76" s="126">
        <f>'Memoria de Calculo '!C228</f>
        <v>165.03</v>
      </c>
      <c r="F76" s="126">
        <f>'COMPOSIÇÕES UNITÁRIAS CD'!$G$69</f>
        <v>0.62</v>
      </c>
      <c r="G76" s="128">
        <f t="shared" si="6"/>
        <v>0.79</v>
      </c>
      <c r="H76" s="128">
        <f>ROUND(E76*G76,2)</f>
        <v>130.37</v>
      </c>
    </row>
    <row r="77" spans="1:8" x14ac:dyDescent="0.25">
      <c r="A77" s="321"/>
      <c r="B77" s="321"/>
      <c r="C77" s="321"/>
      <c r="D77" s="321"/>
      <c r="E77" s="321"/>
      <c r="F77" s="321"/>
      <c r="G77" s="321"/>
      <c r="H77" s="321"/>
    </row>
    <row r="78" spans="1:8" x14ac:dyDescent="0.25">
      <c r="A78" s="28" t="s">
        <v>258</v>
      </c>
      <c r="B78" s="353" t="s">
        <v>259</v>
      </c>
      <c r="C78" s="353"/>
      <c r="D78" s="353"/>
      <c r="E78" s="353"/>
      <c r="F78" s="353"/>
      <c r="G78" s="353"/>
      <c r="H78" s="124">
        <f>SUM(H79:H79)</f>
        <v>474.98</v>
      </c>
    </row>
    <row r="79" spans="1:8" ht="22.5" x14ac:dyDescent="0.25">
      <c r="A79" s="29" t="s">
        <v>260</v>
      </c>
      <c r="B79" s="111" t="s">
        <v>343</v>
      </c>
      <c r="C79" s="127" t="s">
        <v>332</v>
      </c>
      <c r="D79" s="30" t="s">
        <v>275</v>
      </c>
      <c r="E79" s="126">
        <f>'Memoria de Calculo '!C233</f>
        <v>1</v>
      </c>
      <c r="F79" s="126">
        <f>'COMPOSIÇÕES UNITÁRIAS CD'!$G$74</f>
        <v>370.67</v>
      </c>
      <c r="G79" s="128">
        <f>ROUND(F79*1.2814,2)</f>
        <v>474.98</v>
      </c>
      <c r="H79" s="128">
        <f>ROUND(E79*G79,2)</f>
        <v>474.98</v>
      </c>
    </row>
    <row r="80" spans="1:8" x14ac:dyDescent="0.25">
      <c r="A80" s="321"/>
      <c r="B80" s="321"/>
      <c r="C80" s="321"/>
      <c r="D80" s="321"/>
      <c r="E80" s="321"/>
      <c r="F80" s="321"/>
      <c r="G80" s="321"/>
      <c r="H80" s="321"/>
    </row>
    <row r="81" spans="1:8" x14ac:dyDescent="0.25">
      <c r="A81" s="352" t="s">
        <v>226</v>
      </c>
      <c r="B81" s="352"/>
      <c r="C81" s="352"/>
      <c r="D81" s="352"/>
      <c r="E81" s="352"/>
      <c r="F81" s="352"/>
      <c r="G81" s="352"/>
      <c r="H81" s="186">
        <f>SUM(H78,H74,H70,H66,H63)</f>
        <v>13432.330000000002</v>
      </c>
    </row>
    <row r="83" spans="1:8" x14ac:dyDescent="0.25">
      <c r="A83" s="240" t="s">
        <v>164</v>
      </c>
      <c r="B83" s="241" t="str">
        <f>'RESUMO CD'!B14</f>
        <v xml:space="preserve">RUA SÃO PEDRO </v>
      </c>
      <c r="C83" s="242"/>
      <c r="D83" s="239" t="s">
        <v>165</v>
      </c>
      <c r="E83" s="243">
        <v>5</v>
      </c>
      <c r="F83" s="244"/>
      <c r="G83" s="244"/>
      <c r="H83" s="238"/>
    </row>
    <row r="84" spans="1:8" x14ac:dyDescent="0.25">
      <c r="A84" s="131" t="s">
        <v>166</v>
      </c>
      <c r="B84" s="129">
        <f>E84*E83</f>
        <v>470</v>
      </c>
      <c r="C84" s="119"/>
      <c r="D84" s="120" t="s">
        <v>167</v>
      </c>
      <c r="E84" s="121">
        <v>94</v>
      </c>
      <c r="F84" s="122"/>
      <c r="G84" s="122"/>
      <c r="H84" s="187"/>
    </row>
    <row r="85" spans="1:8" x14ac:dyDescent="0.25">
      <c r="A85" s="300" t="s">
        <v>25</v>
      </c>
      <c r="B85" s="300" t="s">
        <v>92</v>
      </c>
      <c r="C85" s="300" t="s">
        <v>26</v>
      </c>
      <c r="D85" s="300" t="s">
        <v>27</v>
      </c>
      <c r="E85" s="302" t="s">
        <v>28</v>
      </c>
      <c r="F85" s="354" t="s">
        <v>168</v>
      </c>
      <c r="G85" s="355"/>
      <c r="H85" s="356"/>
    </row>
    <row r="86" spans="1:8" x14ac:dyDescent="0.25">
      <c r="A86" s="301"/>
      <c r="B86" s="301"/>
      <c r="C86" s="301"/>
      <c r="D86" s="301"/>
      <c r="E86" s="303"/>
      <c r="F86" s="123" t="s">
        <v>169</v>
      </c>
      <c r="G86" s="123" t="s">
        <v>170</v>
      </c>
      <c r="H86" s="178" t="s">
        <v>171</v>
      </c>
    </row>
    <row r="87" spans="1:8" x14ac:dyDescent="0.25">
      <c r="A87" s="28" t="s">
        <v>33</v>
      </c>
      <c r="B87" s="353" t="s">
        <v>173</v>
      </c>
      <c r="C87" s="353"/>
      <c r="D87" s="353"/>
      <c r="E87" s="353"/>
      <c r="F87" s="353"/>
      <c r="G87" s="353"/>
      <c r="H87" s="124">
        <f>H88</f>
        <v>338.4</v>
      </c>
    </row>
    <row r="88" spans="1:8" x14ac:dyDescent="0.25">
      <c r="A88" s="29" t="s">
        <v>35</v>
      </c>
      <c r="B88" s="111">
        <v>100575</v>
      </c>
      <c r="C88" s="127" t="s">
        <v>174</v>
      </c>
      <c r="D88" s="30" t="s">
        <v>15</v>
      </c>
      <c r="E88" s="126">
        <f>'Memoria de Calculo '!C259</f>
        <v>470</v>
      </c>
      <c r="F88" s="126">
        <f>'COMPOSIÇÕES UNITÁRIAS CD'!$G$27</f>
        <v>0.56000000000000005</v>
      </c>
      <c r="G88" s="128">
        <f>ROUND(F88*1.2814,2)</f>
        <v>0.72</v>
      </c>
      <c r="H88" s="128">
        <f>ROUND(E88*G88,2)</f>
        <v>338.4</v>
      </c>
    </row>
    <row r="89" spans="1:8" x14ac:dyDescent="0.25">
      <c r="A89" s="321"/>
      <c r="B89" s="321"/>
      <c r="C89" s="321"/>
      <c r="D89" s="321"/>
      <c r="E89" s="321"/>
      <c r="F89" s="321"/>
      <c r="G89" s="321"/>
      <c r="H89" s="321"/>
    </row>
    <row r="90" spans="1:8" x14ac:dyDescent="0.25">
      <c r="A90" s="28" t="s">
        <v>175</v>
      </c>
      <c r="B90" s="353" t="s">
        <v>176</v>
      </c>
      <c r="C90" s="353"/>
      <c r="D90" s="353"/>
      <c r="E90" s="353"/>
      <c r="F90" s="353"/>
      <c r="G90" s="353"/>
      <c r="H90" s="124">
        <f>SUM(H91:H92)</f>
        <v>41045.100000000006</v>
      </c>
    </row>
    <row r="91" spans="1:8" ht="22.5" x14ac:dyDescent="0.25">
      <c r="A91" s="29" t="s">
        <v>177</v>
      </c>
      <c r="B91" s="111" t="s">
        <v>256</v>
      </c>
      <c r="C91" s="127" t="s">
        <v>257</v>
      </c>
      <c r="D91" s="30" t="s">
        <v>15</v>
      </c>
      <c r="E91" s="126">
        <f>'Memoria de Calculo '!C265</f>
        <v>470</v>
      </c>
      <c r="F91" s="126">
        <f>'COMPOSIÇÕES UNITÁRIAS CD'!$G$34</f>
        <v>66.599999999999994</v>
      </c>
      <c r="G91" s="128">
        <f t="shared" ref="G91:G92" si="7">ROUND(F91*1.2814,2)</f>
        <v>85.34</v>
      </c>
      <c r="H91" s="128">
        <f>ROUND(E91*G91,2)</f>
        <v>40109.800000000003</v>
      </c>
    </row>
    <row r="92" spans="1:8" x14ac:dyDescent="0.25">
      <c r="A92" s="29" t="s">
        <v>324</v>
      </c>
      <c r="B92" s="111" t="s">
        <v>261</v>
      </c>
      <c r="C92" s="127" t="s">
        <v>344</v>
      </c>
      <c r="D92" s="30" t="s">
        <v>15</v>
      </c>
      <c r="E92" s="126">
        <f>'Memoria de Calculo '!C270</f>
        <v>470</v>
      </c>
      <c r="F92" s="126">
        <f>'COMPOSIÇÕES UNITÁRIAS CD'!$G$42</f>
        <v>1.55</v>
      </c>
      <c r="G92" s="128">
        <f t="shared" si="7"/>
        <v>1.99</v>
      </c>
      <c r="H92" s="128">
        <f>ROUND(E92*G92,2)</f>
        <v>935.3</v>
      </c>
    </row>
    <row r="93" spans="1:8" x14ac:dyDescent="0.25">
      <c r="A93" s="321"/>
      <c r="B93" s="321"/>
      <c r="C93" s="321"/>
      <c r="D93" s="321"/>
      <c r="E93" s="321"/>
      <c r="F93" s="321"/>
      <c r="G93" s="321"/>
      <c r="H93" s="321"/>
    </row>
    <row r="94" spans="1:8" x14ac:dyDescent="0.25">
      <c r="A94" s="28" t="s">
        <v>178</v>
      </c>
      <c r="B94" s="353" t="s">
        <v>179</v>
      </c>
      <c r="C94" s="353"/>
      <c r="D94" s="353"/>
      <c r="E94" s="353"/>
      <c r="F94" s="353"/>
      <c r="G94" s="353"/>
      <c r="H94" s="124">
        <f>SUM(H95:H96)</f>
        <v>15253.1</v>
      </c>
    </row>
    <row r="95" spans="1:8" ht="33.75" x14ac:dyDescent="0.25">
      <c r="A95" s="29" t="s">
        <v>180</v>
      </c>
      <c r="B95" s="111">
        <v>94273</v>
      </c>
      <c r="C95" s="127" t="s">
        <v>181</v>
      </c>
      <c r="D95" s="30" t="s">
        <v>182</v>
      </c>
      <c r="E95" s="126">
        <f>'Memoria de Calculo '!C277</f>
        <v>193</v>
      </c>
      <c r="F95" s="126">
        <f>'COMPOSIÇÕES UNITÁRIAS CD'!$G$47</f>
        <v>40.6</v>
      </c>
      <c r="G95" s="128">
        <f t="shared" ref="G95:G96" si="8">ROUND(F95*1.2814,2)</f>
        <v>52.02</v>
      </c>
      <c r="H95" s="128">
        <f>ROUND(E95*G95,2)</f>
        <v>10039.86</v>
      </c>
    </row>
    <row r="96" spans="1:8" ht="22.5" x14ac:dyDescent="0.25">
      <c r="A96" s="29" t="s">
        <v>183</v>
      </c>
      <c r="B96" s="111" t="s">
        <v>273</v>
      </c>
      <c r="C96" s="127" t="s">
        <v>262</v>
      </c>
      <c r="D96" s="30" t="s">
        <v>182</v>
      </c>
      <c r="E96" s="126">
        <f>'Memoria de Calculo '!C282</f>
        <v>188</v>
      </c>
      <c r="F96" s="126">
        <f>'COMPOSIÇÕES UNITÁRIAS CD'!$G$55</f>
        <v>21.64</v>
      </c>
      <c r="G96" s="128">
        <f t="shared" si="8"/>
        <v>27.73</v>
      </c>
      <c r="H96" s="128">
        <f>ROUND(E96*G96,2)</f>
        <v>5213.24</v>
      </c>
    </row>
    <row r="97" spans="1:8" x14ac:dyDescent="0.25">
      <c r="A97" s="321"/>
      <c r="B97" s="321"/>
      <c r="C97" s="321"/>
      <c r="D97" s="321"/>
      <c r="E97" s="321"/>
      <c r="F97" s="321"/>
      <c r="G97" s="321"/>
      <c r="H97" s="321"/>
    </row>
    <row r="98" spans="1:8" x14ac:dyDescent="0.25">
      <c r="A98" s="28" t="s">
        <v>229</v>
      </c>
      <c r="B98" s="353" t="s">
        <v>227</v>
      </c>
      <c r="C98" s="353"/>
      <c r="D98" s="353"/>
      <c r="E98" s="353"/>
      <c r="F98" s="353"/>
      <c r="G98" s="353"/>
      <c r="H98" s="124">
        <f>SUM(H99:H100)</f>
        <v>5355.29</v>
      </c>
    </row>
    <row r="99" spans="1:8" ht="33.75" x14ac:dyDescent="0.25">
      <c r="A99" s="29" t="s">
        <v>230</v>
      </c>
      <c r="B99" s="111" t="s">
        <v>384</v>
      </c>
      <c r="C99" s="125" t="s">
        <v>391</v>
      </c>
      <c r="D99" s="30" t="s">
        <v>228</v>
      </c>
      <c r="E99" s="126">
        <f>'Memoria de Calculo '!C291</f>
        <v>2238.52</v>
      </c>
      <c r="F99" s="126">
        <f>'COMPOSIÇÕES UNITÁRIAS CD'!$G$64</f>
        <v>1.6</v>
      </c>
      <c r="G99" s="128">
        <f t="shared" ref="G99:G100" si="9">ROUND(F99*1.2814,2)</f>
        <v>2.0499999999999998</v>
      </c>
      <c r="H99" s="128">
        <f>ROUND(E99*G99,2)</f>
        <v>4588.97</v>
      </c>
    </row>
    <row r="100" spans="1:8" ht="33.75" x14ac:dyDescent="0.25">
      <c r="A100" s="29" t="s">
        <v>361</v>
      </c>
      <c r="B100" s="111" t="s">
        <v>385</v>
      </c>
      <c r="C100" s="125" t="s">
        <v>362</v>
      </c>
      <c r="D100" s="30" t="s">
        <v>228</v>
      </c>
      <c r="E100" s="126">
        <f>'Memoria de Calculo '!C299</f>
        <v>970.02</v>
      </c>
      <c r="F100" s="126">
        <f>'COMPOSIÇÕES UNITÁRIAS CD'!$G$69</f>
        <v>0.62</v>
      </c>
      <c r="G100" s="128">
        <f t="shared" si="9"/>
        <v>0.79</v>
      </c>
      <c r="H100" s="128">
        <f>ROUND(E100*G100,2)</f>
        <v>766.32</v>
      </c>
    </row>
    <row r="101" spans="1:8" x14ac:dyDescent="0.25">
      <c r="A101" s="321"/>
      <c r="B101" s="321"/>
      <c r="C101" s="321"/>
      <c r="D101" s="321"/>
      <c r="E101" s="321"/>
      <c r="F101" s="321"/>
      <c r="G101" s="321"/>
      <c r="H101" s="321"/>
    </row>
    <row r="102" spans="1:8" x14ac:dyDescent="0.25">
      <c r="A102" s="28" t="s">
        <v>258</v>
      </c>
      <c r="B102" s="353" t="s">
        <v>259</v>
      </c>
      <c r="C102" s="353"/>
      <c r="D102" s="353"/>
      <c r="E102" s="353"/>
      <c r="F102" s="353"/>
      <c r="G102" s="353"/>
      <c r="H102" s="124">
        <f>SUM(H103:H103)</f>
        <v>474.98</v>
      </c>
    </row>
    <row r="103" spans="1:8" ht="22.5" x14ac:dyDescent="0.25">
      <c r="A103" s="29" t="s">
        <v>260</v>
      </c>
      <c r="B103" s="111" t="s">
        <v>343</v>
      </c>
      <c r="C103" s="127" t="s">
        <v>332</v>
      </c>
      <c r="D103" s="30" t="s">
        <v>275</v>
      </c>
      <c r="E103" s="126">
        <f>'Memoria de Calculo '!C304</f>
        <v>1</v>
      </c>
      <c r="F103" s="126">
        <f>'COMPOSIÇÕES UNITÁRIAS CD'!$G$74</f>
        <v>370.67</v>
      </c>
      <c r="G103" s="128">
        <f>ROUND(F103*1.2814,2)</f>
        <v>474.98</v>
      </c>
      <c r="H103" s="128">
        <f>ROUND(E103*G103,2)</f>
        <v>474.98</v>
      </c>
    </row>
    <row r="104" spans="1:8" x14ac:dyDescent="0.25">
      <c r="A104" s="321"/>
      <c r="B104" s="321"/>
      <c r="C104" s="321"/>
      <c r="D104" s="321"/>
      <c r="E104" s="321"/>
      <c r="F104" s="321"/>
      <c r="G104" s="321"/>
      <c r="H104" s="321"/>
    </row>
    <row r="105" spans="1:8" x14ac:dyDescent="0.25">
      <c r="A105" s="352" t="s">
        <v>226</v>
      </c>
      <c r="B105" s="352"/>
      <c r="C105" s="352"/>
      <c r="D105" s="352"/>
      <c r="E105" s="352"/>
      <c r="F105" s="352"/>
      <c r="G105" s="352"/>
      <c r="H105" s="186">
        <f>SUM(H102,H98,H94,H90,H87)</f>
        <v>62466.87000000001</v>
      </c>
    </row>
    <row r="107" spans="1:8" x14ac:dyDescent="0.25">
      <c r="A107" s="240" t="s">
        <v>164</v>
      </c>
      <c r="B107" s="241" t="str">
        <f>'RESUMO CD'!B15</f>
        <v xml:space="preserve">RUA DO SAQUIM </v>
      </c>
      <c r="C107" s="242"/>
      <c r="D107" s="239" t="s">
        <v>165</v>
      </c>
      <c r="E107" s="243">
        <v>6</v>
      </c>
      <c r="F107" s="244"/>
      <c r="G107" s="244"/>
      <c r="H107" s="238"/>
    </row>
    <row r="108" spans="1:8" x14ac:dyDescent="0.25">
      <c r="A108" s="131" t="s">
        <v>166</v>
      </c>
      <c r="B108" s="129">
        <f>E108*E107</f>
        <v>900</v>
      </c>
      <c r="C108" s="119"/>
      <c r="D108" s="120" t="s">
        <v>167</v>
      </c>
      <c r="E108" s="121">
        <v>150</v>
      </c>
      <c r="F108" s="122"/>
      <c r="G108" s="122"/>
      <c r="H108" s="187"/>
    </row>
    <row r="109" spans="1:8" x14ac:dyDescent="0.25">
      <c r="A109" s="300" t="s">
        <v>25</v>
      </c>
      <c r="B109" s="300" t="s">
        <v>92</v>
      </c>
      <c r="C109" s="300" t="s">
        <v>26</v>
      </c>
      <c r="D109" s="300" t="s">
        <v>27</v>
      </c>
      <c r="E109" s="302" t="s">
        <v>28</v>
      </c>
      <c r="F109" s="354" t="s">
        <v>168</v>
      </c>
      <c r="G109" s="355"/>
      <c r="H109" s="356"/>
    </row>
    <row r="110" spans="1:8" x14ac:dyDescent="0.25">
      <c r="A110" s="301"/>
      <c r="B110" s="301"/>
      <c r="C110" s="301"/>
      <c r="D110" s="301"/>
      <c r="E110" s="303"/>
      <c r="F110" s="123" t="s">
        <v>169</v>
      </c>
      <c r="G110" s="123" t="s">
        <v>170</v>
      </c>
      <c r="H110" s="178" t="s">
        <v>171</v>
      </c>
    </row>
    <row r="111" spans="1:8" x14ac:dyDescent="0.25">
      <c r="A111" s="28" t="s">
        <v>33</v>
      </c>
      <c r="B111" s="353" t="s">
        <v>173</v>
      </c>
      <c r="C111" s="353"/>
      <c r="D111" s="353"/>
      <c r="E111" s="353"/>
      <c r="F111" s="353"/>
      <c r="G111" s="353"/>
      <c r="H111" s="124">
        <f>H112</f>
        <v>648</v>
      </c>
    </row>
    <row r="112" spans="1:8" x14ac:dyDescent="0.25">
      <c r="A112" s="29" t="s">
        <v>35</v>
      </c>
      <c r="B112" s="111">
        <v>100575</v>
      </c>
      <c r="C112" s="127" t="s">
        <v>174</v>
      </c>
      <c r="D112" s="30" t="s">
        <v>15</v>
      </c>
      <c r="E112" s="126">
        <f>'Memoria de Calculo '!C330</f>
        <v>900</v>
      </c>
      <c r="F112" s="126">
        <f>'COMPOSIÇÕES UNITÁRIAS CD'!$G$27</f>
        <v>0.56000000000000005</v>
      </c>
      <c r="G112" s="128">
        <f>ROUND(F112*1.2814,2)</f>
        <v>0.72</v>
      </c>
      <c r="H112" s="128">
        <f>ROUND(E112*G112,2)</f>
        <v>648</v>
      </c>
    </row>
    <row r="113" spans="1:8" x14ac:dyDescent="0.25">
      <c r="A113" s="321"/>
      <c r="B113" s="321"/>
      <c r="C113" s="321"/>
      <c r="D113" s="321"/>
      <c r="E113" s="321"/>
      <c r="F113" s="321"/>
      <c r="G113" s="321"/>
      <c r="H113" s="321"/>
    </row>
    <row r="114" spans="1:8" x14ac:dyDescent="0.25">
      <c r="A114" s="28" t="s">
        <v>175</v>
      </c>
      <c r="B114" s="353" t="s">
        <v>176</v>
      </c>
      <c r="C114" s="353"/>
      <c r="D114" s="353"/>
      <c r="E114" s="353"/>
      <c r="F114" s="353"/>
      <c r="G114" s="353"/>
      <c r="H114" s="124">
        <f>SUM(H115:H116)</f>
        <v>78597</v>
      </c>
    </row>
    <row r="115" spans="1:8" ht="22.5" x14ac:dyDescent="0.25">
      <c r="A115" s="29" t="s">
        <v>177</v>
      </c>
      <c r="B115" s="111" t="s">
        <v>256</v>
      </c>
      <c r="C115" s="127" t="s">
        <v>257</v>
      </c>
      <c r="D115" s="30" t="s">
        <v>15</v>
      </c>
      <c r="E115" s="126">
        <f>'Memoria de Calculo '!C336</f>
        <v>900</v>
      </c>
      <c r="F115" s="126">
        <f>'COMPOSIÇÕES UNITÁRIAS CD'!$G$34</f>
        <v>66.599999999999994</v>
      </c>
      <c r="G115" s="128">
        <f t="shared" ref="G115:G116" si="10">ROUND(F115*1.2814,2)</f>
        <v>85.34</v>
      </c>
      <c r="H115" s="128">
        <f>ROUND(E115*G115,2)</f>
        <v>76806</v>
      </c>
    </row>
    <row r="116" spans="1:8" x14ac:dyDescent="0.25">
      <c r="A116" s="29" t="s">
        <v>324</v>
      </c>
      <c r="B116" s="111" t="s">
        <v>261</v>
      </c>
      <c r="C116" s="127" t="s">
        <v>344</v>
      </c>
      <c r="D116" s="30" t="s">
        <v>15</v>
      </c>
      <c r="E116" s="126">
        <f>'Memoria de Calculo '!C341</f>
        <v>900</v>
      </c>
      <c r="F116" s="126">
        <f>'COMPOSIÇÕES UNITÁRIAS CD'!$G$42</f>
        <v>1.55</v>
      </c>
      <c r="G116" s="128">
        <f t="shared" si="10"/>
        <v>1.99</v>
      </c>
      <c r="H116" s="128">
        <f>ROUND(E116*G116,2)</f>
        <v>1791</v>
      </c>
    </row>
    <row r="117" spans="1:8" x14ac:dyDescent="0.25">
      <c r="A117" s="321"/>
      <c r="B117" s="321"/>
      <c r="C117" s="321"/>
      <c r="D117" s="321"/>
      <c r="E117" s="321"/>
      <c r="F117" s="321"/>
      <c r="G117" s="321"/>
      <c r="H117" s="321"/>
    </row>
    <row r="118" spans="1:8" x14ac:dyDescent="0.25">
      <c r="A118" s="28" t="s">
        <v>178</v>
      </c>
      <c r="B118" s="353" t="s">
        <v>179</v>
      </c>
      <c r="C118" s="353"/>
      <c r="D118" s="353"/>
      <c r="E118" s="353"/>
      <c r="F118" s="353"/>
      <c r="G118" s="353"/>
      <c r="H118" s="124">
        <f>SUM(H119:H120)</f>
        <v>24237.120000000003</v>
      </c>
    </row>
    <row r="119" spans="1:8" ht="33.75" x14ac:dyDescent="0.25">
      <c r="A119" s="29" t="s">
        <v>180</v>
      </c>
      <c r="B119" s="111">
        <v>94273</v>
      </c>
      <c r="C119" s="127" t="s">
        <v>181</v>
      </c>
      <c r="D119" s="30" t="s">
        <v>182</v>
      </c>
      <c r="E119" s="126">
        <f>'Memoria de Calculo '!C348</f>
        <v>306</v>
      </c>
      <c r="F119" s="126">
        <f>'COMPOSIÇÕES UNITÁRIAS CD'!$G$47</f>
        <v>40.6</v>
      </c>
      <c r="G119" s="128">
        <f t="shared" ref="G119:G120" si="11">ROUND(F119*1.2814,2)</f>
        <v>52.02</v>
      </c>
      <c r="H119" s="128">
        <f>ROUND(E119*G119,2)</f>
        <v>15918.12</v>
      </c>
    </row>
    <row r="120" spans="1:8" ht="22.5" x14ac:dyDescent="0.25">
      <c r="A120" s="29" t="s">
        <v>183</v>
      </c>
      <c r="B120" s="111" t="s">
        <v>273</v>
      </c>
      <c r="C120" s="127" t="s">
        <v>262</v>
      </c>
      <c r="D120" s="30" t="s">
        <v>182</v>
      </c>
      <c r="E120" s="126">
        <f>'Memoria de Calculo '!C353</f>
        <v>300</v>
      </c>
      <c r="F120" s="126">
        <f>'COMPOSIÇÕES UNITÁRIAS CD'!$G$55</f>
        <v>21.64</v>
      </c>
      <c r="G120" s="128">
        <f t="shared" si="11"/>
        <v>27.73</v>
      </c>
      <c r="H120" s="128">
        <f>ROUND(E120*G120,2)</f>
        <v>8319</v>
      </c>
    </row>
    <row r="121" spans="1:8" x14ac:dyDescent="0.25">
      <c r="A121" s="321"/>
      <c r="B121" s="321"/>
      <c r="C121" s="321"/>
      <c r="D121" s="321"/>
      <c r="E121" s="321"/>
      <c r="F121" s="321"/>
      <c r="G121" s="321"/>
      <c r="H121" s="321"/>
    </row>
    <row r="122" spans="1:8" x14ac:dyDescent="0.25">
      <c r="A122" s="28" t="s">
        <v>229</v>
      </c>
      <c r="B122" s="353" t="s">
        <v>227</v>
      </c>
      <c r="C122" s="353"/>
      <c r="D122" s="353"/>
      <c r="E122" s="353"/>
      <c r="F122" s="353"/>
      <c r="G122" s="353"/>
      <c r="H122" s="124">
        <f>SUM(H123:H124)</f>
        <v>9690.4000000000015</v>
      </c>
    </row>
    <row r="123" spans="1:8" ht="33.75" x14ac:dyDescent="0.25">
      <c r="A123" s="29" t="s">
        <v>230</v>
      </c>
      <c r="B123" s="111" t="s">
        <v>384</v>
      </c>
      <c r="C123" s="125" t="s">
        <v>391</v>
      </c>
      <c r="D123" s="30" t="s">
        <v>228</v>
      </c>
      <c r="E123" s="126">
        <f>'Memoria de Calculo '!C362</f>
        <v>4286.5200000000004</v>
      </c>
      <c r="F123" s="126">
        <f>'COMPOSIÇÕES UNITÁRIAS CD'!$G$64</f>
        <v>1.6</v>
      </c>
      <c r="G123" s="128">
        <f t="shared" ref="G123:G124" si="12">ROUND(F123*1.2814,2)</f>
        <v>2.0499999999999998</v>
      </c>
      <c r="H123" s="128">
        <f>ROUND(E123*G123,2)</f>
        <v>8787.3700000000008</v>
      </c>
    </row>
    <row r="124" spans="1:8" ht="33.75" x14ac:dyDescent="0.25">
      <c r="A124" s="29" t="s">
        <v>361</v>
      </c>
      <c r="B124" s="111" t="s">
        <v>385</v>
      </c>
      <c r="C124" s="125" t="s">
        <v>362</v>
      </c>
      <c r="D124" s="30" t="s">
        <v>228</v>
      </c>
      <c r="E124" s="126">
        <f>'Memoria de Calculo '!C370</f>
        <v>1143.07</v>
      </c>
      <c r="F124" s="126">
        <f>'COMPOSIÇÕES UNITÁRIAS CD'!$G$69</f>
        <v>0.62</v>
      </c>
      <c r="G124" s="128">
        <f t="shared" si="12"/>
        <v>0.79</v>
      </c>
      <c r="H124" s="128">
        <f>ROUND(E124*G124,2)</f>
        <v>903.03</v>
      </c>
    </row>
    <row r="125" spans="1:8" x14ac:dyDescent="0.25">
      <c r="A125" s="321"/>
      <c r="B125" s="321"/>
      <c r="C125" s="321"/>
      <c r="D125" s="321"/>
      <c r="E125" s="321"/>
      <c r="F125" s="321"/>
      <c r="G125" s="321"/>
      <c r="H125" s="321"/>
    </row>
    <row r="126" spans="1:8" x14ac:dyDescent="0.25">
      <c r="A126" s="28" t="s">
        <v>258</v>
      </c>
      <c r="B126" s="353" t="s">
        <v>259</v>
      </c>
      <c r="C126" s="353"/>
      <c r="D126" s="353"/>
      <c r="E126" s="353"/>
      <c r="F126" s="353"/>
      <c r="G126" s="353"/>
      <c r="H126" s="124">
        <f>SUM(H127:H127)</f>
        <v>474.98</v>
      </c>
    </row>
    <row r="127" spans="1:8" ht="22.5" x14ac:dyDescent="0.25">
      <c r="A127" s="29" t="s">
        <v>260</v>
      </c>
      <c r="B127" s="111" t="s">
        <v>343</v>
      </c>
      <c r="C127" s="127" t="s">
        <v>332</v>
      </c>
      <c r="D127" s="30" t="s">
        <v>275</v>
      </c>
      <c r="E127" s="126">
        <f>'Memoria de Calculo '!C375</f>
        <v>1</v>
      </c>
      <c r="F127" s="126">
        <f>'COMPOSIÇÕES UNITÁRIAS CD'!$G$74</f>
        <v>370.67</v>
      </c>
      <c r="G127" s="128">
        <f>ROUND(F127*1.2814,2)</f>
        <v>474.98</v>
      </c>
      <c r="H127" s="128">
        <f>ROUND(E127*G127,2)</f>
        <v>474.98</v>
      </c>
    </row>
    <row r="128" spans="1:8" x14ac:dyDescent="0.25">
      <c r="A128" s="321"/>
      <c r="B128" s="321"/>
      <c r="C128" s="321"/>
      <c r="D128" s="321"/>
      <c r="E128" s="321"/>
      <c r="F128" s="321"/>
      <c r="G128" s="321"/>
      <c r="H128" s="321"/>
    </row>
    <row r="129" spans="1:8" x14ac:dyDescent="0.25">
      <c r="A129" s="352" t="s">
        <v>226</v>
      </c>
      <c r="B129" s="352"/>
      <c r="C129" s="352"/>
      <c r="D129" s="352"/>
      <c r="E129" s="352"/>
      <c r="F129" s="352"/>
      <c r="G129" s="352"/>
      <c r="H129" s="186">
        <f>SUM(H126,H122,H118,H114,H111)</f>
        <v>113647.5</v>
      </c>
    </row>
    <row r="131" spans="1:8" x14ac:dyDescent="0.25">
      <c r="A131" s="240" t="s">
        <v>164</v>
      </c>
      <c r="B131" s="241" t="str">
        <f>'RESUMO CD'!B16</f>
        <v xml:space="preserve">RUA DO PAIOL AO BREJO DE BAIXO </v>
      </c>
      <c r="C131" s="242"/>
      <c r="D131" s="239" t="s">
        <v>165</v>
      </c>
      <c r="E131" s="243">
        <v>6</v>
      </c>
      <c r="F131" s="244"/>
      <c r="G131" s="244"/>
      <c r="H131" s="238"/>
    </row>
    <row r="132" spans="1:8" x14ac:dyDescent="0.25">
      <c r="A132" s="131" t="s">
        <v>166</v>
      </c>
      <c r="B132" s="129">
        <f>E132*E131</f>
        <v>2262</v>
      </c>
      <c r="C132" s="119"/>
      <c r="D132" s="120" t="s">
        <v>167</v>
      </c>
      <c r="E132" s="121">
        <v>377</v>
      </c>
      <c r="F132" s="122"/>
      <c r="G132" s="122"/>
      <c r="H132" s="187"/>
    </row>
    <row r="133" spans="1:8" x14ac:dyDescent="0.25">
      <c r="A133" s="300" t="s">
        <v>25</v>
      </c>
      <c r="B133" s="300" t="s">
        <v>92</v>
      </c>
      <c r="C133" s="300" t="s">
        <v>26</v>
      </c>
      <c r="D133" s="300" t="s">
        <v>27</v>
      </c>
      <c r="E133" s="302" t="s">
        <v>28</v>
      </c>
      <c r="F133" s="354" t="s">
        <v>168</v>
      </c>
      <c r="G133" s="355"/>
      <c r="H133" s="356"/>
    </row>
    <row r="134" spans="1:8" x14ac:dyDescent="0.25">
      <c r="A134" s="301"/>
      <c r="B134" s="301"/>
      <c r="C134" s="301"/>
      <c r="D134" s="301"/>
      <c r="E134" s="303"/>
      <c r="F134" s="123" t="s">
        <v>169</v>
      </c>
      <c r="G134" s="123" t="s">
        <v>170</v>
      </c>
      <c r="H134" s="178" t="s">
        <v>171</v>
      </c>
    </row>
    <row r="135" spans="1:8" x14ac:dyDescent="0.25">
      <c r="A135" s="28" t="s">
        <v>33</v>
      </c>
      <c r="B135" s="353" t="s">
        <v>173</v>
      </c>
      <c r="C135" s="353"/>
      <c r="D135" s="353"/>
      <c r="E135" s="353"/>
      <c r="F135" s="353"/>
      <c r="G135" s="353"/>
      <c r="H135" s="124">
        <f>H136</f>
        <v>1628.64</v>
      </c>
    </row>
    <row r="136" spans="1:8" x14ac:dyDescent="0.25">
      <c r="A136" s="29" t="s">
        <v>35</v>
      </c>
      <c r="B136" s="111">
        <v>100575</v>
      </c>
      <c r="C136" s="127" t="s">
        <v>174</v>
      </c>
      <c r="D136" s="30" t="s">
        <v>15</v>
      </c>
      <c r="E136" s="126">
        <f>'Memoria de Calculo '!C401</f>
        <v>2262</v>
      </c>
      <c r="F136" s="126">
        <f>'COMPOSIÇÕES UNITÁRIAS CD'!$G$27</f>
        <v>0.56000000000000005</v>
      </c>
      <c r="G136" s="128">
        <f>ROUND(F136*1.2814,2)</f>
        <v>0.72</v>
      </c>
      <c r="H136" s="128">
        <f>ROUND(E136*G136,2)</f>
        <v>1628.64</v>
      </c>
    </row>
    <row r="137" spans="1:8" x14ac:dyDescent="0.25">
      <c r="A137" s="321"/>
      <c r="B137" s="321"/>
      <c r="C137" s="321"/>
      <c r="D137" s="321"/>
      <c r="E137" s="321"/>
      <c r="F137" s="321"/>
      <c r="G137" s="321"/>
      <c r="H137" s="321"/>
    </row>
    <row r="138" spans="1:8" x14ac:dyDescent="0.25">
      <c r="A138" s="28" t="s">
        <v>175</v>
      </c>
      <c r="B138" s="353" t="s">
        <v>176</v>
      </c>
      <c r="C138" s="353"/>
      <c r="D138" s="353"/>
      <c r="E138" s="353"/>
      <c r="F138" s="353"/>
      <c r="G138" s="353"/>
      <c r="H138" s="124">
        <f>SUM(H139:H140)</f>
        <v>197540.46</v>
      </c>
    </row>
    <row r="139" spans="1:8" ht="22.5" x14ac:dyDescent="0.25">
      <c r="A139" s="29" t="s">
        <v>177</v>
      </c>
      <c r="B139" s="111" t="s">
        <v>256</v>
      </c>
      <c r="C139" s="127" t="s">
        <v>257</v>
      </c>
      <c r="D139" s="30" t="s">
        <v>15</v>
      </c>
      <c r="E139" s="126">
        <f>'Memoria de Calculo '!C407</f>
        <v>2262</v>
      </c>
      <c r="F139" s="126">
        <f>'COMPOSIÇÕES UNITÁRIAS CD'!$G$34</f>
        <v>66.599999999999994</v>
      </c>
      <c r="G139" s="128">
        <f t="shared" ref="G139:G140" si="13">ROUND(F139*1.2814,2)</f>
        <v>85.34</v>
      </c>
      <c r="H139" s="128">
        <f>ROUND(E139*G139,2)</f>
        <v>193039.08</v>
      </c>
    </row>
    <row r="140" spans="1:8" x14ac:dyDescent="0.25">
      <c r="A140" s="29" t="s">
        <v>324</v>
      </c>
      <c r="B140" s="111" t="s">
        <v>261</v>
      </c>
      <c r="C140" s="127" t="s">
        <v>344</v>
      </c>
      <c r="D140" s="30" t="s">
        <v>15</v>
      </c>
      <c r="E140" s="126">
        <f>'Memoria de Calculo '!C412</f>
        <v>2262</v>
      </c>
      <c r="F140" s="126">
        <f>'COMPOSIÇÕES UNITÁRIAS CD'!$G$42</f>
        <v>1.55</v>
      </c>
      <c r="G140" s="128">
        <f t="shared" si="13"/>
        <v>1.99</v>
      </c>
      <c r="H140" s="128">
        <f>ROUND(E140*G140,2)</f>
        <v>4501.38</v>
      </c>
    </row>
    <row r="141" spans="1:8" x14ac:dyDescent="0.25">
      <c r="A141" s="321"/>
      <c r="B141" s="321"/>
      <c r="C141" s="321"/>
      <c r="D141" s="321"/>
      <c r="E141" s="321"/>
      <c r="F141" s="321"/>
      <c r="G141" s="321"/>
      <c r="H141" s="321"/>
    </row>
    <row r="142" spans="1:8" x14ac:dyDescent="0.25">
      <c r="A142" s="28" t="s">
        <v>178</v>
      </c>
      <c r="B142" s="353" t="s">
        <v>179</v>
      </c>
      <c r="C142" s="353"/>
      <c r="D142" s="353"/>
      <c r="E142" s="353"/>
      <c r="F142" s="353"/>
      <c r="G142" s="353"/>
      <c r="H142" s="124">
        <f>SUM(H143:H144)</f>
        <v>60443.619999999995</v>
      </c>
    </row>
    <row r="143" spans="1:8" ht="33.75" x14ac:dyDescent="0.25">
      <c r="A143" s="29" t="s">
        <v>180</v>
      </c>
      <c r="B143" s="111">
        <v>94273</v>
      </c>
      <c r="C143" s="127" t="s">
        <v>181</v>
      </c>
      <c r="D143" s="30" t="s">
        <v>182</v>
      </c>
      <c r="E143" s="126">
        <f>'Memoria de Calculo '!C419</f>
        <v>760</v>
      </c>
      <c r="F143" s="126">
        <f>'COMPOSIÇÕES UNITÁRIAS CD'!$G$47</f>
        <v>40.6</v>
      </c>
      <c r="G143" s="128">
        <f t="shared" ref="G143:G144" si="14">ROUND(F143*1.2814,2)</f>
        <v>52.02</v>
      </c>
      <c r="H143" s="128">
        <f>ROUND(E143*G143,2)</f>
        <v>39535.199999999997</v>
      </c>
    </row>
    <row r="144" spans="1:8" ht="22.5" x14ac:dyDescent="0.25">
      <c r="A144" s="29" t="s">
        <v>183</v>
      </c>
      <c r="B144" s="111" t="s">
        <v>273</v>
      </c>
      <c r="C144" s="127" t="s">
        <v>262</v>
      </c>
      <c r="D144" s="30" t="s">
        <v>182</v>
      </c>
      <c r="E144" s="126">
        <f>'Memoria de Calculo '!C424</f>
        <v>754</v>
      </c>
      <c r="F144" s="126">
        <f>'COMPOSIÇÕES UNITÁRIAS CD'!$G$55</f>
        <v>21.64</v>
      </c>
      <c r="G144" s="128">
        <f t="shared" si="14"/>
        <v>27.73</v>
      </c>
      <c r="H144" s="128">
        <f>ROUND(E144*G144,2)</f>
        <v>20908.419999999998</v>
      </c>
    </row>
    <row r="145" spans="1:8" x14ac:dyDescent="0.25">
      <c r="A145" s="321"/>
      <c r="B145" s="321"/>
      <c r="C145" s="321"/>
      <c r="D145" s="321"/>
      <c r="E145" s="321"/>
      <c r="F145" s="321"/>
      <c r="G145" s="321"/>
      <c r="H145" s="321"/>
    </row>
    <row r="146" spans="1:8" x14ac:dyDescent="0.25">
      <c r="A146" s="28" t="s">
        <v>229</v>
      </c>
      <c r="B146" s="353" t="s">
        <v>227</v>
      </c>
      <c r="C146" s="353"/>
      <c r="D146" s="353"/>
      <c r="E146" s="353"/>
      <c r="F146" s="353"/>
      <c r="G146" s="353"/>
      <c r="H146" s="124">
        <f>SUM(H147:H148)</f>
        <v>24638.880000000001</v>
      </c>
    </row>
    <row r="147" spans="1:8" ht="33.75" x14ac:dyDescent="0.25">
      <c r="A147" s="29" t="s">
        <v>230</v>
      </c>
      <c r="B147" s="111" t="s">
        <v>384</v>
      </c>
      <c r="C147" s="125" t="s">
        <v>391</v>
      </c>
      <c r="D147" s="30" t="s">
        <v>228</v>
      </c>
      <c r="E147" s="126">
        <f>'Memoria de Calculo '!C433</f>
        <v>10773.45</v>
      </c>
      <c r="F147" s="126">
        <f>'COMPOSIÇÕES UNITÁRIAS CD'!$G$64</f>
        <v>1.6</v>
      </c>
      <c r="G147" s="128">
        <f t="shared" ref="G147:G148" si="15">ROUND(F147*1.2814,2)</f>
        <v>2.0499999999999998</v>
      </c>
      <c r="H147" s="128">
        <f>ROUND(E147*G147,2)</f>
        <v>22085.57</v>
      </c>
    </row>
    <row r="148" spans="1:8" ht="33.75" x14ac:dyDescent="0.25">
      <c r="A148" s="29" t="s">
        <v>361</v>
      </c>
      <c r="B148" s="111" t="s">
        <v>385</v>
      </c>
      <c r="C148" s="125" t="s">
        <v>362</v>
      </c>
      <c r="D148" s="30" t="s">
        <v>228</v>
      </c>
      <c r="E148" s="126">
        <f>'Memoria de Calculo '!C441</f>
        <v>3232.04</v>
      </c>
      <c r="F148" s="126">
        <f>'COMPOSIÇÕES UNITÁRIAS CD'!$G$69</f>
        <v>0.62</v>
      </c>
      <c r="G148" s="128">
        <f t="shared" si="15"/>
        <v>0.79</v>
      </c>
      <c r="H148" s="128">
        <f>ROUND(E148*G148,2)</f>
        <v>2553.31</v>
      </c>
    </row>
    <row r="149" spans="1:8" x14ac:dyDescent="0.25">
      <c r="A149" s="321"/>
      <c r="B149" s="321"/>
      <c r="C149" s="321"/>
      <c r="D149" s="321"/>
      <c r="E149" s="321"/>
      <c r="F149" s="321"/>
      <c r="G149" s="321"/>
      <c r="H149" s="321"/>
    </row>
    <row r="150" spans="1:8" x14ac:dyDescent="0.25">
      <c r="A150" s="28" t="s">
        <v>258</v>
      </c>
      <c r="B150" s="353" t="s">
        <v>259</v>
      </c>
      <c r="C150" s="353"/>
      <c r="D150" s="353"/>
      <c r="E150" s="353"/>
      <c r="F150" s="353"/>
      <c r="G150" s="353"/>
      <c r="H150" s="124">
        <f>SUM(H151:H151)</f>
        <v>474.98</v>
      </c>
    </row>
    <row r="151" spans="1:8" ht="22.5" x14ac:dyDescent="0.25">
      <c r="A151" s="29" t="s">
        <v>260</v>
      </c>
      <c r="B151" s="111" t="s">
        <v>343</v>
      </c>
      <c r="C151" s="127" t="s">
        <v>332</v>
      </c>
      <c r="D151" s="30" t="s">
        <v>275</v>
      </c>
      <c r="E151" s="126">
        <f>'Memoria de Calculo '!C446</f>
        <v>1</v>
      </c>
      <c r="F151" s="126">
        <f>'COMPOSIÇÕES UNITÁRIAS CD'!$G$74</f>
        <v>370.67</v>
      </c>
      <c r="G151" s="128">
        <f>ROUND(F151*1.2814,2)</f>
        <v>474.98</v>
      </c>
      <c r="H151" s="128">
        <f>ROUND(E151*G151,2)</f>
        <v>474.98</v>
      </c>
    </row>
    <row r="152" spans="1:8" x14ac:dyDescent="0.25">
      <c r="A152" s="321"/>
      <c r="B152" s="321"/>
      <c r="C152" s="321"/>
      <c r="D152" s="321"/>
      <c r="E152" s="321"/>
      <c r="F152" s="321"/>
      <c r="G152" s="321"/>
      <c r="H152" s="321"/>
    </row>
    <row r="153" spans="1:8" x14ac:dyDescent="0.25">
      <c r="A153" s="352" t="s">
        <v>226</v>
      </c>
      <c r="B153" s="352"/>
      <c r="C153" s="352"/>
      <c r="D153" s="352"/>
      <c r="E153" s="352"/>
      <c r="F153" s="352"/>
      <c r="G153" s="352"/>
      <c r="H153" s="186">
        <f>SUM(H150,H146,H142,H138,H135)</f>
        <v>284726.58</v>
      </c>
    </row>
    <row r="155" spans="1:8" x14ac:dyDescent="0.25">
      <c r="A155" s="240" t="s">
        <v>164</v>
      </c>
      <c r="B155" s="241" t="str">
        <f>'RESUMO CD'!B17</f>
        <v xml:space="preserve">RUA DO MORRO DO BAIRRO MALHADA </v>
      </c>
      <c r="C155" s="242"/>
      <c r="D155" s="239" t="s">
        <v>165</v>
      </c>
      <c r="E155" s="243">
        <v>6</v>
      </c>
      <c r="F155" s="244"/>
      <c r="G155" s="244"/>
      <c r="H155" s="238"/>
    </row>
    <row r="156" spans="1:8" x14ac:dyDescent="0.25">
      <c r="A156" s="131" t="s">
        <v>166</v>
      </c>
      <c r="B156" s="129">
        <f>E156*E155</f>
        <v>444</v>
      </c>
      <c r="C156" s="119"/>
      <c r="D156" s="120" t="s">
        <v>167</v>
      </c>
      <c r="E156" s="121">
        <v>74</v>
      </c>
      <c r="F156" s="122"/>
      <c r="G156" s="122"/>
      <c r="H156" s="187"/>
    </row>
    <row r="157" spans="1:8" x14ac:dyDescent="0.25">
      <c r="A157" s="300" t="s">
        <v>25</v>
      </c>
      <c r="B157" s="300" t="s">
        <v>92</v>
      </c>
      <c r="C157" s="300" t="s">
        <v>26</v>
      </c>
      <c r="D157" s="300" t="s">
        <v>27</v>
      </c>
      <c r="E157" s="302" t="s">
        <v>28</v>
      </c>
      <c r="F157" s="354" t="s">
        <v>168</v>
      </c>
      <c r="G157" s="355"/>
      <c r="H157" s="356"/>
    </row>
    <row r="158" spans="1:8" x14ac:dyDescent="0.25">
      <c r="A158" s="301"/>
      <c r="B158" s="301"/>
      <c r="C158" s="301"/>
      <c r="D158" s="301"/>
      <c r="E158" s="303"/>
      <c r="F158" s="123" t="s">
        <v>169</v>
      </c>
      <c r="G158" s="123" t="s">
        <v>170</v>
      </c>
      <c r="H158" s="178" t="s">
        <v>171</v>
      </c>
    </row>
    <row r="159" spans="1:8" x14ac:dyDescent="0.25">
      <c r="A159" s="28" t="s">
        <v>33</v>
      </c>
      <c r="B159" s="353" t="s">
        <v>173</v>
      </c>
      <c r="C159" s="353"/>
      <c r="D159" s="353"/>
      <c r="E159" s="353"/>
      <c r="F159" s="353"/>
      <c r="G159" s="353"/>
      <c r="H159" s="124">
        <f>H160</f>
        <v>319.68</v>
      </c>
    </row>
    <row r="160" spans="1:8" x14ac:dyDescent="0.25">
      <c r="A160" s="29" t="s">
        <v>35</v>
      </c>
      <c r="B160" s="111">
        <v>100575</v>
      </c>
      <c r="C160" s="127" t="s">
        <v>174</v>
      </c>
      <c r="D160" s="30" t="s">
        <v>15</v>
      </c>
      <c r="E160" s="126">
        <f>'Memoria de Calculo '!C472</f>
        <v>444</v>
      </c>
      <c r="F160" s="126">
        <f>'COMPOSIÇÕES UNITÁRIAS CD'!$G$27</f>
        <v>0.56000000000000005</v>
      </c>
      <c r="G160" s="128">
        <f>ROUND(F160*1.2814,2)</f>
        <v>0.72</v>
      </c>
      <c r="H160" s="128">
        <f>ROUND(E160*G160,2)</f>
        <v>319.68</v>
      </c>
    </row>
    <row r="161" spans="1:8" x14ac:dyDescent="0.25">
      <c r="A161" s="321"/>
      <c r="B161" s="321"/>
      <c r="C161" s="321"/>
      <c r="D161" s="321"/>
      <c r="E161" s="321"/>
      <c r="F161" s="321"/>
      <c r="G161" s="321"/>
      <c r="H161" s="321"/>
    </row>
    <row r="162" spans="1:8" x14ac:dyDescent="0.25">
      <c r="A162" s="28" t="s">
        <v>175</v>
      </c>
      <c r="B162" s="353" t="s">
        <v>176</v>
      </c>
      <c r="C162" s="353"/>
      <c r="D162" s="353"/>
      <c r="E162" s="353"/>
      <c r="F162" s="353"/>
      <c r="G162" s="353"/>
      <c r="H162" s="124">
        <f>SUM(H163:H164)</f>
        <v>38774.519999999997</v>
      </c>
    </row>
    <row r="163" spans="1:8" ht="22.5" x14ac:dyDescent="0.25">
      <c r="A163" s="29" t="s">
        <v>177</v>
      </c>
      <c r="B163" s="111" t="s">
        <v>256</v>
      </c>
      <c r="C163" s="127" t="s">
        <v>257</v>
      </c>
      <c r="D163" s="30" t="s">
        <v>15</v>
      </c>
      <c r="E163" s="126">
        <f>'Memoria de Calculo '!C478</f>
        <v>444</v>
      </c>
      <c r="F163" s="126">
        <f>'COMPOSIÇÕES UNITÁRIAS CD'!$G$34</f>
        <v>66.599999999999994</v>
      </c>
      <c r="G163" s="128">
        <f t="shared" ref="G163:G164" si="16">ROUND(F163*1.2814,2)</f>
        <v>85.34</v>
      </c>
      <c r="H163" s="128">
        <f>ROUND(E163*G163,2)</f>
        <v>37890.959999999999</v>
      </c>
    </row>
    <row r="164" spans="1:8" x14ac:dyDescent="0.25">
      <c r="A164" s="29" t="s">
        <v>324</v>
      </c>
      <c r="B164" s="111" t="s">
        <v>261</v>
      </c>
      <c r="C164" s="127" t="s">
        <v>344</v>
      </c>
      <c r="D164" s="30" t="s">
        <v>15</v>
      </c>
      <c r="E164" s="126">
        <f>'Memoria de Calculo '!C483</f>
        <v>444</v>
      </c>
      <c r="F164" s="126">
        <f>'COMPOSIÇÕES UNITÁRIAS CD'!$G$42</f>
        <v>1.55</v>
      </c>
      <c r="G164" s="128">
        <f t="shared" si="16"/>
        <v>1.99</v>
      </c>
      <c r="H164" s="128">
        <f>ROUND(E164*G164,2)</f>
        <v>883.56</v>
      </c>
    </row>
    <row r="165" spans="1:8" x14ac:dyDescent="0.25">
      <c r="A165" s="321"/>
      <c r="B165" s="321"/>
      <c r="C165" s="321"/>
      <c r="D165" s="321"/>
      <c r="E165" s="321"/>
      <c r="F165" s="321"/>
      <c r="G165" s="321"/>
      <c r="H165" s="321"/>
    </row>
    <row r="166" spans="1:8" x14ac:dyDescent="0.25">
      <c r="A166" s="28" t="s">
        <v>178</v>
      </c>
      <c r="B166" s="353" t="s">
        <v>179</v>
      </c>
      <c r="C166" s="353"/>
      <c r="D166" s="353"/>
      <c r="E166" s="353"/>
      <c r="F166" s="353"/>
      <c r="G166" s="353"/>
      <c r="H166" s="124">
        <f>SUM(H167:H168)</f>
        <v>12115.119999999999</v>
      </c>
    </row>
    <row r="167" spans="1:8" ht="33.75" x14ac:dyDescent="0.25">
      <c r="A167" s="29" t="s">
        <v>180</v>
      </c>
      <c r="B167" s="111">
        <v>94273</v>
      </c>
      <c r="C167" s="127" t="s">
        <v>181</v>
      </c>
      <c r="D167" s="30" t="s">
        <v>182</v>
      </c>
      <c r="E167" s="126">
        <f>'Memoria de Calculo '!C490</f>
        <v>154</v>
      </c>
      <c r="F167" s="126">
        <f>'COMPOSIÇÕES UNITÁRIAS CD'!$G$47</f>
        <v>40.6</v>
      </c>
      <c r="G167" s="128">
        <f t="shared" ref="G167:G168" si="17">ROUND(F167*1.2814,2)</f>
        <v>52.02</v>
      </c>
      <c r="H167" s="128">
        <f>ROUND(E167*G167,2)</f>
        <v>8011.08</v>
      </c>
    </row>
    <row r="168" spans="1:8" ht="22.5" x14ac:dyDescent="0.25">
      <c r="A168" s="29" t="s">
        <v>183</v>
      </c>
      <c r="B168" s="111" t="s">
        <v>273</v>
      </c>
      <c r="C168" s="127" t="s">
        <v>262</v>
      </c>
      <c r="D168" s="30" t="s">
        <v>182</v>
      </c>
      <c r="E168" s="126">
        <f>'Memoria de Calculo '!C495</f>
        <v>148</v>
      </c>
      <c r="F168" s="126">
        <f>'COMPOSIÇÕES UNITÁRIAS CD'!$G$55</f>
        <v>21.64</v>
      </c>
      <c r="G168" s="128">
        <f t="shared" si="17"/>
        <v>27.73</v>
      </c>
      <c r="H168" s="128">
        <f>ROUND(E168*G168,2)</f>
        <v>4104.04</v>
      </c>
    </row>
    <row r="169" spans="1:8" x14ac:dyDescent="0.25">
      <c r="A169" s="321"/>
      <c r="B169" s="321"/>
      <c r="C169" s="321"/>
      <c r="D169" s="321"/>
      <c r="E169" s="321"/>
      <c r="F169" s="321"/>
      <c r="G169" s="321"/>
      <c r="H169" s="321"/>
    </row>
    <row r="170" spans="1:8" x14ac:dyDescent="0.25">
      <c r="A170" s="28" t="s">
        <v>229</v>
      </c>
      <c r="B170" s="353" t="s">
        <v>227</v>
      </c>
      <c r="C170" s="353"/>
      <c r="D170" s="353"/>
      <c r="E170" s="353"/>
      <c r="F170" s="353"/>
      <c r="G170" s="353"/>
      <c r="H170" s="124">
        <f>SUM(H171:H172)</f>
        <v>5393.14</v>
      </c>
    </row>
    <row r="171" spans="1:8" ht="33.75" x14ac:dyDescent="0.25">
      <c r="A171" s="29" t="s">
        <v>230</v>
      </c>
      <c r="B171" s="111" t="s">
        <v>384</v>
      </c>
      <c r="C171" s="125" t="s">
        <v>391</v>
      </c>
      <c r="D171" s="30" t="s">
        <v>228</v>
      </c>
      <c r="E171" s="126">
        <f>'Memoria de Calculo '!C504</f>
        <v>2114.6799999999998</v>
      </c>
      <c r="F171" s="126">
        <f>'COMPOSIÇÕES UNITÁRIAS CD'!$G$64</f>
        <v>1.6</v>
      </c>
      <c r="G171" s="128">
        <f t="shared" ref="G171:G172" si="18">ROUND(F171*1.2814,2)</f>
        <v>2.0499999999999998</v>
      </c>
      <c r="H171" s="128">
        <f>ROUND(E171*G171,2)</f>
        <v>4335.09</v>
      </c>
    </row>
    <row r="172" spans="1:8" ht="33.75" x14ac:dyDescent="0.25">
      <c r="A172" s="29" t="s">
        <v>361</v>
      </c>
      <c r="B172" s="111" t="s">
        <v>385</v>
      </c>
      <c r="C172" s="125" t="s">
        <v>362</v>
      </c>
      <c r="D172" s="30" t="s">
        <v>228</v>
      </c>
      <c r="E172" s="126">
        <f>'Memoria de Calculo '!C512</f>
        <v>1339.3</v>
      </c>
      <c r="F172" s="126">
        <f>'COMPOSIÇÕES UNITÁRIAS CD'!$G$69</f>
        <v>0.62</v>
      </c>
      <c r="G172" s="128">
        <f t="shared" si="18"/>
        <v>0.79</v>
      </c>
      <c r="H172" s="128">
        <f>ROUND(E172*G172,2)</f>
        <v>1058.05</v>
      </c>
    </row>
    <row r="173" spans="1:8" x14ac:dyDescent="0.25">
      <c r="A173" s="321"/>
      <c r="B173" s="321"/>
      <c r="C173" s="321"/>
      <c r="D173" s="321"/>
      <c r="E173" s="321"/>
      <c r="F173" s="321"/>
      <c r="G173" s="321"/>
      <c r="H173" s="321"/>
    </row>
    <row r="174" spans="1:8" x14ac:dyDescent="0.25">
      <c r="A174" s="28" t="s">
        <v>258</v>
      </c>
      <c r="B174" s="353" t="s">
        <v>259</v>
      </c>
      <c r="C174" s="353"/>
      <c r="D174" s="353"/>
      <c r="E174" s="353"/>
      <c r="F174" s="353"/>
      <c r="G174" s="353"/>
      <c r="H174" s="124">
        <f>SUM(H175:H175)</f>
        <v>474.98</v>
      </c>
    </row>
    <row r="175" spans="1:8" ht="22.5" x14ac:dyDescent="0.25">
      <c r="A175" s="29" t="s">
        <v>260</v>
      </c>
      <c r="B175" s="111" t="s">
        <v>343</v>
      </c>
      <c r="C175" s="127" t="s">
        <v>332</v>
      </c>
      <c r="D175" s="30" t="s">
        <v>275</v>
      </c>
      <c r="E175" s="126">
        <f>'Memoria de Calculo '!C517</f>
        <v>1</v>
      </c>
      <c r="F175" s="126">
        <f>'COMPOSIÇÕES UNITÁRIAS CD'!$G$74</f>
        <v>370.67</v>
      </c>
      <c r="G175" s="128">
        <f>ROUND(F175*1.2814,2)</f>
        <v>474.98</v>
      </c>
      <c r="H175" s="128">
        <f>ROUND(E175*G175,2)</f>
        <v>474.98</v>
      </c>
    </row>
    <row r="176" spans="1:8" x14ac:dyDescent="0.25">
      <c r="A176" s="321"/>
      <c r="B176" s="321"/>
      <c r="C176" s="321"/>
      <c r="D176" s="321"/>
      <c r="E176" s="321"/>
      <c r="F176" s="321"/>
      <c r="G176" s="321"/>
      <c r="H176" s="321"/>
    </row>
    <row r="177" spans="1:8" x14ac:dyDescent="0.25">
      <c r="A177" s="352" t="s">
        <v>226</v>
      </c>
      <c r="B177" s="352"/>
      <c r="C177" s="352"/>
      <c r="D177" s="352"/>
      <c r="E177" s="352"/>
      <c r="F177" s="352"/>
      <c r="G177" s="352"/>
      <c r="H177" s="186">
        <f>SUM(H174,H170,H166,H162,H159)</f>
        <v>57077.439999999995</v>
      </c>
    </row>
    <row r="179" spans="1:8" x14ac:dyDescent="0.25">
      <c r="A179" s="352" t="s">
        <v>358</v>
      </c>
      <c r="B179" s="352"/>
      <c r="C179" s="352"/>
      <c r="D179" s="352"/>
      <c r="E179" s="352"/>
      <c r="F179" s="352"/>
      <c r="G179" s="352"/>
      <c r="H179" s="186">
        <f>SUM(H177,H153,H129,H105,H81,H57,H33,H10)</f>
        <v>750778.6</v>
      </c>
    </row>
  </sheetData>
  <sheetProtection algorithmName="SHA-512" hashValue="exGmLOX0ZY1zg9QOxAezUNpfo42ZixtPpqvRfQ5BLavpGS5gHoeCGR5u5jVhYNpetCVCC4iOygizaPyrPWr57g==" saltValue="H1Gs+Xncc/e4f/8YZPY1kA==" spinCount="100000" sheet="1" objects="1" scenarios="1" selectLockedCells="1" selectUnlockedCells="1"/>
  <mergeCells count="128">
    <mergeCell ref="A179:G179"/>
    <mergeCell ref="A169:H169"/>
    <mergeCell ref="B170:G170"/>
    <mergeCell ref="A173:H173"/>
    <mergeCell ref="B174:G174"/>
    <mergeCell ref="A176:H176"/>
    <mergeCell ref="A177:G177"/>
    <mergeCell ref="F157:H157"/>
    <mergeCell ref="B159:G159"/>
    <mergeCell ref="A161:H161"/>
    <mergeCell ref="B162:G162"/>
    <mergeCell ref="A165:H165"/>
    <mergeCell ref="B166:G166"/>
    <mergeCell ref="B146:G146"/>
    <mergeCell ref="A149:H149"/>
    <mergeCell ref="B150:G150"/>
    <mergeCell ref="A152:H152"/>
    <mergeCell ref="A153:G153"/>
    <mergeCell ref="A157:A158"/>
    <mergeCell ref="B157:B158"/>
    <mergeCell ref="C157:C158"/>
    <mergeCell ref="D157:D158"/>
    <mergeCell ref="E157:E158"/>
    <mergeCell ref="B135:G135"/>
    <mergeCell ref="A137:H137"/>
    <mergeCell ref="B138:G138"/>
    <mergeCell ref="A141:H141"/>
    <mergeCell ref="B142:G142"/>
    <mergeCell ref="A145:H145"/>
    <mergeCell ref="A133:A134"/>
    <mergeCell ref="B133:B134"/>
    <mergeCell ref="C133:C134"/>
    <mergeCell ref="D133:D134"/>
    <mergeCell ref="E133:E134"/>
    <mergeCell ref="F133:H133"/>
    <mergeCell ref="A121:H121"/>
    <mergeCell ref="B122:G122"/>
    <mergeCell ref="A125:H125"/>
    <mergeCell ref="B126:G126"/>
    <mergeCell ref="A128:H128"/>
    <mergeCell ref="A129:G129"/>
    <mergeCell ref="F109:H109"/>
    <mergeCell ref="B111:G111"/>
    <mergeCell ref="A113:H113"/>
    <mergeCell ref="B114:G114"/>
    <mergeCell ref="A117:H117"/>
    <mergeCell ref="B118:G118"/>
    <mergeCell ref="B98:G98"/>
    <mergeCell ref="A101:H101"/>
    <mergeCell ref="B102:G102"/>
    <mergeCell ref="A104:H104"/>
    <mergeCell ref="A105:G105"/>
    <mergeCell ref="A109:A110"/>
    <mergeCell ref="B109:B110"/>
    <mergeCell ref="C109:C110"/>
    <mergeCell ref="D109:D110"/>
    <mergeCell ref="E109:E110"/>
    <mergeCell ref="B87:G87"/>
    <mergeCell ref="A89:H89"/>
    <mergeCell ref="B90:G90"/>
    <mergeCell ref="A93:H93"/>
    <mergeCell ref="B94:G94"/>
    <mergeCell ref="A97:H97"/>
    <mergeCell ref="A85:A86"/>
    <mergeCell ref="B85:B86"/>
    <mergeCell ref="C85:C86"/>
    <mergeCell ref="D85:D86"/>
    <mergeCell ref="E85:E86"/>
    <mergeCell ref="F85:H85"/>
    <mergeCell ref="A73:H73"/>
    <mergeCell ref="B74:G74"/>
    <mergeCell ref="A77:H77"/>
    <mergeCell ref="B78:G78"/>
    <mergeCell ref="A80:H80"/>
    <mergeCell ref="A81:G81"/>
    <mergeCell ref="F61:H61"/>
    <mergeCell ref="B63:G63"/>
    <mergeCell ref="A65:H65"/>
    <mergeCell ref="B66:G66"/>
    <mergeCell ref="A69:H69"/>
    <mergeCell ref="B70:G70"/>
    <mergeCell ref="B50:G50"/>
    <mergeCell ref="A53:H53"/>
    <mergeCell ref="B54:G54"/>
    <mergeCell ref="A56:H56"/>
    <mergeCell ref="A57:G57"/>
    <mergeCell ref="A61:A62"/>
    <mergeCell ref="B61:B62"/>
    <mergeCell ref="C61:C62"/>
    <mergeCell ref="D61:D62"/>
    <mergeCell ref="E61:E62"/>
    <mergeCell ref="B39:G39"/>
    <mergeCell ref="A41:H41"/>
    <mergeCell ref="B42:G42"/>
    <mergeCell ref="A45:H45"/>
    <mergeCell ref="B46:G46"/>
    <mergeCell ref="A49:H49"/>
    <mergeCell ref="A33:G33"/>
    <mergeCell ref="A37:A38"/>
    <mergeCell ref="B37:B38"/>
    <mergeCell ref="C37:C38"/>
    <mergeCell ref="D37:D38"/>
    <mergeCell ref="E37:E38"/>
    <mergeCell ref="F37:H37"/>
    <mergeCell ref="B22:G22"/>
    <mergeCell ref="A25:H25"/>
    <mergeCell ref="B26:G26"/>
    <mergeCell ref="A29:H29"/>
    <mergeCell ref="B30:G30"/>
    <mergeCell ref="A32:H32"/>
    <mergeCell ref="B10:G10"/>
    <mergeCell ref="A14:H14"/>
    <mergeCell ref="B15:G15"/>
    <mergeCell ref="A17:H17"/>
    <mergeCell ref="B18:G18"/>
    <mergeCell ref="A21:H21"/>
    <mergeCell ref="A8:A9"/>
    <mergeCell ref="B8:B9"/>
    <mergeCell ref="C8:C9"/>
    <mergeCell ref="D8:D9"/>
    <mergeCell ref="E8:E9"/>
    <mergeCell ref="F8:H8"/>
    <mergeCell ref="A1:H2"/>
    <mergeCell ref="A3:E3"/>
    <mergeCell ref="F3:F4"/>
    <mergeCell ref="G3:G4"/>
    <mergeCell ref="H3:H4"/>
    <mergeCell ref="D4:E4"/>
  </mergeCells>
  <pageMargins left="0.51181102362204722" right="0.51181102362204722" top="1.7716535433070868" bottom="1.5748031496062993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355D-554E-435C-9B5D-556FD03266EA}">
  <sheetPr>
    <tabColor theme="0" tint="-0.14999847407452621"/>
    <pageSetUpPr fitToPage="1"/>
  </sheetPr>
  <dimension ref="A1:H86"/>
  <sheetViews>
    <sheetView workbookViewId="0">
      <selection activeCell="D4" sqref="D4:E4"/>
    </sheetView>
  </sheetViews>
  <sheetFormatPr defaultRowHeight="15" x14ac:dyDescent="0.25"/>
  <cols>
    <col min="1" max="1" width="13.140625" style="23" customWidth="1"/>
    <col min="2" max="2" width="6.85546875" style="23" bestFit="1" customWidth="1"/>
    <col min="3" max="3" width="46.140625" customWidth="1"/>
    <col min="4" max="4" width="12" bestFit="1" customWidth="1"/>
    <col min="5" max="5" width="10" bestFit="1" customWidth="1"/>
    <col min="6" max="6" width="18.85546875" customWidth="1"/>
    <col min="7" max="8" width="17.28515625" bestFit="1" customWidth="1"/>
    <col min="9" max="9" width="0" hidden="1" customWidth="1"/>
  </cols>
  <sheetData>
    <row r="1" spans="1:8" x14ac:dyDescent="0.25">
      <c r="A1" s="366" t="s">
        <v>192</v>
      </c>
      <c r="B1" s="367"/>
      <c r="C1" s="367"/>
      <c r="D1" s="367"/>
      <c r="E1" s="367"/>
      <c r="F1" s="367"/>
      <c r="G1" s="368"/>
    </row>
    <row r="2" spans="1:8" x14ac:dyDescent="0.25">
      <c r="A2" s="369"/>
      <c r="B2" s="370"/>
      <c r="C2" s="370"/>
      <c r="D2" s="370"/>
      <c r="E2" s="370"/>
      <c r="F2" s="370"/>
      <c r="G2" s="371"/>
    </row>
    <row r="3" spans="1:8" x14ac:dyDescent="0.25">
      <c r="A3" s="331" t="str">
        <f>'ORÇAMENTO CD'!A3:E3</f>
        <v>OBJETO:  PAVIMENTAÇÃO DE VIAS PÚBLICAS NO MUNÍCIO DE BARRO DURO-PI</v>
      </c>
      <c r="B3" s="332"/>
      <c r="C3" s="332"/>
      <c r="D3" s="118" t="s">
        <v>193</v>
      </c>
      <c r="E3" s="139">
        <v>0.26860000000000001</v>
      </c>
      <c r="F3" s="358" t="str">
        <f>'ORÇAMENTO CD'!F3:F4</f>
        <v>FONTE:  
SINAPI 06/2025</v>
      </c>
      <c r="G3" s="360" t="str">
        <f>'ORÇAMENTO CD'!H3:H4</f>
        <v>HORISTA: 90,66%
MENSALISTA: 52,90%</v>
      </c>
    </row>
    <row r="4" spans="1:8" ht="25.5" customHeight="1" x14ac:dyDescent="0.25">
      <c r="A4" s="140" t="str">
        <f>'ORÇAMENTO CD'!A4</f>
        <v>LOCAL: BREJO DE BAIXO, MALHADA</v>
      </c>
      <c r="B4" s="141"/>
      <c r="C4" s="141"/>
      <c r="D4" s="374" t="s">
        <v>10</v>
      </c>
      <c r="E4" s="374"/>
      <c r="F4" s="372"/>
      <c r="G4" s="373"/>
    </row>
    <row r="6" spans="1:8" x14ac:dyDescent="0.25">
      <c r="A6" s="263" t="s">
        <v>194</v>
      </c>
      <c r="B6" s="265" t="s">
        <v>240</v>
      </c>
      <c r="C6" s="265" t="s">
        <v>195</v>
      </c>
      <c r="D6" s="264" t="s">
        <v>241</v>
      </c>
      <c r="E6" s="263" t="s">
        <v>242</v>
      </c>
      <c r="F6" s="263" t="s">
        <v>243</v>
      </c>
      <c r="G6" s="263" t="s">
        <v>118</v>
      </c>
    </row>
    <row r="7" spans="1:8" s="142" customFormat="1" ht="22.5" x14ac:dyDescent="0.25">
      <c r="A7" s="266" t="s">
        <v>263</v>
      </c>
      <c r="B7" s="267" t="s">
        <v>196</v>
      </c>
      <c r="C7" s="267" t="s">
        <v>276</v>
      </c>
      <c r="D7" s="268" t="s">
        <v>15</v>
      </c>
      <c r="E7" s="269">
        <v>1</v>
      </c>
      <c r="F7" s="270">
        <v>460.72</v>
      </c>
      <c r="G7" s="270">
        <v>460.72</v>
      </c>
      <c r="H7"/>
    </row>
    <row r="8" spans="1:8" x14ac:dyDescent="0.25">
      <c r="A8" s="182" t="s">
        <v>264</v>
      </c>
      <c r="B8" s="183" t="s">
        <v>196</v>
      </c>
      <c r="C8" s="183" t="s">
        <v>277</v>
      </c>
      <c r="D8" s="184" t="s">
        <v>15</v>
      </c>
      <c r="E8" s="185">
        <v>0.5</v>
      </c>
      <c r="F8" s="189">
        <v>23.91</v>
      </c>
      <c r="G8" s="189">
        <v>11.95</v>
      </c>
    </row>
    <row r="9" spans="1:8" x14ac:dyDescent="0.25">
      <c r="A9" s="182" t="s">
        <v>197</v>
      </c>
      <c r="B9" s="183" t="s">
        <v>196</v>
      </c>
      <c r="C9" s="183" t="s">
        <v>278</v>
      </c>
      <c r="D9" s="184" t="s">
        <v>198</v>
      </c>
      <c r="E9" s="185">
        <v>0.37290000000000001</v>
      </c>
      <c r="F9" s="189">
        <v>24.77</v>
      </c>
      <c r="G9" s="189">
        <v>9.23</v>
      </c>
    </row>
    <row r="10" spans="1:8" x14ac:dyDescent="0.25">
      <c r="A10" s="182" t="s">
        <v>199</v>
      </c>
      <c r="B10" s="183" t="s">
        <v>196</v>
      </c>
      <c r="C10" s="183" t="s">
        <v>207</v>
      </c>
      <c r="D10" s="184" t="s">
        <v>198</v>
      </c>
      <c r="E10" s="185">
        <v>1.1186</v>
      </c>
      <c r="F10" s="189">
        <v>20.100000000000001</v>
      </c>
      <c r="G10" s="189">
        <v>22.48</v>
      </c>
    </row>
    <row r="11" spans="1:8" ht="22.5" x14ac:dyDescent="0.25">
      <c r="A11" s="182" t="s">
        <v>265</v>
      </c>
      <c r="B11" s="183" t="s">
        <v>196</v>
      </c>
      <c r="C11" s="183" t="s">
        <v>279</v>
      </c>
      <c r="D11" s="184" t="s">
        <v>201</v>
      </c>
      <c r="E11" s="185">
        <v>3.2082999999999999</v>
      </c>
      <c r="F11" s="189">
        <v>5.0999999999999996</v>
      </c>
      <c r="G11" s="189">
        <v>16.36</v>
      </c>
    </row>
    <row r="12" spans="1:8" ht="22.5" x14ac:dyDescent="0.25">
      <c r="A12" s="182" t="s">
        <v>202</v>
      </c>
      <c r="B12" s="183" t="s">
        <v>196</v>
      </c>
      <c r="C12" s="183" t="s">
        <v>280</v>
      </c>
      <c r="D12" s="184" t="s">
        <v>15</v>
      </c>
      <c r="E12" s="185">
        <v>1</v>
      </c>
      <c r="F12" s="189">
        <v>400</v>
      </c>
      <c r="G12" s="189">
        <v>400</v>
      </c>
    </row>
    <row r="13" spans="1:8" x14ac:dyDescent="0.25">
      <c r="A13" s="182" t="s">
        <v>266</v>
      </c>
      <c r="B13" s="183" t="s">
        <v>196</v>
      </c>
      <c r="C13" s="183" t="s">
        <v>281</v>
      </c>
      <c r="D13" s="184" t="s">
        <v>203</v>
      </c>
      <c r="E13" s="185">
        <v>1.1299999999999999E-2</v>
      </c>
      <c r="F13" s="189">
        <v>38.700000000000003</v>
      </c>
      <c r="G13" s="189">
        <v>0.43</v>
      </c>
    </row>
    <row r="14" spans="1:8" x14ac:dyDescent="0.25">
      <c r="A14" s="182" t="s">
        <v>267</v>
      </c>
      <c r="B14" s="183" t="s">
        <v>196</v>
      </c>
      <c r="C14" s="183" t="s">
        <v>282</v>
      </c>
      <c r="D14" s="184" t="s">
        <v>203</v>
      </c>
      <c r="E14" s="185">
        <v>1.32E-2</v>
      </c>
      <c r="F14" s="189">
        <v>20.74</v>
      </c>
      <c r="G14" s="189">
        <v>0.27</v>
      </c>
    </row>
    <row r="16" spans="1:8" x14ac:dyDescent="0.25">
      <c r="A16" s="263" t="s">
        <v>194</v>
      </c>
      <c r="B16" s="265" t="s">
        <v>240</v>
      </c>
      <c r="C16" s="265" t="s">
        <v>195</v>
      </c>
      <c r="D16" s="264" t="s">
        <v>241</v>
      </c>
      <c r="E16" s="263" t="s">
        <v>242</v>
      </c>
      <c r="F16" s="263" t="s">
        <v>243</v>
      </c>
      <c r="G16" s="263" t="s">
        <v>118</v>
      </c>
    </row>
    <row r="17" spans="1:8" s="142" customFormat="1" x14ac:dyDescent="0.25">
      <c r="A17" s="266" t="s">
        <v>392</v>
      </c>
      <c r="B17" s="267" t="s">
        <v>325</v>
      </c>
      <c r="C17" s="267" t="s">
        <v>39</v>
      </c>
      <c r="D17" s="268" t="s">
        <v>40</v>
      </c>
      <c r="E17" s="269">
        <v>1</v>
      </c>
      <c r="F17" s="270">
        <v>5169.1499999999996</v>
      </c>
      <c r="G17" s="270">
        <v>5169.1499999999996</v>
      </c>
      <c r="H17"/>
    </row>
    <row r="18" spans="1:8" x14ac:dyDescent="0.25">
      <c r="A18" s="182" t="s">
        <v>372</v>
      </c>
      <c r="B18" s="183" t="s">
        <v>196</v>
      </c>
      <c r="C18" s="183" t="s">
        <v>205</v>
      </c>
      <c r="D18" s="184" t="s">
        <v>198</v>
      </c>
      <c r="E18" s="185">
        <v>35</v>
      </c>
      <c r="F18" s="189">
        <v>115.76</v>
      </c>
      <c r="G18" s="189">
        <v>4051.6</v>
      </c>
    </row>
    <row r="19" spans="1:8" x14ac:dyDescent="0.25">
      <c r="A19" s="182" t="s">
        <v>373</v>
      </c>
      <c r="B19" s="183" t="s">
        <v>196</v>
      </c>
      <c r="C19" s="183" t="s">
        <v>206</v>
      </c>
      <c r="D19" s="184" t="s">
        <v>198</v>
      </c>
      <c r="E19" s="185">
        <v>35</v>
      </c>
      <c r="F19" s="189">
        <v>31.93</v>
      </c>
      <c r="G19" s="189">
        <v>1117.55</v>
      </c>
    </row>
    <row r="21" spans="1:8" x14ac:dyDescent="0.25">
      <c r="A21" s="263" t="s">
        <v>194</v>
      </c>
      <c r="B21" s="265" t="s">
        <v>240</v>
      </c>
      <c r="C21" s="265" t="s">
        <v>195</v>
      </c>
      <c r="D21" s="264" t="s">
        <v>241</v>
      </c>
      <c r="E21" s="263" t="s">
        <v>242</v>
      </c>
      <c r="F21" s="263" t="s">
        <v>243</v>
      </c>
      <c r="G21" s="263" t="s">
        <v>118</v>
      </c>
    </row>
    <row r="22" spans="1:8" s="142" customFormat="1" x14ac:dyDescent="0.25">
      <c r="A22" s="266" t="s">
        <v>374</v>
      </c>
      <c r="B22" s="267" t="s">
        <v>196</v>
      </c>
      <c r="C22" s="267" t="s">
        <v>289</v>
      </c>
      <c r="D22" s="268" t="s">
        <v>15</v>
      </c>
      <c r="E22" s="269">
        <v>1</v>
      </c>
      <c r="F22" s="270">
        <v>3.91</v>
      </c>
      <c r="G22" s="270">
        <v>3.91</v>
      </c>
      <c r="H22"/>
    </row>
    <row r="23" spans="1:8" x14ac:dyDescent="0.25">
      <c r="A23" s="182" t="s">
        <v>199</v>
      </c>
      <c r="B23" s="183" t="s">
        <v>196</v>
      </c>
      <c r="C23" s="183" t="s">
        <v>207</v>
      </c>
      <c r="D23" s="184" t="s">
        <v>198</v>
      </c>
      <c r="E23" s="185">
        <v>0.14000000000000001</v>
      </c>
      <c r="F23" s="189">
        <v>20.100000000000001</v>
      </c>
      <c r="G23" s="189">
        <v>2.81</v>
      </c>
    </row>
    <row r="24" spans="1:8" ht="22.5" x14ac:dyDescent="0.25">
      <c r="A24" s="182" t="s">
        <v>375</v>
      </c>
      <c r="B24" s="183" t="s">
        <v>196</v>
      </c>
      <c r="C24" s="183" t="s">
        <v>386</v>
      </c>
      <c r="D24" s="184" t="s">
        <v>376</v>
      </c>
      <c r="E24" s="185">
        <v>0.05</v>
      </c>
      <c r="F24" s="189">
        <v>22.14</v>
      </c>
      <c r="G24" s="189">
        <v>1.1000000000000001</v>
      </c>
    </row>
    <row r="26" spans="1:8" x14ac:dyDescent="0.25">
      <c r="A26" s="263" t="s">
        <v>194</v>
      </c>
      <c r="B26" s="265" t="s">
        <v>240</v>
      </c>
      <c r="C26" s="265" t="s">
        <v>195</v>
      </c>
      <c r="D26" s="264" t="s">
        <v>241</v>
      </c>
      <c r="E26" s="263" t="s">
        <v>242</v>
      </c>
      <c r="F26" s="263" t="s">
        <v>243</v>
      </c>
      <c r="G26" s="263" t="s">
        <v>118</v>
      </c>
    </row>
    <row r="27" spans="1:8" s="142" customFormat="1" ht="22.5" x14ac:dyDescent="0.25">
      <c r="A27" s="266" t="s">
        <v>268</v>
      </c>
      <c r="B27" s="267" t="s">
        <v>196</v>
      </c>
      <c r="C27" s="267" t="s">
        <v>283</v>
      </c>
      <c r="D27" s="268" t="s">
        <v>15</v>
      </c>
      <c r="E27" s="269">
        <v>1</v>
      </c>
      <c r="F27" s="270">
        <v>0.56000000000000005</v>
      </c>
      <c r="G27" s="270">
        <v>0.56000000000000005</v>
      </c>
      <c r="H27"/>
    </row>
    <row r="28" spans="1:8" ht="33.75" x14ac:dyDescent="0.25">
      <c r="A28" s="182" t="s">
        <v>269</v>
      </c>
      <c r="B28" s="183" t="s">
        <v>196</v>
      </c>
      <c r="C28" s="183" t="s">
        <v>284</v>
      </c>
      <c r="D28" s="184" t="s">
        <v>246</v>
      </c>
      <c r="E28" s="185">
        <v>3.0249999999999998E-4</v>
      </c>
      <c r="F28" s="189">
        <v>260.05</v>
      </c>
      <c r="G28" s="189">
        <v>7.0000000000000007E-2</v>
      </c>
    </row>
    <row r="29" spans="1:8" ht="33.75" x14ac:dyDescent="0.25">
      <c r="A29" s="182" t="s">
        <v>270</v>
      </c>
      <c r="B29" s="183" t="s">
        <v>196</v>
      </c>
      <c r="C29" s="183" t="s">
        <v>285</v>
      </c>
      <c r="D29" s="184" t="s">
        <v>248</v>
      </c>
      <c r="E29" s="185">
        <v>7.3180000000000001E-4</v>
      </c>
      <c r="F29" s="189">
        <v>103.99</v>
      </c>
      <c r="G29" s="189">
        <v>7.0000000000000007E-2</v>
      </c>
    </row>
    <row r="30" spans="1:8" x14ac:dyDescent="0.25">
      <c r="A30" s="182" t="s">
        <v>199</v>
      </c>
      <c r="B30" s="183" t="s">
        <v>196</v>
      </c>
      <c r="C30" s="183" t="s">
        <v>207</v>
      </c>
      <c r="D30" s="184" t="s">
        <v>198</v>
      </c>
      <c r="E30" s="185">
        <v>1.0342999999999999E-3</v>
      </c>
      <c r="F30" s="189">
        <v>20.100000000000001</v>
      </c>
      <c r="G30" s="189">
        <v>0.02</v>
      </c>
    </row>
    <row r="31" spans="1:8" ht="33.75" x14ac:dyDescent="0.25">
      <c r="A31" s="182" t="s">
        <v>271</v>
      </c>
      <c r="B31" s="183" t="s">
        <v>196</v>
      </c>
      <c r="C31" s="183" t="s">
        <v>286</v>
      </c>
      <c r="D31" s="184" t="s">
        <v>248</v>
      </c>
      <c r="E31" s="185">
        <v>6.0956999999999999E-3</v>
      </c>
      <c r="F31" s="189">
        <v>66.349999999999994</v>
      </c>
      <c r="G31" s="189">
        <v>0.4</v>
      </c>
    </row>
    <row r="33" spans="1:8" x14ac:dyDescent="0.25">
      <c r="A33" s="263" t="s">
        <v>194</v>
      </c>
      <c r="B33" s="265" t="s">
        <v>240</v>
      </c>
      <c r="C33" s="265" t="s">
        <v>195</v>
      </c>
      <c r="D33" s="264" t="s">
        <v>241</v>
      </c>
      <c r="E33" s="263" t="s">
        <v>242</v>
      </c>
      <c r="F33" s="263" t="s">
        <v>243</v>
      </c>
      <c r="G33" s="263" t="s">
        <v>118</v>
      </c>
    </row>
    <row r="34" spans="1:8" s="142" customFormat="1" x14ac:dyDescent="0.25">
      <c r="A34" s="266" t="s">
        <v>401</v>
      </c>
      <c r="B34" s="267" t="s">
        <v>325</v>
      </c>
      <c r="C34" s="267" t="s">
        <v>387</v>
      </c>
      <c r="D34" s="268" t="s">
        <v>15</v>
      </c>
      <c r="E34" s="269">
        <v>1</v>
      </c>
      <c r="F34" s="270">
        <v>66.599999999999994</v>
      </c>
      <c r="G34" s="270">
        <v>66.599999999999994</v>
      </c>
      <c r="H34"/>
    </row>
    <row r="35" spans="1:8" x14ac:dyDescent="0.25">
      <c r="A35" s="182" t="s">
        <v>377</v>
      </c>
      <c r="B35" s="183" t="s">
        <v>196</v>
      </c>
      <c r="C35" s="183" t="s">
        <v>208</v>
      </c>
      <c r="D35" s="184" t="s">
        <v>198</v>
      </c>
      <c r="E35" s="185">
        <v>0.40210000000000001</v>
      </c>
      <c r="F35" s="189">
        <v>24.99</v>
      </c>
      <c r="G35" s="189">
        <v>10.039999999999999</v>
      </c>
    </row>
    <row r="36" spans="1:8" x14ac:dyDescent="0.25">
      <c r="A36" s="182" t="s">
        <v>199</v>
      </c>
      <c r="B36" s="183" t="s">
        <v>196</v>
      </c>
      <c r="C36" s="183" t="s">
        <v>207</v>
      </c>
      <c r="D36" s="184" t="s">
        <v>198</v>
      </c>
      <c r="E36" s="185">
        <v>0.40210000000000001</v>
      </c>
      <c r="F36" s="189">
        <v>20.100000000000001</v>
      </c>
      <c r="G36" s="189">
        <v>8.08</v>
      </c>
    </row>
    <row r="37" spans="1:8" ht="22.5" x14ac:dyDescent="0.25">
      <c r="A37" s="182" t="s">
        <v>378</v>
      </c>
      <c r="B37" s="183" t="s">
        <v>196</v>
      </c>
      <c r="C37" s="183" t="s">
        <v>287</v>
      </c>
      <c r="D37" s="184" t="s">
        <v>200</v>
      </c>
      <c r="E37" s="185">
        <v>2.0400000000000001E-2</v>
      </c>
      <c r="F37" s="189">
        <v>673.25</v>
      </c>
      <c r="G37" s="189">
        <v>13.73</v>
      </c>
    </row>
    <row r="38" spans="1:8" ht="22.5" x14ac:dyDescent="0.25">
      <c r="A38" s="182" t="s">
        <v>379</v>
      </c>
      <c r="B38" s="183" t="s">
        <v>325</v>
      </c>
      <c r="C38" s="183" t="s">
        <v>388</v>
      </c>
      <c r="D38" s="184" t="s">
        <v>249</v>
      </c>
      <c r="E38" s="185">
        <v>4.2000000000000003E-2</v>
      </c>
      <c r="F38" s="189">
        <v>566.24</v>
      </c>
      <c r="G38" s="189">
        <v>23.78</v>
      </c>
    </row>
    <row r="39" spans="1:8" ht="22.5" x14ac:dyDescent="0.25">
      <c r="A39" s="182" t="s">
        <v>381</v>
      </c>
      <c r="B39" s="183" t="s">
        <v>196</v>
      </c>
      <c r="C39" s="183" t="s">
        <v>209</v>
      </c>
      <c r="D39" s="184" t="s">
        <v>200</v>
      </c>
      <c r="E39" s="185">
        <v>0.114</v>
      </c>
      <c r="F39" s="189">
        <v>96.24</v>
      </c>
      <c r="G39" s="189">
        <v>10.97</v>
      </c>
    </row>
    <row r="41" spans="1:8" x14ac:dyDescent="0.25">
      <c r="A41" s="263" t="s">
        <v>194</v>
      </c>
      <c r="B41" s="265" t="s">
        <v>240</v>
      </c>
      <c r="C41" s="265" t="s">
        <v>195</v>
      </c>
      <c r="D41" s="264" t="s">
        <v>241</v>
      </c>
      <c r="E41" s="263" t="s">
        <v>242</v>
      </c>
      <c r="F41" s="263" t="s">
        <v>243</v>
      </c>
      <c r="G41" s="263" t="s">
        <v>118</v>
      </c>
    </row>
    <row r="42" spans="1:8" s="142" customFormat="1" x14ac:dyDescent="0.25">
      <c r="A42" s="266" t="s">
        <v>402</v>
      </c>
      <c r="B42" s="267" t="s">
        <v>325</v>
      </c>
      <c r="C42" s="267" t="s">
        <v>389</v>
      </c>
      <c r="D42" s="268" t="s">
        <v>15</v>
      </c>
      <c r="E42" s="269">
        <v>1</v>
      </c>
      <c r="F42" s="270">
        <v>1.55</v>
      </c>
      <c r="G42" s="270">
        <v>1.55</v>
      </c>
      <c r="H42"/>
    </row>
    <row r="43" spans="1:8" x14ac:dyDescent="0.25">
      <c r="A43" s="182" t="s">
        <v>199</v>
      </c>
      <c r="B43" s="183" t="s">
        <v>196</v>
      </c>
      <c r="C43" s="183" t="s">
        <v>207</v>
      </c>
      <c r="D43" s="184" t="s">
        <v>198</v>
      </c>
      <c r="E43" s="185">
        <v>2E-3</v>
      </c>
      <c r="F43" s="189">
        <v>20.100000000000001</v>
      </c>
      <c r="G43" s="189">
        <v>0.04</v>
      </c>
    </row>
    <row r="44" spans="1:8" ht="45" x14ac:dyDescent="0.25">
      <c r="A44" s="182" t="s">
        <v>382</v>
      </c>
      <c r="B44" s="183" t="s">
        <v>196</v>
      </c>
      <c r="C44" s="183" t="s">
        <v>390</v>
      </c>
      <c r="D44" s="184" t="s">
        <v>274</v>
      </c>
      <c r="E44" s="185">
        <v>1.4999999999999999E-4</v>
      </c>
      <c r="F44" s="189">
        <v>10129.23</v>
      </c>
      <c r="G44" s="189">
        <v>1.51</v>
      </c>
    </row>
    <row r="46" spans="1:8" x14ac:dyDescent="0.25">
      <c r="A46" s="263" t="s">
        <v>194</v>
      </c>
      <c r="B46" s="265" t="s">
        <v>240</v>
      </c>
      <c r="C46" s="265" t="s">
        <v>195</v>
      </c>
      <c r="D46" s="264" t="s">
        <v>241</v>
      </c>
      <c r="E46" s="263" t="s">
        <v>242</v>
      </c>
      <c r="F46" s="263" t="s">
        <v>243</v>
      </c>
      <c r="G46" s="263" t="s">
        <v>118</v>
      </c>
    </row>
    <row r="47" spans="1:8" s="142" customFormat="1" ht="45" x14ac:dyDescent="0.25">
      <c r="A47" s="266" t="s">
        <v>272</v>
      </c>
      <c r="B47" s="267" t="s">
        <v>196</v>
      </c>
      <c r="C47" s="267" t="s">
        <v>288</v>
      </c>
      <c r="D47" s="268" t="s">
        <v>201</v>
      </c>
      <c r="E47" s="269">
        <v>1</v>
      </c>
      <c r="F47" s="270">
        <v>40.6</v>
      </c>
      <c r="G47" s="270">
        <v>40.6</v>
      </c>
      <c r="H47"/>
    </row>
    <row r="48" spans="1:8" x14ac:dyDescent="0.25">
      <c r="A48" s="182" t="s">
        <v>211</v>
      </c>
      <c r="B48" s="183" t="s">
        <v>196</v>
      </c>
      <c r="C48" s="183" t="s">
        <v>210</v>
      </c>
      <c r="D48" s="184" t="s">
        <v>198</v>
      </c>
      <c r="E48" s="185">
        <v>0.2296</v>
      </c>
      <c r="F48" s="189">
        <v>25.17</v>
      </c>
      <c r="G48" s="189">
        <v>5.77</v>
      </c>
    </row>
    <row r="49" spans="1:8" x14ac:dyDescent="0.25">
      <c r="A49" s="182" t="s">
        <v>199</v>
      </c>
      <c r="B49" s="183" t="s">
        <v>196</v>
      </c>
      <c r="C49" s="183" t="s">
        <v>207</v>
      </c>
      <c r="D49" s="184" t="s">
        <v>198</v>
      </c>
      <c r="E49" s="185">
        <v>0.2296</v>
      </c>
      <c r="F49" s="189">
        <v>20.100000000000001</v>
      </c>
      <c r="G49" s="189">
        <v>4.6100000000000003</v>
      </c>
    </row>
    <row r="50" spans="1:8" ht="22.5" x14ac:dyDescent="0.25">
      <c r="A50" s="182" t="s">
        <v>215</v>
      </c>
      <c r="B50" s="183" t="s">
        <v>196</v>
      </c>
      <c r="C50" s="183" t="s">
        <v>217</v>
      </c>
      <c r="D50" s="184" t="s">
        <v>200</v>
      </c>
      <c r="E50" s="185">
        <v>1.8E-3</v>
      </c>
      <c r="F50" s="189">
        <v>756.86</v>
      </c>
      <c r="G50" s="189">
        <v>1.36</v>
      </c>
    </row>
    <row r="51" spans="1:8" ht="22.5" x14ac:dyDescent="0.25">
      <c r="A51" s="182" t="s">
        <v>212</v>
      </c>
      <c r="B51" s="183" t="s">
        <v>196</v>
      </c>
      <c r="C51" s="183" t="s">
        <v>218</v>
      </c>
      <c r="D51" s="184" t="s">
        <v>200</v>
      </c>
      <c r="E51" s="185">
        <v>6.6E-3</v>
      </c>
      <c r="F51" s="189">
        <v>95</v>
      </c>
      <c r="G51" s="189">
        <v>0.62</v>
      </c>
    </row>
    <row r="52" spans="1:8" ht="22.5" x14ac:dyDescent="0.25">
      <c r="A52" s="182" t="s">
        <v>216</v>
      </c>
      <c r="B52" s="183" t="s">
        <v>196</v>
      </c>
      <c r="C52" s="183" t="s">
        <v>219</v>
      </c>
      <c r="D52" s="184" t="s">
        <v>201</v>
      </c>
      <c r="E52" s="185">
        <v>1.0049999999999999</v>
      </c>
      <c r="F52" s="189">
        <v>28.1</v>
      </c>
      <c r="G52" s="189">
        <v>28.24</v>
      </c>
    </row>
    <row r="54" spans="1:8" x14ac:dyDescent="0.25">
      <c r="A54" s="263" t="s">
        <v>194</v>
      </c>
      <c r="B54" s="265" t="s">
        <v>240</v>
      </c>
      <c r="C54" s="265" t="s">
        <v>195</v>
      </c>
      <c r="D54" s="264" t="s">
        <v>241</v>
      </c>
      <c r="E54" s="263" t="s">
        <v>242</v>
      </c>
      <c r="F54" s="263" t="s">
        <v>243</v>
      </c>
      <c r="G54" s="263" t="s">
        <v>118</v>
      </c>
    </row>
    <row r="55" spans="1:8" s="142" customFormat="1" ht="22.5" x14ac:dyDescent="0.25">
      <c r="A55" s="266" t="s">
        <v>403</v>
      </c>
      <c r="B55" s="267" t="s">
        <v>325</v>
      </c>
      <c r="C55" s="267" t="s">
        <v>262</v>
      </c>
      <c r="D55" s="268" t="s">
        <v>182</v>
      </c>
      <c r="E55" s="269">
        <v>1</v>
      </c>
      <c r="F55" s="270">
        <v>21.64</v>
      </c>
      <c r="G55" s="270">
        <v>21.64</v>
      </c>
      <c r="H55"/>
    </row>
    <row r="56" spans="1:8" x14ac:dyDescent="0.25">
      <c r="A56" s="182" t="s">
        <v>211</v>
      </c>
      <c r="B56" s="183" t="s">
        <v>196</v>
      </c>
      <c r="C56" s="183" t="s">
        <v>210</v>
      </c>
      <c r="D56" s="184" t="s">
        <v>198</v>
      </c>
      <c r="E56" s="185">
        <v>0.2326</v>
      </c>
      <c r="F56" s="189">
        <v>25.17</v>
      </c>
      <c r="G56" s="189">
        <v>5.85</v>
      </c>
    </row>
    <row r="57" spans="1:8" x14ac:dyDescent="0.25">
      <c r="A57" s="182" t="s">
        <v>199</v>
      </c>
      <c r="B57" s="183" t="s">
        <v>196</v>
      </c>
      <c r="C57" s="183" t="s">
        <v>207</v>
      </c>
      <c r="D57" s="184" t="s">
        <v>198</v>
      </c>
      <c r="E57" s="185">
        <v>0.2326</v>
      </c>
      <c r="F57" s="189">
        <v>20.100000000000001</v>
      </c>
      <c r="G57" s="189">
        <v>4.67</v>
      </c>
    </row>
    <row r="58" spans="1:8" ht="22.5" x14ac:dyDescent="0.25">
      <c r="A58" s="182" t="s">
        <v>212</v>
      </c>
      <c r="B58" s="183" t="s">
        <v>196</v>
      </c>
      <c r="C58" s="183" t="s">
        <v>218</v>
      </c>
      <c r="D58" s="184" t="s">
        <v>200</v>
      </c>
      <c r="E58" s="185">
        <v>9.9000000000000008E-3</v>
      </c>
      <c r="F58" s="189">
        <v>95</v>
      </c>
      <c r="G58" s="189">
        <v>0.94</v>
      </c>
    </row>
    <row r="59" spans="1:8" ht="22.5" x14ac:dyDescent="0.25">
      <c r="A59" s="182" t="s">
        <v>213</v>
      </c>
      <c r="B59" s="183" t="s">
        <v>196</v>
      </c>
      <c r="C59" s="183" t="s">
        <v>221</v>
      </c>
      <c r="D59" s="184" t="s">
        <v>201</v>
      </c>
      <c r="E59" s="185">
        <v>0.2</v>
      </c>
      <c r="F59" s="189">
        <v>3.52</v>
      </c>
      <c r="G59" s="189">
        <v>0.7</v>
      </c>
    </row>
    <row r="60" spans="1:8" ht="22.5" x14ac:dyDescent="0.25">
      <c r="A60" s="182" t="s">
        <v>220</v>
      </c>
      <c r="B60" s="183" t="s">
        <v>196</v>
      </c>
      <c r="C60" s="183" t="s">
        <v>222</v>
      </c>
      <c r="D60" s="184" t="s">
        <v>201</v>
      </c>
      <c r="E60" s="185">
        <v>8.3299999999999999E-2</v>
      </c>
      <c r="F60" s="189">
        <v>16.670000000000002</v>
      </c>
      <c r="G60" s="189">
        <v>1.38</v>
      </c>
    </row>
    <row r="61" spans="1:8" ht="33.75" x14ac:dyDescent="0.25">
      <c r="A61" s="182" t="s">
        <v>214</v>
      </c>
      <c r="B61" s="183" t="s">
        <v>196</v>
      </c>
      <c r="C61" s="183" t="s">
        <v>223</v>
      </c>
      <c r="D61" s="184" t="s">
        <v>200</v>
      </c>
      <c r="E61" s="185">
        <v>1.4999999999999999E-2</v>
      </c>
      <c r="F61" s="189">
        <v>540</v>
      </c>
      <c r="G61" s="189">
        <v>8.1</v>
      </c>
    </row>
    <row r="63" spans="1:8" x14ac:dyDescent="0.25">
      <c r="A63" s="263" t="s">
        <v>194</v>
      </c>
      <c r="B63" s="265" t="s">
        <v>240</v>
      </c>
      <c r="C63" s="265" t="s">
        <v>195</v>
      </c>
      <c r="D63" s="264" t="s">
        <v>241</v>
      </c>
      <c r="E63" s="263" t="s">
        <v>242</v>
      </c>
      <c r="F63" s="263" t="s">
        <v>243</v>
      </c>
      <c r="G63" s="263" t="s">
        <v>118</v>
      </c>
    </row>
    <row r="64" spans="1:8" s="142" customFormat="1" ht="33.75" x14ac:dyDescent="0.25">
      <c r="A64" s="266" t="s">
        <v>384</v>
      </c>
      <c r="B64" s="267" t="s">
        <v>196</v>
      </c>
      <c r="C64" s="267" t="s">
        <v>391</v>
      </c>
      <c r="D64" s="268" t="s">
        <v>244</v>
      </c>
      <c r="E64" s="269">
        <v>1</v>
      </c>
      <c r="F64" s="270">
        <v>1.6</v>
      </c>
      <c r="G64" s="270">
        <v>1.6</v>
      </c>
      <c r="H64"/>
    </row>
    <row r="65" spans="1:8" ht="45" x14ac:dyDescent="0.25">
      <c r="A65" s="182" t="s">
        <v>245</v>
      </c>
      <c r="B65" s="183" t="s">
        <v>196</v>
      </c>
      <c r="C65" s="183" t="s">
        <v>290</v>
      </c>
      <c r="D65" s="184" t="s">
        <v>246</v>
      </c>
      <c r="E65" s="185">
        <v>5.5999999999999999E-3</v>
      </c>
      <c r="F65" s="189">
        <v>258.42</v>
      </c>
      <c r="G65" s="189">
        <v>1.44</v>
      </c>
    </row>
    <row r="66" spans="1:8" ht="45" x14ac:dyDescent="0.25">
      <c r="A66" s="182" t="s">
        <v>247</v>
      </c>
      <c r="B66" s="183" t="s">
        <v>196</v>
      </c>
      <c r="C66" s="183" t="s">
        <v>291</v>
      </c>
      <c r="D66" s="184" t="s">
        <v>248</v>
      </c>
      <c r="E66" s="185">
        <v>2.3999999999999998E-3</v>
      </c>
      <c r="F66" s="189">
        <v>68.069999999999993</v>
      </c>
      <c r="G66" s="189">
        <v>0.16</v>
      </c>
    </row>
    <row r="68" spans="1:8" x14ac:dyDescent="0.25">
      <c r="A68" s="263" t="s">
        <v>194</v>
      </c>
      <c r="B68" s="265" t="s">
        <v>240</v>
      </c>
      <c r="C68" s="265" t="s">
        <v>195</v>
      </c>
      <c r="D68" s="264" t="s">
        <v>241</v>
      </c>
      <c r="E68" s="263" t="s">
        <v>242</v>
      </c>
      <c r="F68" s="263" t="s">
        <v>243</v>
      </c>
      <c r="G68" s="263" t="s">
        <v>118</v>
      </c>
    </row>
    <row r="69" spans="1:8" s="142" customFormat="1" ht="33.75" x14ac:dyDescent="0.25">
      <c r="A69" s="266" t="s">
        <v>385</v>
      </c>
      <c r="B69" s="267" t="s">
        <v>196</v>
      </c>
      <c r="C69" s="267" t="s">
        <v>362</v>
      </c>
      <c r="D69" s="268" t="s">
        <v>244</v>
      </c>
      <c r="E69" s="269">
        <v>1</v>
      </c>
      <c r="F69" s="270">
        <v>0.62</v>
      </c>
      <c r="G69" s="270">
        <v>0.62</v>
      </c>
      <c r="H69"/>
    </row>
    <row r="70" spans="1:8" ht="45" x14ac:dyDescent="0.25">
      <c r="A70" s="182" t="s">
        <v>245</v>
      </c>
      <c r="B70" s="183" t="s">
        <v>196</v>
      </c>
      <c r="C70" s="183" t="s">
        <v>290</v>
      </c>
      <c r="D70" s="184" t="s">
        <v>246</v>
      </c>
      <c r="E70" s="185">
        <v>2.2000000000000001E-3</v>
      </c>
      <c r="F70" s="189">
        <v>258.42</v>
      </c>
      <c r="G70" s="189">
        <v>0.56000000000000005</v>
      </c>
    </row>
    <row r="71" spans="1:8" ht="45" x14ac:dyDescent="0.25">
      <c r="A71" s="182" t="s">
        <v>247</v>
      </c>
      <c r="B71" s="183" t="s">
        <v>196</v>
      </c>
      <c r="C71" s="183" t="s">
        <v>291</v>
      </c>
      <c r="D71" s="184" t="s">
        <v>248</v>
      </c>
      <c r="E71" s="185">
        <v>1E-3</v>
      </c>
      <c r="F71" s="189">
        <v>68.069999999999993</v>
      </c>
      <c r="G71" s="189">
        <v>0.06</v>
      </c>
    </row>
    <row r="73" spans="1:8" x14ac:dyDescent="0.25">
      <c r="A73" s="263" t="s">
        <v>194</v>
      </c>
      <c r="B73" s="265" t="s">
        <v>240</v>
      </c>
      <c r="C73" s="265" t="s">
        <v>195</v>
      </c>
      <c r="D73" s="264" t="s">
        <v>241</v>
      </c>
      <c r="E73" s="263" t="s">
        <v>242</v>
      </c>
      <c r="F73" s="263" t="s">
        <v>243</v>
      </c>
      <c r="G73" s="263" t="s">
        <v>118</v>
      </c>
    </row>
    <row r="74" spans="1:8" ht="22.5" x14ac:dyDescent="0.25">
      <c r="A74" s="266" t="s">
        <v>404</v>
      </c>
      <c r="B74" s="267" t="s">
        <v>325</v>
      </c>
      <c r="C74" s="267" t="s">
        <v>332</v>
      </c>
      <c r="D74" s="268" t="s">
        <v>184</v>
      </c>
      <c r="E74" s="269">
        <v>1</v>
      </c>
      <c r="F74" s="270">
        <v>370.67</v>
      </c>
      <c r="G74" s="270">
        <v>370.67</v>
      </c>
    </row>
    <row r="75" spans="1:8" x14ac:dyDescent="0.25">
      <c r="A75" s="182" t="s">
        <v>199</v>
      </c>
      <c r="B75" s="183" t="s">
        <v>196</v>
      </c>
      <c r="C75" s="183" t="s">
        <v>371</v>
      </c>
      <c r="D75" s="184" t="s">
        <v>198</v>
      </c>
      <c r="E75" s="185">
        <v>0.2</v>
      </c>
      <c r="F75" s="189">
        <v>20.100000000000001</v>
      </c>
      <c r="G75" s="189">
        <v>4.0199999999999996</v>
      </c>
    </row>
    <row r="76" spans="1:8" ht="33.75" x14ac:dyDescent="0.25">
      <c r="A76" s="182" t="s">
        <v>326</v>
      </c>
      <c r="B76" s="183" t="s">
        <v>196</v>
      </c>
      <c r="C76" s="183" t="s">
        <v>393</v>
      </c>
      <c r="D76" s="184" t="s">
        <v>200</v>
      </c>
      <c r="E76" s="185">
        <v>8.8000000000000005E-3</v>
      </c>
      <c r="F76" s="189">
        <v>573.59</v>
      </c>
      <c r="G76" s="189">
        <v>5.04</v>
      </c>
    </row>
    <row r="77" spans="1:8" ht="22.5" x14ac:dyDescent="0.25">
      <c r="A77" s="182" t="s">
        <v>327</v>
      </c>
      <c r="B77" s="183" t="s">
        <v>196</v>
      </c>
      <c r="C77" s="183" t="s">
        <v>394</v>
      </c>
      <c r="D77" s="184" t="s">
        <v>274</v>
      </c>
      <c r="E77" s="185">
        <v>2</v>
      </c>
      <c r="F77" s="189">
        <v>12.06</v>
      </c>
      <c r="G77" s="189">
        <v>24.12</v>
      </c>
    </row>
    <row r="78" spans="1:8" ht="22.5" x14ac:dyDescent="0.25">
      <c r="A78" s="182" t="s">
        <v>328</v>
      </c>
      <c r="B78" s="183" t="s">
        <v>196</v>
      </c>
      <c r="C78" s="183" t="s">
        <v>395</v>
      </c>
      <c r="D78" s="184" t="s">
        <v>201</v>
      </c>
      <c r="E78" s="185">
        <v>2.7</v>
      </c>
      <c r="F78" s="189">
        <v>74.33</v>
      </c>
      <c r="G78" s="189">
        <v>200.69</v>
      </c>
    </row>
    <row r="79" spans="1:8" ht="22.5" x14ac:dyDescent="0.25">
      <c r="A79" s="182" t="s">
        <v>329</v>
      </c>
      <c r="B79" s="183" t="s">
        <v>330</v>
      </c>
      <c r="C79" s="183" t="s">
        <v>396</v>
      </c>
      <c r="D79" s="184" t="s">
        <v>274</v>
      </c>
      <c r="E79" s="185">
        <v>8</v>
      </c>
      <c r="F79" s="189">
        <v>0.6</v>
      </c>
      <c r="G79" s="189">
        <v>4.8</v>
      </c>
    </row>
    <row r="80" spans="1:8" ht="22.5" x14ac:dyDescent="0.25">
      <c r="A80" s="182" t="s">
        <v>331</v>
      </c>
      <c r="B80" s="183" t="s">
        <v>196</v>
      </c>
      <c r="C80" s="183" t="s">
        <v>397</v>
      </c>
      <c r="D80" s="184" t="s">
        <v>274</v>
      </c>
      <c r="E80" s="185">
        <v>1</v>
      </c>
      <c r="F80" s="189">
        <v>132</v>
      </c>
      <c r="G80" s="189">
        <v>132</v>
      </c>
    </row>
    <row r="82" spans="1:7" x14ac:dyDescent="0.25">
      <c r="A82" s="263" t="s">
        <v>194</v>
      </c>
      <c r="B82" s="265" t="s">
        <v>240</v>
      </c>
      <c r="C82" s="265" t="s">
        <v>195</v>
      </c>
      <c r="D82" s="264" t="s">
        <v>241</v>
      </c>
      <c r="E82" s="263" t="s">
        <v>242</v>
      </c>
      <c r="F82" s="263" t="s">
        <v>243</v>
      </c>
      <c r="G82" s="263" t="s">
        <v>118</v>
      </c>
    </row>
    <row r="83" spans="1:7" ht="22.5" x14ac:dyDescent="0.25">
      <c r="A83" s="267" t="s">
        <v>400</v>
      </c>
      <c r="B83" s="267" t="s">
        <v>325</v>
      </c>
      <c r="C83" s="267" t="s">
        <v>380</v>
      </c>
      <c r="D83" s="268" t="s">
        <v>249</v>
      </c>
      <c r="E83" s="269">
        <v>1</v>
      </c>
      <c r="F83" s="270">
        <v>566.24</v>
      </c>
      <c r="G83" s="270">
        <v>566.24</v>
      </c>
    </row>
    <row r="84" spans="1:7" x14ac:dyDescent="0.25">
      <c r="A84" s="182" t="s">
        <v>199</v>
      </c>
      <c r="B84" s="183" t="s">
        <v>196</v>
      </c>
      <c r="C84" s="183" t="s">
        <v>371</v>
      </c>
      <c r="D84" s="184" t="s">
        <v>198</v>
      </c>
      <c r="E84" s="185">
        <v>12</v>
      </c>
      <c r="F84" s="189">
        <v>20.100000000000001</v>
      </c>
      <c r="G84" s="189">
        <v>241.2</v>
      </c>
    </row>
    <row r="85" spans="1:7" x14ac:dyDescent="0.25">
      <c r="A85" s="182" t="s">
        <v>211</v>
      </c>
      <c r="B85" s="183" t="s">
        <v>196</v>
      </c>
      <c r="C85" s="183" t="s">
        <v>383</v>
      </c>
      <c r="D85" s="184" t="s">
        <v>198</v>
      </c>
      <c r="E85" s="185">
        <v>12</v>
      </c>
      <c r="F85" s="189">
        <v>25.17</v>
      </c>
      <c r="G85" s="189">
        <v>302.04000000000002</v>
      </c>
    </row>
    <row r="86" spans="1:7" x14ac:dyDescent="0.25">
      <c r="A86" s="182" t="s">
        <v>398</v>
      </c>
      <c r="B86" s="183" t="s">
        <v>325</v>
      </c>
      <c r="C86" s="183" t="s">
        <v>399</v>
      </c>
      <c r="D86" s="184" t="s">
        <v>249</v>
      </c>
      <c r="E86" s="185">
        <v>1</v>
      </c>
      <c r="F86" s="189">
        <v>23</v>
      </c>
      <c r="G86" s="189">
        <v>23</v>
      </c>
    </row>
  </sheetData>
  <sheetProtection algorithmName="SHA-512" hashValue="OuRzwK0Z1c6G10iF7CExmp+PPJmPUMMrc1zTvJLXQ+DRrbRwerAC8XGcvnrXEFwf8z57zQJ288o5QdTiW6j9xA==" saltValue="iLsfEN1BI0G5YjJ5liQKyQ==" spinCount="100000" sheet="1" objects="1" scenarios="1" selectLockedCells="1" selectUnlockedCells="1"/>
  <mergeCells count="5">
    <mergeCell ref="A1:G2"/>
    <mergeCell ref="A3:C3"/>
    <mergeCell ref="F3:F4"/>
    <mergeCell ref="G3:G4"/>
    <mergeCell ref="D4:E4"/>
  </mergeCells>
  <pageMargins left="0.51181102362204722" right="0.51181102362204722" top="1.7716535433070868" bottom="1.5748031496062993" header="0.51181102362204722" footer="0.51181102362204722"/>
  <pageSetup paperSize="9" scale="74" fitToHeight="0" orientation="portrait" r:id="rId1"/>
  <headerFooter>
    <oddHeader>&amp;C&amp;G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79998168889431442"/>
    <pageSetUpPr fitToPage="1"/>
  </sheetPr>
  <dimension ref="A1:K73"/>
  <sheetViews>
    <sheetView workbookViewId="0">
      <selection activeCell="H62" sqref="H62"/>
    </sheetView>
  </sheetViews>
  <sheetFormatPr defaultRowHeight="15" x14ac:dyDescent="0.25"/>
  <cols>
    <col min="1" max="1" width="15.7109375" style="108" customWidth="1"/>
    <col min="2" max="2" width="36.28515625" style="108" bestFit="1" customWidth="1"/>
    <col min="3" max="3" width="7.140625" style="109" bestFit="1" customWidth="1"/>
    <col min="4" max="4" width="13.42578125" style="110" bestFit="1" customWidth="1"/>
    <col min="5" max="5" width="15.7109375" style="109" customWidth="1"/>
    <col min="6" max="6" width="19.28515625" style="109" customWidth="1"/>
    <col min="7" max="7" width="13.5703125" style="110" bestFit="1" customWidth="1"/>
    <col min="8" max="8" width="9.140625" style="110"/>
    <col min="9" max="11" width="0" hidden="1" customWidth="1"/>
  </cols>
  <sheetData>
    <row r="1" spans="1:11" x14ac:dyDescent="0.25">
      <c r="A1" s="383" t="s">
        <v>224</v>
      </c>
      <c r="B1" s="384"/>
      <c r="C1" s="384"/>
      <c r="D1" s="384"/>
      <c r="E1" s="384"/>
      <c r="F1" s="384"/>
      <c r="G1" s="384"/>
      <c r="H1" s="384"/>
    </row>
    <row r="2" spans="1:11" x14ac:dyDescent="0.25">
      <c r="A2" s="385" t="s">
        <v>342</v>
      </c>
      <c r="B2" s="385"/>
      <c r="C2" s="385"/>
      <c r="D2" s="385"/>
      <c r="E2" s="385"/>
      <c r="F2" s="385"/>
      <c r="G2" s="385"/>
      <c r="H2" s="385"/>
    </row>
    <row r="3" spans="1:11" x14ac:dyDescent="0.25">
      <c r="A3" s="385" t="s">
        <v>423</v>
      </c>
      <c r="B3" s="385"/>
      <c r="C3" s="385"/>
      <c r="D3" s="385"/>
      <c r="E3" s="385"/>
      <c r="F3" s="385"/>
      <c r="G3" s="385"/>
      <c r="H3" s="385"/>
    </row>
    <row r="5" spans="1:11" x14ac:dyDescent="0.25">
      <c r="A5" s="386" t="s">
        <v>43</v>
      </c>
      <c r="B5" s="387"/>
      <c r="C5" s="387"/>
      <c r="D5" s="387"/>
      <c r="E5" s="387"/>
      <c r="F5" s="387"/>
      <c r="G5" s="387"/>
      <c r="H5" s="388"/>
    </row>
    <row r="6" spans="1:11" x14ac:dyDescent="0.25">
      <c r="A6" s="148"/>
      <c r="B6" s="389"/>
      <c r="C6" s="389"/>
      <c r="D6" s="389"/>
      <c r="E6" s="389"/>
      <c r="F6" s="149"/>
      <c r="G6" s="149"/>
      <c r="H6" s="150"/>
    </row>
    <row r="7" spans="1:11" x14ac:dyDescent="0.25">
      <c r="A7" s="151"/>
      <c r="B7" s="152"/>
      <c r="C7" s="152"/>
      <c r="D7" s="152"/>
      <c r="E7" s="152"/>
      <c r="F7" s="152"/>
      <c r="G7" s="152"/>
      <c r="H7" s="153"/>
      <c r="I7" s="39"/>
      <c r="J7" s="40"/>
      <c r="K7" s="40"/>
    </row>
    <row r="8" spans="1:11" x14ac:dyDescent="0.25">
      <c r="A8" s="390" t="s">
        <v>44</v>
      </c>
      <c r="B8" s="391"/>
      <c r="C8" s="41"/>
      <c r="D8" s="41"/>
      <c r="E8" s="41"/>
      <c r="F8" s="41"/>
      <c r="G8" s="41"/>
      <c r="H8" s="42"/>
      <c r="I8" s="39"/>
      <c r="J8" s="40"/>
      <c r="K8" s="40"/>
    </row>
    <row r="9" spans="1:11" x14ac:dyDescent="0.25">
      <c r="A9" s="144"/>
      <c r="B9" s="43"/>
      <c r="C9" s="41"/>
      <c r="D9" s="41"/>
      <c r="E9" s="41"/>
      <c r="F9" s="41"/>
      <c r="G9" s="41"/>
      <c r="H9" s="42"/>
      <c r="I9" s="39"/>
      <c r="J9" s="40"/>
      <c r="K9" s="40"/>
    </row>
    <row r="10" spans="1:11" x14ac:dyDescent="0.25">
      <c r="A10" s="44"/>
      <c r="B10" s="45" t="s">
        <v>10</v>
      </c>
      <c r="C10" s="46" t="s">
        <v>45</v>
      </c>
      <c r="D10" s="47">
        <f>IF(C10="x",1,0)</f>
        <v>1</v>
      </c>
      <c r="E10" s="48"/>
      <c r="F10" s="49"/>
      <c r="G10" s="50"/>
      <c r="H10" s="51">
        <f>IF(F10="x",1,0)</f>
        <v>0</v>
      </c>
      <c r="I10" s="39"/>
      <c r="J10" s="40"/>
      <c r="K10" s="40"/>
    </row>
    <row r="11" spans="1:11" x14ac:dyDescent="0.25">
      <c r="A11" s="44"/>
      <c r="B11" s="45" t="s">
        <v>9</v>
      </c>
      <c r="C11" s="46"/>
      <c r="D11" s="47">
        <f>IF(C11="x",1,0)</f>
        <v>0</v>
      </c>
      <c r="E11" s="52"/>
      <c r="F11" s="49"/>
      <c r="G11" s="50"/>
      <c r="H11" s="51">
        <f>IF(F11="x",1,0)</f>
        <v>0</v>
      </c>
      <c r="I11" s="39"/>
      <c r="J11" s="40"/>
      <c r="K11" s="40"/>
    </row>
    <row r="12" spans="1:11" ht="15.75" thickBot="1" x14ac:dyDescent="0.3">
      <c r="A12" s="53"/>
      <c r="B12" s="392" t="str">
        <f>IF(D12&gt;1,"SELECIONE SOMENTE UM TIPO DE BDI",IF(D12=0,"SELECIONE UM TIPO DE BDI",""))</f>
        <v/>
      </c>
      <c r="C12" s="392"/>
      <c r="D12" s="54">
        <f>SUM(D10:D11)</f>
        <v>1</v>
      </c>
      <c r="E12" s="393"/>
      <c r="F12" s="393"/>
      <c r="G12" s="393"/>
      <c r="H12" s="55">
        <f>SUM(H10:H11)</f>
        <v>0</v>
      </c>
      <c r="I12" s="39"/>
      <c r="J12" s="40"/>
      <c r="K12" s="40"/>
    </row>
    <row r="13" spans="1:11" ht="15.75" thickBot="1" x14ac:dyDescent="0.3">
      <c r="A13" s="41"/>
      <c r="B13" s="41"/>
      <c r="C13" s="41"/>
      <c r="D13" s="41"/>
      <c r="E13" s="41"/>
      <c r="F13" s="41"/>
      <c r="G13" s="57"/>
      <c r="H13" s="57"/>
      <c r="I13" s="39"/>
      <c r="J13" s="40"/>
      <c r="K13" s="40"/>
    </row>
    <row r="14" spans="1:11" x14ac:dyDescent="0.25">
      <c r="A14" s="394" t="s">
        <v>46</v>
      </c>
      <c r="B14" s="395"/>
      <c r="C14" s="146"/>
      <c r="D14" s="146"/>
      <c r="E14" s="146"/>
      <c r="F14" s="146"/>
      <c r="G14" s="56"/>
      <c r="H14" s="154"/>
      <c r="I14" s="39">
        <f>IF(H22&lt;&gt;0,VLOOKUP("x",G16:I21,3,FALSE),0)</f>
        <v>2</v>
      </c>
      <c r="J14" s="40"/>
      <c r="K14" s="40"/>
    </row>
    <row r="15" spans="1:11" x14ac:dyDescent="0.25">
      <c r="A15" s="144"/>
      <c r="B15" s="43"/>
      <c r="C15" s="41"/>
      <c r="D15" s="41"/>
      <c r="E15" s="41"/>
      <c r="F15" s="41"/>
      <c r="G15" s="57"/>
      <c r="H15" s="155"/>
      <c r="I15" s="39"/>
      <c r="J15" s="40"/>
      <c r="K15" s="40"/>
    </row>
    <row r="16" spans="1:11" x14ac:dyDescent="0.25">
      <c r="A16" s="58"/>
      <c r="B16" s="41"/>
      <c r="C16" s="41"/>
      <c r="D16" s="41"/>
      <c r="E16" s="41"/>
      <c r="F16" s="59" t="s">
        <v>47</v>
      </c>
      <c r="G16" s="46"/>
      <c r="H16" s="51">
        <f t="shared" ref="H16:H21" si="0">IF(G16="x",1,0)</f>
        <v>0</v>
      </c>
      <c r="I16" s="39">
        <v>1</v>
      </c>
      <c r="J16" s="40"/>
      <c r="K16" s="40"/>
    </row>
    <row r="17" spans="1:11" x14ac:dyDescent="0.25">
      <c r="A17" s="58"/>
      <c r="B17" s="41"/>
      <c r="C17" s="41"/>
      <c r="D17" s="41"/>
      <c r="E17" s="41"/>
      <c r="F17" s="59" t="s">
        <v>48</v>
      </c>
      <c r="G17" s="46" t="s">
        <v>45</v>
      </c>
      <c r="H17" s="51">
        <f t="shared" si="0"/>
        <v>1</v>
      </c>
      <c r="I17" s="39">
        <v>2</v>
      </c>
      <c r="J17" s="40"/>
      <c r="K17" s="40"/>
    </row>
    <row r="18" spans="1:11" x14ac:dyDescent="0.25">
      <c r="A18" s="58"/>
      <c r="B18" s="41"/>
      <c r="C18" s="41"/>
      <c r="D18" s="41"/>
      <c r="E18" s="41"/>
      <c r="F18" s="59" t="s">
        <v>49</v>
      </c>
      <c r="G18" s="46"/>
      <c r="H18" s="51">
        <f t="shared" si="0"/>
        <v>0</v>
      </c>
      <c r="I18" s="39">
        <v>3</v>
      </c>
      <c r="J18" s="40"/>
      <c r="K18" s="40"/>
    </row>
    <row r="19" spans="1:11" x14ac:dyDescent="0.25">
      <c r="A19" s="58"/>
      <c r="B19" s="41"/>
      <c r="C19" s="41"/>
      <c r="D19" s="41"/>
      <c r="E19" s="41"/>
      <c r="F19" s="59" t="s">
        <v>50</v>
      </c>
      <c r="G19" s="46"/>
      <c r="H19" s="51">
        <f t="shared" si="0"/>
        <v>0</v>
      </c>
      <c r="I19" s="39">
        <v>4</v>
      </c>
      <c r="J19" s="40"/>
      <c r="K19" s="40"/>
    </row>
    <row r="20" spans="1:11" x14ac:dyDescent="0.25">
      <c r="A20" s="58"/>
      <c r="B20" s="41"/>
      <c r="C20" s="41"/>
      <c r="D20" s="41"/>
      <c r="E20" s="41"/>
      <c r="F20" s="59" t="s">
        <v>51</v>
      </c>
      <c r="G20" s="46"/>
      <c r="H20" s="51">
        <f t="shared" si="0"/>
        <v>0</v>
      </c>
      <c r="I20" s="39">
        <v>5</v>
      </c>
      <c r="J20" s="40"/>
      <c r="K20" s="40"/>
    </row>
    <row r="21" spans="1:11" x14ac:dyDescent="0.25">
      <c r="A21" s="58"/>
      <c r="B21" s="396" t="str">
        <f>IF(AND(C10="x",G21="x"),"NÃO HÁ DESONERAÇÃO PARA FORNECIMENTO DE MATERIAIS","")</f>
        <v/>
      </c>
      <c r="C21" s="396"/>
      <c r="D21" s="396"/>
      <c r="E21" s="41"/>
      <c r="F21" s="59" t="s">
        <v>52</v>
      </c>
      <c r="G21" s="46"/>
      <c r="H21" s="51">
        <f t="shared" si="0"/>
        <v>0</v>
      </c>
      <c r="I21" s="39">
        <v>6</v>
      </c>
      <c r="J21" s="40"/>
      <c r="K21" s="40"/>
    </row>
    <row r="22" spans="1:11" ht="15.75" thickBot="1" x14ac:dyDescent="0.3">
      <c r="A22" s="53"/>
      <c r="B22" s="382" t="str">
        <f>IF(H22&gt;1,"SELECIONE SOMENTE UM TIPO DE SERVIÇO",IF(H22=0,"SELECIONE UM TIPO DE SERVIÇO",""))</f>
        <v/>
      </c>
      <c r="C22" s="382"/>
      <c r="D22" s="143"/>
      <c r="E22" s="143"/>
      <c r="F22" s="60"/>
      <c r="G22" s="61"/>
      <c r="H22" s="55">
        <f>SUM(H16:H21)</f>
        <v>1</v>
      </c>
      <c r="I22" s="39"/>
      <c r="J22" s="40"/>
      <c r="K22" s="40"/>
    </row>
    <row r="23" spans="1:11" ht="15.75" thickBot="1" x14ac:dyDescent="0.3">
      <c r="A23" s="41"/>
      <c r="B23" s="41"/>
      <c r="C23" s="41"/>
      <c r="D23" s="41"/>
      <c r="E23" s="145"/>
      <c r="F23" s="145"/>
      <c r="G23" s="50"/>
      <c r="H23" s="50"/>
      <c r="I23" s="39"/>
      <c r="J23" s="40"/>
      <c r="K23" s="40"/>
    </row>
    <row r="24" spans="1:11" x14ac:dyDescent="0.25">
      <c r="A24" s="394" t="s">
        <v>53</v>
      </c>
      <c r="B24" s="395"/>
      <c r="C24" s="146"/>
      <c r="D24" s="146"/>
      <c r="E24" s="403"/>
      <c r="F24" s="403"/>
      <c r="G24" s="63" t="s">
        <v>21</v>
      </c>
      <c r="H24" s="64"/>
      <c r="I24" s="39"/>
      <c r="J24" s="40"/>
      <c r="K24" s="40"/>
    </row>
    <row r="25" spans="1:11" x14ac:dyDescent="0.25">
      <c r="A25" s="65"/>
      <c r="B25" s="145"/>
      <c r="C25" s="145"/>
      <c r="D25" s="145"/>
      <c r="E25" s="145"/>
      <c r="F25" s="145"/>
      <c r="G25" s="50"/>
      <c r="H25" s="66"/>
      <c r="I25" s="39"/>
      <c r="J25" s="40" t="s">
        <v>54</v>
      </c>
      <c r="K25" s="40" t="s">
        <v>55</v>
      </c>
    </row>
    <row r="26" spans="1:11" x14ac:dyDescent="0.25">
      <c r="A26" s="65"/>
      <c r="B26" s="67" t="s">
        <v>56</v>
      </c>
      <c r="C26" s="68"/>
      <c r="D26" s="68" t="str">
        <f>IF(AND(G26&gt;=J26,G26&lt;=K26),"","FORA DO LIMITE")</f>
        <v/>
      </c>
      <c r="E26" s="68"/>
      <c r="F26" s="69" t="s">
        <v>57</v>
      </c>
      <c r="G26" s="70">
        <v>3.7999999999999999E-2</v>
      </c>
      <c r="H26" s="66"/>
      <c r="I26" s="39"/>
      <c r="J26" s="40">
        <f>VLOOKUP($I$13,[7]Referências!A13:D19,2,FALSE)</f>
        <v>0</v>
      </c>
      <c r="K26" s="40">
        <f>VLOOKUP($I$13,[7]Referências!A13:D19,4,FALSE)</f>
        <v>1</v>
      </c>
    </row>
    <row r="27" spans="1:11" x14ac:dyDescent="0.25">
      <c r="A27" s="65"/>
      <c r="B27" s="71"/>
      <c r="C27" s="145"/>
      <c r="D27" s="145"/>
      <c r="E27" s="145"/>
      <c r="F27" s="59"/>
      <c r="G27" s="72"/>
      <c r="H27" s="66"/>
      <c r="I27" s="39"/>
      <c r="J27" s="40"/>
      <c r="K27" s="40"/>
    </row>
    <row r="28" spans="1:11" x14ac:dyDescent="0.25">
      <c r="A28" s="65"/>
      <c r="B28" s="67" t="s">
        <v>58</v>
      </c>
      <c r="C28" s="68"/>
      <c r="D28" s="68" t="str">
        <f>IF(AND(G28&gt;=J28,G28&lt;=K28),"","FORA DO LIMITE")</f>
        <v/>
      </c>
      <c r="E28" s="68"/>
      <c r="F28" s="69" t="s">
        <v>59</v>
      </c>
      <c r="G28" s="73">
        <v>1.0200000000000001E-2</v>
      </c>
      <c r="H28" s="74"/>
      <c r="I28" s="39"/>
      <c r="J28" s="40">
        <f>VLOOKUP($I$13,[7]Referências!A40:D46,2,FALSE)</f>
        <v>0</v>
      </c>
      <c r="K28" s="40">
        <f>VLOOKUP($I$13,[7]Referências!A40:D46,4,FALSE)</f>
        <v>1</v>
      </c>
    </row>
    <row r="29" spans="1:11" x14ac:dyDescent="0.25">
      <c r="A29" s="65"/>
      <c r="B29" s="71"/>
      <c r="C29" s="145"/>
      <c r="D29" s="145"/>
      <c r="E29" s="145"/>
      <c r="F29" s="59"/>
      <c r="G29" s="75"/>
      <c r="H29" s="74"/>
      <c r="I29" s="39"/>
      <c r="J29" s="40"/>
      <c r="K29" s="40"/>
    </row>
    <row r="30" spans="1:11" x14ac:dyDescent="0.25">
      <c r="A30" s="65"/>
      <c r="B30" s="76" t="s">
        <v>60</v>
      </c>
      <c r="C30" s="77"/>
      <c r="D30" s="77"/>
      <c r="E30" s="77"/>
      <c r="F30" s="78"/>
      <c r="G30" s="79"/>
      <c r="H30" s="80"/>
      <c r="I30" s="39"/>
      <c r="J30" s="40"/>
      <c r="K30" s="40"/>
    </row>
    <row r="31" spans="1:11" x14ac:dyDescent="0.25">
      <c r="A31" s="65"/>
      <c r="B31" s="147"/>
      <c r="C31" s="145"/>
      <c r="D31" s="145" t="str">
        <f>IF(AND(G31&gt;=J31,G31&lt;=K31),"","FORA DO LIMITE")</f>
        <v/>
      </c>
      <c r="E31" s="145"/>
      <c r="F31" s="59" t="s">
        <v>61</v>
      </c>
      <c r="G31" s="81">
        <v>3.2000000000000002E-3</v>
      </c>
      <c r="H31" s="82"/>
      <c r="I31" s="39"/>
      <c r="J31" s="40">
        <f>VLOOKUP($I$13,[7]Referências!A22:D28,2,FALSE)</f>
        <v>0</v>
      </c>
      <c r="K31" s="40">
        <f>VLOOKUP($I$13,[7]Referências!A22:D28,4,FALSE)</f>
        <v>1</v>
      </c>
    </row>
    <row r="32" spans="1:11" x14ac:dyDescent="0.25">
      <c r="A32" s="65"/>
      <c r="B32" s="83"/>
      <c r="C32" s="84"/>
      <c r="D32" s="84" t="str">
        <f>IF(AND(G32&gt;=J32,G32&lt;=K32),"","FORA DO LIMITE")</f>
        <v/>
      </c>
      <c r="E32" s="84"/>
      <c r="F32" s="85" t="s">
        <v>62</v>
      </c>
      <c r="G32" s="86">
        <v>7.1999999999999998E-3</v>
      </c>
      <c r="H32" s="66"/>
      <c r="I32" s="39"/>
      <c r="J32" s="40">
        <f>VLOOKUP($I$13,[7]Referências!A31:D37,2,FALSE)</f>
        <v>0</v>
      </c>
      <c r="K32" s="40">
        <f>VLOOKUP($I$13,[7]Referências!A31:D37,4,FALSE)</f>
        <v>1</v>
      </c>
    </row>
    <row r="33" spans="1:11" x14ac:dyDescent="0.25">
      <c r="A33" s="65"/>
      <c r="B33" s="145"/>
      <c r="C33" s="145"/>
      <c r="D33" s="145"/>
      <c r="E33" s="145"/>
      <c r="F33" s="59"/>
      <c r="G33" s="75"/>
      <c r="H33" s="82"/>
      <c r="I33" s="39"/>
      <c r="J33" s="40"/>
      <c r="K33" s="40"/>
    </row>
    <row r="34" spans="1:11" x14ac:dyDescent="0.25">
      <c r="A34" s="65"/>
      <c r="B34" s="45" t="s">
        <v>63</v>
      </c>
      <c r="C34" s="68"/>
      <c r="D34" s="68" t="str">
        <f t="shared" ref="D34" si="1">IF(AND(G34&gt;=J34,G34&lt;=K34),"","FORA DO LIMITE")</f>
        <v/>
      </c>
      <c r="E34" s="68"/>
      <c r="F34" s="69" t="s">
        <v>64</v>
      </c>
      <c r="G34" s="73">
        <v>7.4999999999999997E-2</v>
      </c>
      <c r="H34" s="82"/>
      <c r="I34" s="39"/>
      <c r="J34" s="40">
        <f>VLOOKUP($I$13,[7]Referências!A49:D55,2,FALSE)</f>
        <v>0</v>
      </c>
      <c r="K34" s="40">
        <f>VLOOKUP($I$13,[7]Referências!A49:D55,4,FALSE)</f>
        <v>1</v>
      </c>
    </row>
    <row r="35" spans="1:11" x14ac:dyDescent="0.25">
      <c r="A35" s="65"/>
      <c r="B35" s="145"/>
      <c r="C35" s="145"/>
      <c r="D35" s="145"/>
      <c r="E35" s="145"/>
      <c r="F35" s="59"/>
      <c r="G35" s="75"/>
      <c r="H35" s="82"/>
      <c r="I35" s="39"/>
      <c r="J35" s="40"/>
      <c r="K35" s="40"/>
    </row>
    <row r="36" spans="1:11" x14ac:dyDescent="0.25">
      <c r="A36" s="65"/>
      <c r="B36" s="76" t="s">
        <v>65</v>
      </c>
      <c r="C36" s="77"/>
      <c r="D36" s="77"/>
      <c r="E36" s="77"/>
      <c r="F36" s="78"/>
      <c r="G36" s="79"/>
      <c r="H36" s="82"/>
      <c r="I36" s="39"/>
      <c r="J36" s="40"/>
      <c r="K36" s="40"/>
    </row>
    <row r="37" spans="1:11" x14ac:dyDescent="0.25">
      <c r="A37" s="65"/>
      <c r="B37" s="87"/>
      <c r="C37" s="145"/>
      <c r="D37" s="145"/>
      <c r="E37" s="145"/>
      <c r="F37" s="59" t="str">
        <f>IF(AND(C10="X",C10&lt;&gt;C11,I14&lt;&gt;6,F11&lt;&gt;"X"),"INSS =","")</f>
        <v>INSS =</v>
      </c>
      <c r="G37" s="88">
        <f>IF(AND(C10="x",I14&lt;&gt;6,B12&lt;&gt;"SELECIONE SOMENTE UM TIPO DE BDI"),K37,"")</f>
        <v>4.4999999999999998E-2</v>
      </c>
      <c r="H37" s="89"/>
      <c r="I37" s="39"/>
      <c r="J37" s="40">
        <v>0</v>
      </c>
      <c r="K37" s="40">
        <v>4.4999999999999998E-2</v>
      </c>
    </row>
    <row r="38" spans="1:11" x14ac:dyDescent="0.25">
      <c r="A38" s="65"/>
      <c r="B38" s="404" t="str">
        <f>IF(AND(G38&lt;&gt;"",I14=6),"APAGUE O PERCENTUAL DESTA LINHA","")</f>
        <v/>
      </c>
      <c r="C38" s="396"/>
      <c r="D38" s="145" t="str">
        <f>IF(B38="APAGUE O PERCENTUAL DESTA LINHA","",IF(AND(G38&gt;=J38,G38&lt;=K38),"","FORA DO LIMITE"))</f>
        <v/>
      </c>
      <c r="E38" s="145"/>
      <c r="F38" s="59" t="str">
        <f>IF(I14=6,"","ISSQN =")</f>
        <v>ISSQN =</v>
      </c>
      <c r="G38" s="81">
        <v>0.03</v>
      </c>
      <c r="H38" s="89"/>
      <c r="I38" s="39"/>
      <c r="J38" s="40">
        <v>1.2E-2</v>
      </c>
      <c r="K38" s="40">
        <v>0.03</v>
      </c>
    </row>
    <row r="39" spans="1:11" x14ac:dyDescent="0.25">
      <c r="A39" s="65"/>
      <c r="B39" s="147"/>
      <c r="C39" s="145"/>
      <c r="D39" s="145" t="str">
        <f>IF(AND(G39&gt;=J39,G39&lt;=K39),"","FORA DO LIMITE")</f>
        <v/>
      </c>
      <c r="E39" s="145"/>
      <c r="F39" s="59" t="s">
        <v>66</v>
      </c>
      <c r="G39" s="90">
        <v>6.4999999999999997E-3</v>
      </c>
      <c r="H39" s="89"/>
      <c r="I39" s="39"/>
      <c r="J39" s="40">
        <v>6.4999999999999997E-3</v>
      </c>
      <c r="K39" s="40">
        <v>6.4999999999999997E-3</v>
      </c>
    </row>
    <row r="40" spans="1:11" x14ac:dyDescent="0.25">
      <c r="A40" s="65"/>
      <c r="B40" s="147"/>
      <c r="C40" s="145"/>
      <c r="D40" s="145" t="str">
        <f t="shared" ref="D40" si="2">IF(AND(G40&gt;=J40,G40&lt;=K40),"","FORA DO LIMITE")</f>
        <v/>
      </c>
      <c r="E40" s="145"/>
      <c r="F40" s="59" t="s">
        <v>67</v>
      </c>
      <c r="G40" s="90">
        <v>0.03</v>
      </c>
      <c r="H40" s="89"/>
      <c r="I40" s="39"/>
      <c r="J40" s="40">
        <v>0.03</v>
      </c>
      <c r="K40" s="40">
        <v>0.03</v>
      </c>
    </row>
    <row r="41" spans="1:11" x14ac:dyDescent="0.25">
      <c r="A41" s="65"/>
      <c r="B41" s="147"/>
      <c r="C41" s="145"/>
      <c r="D41" s="145"/>
      <c r="E41" s="145"/>
      <c r="F41" s="59" t="s">
        <v>161</v>
      </c>
      <c r="G41" s="90">
        <v>3.5999999999999997E-2</v>
      </c>
      <c r="H41" s="89"/>
      <c r="I41" s="39"/>
      <c r="J41" s="40"/>
      <c r="K41" s="40"/>
    </row>
    <row r="42" spans="1:11" x14ac:dyDescent="0.25">
      <c r="A42" s="65"/>
      <c r="B42" s="83"/>
      <c r="C42" s="84"/>
      <c r="D42" s="84"/>
      <c r="E42" s="84"/>
      <c r="F42" s="85" t="s">
        <v>68</v>
      </c>
      <c r="G42" s="91">
        <f>SUM(G38:G41)</f>
        <v>0.10250000000000001</v>
      </c>
      <c r="H42" s="82"/>
      <c r="I42" s="39"/>
      <c r="J42" s="40"/>
      <c r="K42" s="40"/>
    </row>
    <row r="43" spans="1:11" ht="15.75" thickBot="1" x14ac:dyDescent="0.3">
      <c r="A43" s="92"/>
      <c r="B43" s="60"/>
      <c r="C43" s="60"/>
      <c r="D43" s="60"/>
      <c r="E43" s="60"/>
      <c r="F43" s="93"/>
      <c r="G43" s="94"/>
      <c r="H43" s="95"/>
      <c r="I43" s="39"/>
      <c r="J43" s="40"/>
      <c r="K43" s="40"/>
    </row>
    <row r="44" spans="1:11" ht="15.75" thickBot="1" x14ac:dyDescent="0.3">
      <c r="A44" s="145"/>
      <c r="B44" s="145"/>
      <c r="C44" s="145"/>
      <c r="D44" s="145"/>
      <c r="E44" s="145"/>
      <c r="F44" s="156"/>
      <c r="G44" s="157"/>
      <c r="H44" s="158"/>
      <c r="I44" s="39"/>
      <c r="J44" s="40"/>
      <c r="K44" s="40"/>
    </row>
    <row r="45" spans="1:11" x14ac:dyDescent="0.25">
      <c r="A45" s="394" t="s">
        <v>69</v>
      </c>
      <c r="B45" s="395"/>
      <c r="C45" s="146"/>
      <c r="D45" s="146"/>
      <c r="E45" s="146"/>
      <c r="F45" s="146"/>
      <c r="G45" s="63"/>
      <c r="H45" s="64"/>
      <c r="I45" s="39"/>
      <c r="J45" s="40" t="s">
        <v>70</v>
      </c>
      <c r="K45" s="40"/>
    </row>
    <row r="46" spans="1:11" x14ac:dyDescent="0.25">
      <c r="A46" s="65"/>
      <c r="B46" s="145"/>
      <c r="C46" s="145"/>
      <c r="D46" s="145"/>
      <c r="E46" s="145"/>
      <c r="F46" s="145"/>
      <c r="G46" s="50"/>
      <c r="H46" s="66"/>
      <c r="I46" s="39"/>
      <c r="J46" s="96">
        <v>1</v>
      </c>
      <c r="K46" s="40" t="str">
        <f>IF(OR(B12="SELECIONE UM TIPO DE BDI",B12="SELECIONE SOMENTE UM TIPO DE BDI"),"VER TIPO DE BDI","OK")</f>
        <v>OK</v>
      </c>
    </row>
    <row r="47" spans="1:11" x14ac:dyDescent="0.25">
      <c r="A47" s="65"/>
      <c r="B47" s="145"/>
      <c r="C47" s="145"/>
      <c r="D47" s="145"/>
      <c r="E47" s="145"/>
      <c r="F47" s="145"/>
      <c r="G47" s="50"/>
      <c r="H47" s="66"/>
      <c r="I47" s="39"/>
      <c r="J47" s="96">
        <v>2</v>
      </c>
      <c r="K47" s="40" t="str">
        <f>IF(OR(B22="SELECIONE SOMENTE UM TIPO DE SERVIÇO",B22="SELECIONE UM TIPO DE SERVIÇO",B21="NÃO HÁ DESONERAÇÃO PARA FORNECIMENTO DE MATERIAIS"),"VER TIPO DE SERVIÇO","OK")</f>
        <v>OK</v>
      </c>
    </row>
    <row r="48" spans="1:11" x14ac:dyDescent="0.25">
      <c r="A48" s="65"/>
      <c r="B48" s="145"/>
      <c r="C48" s="145"/>
      <c r="D48" s="145"/>
      <c r="E48" s="145"/>
      <c r="F48" s="145"/>
      <c r="G48" s="50"/>
      <c r="H48" s="66"/>
      <c r="I48" s="39"/>
      <c r="J48" s="96">
        <v>3</v>
      </c>
      <c r="K48" s="40" t="str">
        <f t="shared" ref="K48:K49" si="3">IF(OR(B23="SELECIONE SOMENTE UM TIPO DE SERVIÇO",B23="SELECIONE UM TIPO DE SERVIÇO",B22="NÃO HÁ DESONERAÇÃO PARA FORNECIMENTO DE MATERIAIS"),"VER TIPO DE SERVIÇO","OK")</f>
        <v>OK</v>
      </c>
    </row>
    <row r="49" spans="1:11" x14ac:dyDescent="0.25">
      <c r="A49" s="65"/>
      <c r="B49" s="145"/>
      <c r="C49" s="145"/>
      <c r="D49" s="145"/>
      <c r="E49" s="145"/>
      <c r="F49" s="145"/>
      <c r="G49" s="50"/>
      <c r="H49" s="66"/>
      <c r="I49" s="39"/>
      <c r="J49" s="96">
        <v>4</v>
      </c>
      <c r="K49" s="40" t="str">
        <f t="shared" si="3"/>
        <v>OK</v>
      </c>
    </row>
    <row r="50" spans="1:11" x14ac:dyDescent="0.25">
      <c r="A50" s="65"/>
      <c r="B50" s="145"/>
      <c r="C50" s="145"/>
      <c r="D50" s="145"/>
      <c r="E50" s="145"/>
      <c r="F50" s="145"/>
      <c r="G50" s="50"/>
      <c r="H50" s="66"/>
      <c r="I50" s="39"/>
      <c r="J50" s="96"/>
      <c r="K50" s="40"/>
    </row>
    <row r="51" spans="1:11" x14ac:dyDescent="0.25">
      <c r="A51" s="65"/>
      <c r="B51" s="145"/>
      <c r="C51" s="145"/>
      <c r="D51" s="145"/>
      <c r="E51" s="145"/>
      <c r="F51" s="145"/>
      <c r="G51" s="50"/>
      <c r="H51" s="66"/>
      <c r="I51" s="39"/>
      <c r="J51" s="40"/>
      <c r="K51" s="40"/>
    </row>
    <row r="52" spans="1:11" x14ac:dyDescent="0.25">
      <c r="A52" s="65"/>
      <c r="B52" s="145"/>
      <c r="C52" s="145"/>
      <c r="D52" s="145"/>
      <c r="E52" s="145"/>
      <c r="F52" s="145"/>
      <c r="G52" s="50"/>
      <c r="H52" s="66"/>
      <c r="I52" s="39"/>
      <c r="J52" s="40"/>
      <c r="K52" s="40"/>
    </row>
    <row r="53" spans="1:11" x14ac:dyDescent="0.25">
      <c r="A53" s="65" t="s">
        <v>71</v>
      </c>
      <c r="B53" s="48" t="s">
        <v>72</v>
      </c>
      <c r="C53" s="145"/>
      <c r="D53" s="145"/>
      <c r="E53" s="145"/>
      <c r="F53" s="145"/>
      <c r="G53" s="50"/>
      <c r="H53" s="66"/>
      <c r="I53" s="39"/>
      <c r="J53" s="40"/>
      <c r="K53" s="40"/>
    </row>
    <row r="54" spans="1:11" x14ac:dyDescent="0.25">
      <c r="A54" s="65" t="s">
        <v>73</v>
      </c>
      <c r="B54" s="48" t="s">
        <v>74</v>
      </c>
      <c r="C54" s="145"/>
      <c r="D54" s="145"/>
      <c r="E54" s="145"/>
      <c r="F54" s="145"/>
      <c r="G54" s="50"/>
      <c r="H54" s="66"/>
      <c r="I54" s="39"/>
      <c r="J54" s="40"/>
      <c r="K54" s="40"/>
    </row>
    <row r="55" spans="1:11" x14ac:dyDescent="0.25">
      <c r="A55" s="65" t="s">
        <v>75</v>
      </c>
      <c r="B55" s="48" t="s">
        <v>76</v>
      </c>
      <c r="C55" s="145"/>
      <c r="D55" s="145"/>
      <c r="E55" s="145"/>
      <c r="F55" s="145"/>
      <c r="G55" s="50"/>
      <c r="H55" s="66"/>
      <c r="I55" s="39"/>
      <c r="J55" s="40"/>
      <c r="K55" s="40"/>
    </row>
    <row r="56" spans="1:11" x14ac:dyDescent="0.25">
      <c r="A56" s="65" t="s">
        <v>59</v>
      </c>
      <c r="B56" s="48" t="s">
        <v>77</v>
      </c>
      <c r="C56" s="145"/>
      <c r="D56" s="145"/>
      <c r="E56" s="145"/>
      <c r="F56" s="145"/>
      <c r="G56" s="50"/>
      <c r="H56" s="66"/>
      <c r="I56" s="39"/>
      <c r="J56" s="40"/>
      <c r="K56" s="40"/>
    </row>
    <row r="57" spans="1:11" x14ac:dyDescent="0.25">
      <c r="A57" s="65" t="s">
        <v>64</v>
      </c>
      <c r="B57" s="48" t="s">
        <v>78</v>
      </c>
      <c r="C57" s="145"/>
      <c r="D57" s="145"/>
      <c r="E57" s="145"/>
      <c r="F57" s="145"/>
      <c r="G57" s="50"/>
      <c r="H57" s="66"/>
      <c r="I57" s="39"/>
      <c r="J57" s="40"/>
      <c r="K57" s="40"/>
    </row>
    <row r="58" spans="1:11" x14ac:dyDescent="0.25">
      <c r="A58" s="65" t="s">
        <v>79</v>
      </c>
      <c r="B58" s="48" t="s">
        <v>80</v>
      </c>
      <c r="C58" s="145"/>
      <c r="D58" s="145"/>
      <c r="E58" s="145"/>
      <c r="F58" s="145"/>
      <c r="G58" s="50"/>
      <c r="H58" s="66"/>
      <c r="I58" s="39"/>
      <c r="J58" s="40"/>
      <c r="K58" s="40"/>
    </row>
    <row r="59" spans="1:11" ht="15.75" thickBot="1" x14ac:dyDescent="0.3">
      <c r="A59" s="92"/>
      <c r="B59" s="97"/>
      <c r="C59" s="60"/>
      <c r="D59" s="60"/>
      <c r="E59" s="60"/>
      <c r="F59" s="60"/>
      <c r="G59" s="98"/>
      <c r="H59" s="99"/>
      <c r="I59" s="39"/>
      <c r="J59" s="40"/>
      <c r="K59" s="40"/>
    </row>
    <row r="60" spans="1:11" ht="15.75" thickBot="1" x14ac:dyDescent="0.3">
      <c r="A60" s="145"/>
      <c r="B60" s="48"/>
      <c r="C60" s="145"/>
      <c r="D60" s="145"/>
      <c r="E60" s="145"/>
      <c r="F60" s="145"/>
      <c r="G60" s="50"/>
      <c r="H60" s="50"/>
      <c r="I60" s="39"/>
      <c r="J60" s="40"/>
      <c r="K60" s="40"/>
    </row>
    <row r="61" spans="1:11" x14ac:dyDescent="0.25">
      <c r="A61" s="394" t="s">
        <v>81</v>
      </c>
      <c r="B61" s="395"/>
      <c r="C61" s="100"/>
      <c r="D61" s="100"/>
      <c r="E61" s="395" t="s">
        <v>82</v>
      </c>
      <c r="F61" s="395"/>
      <c r="G61" s="63"/>
      <c r="H61" s="64"/>
      <c r="I61" s="101">
        <f>SUM(1+G26,G31,G32)</f>
        <v>1.0484000000000002</v>
      </c>
      <c r="J61" s="40"/>
      <c r="K61" s="40"/>
    </row>
    <row r="62" spans="1:11" x14ac:dyDescent="0.25">
      <c r="A62" s="144"/>
      <c r="B62" s="43"/>
      <c r="C62" s="145"/>
      <c r="D62" s="145"/>
      <c r="E62" s="145"/>
      <c r="F62" s="145"/>
      <c r="G62" s="50"/>
      <c r="H62" s="66"/>
      <c r="I62" s="39">
        <f>1+G28</f>
        <v>1.0102</v>
      </c>
      <c r="J62" s="40"/>
      <c r="K62" s="40"/>
    </row>
    <row r="63" spans="1:11" x14ac:dyDescent="0.25">
      <c r="A63" s="65"/>
      <c r="B63" s="102" t="s">
        <v>83</v>
      </c>
      <c r="C63" s="103">
        <v>0.19600000000000001</v>
      </c>
      <c r="D63" s="71" t="str">
        <f>IF(AND(C63&gt;I66,C11="X"),"BDI ABAIXO","")</f>
        <v/>
      </c>
      <c r="E63" s="102" t="s">
        <v>83</v>
      </c>
      <c r="F63" s="103">
        <v>0.25600000000000001</v>
      </c>
      <c r="G63" s="71" t="str">
        <f>IF(AND(F63&gt;I66,C10="X"),"BDI ABAIXO","")</f>
        <v/>
      </c>
      <c r="H63" s="66"/>
      <c r="I63" s="39">
        <f>1+G34</f>
        <v>1.075</v>
      </c>
      <c r="J63" s="40"/>
      <c r="K63" s="40"/>
    </row>
    <row r="64" spans="1:11" x14ac:dyDescent="0.25">
      <c r="A64" s="65"/>
      <c r="B64" s="102" t="s">
        <v>84</v>
      </c>
      <c r="C64" s="103">
        <v>0.24229999999999999</v>
      </c>
      <c r="D64" s="145"/>
      <c r="E64" s="102" t="s">
        <v>84</v>
      </c>
      <c r="F64" s="103">
        <v>0.30520000000000003</v>
      </c>
      <c r="G64" s="71" t="str">
        <f>IF(AND(F64&lt;I66,C10="X"),"BDI ACIMA","")</f>
        <v/>
      </c>
      <c r="H64" s="66"/>
      <c r="I64" s="39">
        <f>1-G42</f>
        <v>0.89749999999999996</v>
      </c>
      <c r="J64" s="40"/>
      <c r="K64" s="40"/>
    </row>
    <row r="65" spans="1:11" ht="15.75" thickBot="1" x14ac:dyDescent="0.3">
      <c r="A65" s="92"/>
      <c r="B65" s="97"/>
      <c r="C65" s="60"/>
      <c r="D65" s="104"/>
      <c r="E65" s="60"/>
      <c r="F65" s="104"/>
      <c r="G65" s="98"/>
      <c r="H65" s="99"/>
      <c r="I65" s="39">
        <f>I61*I62*I63/I64</f>
        <v>1.2685523186629528</v>
      </c>
      <c r="J65" s="40"/>
      <c r="K65" s="40"/>
    </row>
    <row r="66" spans="1:11" ht="15.75" thickBot="1" x14ac:dyDescent="0.3">
      <c r="A66" s="145"/>
      <c r="B66" s="145"/>
      <c r="C66" s="145"/>
      <c r="D66" s="145"/>
      <c r="E66" s="145"/>
      <c r="F66" s="145"/>
      <c r="G66" s="50"/>
      <c r="H66" s="50"/>
      <c r="I66" s="39">
        <f>ROUND(I65-1,4)</f>
        <v>0.26860000000000001</v>
      </c>
      <c r="J66" s="40"/>
      <c r="K66" s="40"/>
    </row>
    <row r="67" spans="1:11" ht="15.75" thickBot="1" x14ac:dyDescent="0.3">
      <c r="A67" s="145"/>
      <c r="B67" s="145"/>
      <c r="C67" s="145"/>
      <c r="D67" s="159"/>
      <c r="E67" s="397" t="s">
        <v>85</v>
      </c>
      <c r="F67" s="398"/>
      <c r="G67" s="160">
        <f>IF(AND(K46="OK",K47="OK",K48="OK",K49="OK"),I66,IF(K46="VER TIPO DE BDI","VER TIPO DE BDI",IF(K47="VER TIPO DE SERVIÇO","VER TIPO DE SERVIÇO",IF(K48="VER PERCENTUAIS","VER PERCENTUAIS",IF(K49="BDI FORA DO LIMITE","BDI FORA DO LIMITE","VÁRIOS ERROS")))))</f>
        <v>0.26860000000000001</v>
      </c>
      <c r="H67" s="161" t="str">
        <f>IF(AND(M67&gt;=P67,M67&lt;=Q67),"","FORA DO LIMITE")</f>
        <v/>
      </c>
      <c r="I67" s="105">
        <f>G73</f>
        <v>0.26860000000000001</v>
      </c>
      <c r="J67" s="40"/>
      <c r="K67" s="40"/>
    </row>
    <row r="68" spans="1:11" x14ac:dyDescent="0.25">
      <c r="A68" s="145"/>
      <c r="B68" s="145"/>
      <c r="C68" s="145"/>
      <c r="D68" s="145"/>
      <c r="E68" s="41"/>
      <c r="F68" s="41"/>
      <c r="G68" s="162"/>
      <c r="H68" s="162"/>
      <c r="I68" s="106"/>
      <c r="J68" s="40"/>
      <c r="K68" s="40"/>
    </row>
    <row r="69" spans="1:11" x14ac:dyDescent="0.25">
      <c r="A69" s="41"/>
      <c r="B69" s="43" t="s">
        <v>86</v>
      </c>
      <c r="C69" s="41"/>
      <c r="D69" s="41"/>
      <c r="E69" s="145"/>
      <c r="F69" s="145"/>
      <c r="G69" s="145"/>
      <c r="H69" s="145"/>
      <c r="I69" s="106"/>
      <c r="J69" s="40"/>
      <c r="K69" s="40"/>
    </row>
    <row r="70" spans="1:11" x14ac:dyDescent="0.25">
      <c r="A70" s="48"/>
      <c r="B70" s="8" t="s">
        <v>87</v>
      </c>
      <c r="C70" s="8"/>
      <c r="D70" s="8"/>
      <c r="E70" s="145"/>
      <c r="F70" s="145"/>
      <c r="G70" s="399"/>
      <c r="H70" s="399"/>
      <c r="I70" s="39"/>
      <c r="J70" s="40"/>
      <c r="K70" s="40"/>
    </row>
    <row r="71" spans="1:11" x14ac:dyDescent="0.25">
      <c r="A71" s="145"/>
      <c r="B71" s="8" t="s">
        <v>88</v>
      </c>
      <c r="C71" s="163"/>
      <c r="D71" s="145"/>
      <c r="E71" s="145"/>
      <c r="F71" s="145"/>
      <c r="G71" s="400"/>
      <c r="H71" s="400"/>
      <c r="I71" s="39"/>
      <c r="J71" s="40"/>
      <c r="K71" s="40"/>
    </row>
    <row r="72" spans="1:11" x14ac:dyDescent="0.25">
      <c r="A72" s="145"/>
      <c r="B72" s="8" t="s">
        <v>89</v>
      </c>
      <c r="C72" s="145"/>
      <c r="D72" s="145"/>
      <c r="E72" s="145"/>
      <c r="F72" s="164"/>
      <c r="G72" s="50"/>
      <c r="H72" s="50"/>
      <c r="I72" s="39"/>
      <c r="J72" s="40"/>
      <c r="K72" s="40"/>
    </row>
    <row r="73" spans="1:11" x14ac:dyDescent="0.25">
      <c r="A73" s="62"/>
      <c r="B73" s="62"/>
      <c r="C73" s="62"/>
      <c r="D73" s="62"/>
      <c r="E73" s="62"/>
      <c r="F73" s="107" t="s">
        <v>90</v>
      </c>
      <c r="G73" s="401">
        <f>I66</f>
        <v>0.26860000000000001</v>
      </c>
      <c r="H73" s="402"/>
      <c r="I73" s="39"/>
      <c r="J73" s="40"/>
      <c r="K73" s="40"/>
    </row>
  </sheetData>
  <sheetProtection algorithmName="SHA-512" hashValue="g8HXCEkESLfOiTLFd6Da6SLlhqSSNEEBobdFFIKiaph+0GvYsNh8p+FyhPmlVUDv8QDo7BDrpNOMXWxL4nVWfw==" saltValue="trEVE36qFGN3IYclH+7O0Q==" spinCount="100000" sheet="1" objects="1" scenarios="1" selectLockedCells="1" selectUnlockedCells="1"/>
  <mergeCells count="21">
    <mergeCell ref="E67:F67"/>
    <mergeCell ref="G70:H70"/>
    <mergeCell ref="G71:H71"/>
    <mergeCell ref="G73:H73"/>
    <mergeCell ref="A24:B24"/>
    <mergeCell ref="E24:F24"/>
    <mergeCell ref="B38:C38"/>
    <mergeCell ref="A45:B45"/>
    <mergeCell ref="A61:B61"/>
    <mergeCell ref="E61:F61"/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</mergeCells>
  <conditionalFormatting sqref="B12">
    <cfRule type="cellIs" dxfId="22" priority="18" operator="equal">
      <formula>"SELECIONE SOMENTE UM TIPO DE BDI"</formula>
    </cfRule>
  </conditionalFormatting>
  <conditionalFormatting sqref="B21">
    <cfRule type="cellIs" dxfId="21" priority="5" operator="equal">
      <formula>"NÃO HÁ DESONERAÇÃO PARA FORNECIMENTO DE MATERIAIS"</formula>
    </cfRule>
  </conditionalFormatting>
  <conditionalFormatting sqref="B22">
    <cfRule type="cellIs" dxfId="20" priority="24" operator="equal">
      <formula>"SELECIONE SOMENTE UM TIPO DE SERVIÇO"</formula>
    </cfRule>
  </conditionalFormatting>
  <conditionalFormatting sqref="B12:C12 E12:G12">
    <cfRule type="cellIs" dxfId="19" priority="8" operator="equal">
      <formula>"SELECIONE UM TIPO DE BDI"</formula>
    </cfRule>
  </conditionalFormatting>
  <conditionalFormatting sqref="B22:C22">
    <cfRule type="cellIs" dxfId="18" priority="7" operator="equal">
      <formula>"SELECIONE UM TIPO DE SERVIÇO"</formula>
    </cfRule>
  </conditionalFormatting>
  <conditionalFormatting sqref="B38:C38">
    <cfRule type="cellIs" dxfId="17" priority="17" operator="equal">
      <formula>"APAGUE O PERCENTUAL DESTA LINHA"</formula>
    </cfRule>
  </conditionalFormatting>
  <conditionalFormatting sqref="C10:C11 G16:G21 G26 G28 G31:G32 G34">
    <cfRule type="cellIs" dxfId="16" priority="15" operator="equal">
      <formula>0</formula>
    </cfRule>
  </conditionalFormatting>
  <conditionalFormatting sqref="D26 D38:D41">
    <cfRule type="cellIs" dxfId="15" priority="23" operator="equal">
      <formula>"FORA DO LIMITE"</formula>
    </cfRule>
  </conditionalFormatting>
  <conditionalFormatting sqref="D28">
    <cfRule type="cellIs" dxfId="14" priority="22" operator="equal">
      <formula>"FORA DO LIMITE"</formula>
    </cfRule>
  </conditionalFormatting>
  <conditionalFormatting sqref="D31:D32">
    <cfRule type="cellIs" dxfId="13" priority="20" operator="equal">
      <formula>"FORA DO LIMITE"</formula>
    </cfRule>
  </conditionalFormatting>
  <conditionalFormatting sqref="D34">
    <cfRule type="cellIs" dxfId="12" priority="19" operator="equal">
      <formula>"FORA DO LIMITE"</formula>
    </cfRule>
  </conditionalFormatting>
  <conditionalFormatting sqref="D63">
    <cfRule type="cellIs" dxfId="11" priority="4" operator="equal">
      <formula>"BDI ABAIXO"</formula>
    </cfRule>
  </conditionalFormatting>
  <conditionalFormatting sqref="E12">
    <cfRule type="cellIs" dxfId="10" priority="11" operator="equal">
      <formula>"SELECIONE SOMENTE UM TIPO DE BDI"</formula>
    </cfRule>
  </conditionalFormatting>
  <conditionalFormatting sqref="E12:G12">
    <cfRule type="cellIs" dxfId="9" priority="6" operator="equal">
      <formula>"SOMENTE HÁ DESONERAÇÃO PARA OBRAS"</formula>
    </cfRule>
    <cfRule type="cellIs" dxfId="8" priority="10" operator="equal">
      <formula>"NÃO HÁ PROJETO PARA FORNECIMENTO"</formula>
    </cfRule>
  </conditionalFormatting>
  <conditionalFormatting sqref="G38:G41">
    <cfRule type="cellIs" dxfId="7" priority="9" operator="equal">
      <formula>0</formula>
    </cfRule>
  </conditionalFormatting>
  <conditionalFormatting sqref="G63">
    <cfRule type="cellIs" dxfId="6" priority="3" operator="equal">
      <formula>"BDI ABAIXO"</formula>
    </cfRule>
  </conditionalFormatting>
  <conditionalFormatting sqref="G64">
    <cfRule type="cellIs" dxfId="5" priority="2" operator="equal">
      <formula>"BDI ACIMA"</formula>
    </cfRule>
  </conditionalFormatting>
  <conditionalFormatting sqref="G67:H68">
    <cfRule type="cellIs" dxfId="4" priority="1" operator="equal">
      <formula>"VER PERCENTUAIS"</formula>
    </cfRule>
    <cfRule type="cellIs" dxfId="3" priority="12" operator="equal">
      <formula>"VÁRIOS ERROS"</formula>
    </cfRule>
    <cfRule type="cellIs" dxfId="2" priority="13" operator="equal">
      <formula>"BDI FORA DO LIMITE"</formula>
    </cfRule>
    <cfRule type="cellIs" dxfId="1" priority="14" operator="equal">
      <formula>"VER TIPO DE BDI"</formula>
    </cfRule>
    <cfRule type="cellIs" dxfId="0" priority="16" operator="equal">
      <formula>"VER TIPO DE SERVIÇO"</formula>
    </cfRule>
  </conditionalFormatting>
  <dataValidations count="3">
    <dataValidation allowBlank="1" promptTitle="Alerta" prompt="Digite somente 'X'" sqref="F10:F11" xr:uid="{00000000-0002-0000-0B00-000000000000}"/>
    <dataValidation type="decimal" allowBlank="1" showInputMessage="1" showErrorMessage="1" sqref="G38:G42 G26:G36" xr:uid="{00000000-0002-0000-0B00-000001000000}">
      <formula1>0</formula1>
      <formula2>100</formula2>
    </dataValidation>
    <dataValidation type="list" allowBlank="1" showInputMessage="1" showErrorMessage="1" promptTitle="Alerta" prompt="Digite somente 'X'" sqref="G16:G21 C10:C11" xr:uid="{00000000-0002-0000-0B00-000002000000}">
      <formula1>"x,X"</formula1>
    </dataValidation>
  </dataValidations>
  <pageMargins left="0.51181102362204722" right="0.51181102362204722" top="1.7716535433070868" bottom="1.5748031496062993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761F-E943-45D4-9F1C-78354203EEB1}">
  <sheetPr>
    <tabColor theme="9" tint="0.79998168889431442"/>
    <pageSetUpPr fitToPage="1"/>
  </sheetPr>
  <dimension ref="A1:H7"/>
  <sheetViews>
    <sheetView workbookViewId="0"/>
  </sheetViews>
  <sheetFormatPr defaultRowHeight="15" x14ac:dyDescent="0.25"/>
  <cols>
    <col min="1" max="1" width="15.28515625" bestFit="1" customWidth="1"/>
    <col min="2" max="2" width="12.5703125" bestFit="1" customWidth="1"/>
    <col min="3" max="3" width="8.7109375" bestFit="1" customWidth="1"/>
    <col min="4" max="4" width="3.140625" bestFit="1" customWidth="1"/>
    <col min="5" max="5" width="15.42578125" customWidth="1"/>
    <col min="6" max="6" width="7.42578125" customWidth="1"/>
    <col min="7" max="7" width="8.140625" customWidth="1"/>
    <col min="8" max="8" width="22.42578125" bestFit="1" customWidth="1"/>
    <col min="9" max="9" width="6.5703125" bestFit="1" customWidth="1"/>
  </cols>
  <sheetData>
    <row r="1" spans="1:8" x14ac:dyDescent="0.25">
      <c r="A1" s="6"/>
      <c r="B1" s="4"/>
      <c r="C1" s="5"/>
      <c r="D1" s="4"/>
      <c r="E1" s="4"/>
      <c r="F1" s="4"/>
      <c r="G1" s="4"/>
      <c r="H1" s="5"/>
    </row>
    <row r="2" spans="1:8" x14ac:dyDescent="0.25">
      <c r="A2" s="7" t="s">
        <v>13</v>
      </c>
      <c r="B2" s="253" t="s">
        <v>345</v>
      </c>
      <c r="C2" s="298" t="s">
        <v>14</v>
      </c>
      <c r="D2" s="280"/>
      <c r="E2" s="299"/>
      <c r="F2" s="299"/>
      <c r="G2" s="4"/>
      <c r="H2" s="4"/>
    </row>
    <row r="3" spans="1:8" ht="22.5" x14ac:dyDescent="0.25">
      <c r="A3" s="36" t="s">
        <v>340</v>
      </c>
      <c r="B3" s="259" t="s">
        <v>346</v>
      </c>
      <c r="C3" s="13">
        <f>'ORÇAMENTO SD'!B7</f>
        <v>1086</v>
      </c>
      <c r="D3" s="14" t="s">
        <v>15</v>
      </c>
      <c r="E3" s="15"/>
      <c r="F3" s="15"/>
      <c r="G3" s="4"/>
      <c r="H3" s="5"/>
    </row>
    <row r="4" spans="1:8" x14ac:dyDescent="0.25">
      <c r="A4" s="6"/>
      <c r="B4" s="4"/>
      <c r="C4" s="8"/>
      <c r="D4" s="4"/>
      <c r="E4" s="4"/>
      <c r="F4" s="4"/>
      <c r="G4" s="5"/>
      <c r="H4" s="5"/>
    </row>
    <row r="5" spans="1:8" x14ac:dyDescent="0.25">
      <c r="A5" s="298" t="s">
        <v>16</v>
      </c>
      <c r="B5" s="280"/>
      <c r="C5" s="17">
        <f>SUM(C3:C3)</f>
        <v>1086</v>
      </c>
      <c r="D5" s="18" t="str">
        <f>D3</f>
        <v>m²</v>
      </c>
      <c r="E5" s="19"/>
      <c r="F5" s="8"/>
      <c r="G5" s="4"/>
      <c r="H5" s="4"/>
    </row>
    <row r="6" spans="1:8" x14ac:dyDescent="0.25">
      <c r="A6" s="6"/>
      <c r="B6" s="4"/>
      <c r="C6" s="4"/>
      <c r="D6" s="4"/>
      <c r="E6" s="4"/>
      <c r="F6" s="4"/>
      <c r="G6" s="4"/>
      <c r="H6" s="4"/>
    </row>
    <row r="7" spans="1:8" x14ac:dyDescent="0.25">
      <c r="A7" s="285"/>
      <c r="B7" s="286"/>
      <c r="C7" s="286"/>
      <c r="D7" s="286"/>
      <c r="E7" s="286"/>
      <c r="F7" s="286"/>
      <c r="G7" s="286"/>
      <c r="H7" s="4"/>
    </row>
  </sheetData>
  <mergeCells count="4">
    <mergeCell ref="A5:B5"/>
    <mergeCell ref="A7:G7"/>
    <mergeCell ref="C2:D2"/>
    <mergeCell ref="E2:F2"/>
  </mergeCells>
  <pageMargins left="0.51181102362204722" right="0.51181102362204722" top="1.7716535433070868" bottom="1.1811023622047245" header="0.51181102362204722" footer="0.51181102362204722"/>
  <pageSetup paperSize="9" scale="67" fitToHeight="0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0921-584F-4DCB-91CC-28FD1932ECA4}">
  <sheetPr>
    <tabColor theme="9" tint="0.79998168889431442"/>
    <pageSetUpPr fitToPage="1"/>
  </sheetPr>
  <dimension ref="A1:J12"/>
  <sheetViews>
    <sheetView workbookViewId="0"/>
  </sheetViews>
  <sheetFormatPr defaultRowHeight="15" x14ac:dyDescent="0.25"/>
  <cols>
    <col min="1" max="1" width="24" customWidth="1"/>
    <col min="2" max="2" width="12.7109375" customWidth="1"/>
    <col min="3" max="3" width="12.5703125" bestFit="1" customWidth="1"/>
    <col min="4" max="4" width="8.85546875" bestFit="1" customWidth="1"/>
    <col min="5" max="5" width="25.28515625" customWidth="1"/>
    <col min="6" max="6" width="3.140625" bestFit="1" customWidth="1"/>
    <col min="7" max="7" width="15.42578125" customWidth="1"/>
    <col min="8" max="8" width="7.42578125" customWidth="1"/>
    <col min="9" max="9" width="8.140625" customWidth="1"/>
    <col min="10" max="10" width="22.42578125" bestFit="1" customWidth="1"/>
    <col min="11" max="11" width="6.5703125" bestFit="1" customWidth="1"/>
  </cols>
  <sheetData>
    <row r="1" spans="1:10" x14ac:dyDescent="0.25">
      <c r="A1" s="6"/>
      <c r="B1" s="4"/>
      <c r="C1" s="4"/>
      <c r="D1" s="4"/>
      <c r="E1" s="5"/>
      <c r="F1" s="4"/>
      <c r="G1" s="4"/>
      <c r="H1" s="4"/>
      <c r="I1" s="4"/>
      <c r="J1" s="5"/>
    </row>
    <row r="2" spans="1:10" x14ac:dyDescent="0.25">
      <c r="A2" s="7" t="s">
        <v>13</v>
      </c>
      <c r="B2" s="9" t="s">
        <v>345</v>
      </c>
      <c r="C2" s="9" t="s">
        <v>411</v>
      </c>
      <c r="D2" s="9" t="s">
        <v>412</v>
      </c>
      <c r="E2" s="298" t="s">
        <v>14</v>
      </c>
      <c r="F2" s="280"/>
      <c r="G2" s="299"/>
      <c r="H2" s="299"/>
      <c r="I2" s="4"/>
      <c r="J2" s="4"/>
    </row>
    <row r="3" spans="1:10" ht="22.5" x14ac:dyDescent="0.25">
      <c r="A3" s="36" t="s">
        <v>349</v>
      </c>
      <c r="B3" s="259" t="s">
        <v>413</v>
      </c>
      <c r="C3" s="272">
        <f>'ORÇAMENTO SD'!E7</f>
        <v>181</v>
      </c>
      <c r="D3" s="272">
        <f>'ORÇAMENTO SD'!E6</f>
        <v>6</v>
      </c>
      <c r="E3" s="13">
        <f>D3*C3</f>
        <v>1086</v>
      </c>
      <c r="F3" s="14" t="s">
        <v>15</v>
      </c>
      <c r="G3" s="15"/>
      <c r="H3" s="15"/>
      <c r="I3" s="4"/>
      <c r="J3" s="5"/>
    </row>
    <row r="4" spans="1:10" ht="22.5" x14ac:dyDescent="0.25">
      <c r="A4" s="36" t="s">
        <v>350</v>
      </c>
      <c r="B4" s="259" t="s">
        <v>414</v>
      </c>
      <c r="C4" s="272">
        <f>'ORÇAMENTO SD'!E36</f>
        <v>49</v>
      </c>
      <c r="D4" s="272">
        <f>'ORÇAMENTO SD'!E35</f>
        <v>4</v>
      </c>
      <c r="E4" s="13">
        <f t="shared" ref="E4:E9" si="0">D4*C4</f>
        <v>196</v>
      </c>
      <c r="F4" s="14" t="s">
        <v>15</v>
      </c>
      <c r="G4" s="15"/>
      <c r="H4" s="15"/>
      <c r="I4" s="4"/>
      <c r="J4" s="5"/>
    </row>
    <row r="5" spans="1:10" ht="22.5" x14ac:dyDescent="0.25">
      <c r="A5" s="36" t="s">
        <v>351</v>
      </c>
      <c r="B5" s="259" t="s">
        <v>415</v>
      </c>
      <c r="C5" s="272">
        <f>'ORÇAMENTO SD'!E60</f>
        <v>21</v>
      </c>
      <c r="D5" s="272">
        <f>'ORÇAMENTO SD'!E59</f>
        <v>4.5</v>
      </c>
      <c r="E5" s="13">
        <f t="shared" si="0"/>
        <v>94.5</v>
      </c>
      <c r="F5" s="14" t="s">
        <v>15</v>
      </c>
      <c r="G5" s="15"/>
      <c r="H5" s="15"/>
      <c r="I5" s="4"/>
      <c r="J5" s="5"/>
    </row>
    <row r="6" spans="1:10" ht="22.5" x14ac:dyDescent="0.25">
      <c r="A6" s="36" t="s">
        <v>352</v>
      </c>
      <c r="B6" s="259" t="s">
        <v>416</v>
      </c>
      <c r="C6" s="272">
        <f>'ORÇAMENTO SD'!E84</f>
        <v>94</v>
      </c>
      <c r="D6" s="272">
        <f>'ORÇAMENTO SD'!E83</f>
        <v>5</v>
      </c>
      <c r="E6" s="13">
        <f t="shared" si="0"/>
        <v>470</v>
      </c>
      <c r="F6" s="14" t="s">
        <v>15</v>
      </c>
      <c r="G6" s="15"/>
      <c r="H6" s="15"/>
      <c r="I6" s="4"/>
      <c r="J6" s="5"/>
    </row>
    <row r="7" spans="1:10" ht="22.5" x14ac:dyDescent="0.25">
      <c r="A7" s="36" t="s">
        <v>353</v>
      </c>
      <c r="B7" s="259" t="s">
        <v>417</v>
      </c>
      <c r="C7" s="272">
        <f>'ORÇAMENTO SD'!E108</f>
        <v>150</v>
      </c>
      <c r="D7" s="272">
        <f>'ORÇAMENTO SD'!E107</f>
        <v>6</v>
      </c>
      <c r="E7" s="13">
        <f t="shared" si="0"/>
        <v>900</v>
      </c>
      <c r="F7" s="14" t="s">
        <v>15</v>
      </c>
      <c r="G7" s="15"/>
      <c r="H7" s="15"/>
      <c r="I7" s="4"/>
      <c r="J7" s="5"/>
    </row>
    <row r="8" spans="1:10" ht="22.5" x14ac:dyDescent="0.25">
      <c r="A8" s="36" t="s">
        <v>354</v>
      </c>
      <c r="B8" s="259" t="s">
        <v>418</v>
      </c>
      <c r="C8" s="272">
        <f>'ORÇAMENTO SD'!E132</f>
        <v>377</v>
      </c>
      <c r="D8" s="272">
        <f>'ORÇAMENTO SD'!E131</f>
        <v>6</v>
      </c>
      <c r="E8" s="13">
        <f t="shared" si="0"/>
        <v>2262</v>
      </c>
      <c r="F8" s="14" t="s">
        <v>15</v>
      </c>
      <c r="G8" s="15"/>
      <c r="H8" s="15"/>
      <c r="I8" s="4"/>
      <c r="J8" s="5"/>
    </row>
    <row r="9" spans="1:10" ht="22.5" x14ac:dyDescent="0.25">
      <c r="A9" s="36" t="s">
        <v>355</v>
      </c>
      <c r="B9" s="259" t="s">
        <v>419</v>
      </c>
      <c r="C9" s="272">
        <f>'ORÇAMENTO SD'!E156</f>
        <v>74</v>
      </c>
      <c r="D9" s="272">
        <f>'ORÇAMENTO SD'!E155</f>
        <v>6</v>
      </c>
      <c r="E9" s="13">
        <f t="shared" si="0"/>
        <v>444</v>
      </c>
      <c r="F9" s="14" t="s">
        <v>15</v>
      </c>
      <c r="G9" s="15"/>
      <c r="H9" s="15"/>
      <c r="I9" s="4"/>
      <c r="J9" s="5"/>
    </row>
    <row r="10" spans="1:10" x14ac:dyDescent="0.25">
      <c r="A10" s="6"/>
      <c r="B10" s="4"/>
      <c r="C10" s="4"/>
      <c r="D10" s="4"/>
      <c r="E10" s="8"/>
      <c r="F10" s="4"/>
      <c r="G10" s="4"/>
      <c r="H10" s="4"/>
      <c r="I10" s="5"/>
      <c r="J10" s="5"/>
    </row>
    <row r="11" spans="1:10" x14ac:dyDescent="0.25">
      <c r="A11" s="298" t="s">
        <v>16</v>
      </c>
      <c r="B11" s="279"/>
      <c r="C11" s="279"/>
      <c r="D11" s="280"/>
      <c r="E11" s="17">
        <f>SUM(E3:E9)</f>
        <v>5452.5</v>
      </c>
      <c r="F11" s="18" t="str">
        <f>F3</f>
        <v>m²</v>
      </c>
      <c r="G11" s="19"/>
      <c r="H11" s="8"/>
      <c r="I11" s="4"/>
      <c r="J11" s="4"/>
    </row>
    <row r="12" spans="1:10" x14ac:dyDescent="0.25">
      <c r="A12" s="6"/>
      <c r="B12" s="4"/>
      <c r="C12" s="4"/>
      <c r="D12" s="4"/>
      <c r="E12" s="4"/>
      <c r="F12" s="4"/>
      <c r="G12" s="4"/>
      <c r="H12" s="4"/>
      <c r="I12" s="4"/>
      <c r="J12" s="4"/>
    </row>
  </sheetData>
  <mergeCells count="3">
    <mergeCell ref="A11:D11"/>
    <mergeCell ref="E2:F2"/>
    <mergeCell ref="G2:H2"/>
  </mergeCells>
  <pageMargins left="0.51181102362204722" right="0.51181102362204722" top="1.7716535433070866" bottom="1.3779527559055118" header="0.51181102362204722" footer="0.51181102362204722"/>
  <pageSetup paperSize="9" scale="62" fitToHeight="0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F19"/>
  <sheetViews>
    <sheetView tabSelected="1" topLeftCell="A19" workbookViewId="0">
      <selection activeCell="D35" sqref="D34:D35"/>
    </sheetView>
  </sheetViews>
  <sheetFormatPr defaultRowHeight="15" x14ac:dyDescent="0.25"/>
  <cols>
    <col min="1" max="1" width="4.7109375" bestFit="1" customWidth="1"/>
    <col min="2" max="2" width="38.28515625" customWidth="1"/>
    <col min="3" max="3" width="4.85546875" bestFit="1" customWidth="1"/>
    <col min="4" max="4" width="7.85546875" bestFit="1" customWidth="1"/>
    <col min="5" max="5" width="16.28515625" bestFit="1" customWidth="1"/>
    <col min="6" max="6" width="14.7109375" bestFit="1" customWidth="1"/>
    <col min="7" max="7" width="22.42578125" bestFit="1" customWidth="1"/>
  </cols>
  <sheetData>
    <row r="1" spans="1:6" x14ac:dyDescent="0.25">
      <c r="A1" s="304" t="s">
        <v>42</v>
      </c>
      <c r="B1" s="304"/>
      <c r="C1" s="304"/>
      <c r="D1" s="304"/>
      <c r="E1" s="304"/>
      <c r="F1" s="304"/>
    </row>
    <row r="2" spans="1:6" ht="33.75" x14ac:dyDescent="0.25">
      <c r="A2" s="305" t="s">
        <v>368</v>
      </c>
      <c r="B2" s="306"/>
      <c r="C2" s="307" t="s">
        <v>370</v>
      </c>
      <c r="D2" s="307"/>
      <c r="E2" s="24" t="s">
        <v>41</v>
      </c>
      <c r="F2" s="25" t="s">
        <v>318</v>
      </c>
    </row>
    <row r="3" spans="1:6" x14ac:dyDescent="0.25">
      <c r="A3" s="308" t="s">
        <v>369</v>
      </c>
      <c r="B3" s="309"/>
      <c r="C3" s="309"/>
      <c r="D3" s="309"/>
      <c r="E3" s="26" t="s">
        <v>24</v>
      </c>
      <c r="F3" s="27">
        <f>'GERAL '!B18</f>
        <v>5452.5</v>
      </c>
    </row>
    <row r="4" spans="1:6" x14ac:dyDescent="0.25">
      <c r="A4" s="300" t="s">
        <v>25</v>
      </c>
      <c r="B4" s="300" t="s">
        <v>26</v>
      </c>
      <c r="C4" s="300" t="s">
        <v>27</v>
      </c>
      <c r="D4" s="302" t="s">
        <v>28</v>
      </c>
      <c r="E4" s="310" t="s">
        <v>29</v>
      </c>
      <c r="F4" s="311"/>
    </row>
    <row r="5" spans="1:6" x14ac:dyDescent="0.25">
      <c r="A5" s="301"/>
      <c r="B5" s="301"/>
      <c r="C5" s="301"/>
      <c r="D5" s="303"/>
      <c r="E5" s="312"/>
      <c r="F5" s="313"/>
    </row>
    <row r="6" spans="1:6" x14ac:dyDescent="0.25">
      <c r="A6" s="28" t="s">
        <v>30</v>
      </c>
      <c r="B6" s="317" t="s">
        <v>31</v>
      </c>
      <c r="C6" s="318"/>
      <c r="D6" s="318"/>
      <c r="E6" s="319">
        <f>SUM(E7:F9)</f>
        <v>66011.799999999988</v>
      </c>
      <c r="F6" s="320"/>
    </row>
    <row r="7" spans="1:6" x14ac:dyDescent="0.25">
      <c r="A7" s="29" t="s">
        <v>32</v>
      </c>
      <c r="B7" s="36" t="s">
        <v>38</v>
      </c>
      <c r="C7" s="30" t="s">
        <v>15</v>
      </c>
      <c r="D7" s="37">
        <v>6</v>
      </c>
      <c r="E7" s="314">
        <f>'ORÇAMENTO SD'!H11</f>
        <v>3394.2</v>
      </c>
      <c r="F7" s="315"/>
    </row>
    <row r="8" spans="1:6" x14ac:dyDescent="0.25">
      <c r="A8" s="29" t="s">
        <v>172</v>
      </c>
      <c r="B8" s="36" t="s">
        <v>39</v>
      </c>
      <c r="C8" s="30" t="s">
        <v>40</v>
      </c>
      <c r="D8" s="37">
        <v>3</v>
      </c>
      <c r="E8" s="314">
        <f>'ORÇAMENTO SD'!H12</f>
        <v>35137</v>
      </c>
      <c r="F8" s="315"/>
    </row>
    <row r="9" spans="1:6" x14ac:dyDescent="0.25">
      <c r="A9" s="29" t="s">
        <v>334</v>
      </c>
      <c r="B9" s="36" t="s">
        <v>39</v>
      </c>
      <c r="C9" s="30" t="s">
        <v>15</v>
      </c>
      <c r="D9" s="37">
        <f>'ORÇAMENTO SD'!E13</f>
        <v>5452.5</v>
      </c>
      <c r="E9" s="314">
        <f>'ORÇAMENTO SD'!H13</f>
        <v>27480.6</v>
      </c>
      <c r="F9" s="315"/>
    </row>
    <row r="10" spans="1:6" x14ac:dyDescent="0.25">
      <c r="A10" s="28" t="s">
        <v>33</v>
      </c>
      <c r="B10" s="317" t="s">
        <v>34</v>
      </c>
      <c r="C10" s="318"/>
      <c r="D10" s="318"/>
      <c r="E10" s="319">
        <f>SUM(E11:F17)</f>
        <v>682091.77</v>
      </c>
      <c r="F10" s="320"/>
    </row>
    <row r="11" spans="1:6" x14ac:dyDescent="0.25">
      <c r="A11" s="29" t="s">
        <v>35</v>
      </c>
      <c r="B11" s="36" t="s">
        <v>349</v>
      </c>
      <c r="C11" s="30" t="s">
        <v>36</v>
      </c>
      <c r="D11" s="38">
        <v>1</v>
      </c>
      <c r="E11" s="314">
        <f>SUM('ORÇAMENTO SD'!H30,'ORÇAMENTO SD'!H26,'ORÇAMENTO SD'!H22,'ORÇAMENTO SD'!H18,'ORÇAMENTO SD'!H15)</f>
        <v>126701.43999999999</v>
      </c>
      <c r="F11" s="315"/>
    </row>
    <row r="12" spans="1:6" x14ac:dyDescent="0.25">
      <c r="A12" s="29" t="s">
        <v>320</v>
      </c>
      <c r="B12" s="36" t="s">
        <v>350</v>
      </c>
      <c r="C12" s="30" t="s">
        <v>36</v>
      </c>
      <c r="D12" s="38">
        <v>1</v>
      </c>
      <c r="E12" s="314">
        <f>'ORÇAMENTO SD'!H57</f>
        <v>27673.26</v>
      </c>
      <c r="F12" s="315"/>
    </row>
    <row r="13" spans="1:6" x14ac:dyDescent="0.25">
      <c r="A13" s="29" t="s">
        <v>321</v>
      </c>
      <c r="B13" s="36" t="s">
        <v>351</v>
      </c>
      <c r="C13" s="30" t="s">
        <v>36</v>
      </c>
      <c r="D13" s="38">
        <v>1</v>
      </c>
      <c r="E13" s="314">
        <f>'ORÇAMENTO SD'!H81</f>
        <v>13308.679999999998</v>
      </c>
      <c r="F13" s="315"/>
    </row>
    <row r="14" spans="1:6" x14ac:dyDescent="0.25">
      <c r="A14" s="29" t="s">
        <v>322</v>
      </c>
      <c r="B14" s="36" t="s">
        <v>352</v>
      </c>
      <c r="C14" s="30" t="s">
        <v>36</v>
      </c>
      <c r="D14" s="38">
        <v>1</v>
      </c>
      <c r="E14" s="314">
        <f>'ORÇAMENTO SD'!H105</f>
        <v>61998.720000000001</v>
      </c>
      <c r="F14" s="315"/>
    </row>
    <row r="15" spans="1:6" x14ac:dyDescent="0.25">
      <c r="A15" s="29" t="s">
        <v>323</v>
      </c>
      <c r="B15" s="36" t="s">
        <v>353</v>
      </c>
      <c r="C15" s="30" t="s">
        <v>36</v>
      </c>
      <c r="D15" s="38">
        <v>1</v>
      </c>
      <c r="E15" s="314">
        <f>'ORÇAMENTO SD'!H129</f>
        <v>112883.36</v>
      </c>
      <c r="F15" s="315"/>
    </row>
    <row r="16" spans="1:6" x14ac:dyDescent="0.25">
      <c r="A16" s="29" t="s">
        <v>356</v>
      </c>
      <c r="B16" s="36" t="s">
        <v>354</v>
      </c>
      <c r="C16" s="30" t="s">
        <v>36</v>
      </c>
      <c r="D16" s="38">
        <v>1</v>
      </c>
      <c r="E16" s="314">
        <f>'ORÇAMENTO SD'!H153</f>
        <v>282849.26</v>
      </c>
      <c r="F16" s="315"/>
    </row>
    <row r="17" spans="1:6" x14ac:dyDescent="0.25">
      <c r="A17" s="29" t="s">
        <v>357</v>
      </c>
      <c r="B17" s="36" t="s">
        <v>355</v>
      </c>
      <c r="C17" s="30" t="s">
        <v>36</v>
      </c>
      <c r="D17" s="38">
        <v>1</v>
      </c>
      <c r="E17" s="314">
        <f>'ORÇAMENTO SD'!H177</f>
        <v>56677.05000000001</v>
      </c>
      <c r="F17" s="315"/>
    </row>
    <row r="18" spans="1:6" x14ac:dyDescent="0.25">
      <c r="A18" s="31"/>
      <c r="B18" s="32"/>
      <c r="C18" s="32"/>
      <c r="D18" s="33"/>
      <c r="E18" s="33"/>
      <c r="F18" s="34"/>
    </row>
    <row r="19" spans="1:6" x14ac:dyDescent="0.25">
      <c r="A19" s="316" t="s">
        <v>37</v>
      </c>
      <c r="B19" s="316"/>
      <c r="C19" s="316"/>
      <c r="D19" s="316"/>
      <c r="E19" s="316"/>
      <c r="F19" s="35">
        <f>E6+E10</f>
        <v>748103.57000000007</v>
      </c>
    </row>
  </sheetData>
  <sheetProtection algorithmName="SHA-512" hashValue="uH3Gn3JORUMtmQJBZsUrrorRH3CMpjovm18P7i8RtnS8keCNOatsiPzxM+HAlFRjuT6la6PkkaOR8/hhkeomhg==" saltValue="7pjJmQwbzV4BN/XfsFQFOQ==" spinCount="100000" sheet="1" objects="1" scenarios="1" selectLockedCells="1" selectUnlockedCells="1"/>
  <mergeCells count="24">
    <mergeCell ref="E11:F11"/>
    <mergeCell ref="A19:E19"/>
    <mergeCell ref="B6:D6"/>
    <mergeCell ref="E6:F6"/>
    <mergeCell ref="E8:F8"/>
    <mergeCell ref="B10:D10"/>
    <mergeCell ref="E10:F10"/>
    <mergeCell ref="E7:F7"/>
    <mergeCell ref="E9:F9"/>
    <mergeCell ref="E14:F14"/>
    <mergeCell ref="E13:F13"/>
    <mergeCell ref="E12:F12"/>
    <mergeCell ref="E15:F15"/>
    <mergeCell ref="E16:F16"/>
    <mergeCell ref="E17:F17"/>
    <mergeCell ref="A4:A5"/>
    <mergeCell ref="B4:B5"/>
    <mergeCell ref="C4:C5"/>
    <mergeCell ref="D4:D5"/>
    <mergeCell ref="A1:F1"/>
    <mergeCell ref="A2:B2"/>
    <mergeCell ref="C2:D2"/>
    <mergeCell ref="A3:D3"/>
    <mergeCell ref="E4:F5"/>
  </mergeCells>
  <phoneticPr fontId="20" type="noConversion"/>
  <pageMargins left="0.51181102362204722" right="0.51181102362204722" top="1.7716535433070868" bottom="1.1811023622047245" header="0.51181102362204722" footer="0.51181102362204722"/>
  <pageSetup paperSize="9" fitToHeight="0" orientation="portrait" r:id="rId1"/>
  <headerFooter>
    <oddHeader>&amp;C&amp;G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J39"/>
  <sheetViews>
    <sheetView topLeftCell="A33" workbookViewId="0">
      <selection sqref="A1:I1"/>
    </sheetView>
  </sheetViews>
  <sheetFormatPr defaultRowHeight="15" x14ac:dyDescent="0.25"/>
  <cols>
    <col min="1" max="1" width="9.140625" style="23"/>
    <col min="2" max="2" width="32.42578125" bestFit="1" customWidth="1"/>
    <col min="3" max="3" width="7.28515625" customWidth="1"/>
    <col min="4" max="4" width="15.28515625" customWidth="1"/>
    <col min="5" max="5" width="14.42578125" bestFit="1" customWidth="1"/>
    <col min="6" max="8" width="14.42578125" customWidth="1"/>
    <col min="9" max="9" width="14.42578125" bestFit="1" customWidth="1"/>
    <col min="10" max="10" width="12.140625" bestFit="1" customWidth="1"/>
  </cols>
  <sheetData>
    <row r="1" spans="1:9" x14ac:dyDescent="0.25">
      <c r="A1" s="328" t="s">
        <v>185</v>
      </c>
      <c r="B1" s="329"/>
      <c r="C1" s="329"/>
      <c r="D1" s="329"/>
      <c r="E1" s="329"/>
      <c r="F1" s="329"/>
      <c r="G1" s="329"/>
      <c r="H1" s="329"/>
      <c r="I1" s="330"/>
    </row>
    <row r="2" spans="1:9" ht="15" customHeight="1" x14ac:dyDescent="0.25">
      <c r="A2" s="331" t="str">
        <f>'RESUMO SD '!A2:B2</f>
        <v>OBJETO:  PAVIMENTAÇÃO DE VIAS PÚBLICAS NO MUNÍCIO DE BARRO DURO-PI</v>
      </c>
      <c r="B2" s="332"/>
      <c r="C2" s="332"/>
      <c r="D2" s="332"/>
      <c r="E2" s="332"/>
      <c r="F2" s="332"/>
      <c r="G2" s="332"/>
      <c r="H2" s="332"/>
      <c r="I2" s="333"/>
    </row>
    <row r="3" spans="1:9" x14ac:dyDescent="0.25">
      <c r="A3" s="334"/>
      <c r="B3" s="335"/>
      <c r="C3" s="335"/>
      <c r="D3" s="335"/>
      <c r="E3" s="335"/>
      <c r="F3" s="335"/>
      <c r="G3" s="335"/>
      <c r="H3" s="335"/>
      <c r="I3" s="336"/>
    </row>
    <row r="4" spans="1:9" ht="15.75" customHeight="1" x14ac:dyDescent="0.25">
      <c r="A4" s="337" t="s">
        <v>25</v>
      </c>
      <c r="B4" s="337" t="s">
        <v>186</v>
      </c>
      <c r="C4" s="338" t="s">
        <v>190</v>
      </c>
      <c r="D4" s="339" t="s">
        <v>225</v>
      </c>
      <c r="E4" s="340" t="s">
        <v>187</v>
      </c>
      <c r="F4" s="340"/>
      <c r="G4" s="340"/>
      <c r="H4" s="340"/>
      <c r="I4" s="340"/>
    </row>
    <row r="5" spans="1:9" ht="23.25" customHeight="1" x14ac:dyDescent="0.25">
      <c r="A5" s="337"/>
      <c r="B5" s="337"/>
      <c r="C5" s="338"/>
      <c r="D5" s="339"/>
      <c r="E5" s="251">
        <v>30</v>
      </c>
      <c r="F5" s="251">
        <v>90</v>
      </c>
      <c r="G5" s="251">
        <v>150</v>
      </c>
      <c r="H5" s="251">
        <v>210</v>
      </c>
      <c r="I5" s="251">
        <v>270</v>
      </c>
    </row>
    <row r="6" spans="1:9" x14ac:dyDescent="0.25">
      <c r="A6" s="250" t="s">
        <v>30</v>
      </c>
      <c r="B6" s="325" t="s">
        <v>31</v>
      </c>
      <c r="C6" s="326"/>
      <c r="D6" s="326"/>
      <c r="E6" s="326"/>
      <c r="F6" s="326"/>
      <c r="G6" s="326"/>
      <c r="H6" s="326"/>
      <c r="I6" s="327"/>
    </row>
    <row r="7" spans="1:9" x14ac:dyDescent="0.25">
      <c r="A7" s="321" t="s">
        <v>32</v>
      </c>
      <c r="B7" s="322" t="s">
        <v>38</v>
      </c>
      <c r="C7" s="323">
        <f>D7/$D$36</f>
        <v>4.5370723200799587E-3</v>
      </c>
      <c r="D7" s="324">
        <f>'ORÇAMENTO SD'!H11</f>
        <v>3394.2</v>
      </c>
      <c r="E7" s="132">
        <f>D7*E8</f>
        <v>3394.2</v>
      </c>
      <c r="F7" s="132"/>
      <c r="G7" s="132"/>
      <c r="H7" s="132"/>
      <c r="I7" s="133"/>
    </row>
    <row r="8" spans="1:9" x14ac:dyDescent="0.25">
      <c r="A8" s="321"/>
      <c r="B8" s="322"/>
      <c r="C8" s="323"/>
      <c r="D8" s="324"/>
      <c r="E8" s="134">
        <v>1</v>
      </c>
      <c r="F8" s="134"/>
      <c r="G8" s="134"/>
      <c r="H8" s="134"/>
      <c r="I8" s="134"/>
    </row>
    <row r="9" spans="1:9" x14ac:dyDescent="0.25">
      <c r="A9" s="321" t="s">
        <v>172</v>
      </c>
      <c r="B9" s="322" t="s">
        <v>39</v>
      </c>
      <c r="C9" s="323">
        <f>D9/$D$36</f>
        <v>4.6968095607403663E-2</v>
      </c>
      <c r="D9" s="324">
        <f>'ORÇAMENTO SD'!H12</f>
        <v>35137</v>
      </c>
      <c r="E9" s="132">
        <f>D9*E10</f>
        <v>7027.4000000000005</v>
      </c>
      <c r="F9" s="132">
        <f>D9*F10</f>
        <v>7027.4000000000005</v>
      </c>
      <c r="G9" s="132">
        <f>D9*G10</f>
        <v>7027.4000000000005</v>
      </c>
      <c r="H9" s="132">
        <f>D9*H10</f>
        <v>7027.4000000000005</v>
      </c>
      <c r="I9" s="132">
        <f>D9*I10</f>
        <v>7027.4000000000005</v>
      </c>
    </row>
    <row r="10" spans="1:9" x14ac:dyDescent="0.25">
      <c r="A10" s="321"/>
      <c r="B10" s="322"/>
      <c r="C10" s="323"/>
      <c r="D10" s="324"/>
      <c r="E10" s="134">
        <f>100%/5</f>
        <v>0.2</v>
      </c>
      <c r="F10" s="134">
        <f t="shared" ref="F10:I10" si="0">100%/5</f>
        <v>0.2</v>
      </c>
      <c r="G10" s="134">
        <f t="shared" si="0"/>
        <v>0.2</v>
      </c>
      <c r="H10" s="134">
        <f t="shared" si="0"/>
        <v>0.2</v>
      </c>
      <c r="I10" s="134">
        <f t="shared" si="0"/>
        <v>0.2</v>
      </c>
    </row>
    <row r="11" spans="1:9" x14ac:dyDescent="0.25">
      <c r="A11" s="321" t="s">
        <v>334</v>
      </c>
      <c r="B11" s="322" t="s">
        <v>289</v>
      </c>
      <c r="C11" s="323">
        <f>D11/$D$36</f>
        <v>3.6733683813325466E-2</v>
      </c>
      <c r="D11" s="324">
        <f>'ORÇAMENTO SD'!H13</f>
        <v>27480.6</v>
      </c>
      <c r="E11" s="132"/>
      <c r="F11" s="132"/>
      <c r="G11" s="132"/>
      <c r="H11" s="132"/>
      <c r="I11" s="132">
        <f>D11</f>
        <v>27480.6</v>
      </c>
    </row>
    <row r="12" spans="1:9" x14ac:dyDescent="0.25">
      <c r="A12" s="321"/>
      <c r="B12" s="322"/>
      <c r="C12" s="323"/>
      <c r="D12" s="324"/>
      <c r="E12" s="134"/>
      <c r="F12" s="134"/>
      <c r="G12" s="134"/>
      <c r="H12" s="134"/>
      <c r="I12" s="134">
        <f>I11/D11</f>
        <v>1</v>
      </c>
    </row>
    <row r="13" spans="1:9" x14ac:dyDescent="0.25">
      <c r="A13" s="31"/>
      <c r="B13" s="135"/>
      <c r="C13" s="136"/>
      <c r="D13" s="33"/>
      <c r="E13" s="137"/>
      <c r="F13" s="137"/>
      <c r="G13" s="137"/>
      <c r="H13" s="137"/>
      <c r="I13" s="138"/>
    </row>
    <row r="14" spans="1:9" x14ac:dyDescent="0.25">
      <c r="A14" s="250" t="s">
        <v>33</v>
      </c>
      <c r="B14" s="325" t="s">
        <v>34</v>
      </c>
      <c r="C14" s="326"/>
      <c r="D14" s="326"/>
      <c r="E14" s="326"/>
      <c r="F14" s="326"/>
      <c r="G14" s="326"/>
      <c r="H14" s="326"/>
      <c r="I14" s="327"/>
    </row>
    <row r="15" spans="1:9" x14ac:dyDescent="0.25">
      <c r="A15" s="321" t="s">
        <v>35</v>
      </c>
      <c r="B15" s="322" t="str">
        <f>'RESUMO SD '!B11</f>
        <v xml:space="preserve">RUA SETE DE SETEMBRO </v>
      </c>
      <c r="C15" s="323">
        <f>D15/$D$36</f>
        <v>0.16936350136652867</v>
      </c>
      <c r="D15" s="324">
        <f>'ORÇAMENTO SD'!H33</f>
        <v>126701.43999999999</v>
      </c>
      <c r="E15" s="132">
        <f>D15*E16</f>
        <v>88691.007999999987</v>
      </c>
      <c r="F15" s="132">
        <f>D15*F16</f>
        <v>38010.431999999993</v>
      </c>
      <c r="G15" s="132"/>
      <c r="H15" s="132"/>
      <c r="I15" s="133"/>
    </row>
    <row r="16" spans="1:9" x14ac:dyDescent="0.25">
      <c r="A16" s="321"/>
      <c r="B16" s="322"/>
      <c r="C16" s="323"/>
      <c r="D16" s="324"/>
      <c r="E16" s="134">
        <v>0.7</v>
      </c>
      <c r="F16" s="134">
        <v>0.3</v>
      </c>
      <c r="G16" s="134"/>
      <c r="H16" s="134"/>
      <c r="I16" s="134"/>
    </row>
    <row r="17" spans="1:10" x14ac:dyDescent="0.25">
      <c r="A17" s="234"/>
      <c r="B17" s="235"/>
      <c r="C17" s="235"/>
      <c r="D17" s="235"/>
      <c r="E17" s="235"/>
      <c r="F17" s="235"/>
      <c r="G17" s="235"/>
      <c r="H17" s="235"/>
      <c r="I17" s="236"/>
    </row>
    <row r="18" spans="1:10" x14ac:dyDescent="0.25">
      <c r="A18" s="321" t="s">
        <v>320</v>
      </c>
      <c r="B18" s="322" t="str">
        <f>'RESUMO SD '!B12</f>
        <v xml:space="preserve">RUA FIO </v>
      </c>
      <c r="C18" s="323">
        <f>D18/$D$36</f>
        <v>3.6991214999816127E-2</v>
      </c>
      <c r="D18" s="324">
        <f>'ORÇAMENTO SD'!H57</f>
        <v>27673.26</v>
      </c>
      <c r="E18" s="132">
        <f>D18*E19</f>
        <v>27673.26</v>
      </c>
      <c r="F18" s="132"/>
      <c r="G18" s="132"/>
      <c r="H18" s="132"/>
      <c r="I18" s="132"/>
    </row>
    <row r="19" spans="1:10" x14ac:dyDescent="0.25">
      <c r="A19" s="321"/>
      <c r="B19" s="322"/>
      <c r="C19" s="323"/>
      <c r="D19" s="324"/>
      <c r="E19" s="134">
        <v>1</v>
      </c>
      <c r="F19" s="134"/>
      <c r="G19" s="134"/>
      <c r="H19" s="134"/>
      <c r="I19" s="134"/>
    </row>
    <row r="20" spans="1:10" x14ac:dyDescent="0.25">
      <c r="A20" s="31"/>
      <c r="B20" s="135"/>
      <c r="C20" s="136"/>
      <c r="D20" s="33"/>
      <c r="E20" s="137"/>
      <c r="F20" s="137"/>
      <c r="G20" s="137"/>
      <c r="H20" s="137"/>
      <c r="I20" s="138"/>
    </row>
    <row r="21" spans="1:10" x14ac:dyDescent="0.25">
      <c r="A21" s="321" t="s">
        <v>321</v>
      </c>
      <c r="B21" s="322" t="str">
        <f>'RESUMO SD '!B13</f>
        <v xml:space="preserve">RUA CANDIDA VIEIRA </v>
      </c>
      <c r="C21" s="323">
        <f>D21/$D$36</f>
        <v>1.7789889707383693E-2</v>
      </c>
      <c r="D21" s="324">
        <f>'ORÇAMENTO SD'!H81</f>
        <v>13308.679999999998</v>
      </c>
      <c r="E21" s="132"/>
      <c r="F21" s="132">
        <f>D21*F22</f>
        <v>13308.679999999998</v>
      </c>
      <c r="G21" s="132"/>
      <c r="H21" s="132"/>
      <c r="I21" s="132"/>
    </row>
    <row r="22" spans="1:10" x14ac:dyDescent="0.25">
      <c r="A22" s="321"/>
      <c r="B22" s="322"/>
      <c r="C22" s="323"/>
      <c r="D22" s="324"/>
      <c r="E22" s="134"/>
      <c r="F22" s="134">
        <v>1</v>
      </c>
      <c r="G22" s="134"/>
      <c r="H22" s="134"/>
      <c r="I22" s="134"/>
    </row>
    <row r="23" spans="1:10" x14ac:dyDescent="0.25">
      <c r="A23" s="31"/>
      <c r="B23" s="135"/>
      <c r="C23" s="136"/>
      <c r="D23" s="33"/>
      <c r="E23" s="137"/>
      <c r="F23" s="137"/>
      <c r="G23" s="137"/>
      <c r="H23" s="137"/>
      <c r="I23" s="138"/>
    </row>
    <row r="24" spans="1:10" x14ac:dyDescent="0.25">
      <c r="A24" s="321" t="s">
        <v>322</v>
      </c>
      <c r="B24" s="322" t="str">
        <f>'RESUMO SD '!B14</f>
        <v xml:space="preserve">RUA SÃO PEDRO </v>
      </c>
      <c r="C24" s="323">
        <f>D24/$D$36</f>
        <v>8.2874514286838646E-2</v>
      </c>
      <c r="D24" s="324">
        <f>'ORÇAMENTO SD'!H105</f>
        <v>61998.720000000001</v>
      </c>
      <c r="E24" s="132"/>
      <c r="F24" s="132">
        <f>D24*F25</f>
        <v>37199.231999999996</v>
      </c>
      <c r="G24" s="132">
        <f>D24*G25</f>
        <v>24799.488000000001</v>
      </c>
      <c r="H24" s="132"/>
      <c r="I24" s="132"/>
      <c r="J24" s="258"/>
    </row>
    <row r="25" spans="1:10" x14ac:dyDescent="0.25">
      <c r="A25" s="321"/>
      <c r="B25" s="322"/>
      <c r="C25" s="323"/>
      <c r="D25" s="324"/>
      <c r="E25" s="134"/>
      <c r="F25" s="134">
        <v>0.6</v>
      </c>
      <c r="G25" s="134">
        <v>0.4</v>
      </c>
      <c r="H25" s="134"/>
      <c r="I25" s="134"/>
    </row>
    <row r="26" spans="1:10" x14ac:dyDescent="0.25">
      <c r="A26" s="31"/>
      <c r="B26" s="135"/>
      <c r="C26" s="136"/>
      <c r="D26" s="33"/>
      <c r="E26" s="137"/>
      <c r="F26" s="137"/>
      <c r="G26" s="137"/>
      <c r="H26" s="137"/>
      <c r="I26" s="138"/>
    </row>
    <row r="27" spans="1:10" x14ac:dyDescent="0.25">
      <c r="A27" s="321" t="s">
        <v>323</v>
      </c>
      <c r="B27" s="322" t="str">
        <f>'RESUMO SD '!B15</f>
        <v xml:space="preserve">RUA DO SAQUIM </v>
      </c>
      <c r="C27" s="323">
        <f>D27/$D$36</f>
        <v>0.15089268989853905</v>
      </c>
      <c r="D27" s="324">
        <f>'ORÇAMENTO SD'!H129</f>
        <v>112883.36</v>
      </c>
      <c r="E27" s="132"/>
      <c r="F27" s="132"/>
      <c r="G27" s="132">
        <f>D27*G28</f>
        <v>112883.36</v>
      </c>
      <c r="H27" s="132"/>
      <c r="I27" s="132"/>
    </row>
    <row r="28" spans="1:10" x14ac:dyDescent="0.25">
      <c r="A28" s="321"/>
      <c r="B28" s="322"/>
      <c r="C28" s="323"/>
      <c r="D28" s="324"/>
      <c r="E28" s="134"/>
      <c r="F28" s="134"/>
      <c r="G28" s="134">
        <v>1</v>
      </c>
      <c r="H28" s="134"/>
      <c r="I28" s="134"/>
    </row>
    <row r="29" spans="1:10" x14ac:dyDescent="0.25">
      <c r="A29" s="31"/>
      <c r="B29" s="135"/>
      <c r="C29" s="136"/>
      <c r="D29" s="33"/>
      <c r="E29" s="137"/>
      <c r="F29" s="137"/>
      <c r="G29" s="137"/>
      <c r="H29" s="137"/>
      <c r="I29" s="138"/>
    </row>
    <row r="30" spans="1:10" x14ac:dyDescent="0.25">
      <c r="A30" s="321" t="s">
        <v>356</v>
      </c>
      <c r="B30" s="322" t="str">
        <f>'RESUMO SD '!B16</f>
        <v xml:space="preserve">RUA DO PAIOL AO BREJO DE BAIXO </v>
      </c>
      <c r="C30" s="323">
        <f>D30/$D$36</f>
        <v>0.37808837083881314</v>
      </c>
      <c r="D30" s="324">
        <f>'ORÇAMENTO SD'!H153</f>
        <v>282849.26</v>
      </c>
      <c r="E30" s="132"/>
      <c r="F30" s="132"/>
      <c r="G30" s="132"/>
      <c r="H30" s="132">
        <f>D30*H31</f>
        <v>141424.63</v>
      </c>
      <c r="I30" s="132">
        <f>D30*I31</f>
        <v>141424.63</v>
      </c>
    </row>
    <row r="31" spans="1:10" x14ac:dyDescent="0.25">
      <c r="A31" s="321"/>
      <c r="B31" s="322"/>
      <c r="C31" s="323"/>
      <c r="D31" s="324"/>
      <c r="E31" s="134"/>
      <c r="F31" s="134"/>
      <c r="G31" s="134"/>
      <c r="H31" s="134">
        <v>0.5</v>
      </c>
      <c r="I31" s="134">
        <v>0.5</v>
      </c>
    </row>
    <row r="32" spans="1:10" x14ac:dyDescent="0.25">
      <c r="A32" s="234"/>
      <c r="B32" s="235"/>
      <c r="C32" s="235"/>
      <c r="D32" s="235"/>
      <c r="E32" s="235"/>
      <c r="F32" s="235"/>
      <c r="G32" s="235"/>
      <c r="H32" s="235"/>
      <c r="I32" s="236"/>
    </row>
    <row r="33" spans="1:9" x14ac:dyDescent="0.25">
      <c r="A33" s="321" t="s">
        <v>357</v>
      </c>
      <c r="B33" s="322" t="str">
        <f>'RESUMO SD '!B17</f>
        <v xml:space="preserve">RUA DO MORRO DO BAIRRO MALHADA </v>
      </c>
      <c r="C33" s="323">
        <f>D33/$D$36</f>
        <v>7.5760967161271536E-2</v>
      </c>
      <c r="D33" s="324">
        <f>'ORÇAMENTO SD'!H177</f>
        <v>56677.05000000001</v>
      </c>
      <c r="E33" s="132"/>
      <c r="F33" s="132"/>
      <c r="G33" s="132"/>
      <c r="H33" s="132"/>
      <c r="I33" s="132">
        <f>D33*I34</f>
        <v>56677.05000000001</v>
      </c>
    </row>
    <row r="34" spans="1:9" x14ac:dyDescent="0.25">
      <c r="A34" s="321"/>
      <c r="B34" s="322"/>
      <c r="C34" s="323"/>
      <c r="D34" s="324"/>
      <c r="E34" s="134"/>
      <c r="F34" s="134"/>
      <c r="G34" s="134"/>
      <c r="H34" s="134"/>
      <c r="I34" s="134">
        <v>1</v>
      </c>
    </row>
    <row r="35" spans="1:9" x14ac:dyDescent="0.25">
      <c r="A35" s="234"/>
      <c r="B35" s="235"/>
      <c r="C35" s="235"/>
      <c r="D35" s="235"/>
      <c r="E35" s="235"/>
      <c r="F35" s="235"/>
      <c r="G35" s="235"/>
      <c r="H35" s="235"/>
      <c r="I35" s="236"/>
    </row>
    <row r="36" spans="1:9" x14ac:dyDescent="0.25">
      <c r="A36" s="341" t="s">
        <v>188</v>
      </c>
      <c r="B36" s="342"/>
      <c r="C36" s="347"/>
      <c r="D36" s="345">
        <f>SUM(D27,D24,D21,D18,D15,D11,D9,D7,D30,D33)</f>
        <v>748103.57000000007</v>
      </c>
      <c r="E36" s="248">
        <f>SUM(E27,E24,E21,E18,E15,E9,E7,E11,E30,E33)</f>
        <v>126785.86799999997</v>
      </c>
      <c r="F36" s="248">
        <f t="shared" ref="F36:I36" si="1">SUM(F27,F24,F21,F18,F15,F9,F7,F11,F30,F33)</f>
        <v>95545.743999999977</v>
      </c>
      <c r="G36" s="248">
        <f t="shared" si="1"/>
        <v>144710.24799999999</v>
      </c>
      <c r="H36" s="248">
        <f t="shared" si="1"/>
        <v>148452.03</v>
      </c>
      <c r="I36" s="248">
        <f t="shared" si="1"/>
        <v>232609.68000000002</v>
      </c>
    </row>
    <row r="37" spans="1:9" x14ac:dyDescent="0.25">
      <c r="A37" s="343"/>
      <c r="B37" s="344"/>
      <c r="C37" s="348"/>
      <c r="D37" s="346"/>
      <c r="E37" s="248">
        <f>E36</f>
        <v>126785.86799999997</v>
      </c>
      <c r="F37" s="248">
        <f>E37+F36</f>
        <v>222331.61199999996</v>
      </c>
      <c r="G37" s="248">
        <f>F37+G36</f>
        <v>367041.86</v>
      </c>
      <c r="H37" s="248">
        <f>G37+H36</f>
        <v>515493.89</v>
      </c>
      <c r="I37" s="248">
        <f>H37+I36</f>
        <v>748103.57000000007</v>
      </c>
    </row>
    <row r="38" spans="1:9" x14ac:dyDescent="0.25">
      <c r="A38" s="341" t="s">
        <v>189</v>
      </c>
      <c r="B38" s="342"/>
      <c r="C38" s="348"/>
      <c r="D38" s="350">
        <f t="shared" ref="D38:I38" si="2">D36/$D$36</f>
        <v>1</v>
      </c>
      <c r="E38" s="249">
        <f t="shared" si="2"/>
        <v>0.16947635739794686</v>
      </c>
      <c r="F38" s="249">
        <f t="shared" si="2"/>
        <v>0.12771726781092618</v>
      </c>
      <c r="G38" s="249">
        <f t="shared" si="2"/>
        <v>0.19343611473475522</v>
      </c>
      <c r="H38" s="249">
        <f t="shared" si="2"/>
        <v>0.19843780454088727</v>
      </c>
      <c r="I38" s="249">
        <f t="shared" si="2"/>
        <v>0.31093245551548432</v>
      </c>
    </row>
    <row r="39" spans="1:9" x14ac:dyDescent="0.25">
      <c r="A39" s="343"/>
      <c r="B39" s="344"/>
      <c r="C39" s="349"/>
      <c r="D39" s="351"/>
      <c r="E39" s="249">
        <f>E37/$D$36</f>
        <v>0.16947635739794686</v>
      </c>
      <c r="F39" s="249">
        <f>F37/$D$36</f>
        <v>0.2971936252088731</v>
      </c>
      <c r="G39" s="249">
        <f>G37/$D$36</f>
        <v>0.49062973994362835</v>
      </c>
      <c r="H39" s="249">
        <f>H37/$D$36</f>
        <v>0.68906754448451568</v>
      </c>
      <c r="I39" s="249">
        <f>I37/$D$36</f>
        <v>1</v>
      </c>
    </row>
  </sheetData>
  <sheetProtection algorithmName="SHA-512" hashValue="CsBrP0PPiWKar0dFCnvSgE6/chhtoeSmYJbUx4hEu9KBqHvvxbapOiF1h8wYZLBRxh4IxSA0mN7sAptg8h7wFA==" saltValue="LKqzRFcW9w2rfQ3ZPdzsiw==" spinCount="100000" sheet="1" objects="1" scenarios="1" selectLockedCells="1" selectUnlockedCells="1"/>
  <mergeCells count="55">
    <mergeCell ref="A38:B39"/>
    <mergeCell ref="D36:D37"/>
    <mergeCell ref="C36:C39"/>
    <mergeCell ref="D38:D39"/>
    <mergeCell ref="A36:B37"/>
    <mergeCell ref="B6:I6"/>
    <mergeCell ref="A7:A8"/>
    <mergeCell ref="B7:B8"/>
    <mergeCell ref="C7:C8"/>
    <mergeCell ref="D7:D8"/>
    <mergeCell ref="A1:I1"/>
    <mergeCell ref="A2:I2"/>
    <mergeCell ref="A3:I3"/>
    <mergeCell ref="A4:A5"/>
    <mergeCell ref="B4:B5"/>
    <mergeCell ref="C4:C5"/>
    <mergeCell ref="D4:D5"/>
    <mergeCell ref="E4:I4"/>
    <mergeCell ref="D9:D10"/>
    <mergeCell ref="D18:D19"/>
    <mergeCell ref="A11:A12"/>
    <mergeCell ref="B11:B12"/>
    <mergeCell ref="C11:C12"/>
    <mergeCell ref="B18:B19"/>
    <mergeCell ref="C18:C19"/>
    <mergeCell ref="A9:A10"/>
    <mergeCell ref="B9:B10"/>
    <mergeCell ref="C9:C10"/>
    <mergeCell ref="D11:D12"/>
    <mergeCell ref="A18:A19"/>
    <mergeCell ref="B14:I14"/>
    <mergeCell ref="A15:A16"/>
    <mergeCell ref="B15:B16"/>
    <mergeCell ref="C15:C16"/>
    <mergeCell ref="D15:D16"/>
    <mergeCell ref="A21:A22"/>
    <mergeCell ref="B21:B22"/>
    <mergeCell ref="C21:C22"/>
    <mergeCell ref="D21:D22"/>
    <mergeCell ref="D24:D25"/>
    <mergeCell ref="A27:A28"/>
    <mergeCell ref="B27:B28"/>
    <mergeCell ref="C27:C28"/>
    <mergeCell ref="D27:D28"/>
    <mergeCell ref="A24:A25"/>
    <mergeCell ref="B24:B25"/>
    <mergeCell ref="C24:C25"/>
    <mergeCell ref="A30:A31"/>
    <mergeCell ref="B30:B31"/>
    <mergeCell ref="C30:C31"/>
    <mergeCell ref="D30:D31"/>
    <mergeCell ref="A33:A34"/>
    <mergeCell ref="B33:B34"/>
    <mergeCell ref="C33:C34"/>
    <mergeCell ref="D33:D34"/>
  </mergeCells>
  <conditionalFormatting sqref="E17:I17">
    <cfRule type="expression" dxfId="50" priority="1" stopIfTrue="1">
      <formula>LEN(TRIM(E17))&gt;0</formula>
    </cfRule>
  </conditionalFormatting>
  <conditionalFormatting sqref="E32:I32 E35:I35">
    <cfRule type="expression" dxfId="49" priority="27" stopIfTrue="1">
      <formula>LEN(TRIM(E32))&gt;0</formula>
    </cfRule>
  </conditionalFormatting>
  <pageMargins left="0.51181102362204722" right="0.51181102362204722" top="1.7716535433070868" bottom="1.1811023622047245" header="0.51181102362204722" footer="0.51181102362204722"/>
  <pageSetup paperSize="9" scale="67" fitToHeight="0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H179"/>
  <sheetViews>
    <sheetView workbookViewId="0">
      <selection sqref="A1:H2"/>
    </sheetView>
  </sheetViews>
  <sheetFormatPr defaultRowHeight="15" x14ac:dyDescent="0.25"/>
  <cols>
    <col min="1" max="1" width="9.28515625" style="108" bestFit="1" customWidth="1"/>
    <col min="2" max="2" width="17.5703125" style="109" customWidth="1"/>
    <col min="3" max="3" width="44.7109375" style="109" bestFit="1" customWidth="1"/>
    <col min="4" max="4" width="12.5703125" style="109" bestFit="1" customWidth="1"/>
    <col min="5" max="5" width="8.7109375" style="109" bestFit="1" customWidth="1"/>
    <col min="6" max="6" width="12" style="109" bestFit="1" customWidth="1"/>
    <col min="7" max="7" width="16.28515625" style="109" bestFit="1" customWidth="1"/>
    <col min="8" max="8" width="17.28515625" style="108" bestFit="1" customWidth="1"/>
  </cols>
  <sheetData>
    <row r="1" spans="1:8" ht="15" customHeight="1" x14ac:dyDescent="0.25">
      <c r="A1" s="304" t="s">
        <v>163</v>
      </c>
      <c r="B1" s="304"/>
      <c r="C1" s="304"/>
      <c r="D1" s="304"/>
      <c r="E1" s="304"/>
      <c r="F1" s="304"/>
      <c r="G1" s="304"/>
      <c r="H1" s="304"/>
    </row>
    <row r="2" spans="1:8" ht="15" customHeight="1" x14ac:dyDescent="0.25">
      <c r="A2" s="304"/>
      <c r="B2" s="304"/>
      <c r="C2" s="304"/>
      <c r="D2" s="304"/>
      <c r="E2" s="304"/>
      <c r="F2" s="304"/>
      <c r="G2" s="304"/>
      <c r="H2" s="304"/>
    </row>
    <row r="3" spans="1:8" ht="23.25" customHeight="1" x14ac:dyDescent="0.25">
      <c r="A3" s="331" t="str">
        <f>'RESUMO SD '!A2:B2</f>
        <v>OBJETO:  PAVIMENTAÇÃO DE VIAS PÚBLICAS NO MUNÍCIO DE BARRO DURO-PI</v>
      </c>
      <c r="B3" s="332"/>
      <c r="C3" s="332"/>
      <c r="D3" s="332"/>
      <c r="E3" s="332"/>
      <c r="F3" s="357" t="s">
        <v>370</v>
      </c>
      <c r="G3" s="357" t="str">
        <f>'RESUMO SD '!E2</f>
        <v>SEM DESONERAÇÃO
BDI: 21,96%</v>
      </c>
      <c r="H3" s="359" t="str">
        <f>'RESUMO SD '!F2</f>
        <v>HORISTA: 113,33%
MENSALISTA: 71,12%</v>
      </c>
    </row>
    <row r="4" spans="1:8" ht="15" customHeight="1" x14ac:dyDescent="0.25">
      <c r="A4" s="168" t="str">
        <f>'RESUMO SD '!A3:D3</f>
        <v>LOCAL: BREJO DE BAIXO, MALHADA</v>
      </c>
      <c r="B4" s="117"/>
      <c r="C4" s="117"/>
      <c r="D4" s="361"/>
      <c r="E4" s="361"/>
      <c r="F4" s="358"/>
      <c r="G4" s="358"/>
      <c r="H4" s="360"/>
    </row>
    <row r="5" spans="1:8" x14ac:dyDescent="0.25">
      <c r="A5" s="130"/>
      <c r="B5" s="117"/>
      <c r="C5" s="117"/>
      <c r="D5" s="181"/>
      <c r="E5" s="181"/>
      <c r="F5" s="179"/>
      <c r="G5" s="179"/>
      <c r="H5" s="180"/>
    </row>
    <row r="6" spans="1:8" x14ac:dyDescent="0.25">
      <c r="A6" s="240" t="s">
        <v>164</v>
      </c>
      <c r="B6" s="241" t="str">
        <f>'RESUMO SD '!B11</f>
        <v xml:space="preserve">RUA SETE DE SETEMBRO </v>
      </c>
      <c r="C6" s="242"/>
      <c r="D6" s="239" t="s">
        <v>165</v>
      </c>
      <c r="E6" s="243">
        <v>6</v>
      </c>
      <c r="F6" s="244"/>
      <c r="G6" s="244"/>
      <c r="H6" s="238"/>
    </row>
    <row r="7" spans="1:8" x14ac:dyDescent="0.25">
      <c r="A7" s="131" t="s">
        <v>166</v>
      </c>
      <c r="B7" s="129">
        <f>E7*E6</f>
        <v>1086</v>
      </c>
      <c r="C7" s="119"/>
      <c r="D7" s="120" t="s">
        <v>167</v>
      </c>
      <c r="E7" s="121">
        <v>181</v>
      </c>
      <c r="F7" s="122"/>
      <c r="G7" s="122"/>
      <c r="H7" s="187"/>
    </row>
    <row r="8" spans="1:8" x14ac:dyDescent="0.25">
      <c r="A8" s="300" t="s">
        <v>25</v>
      </c>
      <c r="B8" s="300" t="s">
        <v>92</v>
      </c>
      <c r="C8" s="300" t="s">
        <v>26</v>
      </c>
      <c r="D8" s="300" t="s">
        <v>27</v>
      </c>
      <c r="E8" s="302" t="s">
        <v>28</v>
      </c>
      <c r="F8" s="354" t="s">
        <v>168</v>
      </c>
      <c r="G8" s="355"/>
      <c r="H8" s="356"/>
    </row>
    <row r="9" spans="1:8" x14ac:dyDescent="0.25">
      <c r="A9" s="301"/>
      <c r="B9" s="301"/>
      <c r="C9" s="301"/>
      <c r="D9" s="301"/>
      <c r="E9" s="303"/>
      <c r="F9" s="123" t="s">
        <v>169</v>
      </c>
      <c r="G9" s="123" t="s">
        <v>170</v>
      </c>
      <c r="H9" s="178" t="s">
        <v>171</v>
      </c>
    </row>
    <row r="10" spans="1:8" x14ac:dyDescent="0.25">
      <c r="A10" s="28" t="s">
        <v>30</v>
      </c>
      <c r="B10" s="317" t="s">
        <v>333</v>
      </c>
      <c r="C10" s="318"/>
      <c r="D10" s="318"/>
      <c r="E10" s="318"/>
      <c r="F10" s="318"/>
      <c r="G10" s="365"/>
      <c r="H10" s="124">
        <f>SUM(H11:H13)</f>
        <v>66011.799999999988</v>
      </c>
    </row>
    <row r="11" spans="1:8" x14ac:dyDescent="0.25">
      <c r="A11" s="29" t="s">
        <v>32</v>
      </c>
      <c r="B11" s="111" t="s">
        <v>254</v>
      </c>
      <c r="C11" s="125" t="s">
        <v>38</v>
      </c>
      <c r="D11" s="111" t="s">
        <v>15</v>
      </c>
      <c r="E11" s="126">
        <f>'Memoria de Calculo '!C12</f>
        <v>6</v>
      </c>
      <c r="F11" s="126">
        <f>'COMPOSIÇÕES UNITÁRIAS SD'!G7</f>
        <v>463.84</v>
      </c>
      <c r="G11" s="128">
        <f>ROUND(F11*1.2196,2)</f>
        <v>565.70000000000005</v>
      </c>
      <c r="H11" s="128">
        <f>ROUND(E11*G11,2)</f>
        <v>3394.2</v>
      </c>
    </row>
    <row r="12" spans="1:8" x14ac:dyDescent="0.25">
      <c r="A12" s="29" t="s">
        <v>172</v>
      </c>
      <c r="B12" s="111" t="s">
        <v>255</v>
      </c>
      <c r="C12" s="125" t="s">
        <v>39</v>
      </c>
      <c r="D12" s="111" t="s">
        <v>40</v>
      </c>
      <c r="E12" s="126">
        <f>'Memoria de Calculo '!C16</f>
        <v>5</v>
      </c>
      <c r="F12" s="126">
        <f>'COMPOSIÇÕES UNITÁRIAS SD'!G17</f>
        <v>5762.05</v>
      </c>
      <c r="G12" s="128">
        <f>ROUND(F12*1.2196,2)</f>
        <v>7027.4</v>
      </c>
      <c r="H12" s="128">
        <f>ROUND(E12*G12,2)</f>
        <v>35137</v>
      </c>
    </row>
    <row r="13" spans="1:8" x14ac:dyDescent="0.25">
      <c r="A13" s="29" t="s">
        <v>334</v>
      </c>
      <c r="B13" s="111" t="s">
        <v>335</v>
      </c>
      <c r="C13" s="125" t="s">
        <v>289</v>
      </c>
      <c r="D13" s="111" t="s">
        <v>15</v>
      </c>
      <c r="E13" s="126">
        <f>'Memoria de Calculo '!C20</f>
        <v>5452.5</v>
      </c>
      <c r="F13" s="126">
        <f>'COMPOSIÇÕES UNITÁRIAS SD'!G22</f>
        <v>4.13</v>
      </c>
      <c r="G13" s="128">
        <f>ROUND(F13*1.2196,2)</f>
        <v>5.04</v>
      </c>
      <c r="H13" s="128">
        <f>ROUND(E13*G13,2)</f>
        <v>27480.6</v>
      </c>
    </row>
    <row r="14" spans="1:8" x14ac:dyDescent="0.25">
      <c r="A14" s="362"/>
      <c r="B14" s="363"/>
      <c r="C14" s="363"/>
      <c r="D14" s="363"/>
      <c r="E14" s="363"/>
      <c r="F14" s="363"/>
      <c r="G14" s="363"/>
      <c r="H14" s="364"/>
    </row>
    <row r="15" spans="1:8" x14ac:dyDescent="0.25">
      <c r="A15" s="28" t="s">
        <v>33</v>
      </c>
      <c r="B15" s="353" t="s">
        <v>173</v>
      </c>
      <c r="C15" s="353"/>
      <c r="D15" s="353"/>
      <c r="E15" s="353"/>
      <c r="F15" s="353"/>
      <c r="G15" s="353"/>
      <c r="H15" s="124">
        <f>H16</f>
        <v>760.2</v>
      </c>
    </row>
    <row r="16" spans="1:8" x14ac:dyDescent="0.25">
      <c r="A16" s="29" t="s">
        <v>35</v>
      </c>
      <c r="B16" s="111">
        <v>100575</v>
      </c>
      <c r="C16" s="127" t="s">
        <v>174</v>
      </c>
      <c r="D16" s="30" t="s">
        <v>15</v>
      </c>
      <c r="E16" s="126">
        <f>'Memoria de Calculo '!C46</f>
        <v>1086</v>
      </c>
      <c r="F16" s="126">
        <f>'COMPOSIÇÕES UNITÁRIAS SD'!$G$27</f>
        <v>0.56999999999999995</v>
      </c>
      <c r="G16" s="128">
        <f>ROUND(F16*1.2196,2)</f>
        <v>0.7</v>
      </c>
      <c r="H16" s="128">
        <f>ROUND(E16*G16,2)</f>
        <v>760.2</v>
      </c>
    </row>
    <row r="17" spans="1:8" x14ac:dyDescent="0.25">
      <c r="A17" s="321"/>
      <c r="B17" s="321"/>
      <c r="C17" s="321"/>
      <c r="D17" s="321"/>
      <c r="E17" s="321"/>
      <c r="F17" s="321"/>
      <c r="G17" s="321"/>
      <c r="H17" s="321"/>
    </row>
    <row r="18" spans="1:8" x14ac:dyDescent="0.25">
      <c r="A18" s="28" t="s">
        <v>175</v>
      </c>
      <c r="B18" s="353" t="s">
        <v>176</v>
      </c>
      <c r="C18" s="353"/>
      <c r="D18" s="353"/>
      <c r="E18" s="353"/>
      <c r="F18" s="353"/>
      <c r="G18" s="353"/>
      <c r="H18" s="124">
        <f>SUM(H19:H20)</f>
        <v>95057.579999999987</v>
      </c>
    </row>
    <row r="19" spans="1:8" ht="22.5" x14ac:dyDescent="0.25">
      <c r="A19" s="29" t="s">
        <v>177</v>
      </c>
      <c r="B19" s="111" t="s">
        <v>256</v>
      </c>
      <c r="C19" s="127" t="s">
        <v>257</v>
      </c>
      <c r="D19" s="30" t="s">
        <v>15</v>
      </c>
      <c r="E19" s="126">
        <f>'Memoria de Calculo '!C52</f>
        <v>1086</v>
      </c>
      <c r="F19" s="126">
        <f>'COMPOSIÇÕES UNITÁRIAS SD'!$G$34</f>
        <v>70.22</v>
      </c>
      <c r="G19" s="128">
        <f>ROUND(F19*1.2196,2)</f>
        <v>85.64</v>
      </c>
      <c r="H19" s="128">
        <f>ROUND(E19*G19,2)</f>
        <v>93005.04</v>
      </c>
    </row>
    <row r="20" spans="1:8" x14ac:dyDescent="0.25">
      <c r="A20" s="29" t="s">
        <v>324</v>
      </c>
      <c r="B20" s="111" t="s">
        <v>261</v>
      </c>
      <c r="C20" s="127" t="s">
        <v>344</v>
      </c>
      <c r="D20" s="30" t="s">
        <v>15</v>
      </c>
      <c r="E20" s="126">
        <f>'Memoria de Calculo '!C57</f>
        <v>1086</v>
      </c>
      <c r="F20" s="126">
        <f>'COMPOSIÇÕES UNITÁRIAS SD'!$G$42</f>
        <v>1.55</v>
      </c>
      <c r="G20" s="128">
        <f>ROUND(F20*1.2196,2)</f>
        <v>1.89</v>
      </c>
      <c r="H20" s="128">
        <f>ROUND(E20*G20,2)</f>
        <v>2052.54</v>
      </c>
    </row>
    <row r="21" spans="1:8" x14ac:dyDescent="0.25">
      <c r="A21" s="321"/>
      <c r="B21" s="321"/>
      <c r="C21" s="321"/>
      <c r="D21" s="321"/>
      <c r="E21" s="321"/>
      <c r="F21" s="321"/>
      <c r="G21" s="321"/>
      <c r="H21" s="321"/>
    </row>
    <row r="22" spans="1:8" x14ac:dyDescent="0.25">
      <c r="A22" s="28" t="s">
        <v>178</v>
      </c>
      <c r="B22" s="353" t="s">
        <v>179</v>
      </c>
      <c r="C22" s="353"/>
      <c r="D22" s="353"/>
      <c r="E22" s="353"/>
      <c r="F22" s="353"/>
      <c r="G22" s="353"/>
      <c r="H22" s="124">
        <f>SUM(H23:H24)</f>
        <v>18679.439999999999</v>
      </c>
    </row>
    <row r="23" spans="1:8" ht="33.75" x14ac:dyDescent="0.25">
      <c r="A23" s="29" t="s">
        <v>180</v>
      </c>
      <c r="B23" s="111">
        <v>94273</v>
      </c>
      <c r="C23" s="127" t="s">
        <v>181</v>
      </c>
      <c r="D23" s="30" t="s">
        <v>182</v>
      </c>
      <c r="E23" s="126">
        <f>'Memoria de Calculo '!C64</f>
        <v>368</v>
      </c>
      <c r="F23" s="126">
        <f>'COMPOSIÇÕES UNITÁRIAS SD'!$G$47</f>
        <v>41.5</v>
      </c>
      <c r="G23" s="128">
        <f>ROUND(F23*1.2196,2)</f>
        <v>50.61</v>
      </c>
      <c r="H23" s="128">
        <f>ROUND(E23*G23,2)</f>
        <v>18624.48</v>
      </c>
    </row>
    <row r="24" spans="1:8" ht="22.5" x14ac:dyDescent="0.25">
      <c r="A24" s="29" t="s">
        <v>183</v>
      </c>
      <c r="B24" s="111" t="s">
        <v>273</v>
      </c>
      <c r="C24" s="127" t="s">
        <v>262</v>
      </c>
      <c r="D24" s="30" t="s">
        <v>182</v>
      </c>
      <c r="E24" s="126">
        <f>'Memoria de Calculo '!C68</f>
        <v>2</v>
      </c>
      <c r="F24" s="126">
        <f>'COMPOSIÇÕES UNITÁRIAS SD'!$G$55</f>
        <v>22.53</v>
      </c>
      <c r="G24" s="128">
        <f>ROUND(F24*1.2196,2)</f>
        <v>27.48</v>
      </c>
      <c r="H24" s="128">
        <f>ROUND(E24*G24,2)</f>
        <v>54.96</v>
      </c>
    </row>
    <row r="25" spans="1:8" x14ac:dyDescent="0.25">
      <c r="A25" s="321"/>
      <c r="B25" s="321"/>
      <c r="C25" s="321"/>
      <c r="D25" s="321"/>
      <c r="E25" s="321"/>
      <c r="F25" s="321"/>
      <c r="G25" s="321"/>
      <c r="H25" s="321"/>
    </row>
    <row r="26" spans="1:8" x14ac:dyDescent="0.25">
      <c r="A26" s="28" t="s">
        <v>229</v>
      </c>
      <c r="B26" s="353" t="s">
        <v>227</v>
      </c>
      <c r="C26" s="353"/>
      <c r="D26" s="353"/>
      <c r="E26" s="353"/>
      <c r="F26" s="353"/>
      <c r="G26" s="353"/>
      <c r="H26" s="124">
        <f>SUM(H27:H28)</f>
        <v>11751.689999999999</v>
      </c>
    </row>
    <row r="27" spans="1:8" ht="33.75" x14ac:dyDescent="0.25">
      <c r="A27" s="29" t="s">
        <v>230</v>
      </c>
      <c r="B27" s="111" t="s">
        <v>384</v>
      </c>
      <c r="C27" s="125" t="s">
        <v>391</v>
      </c>
      <c r="D27" s="30" t="s">
        <v>228</v>
      </c>
      <c r="E27" s="126">
        <f>'Memoria de Calculo '!C78</f>
        <v>5172.3999999999996</v>
      </c>
      <c r="F27" s="126">
        <f>'COMPOSIÇÕES UNITÁRIAS SD'!$G$64</f>
        <v>1.61</v>
      </c>
      <c r="G27" s="128">
        <f>ROUND(F27*1.2196,2)</f>
        <v>1.96</v>
      </c>
      <c r="H27" s="128">
        <f>ROUND(E27*G27,2)</f>
        <v>10137.9</v>
      </c>
    </row>
    <row r="28" spans="1:8" ht="33.75" x14ac:dyDescent="0.25">
      <c r="A28" s="29" t="s">
        <v>361</v>
      </c>
      <c r="B28" s="111" t="s">
        <v>385</v>
      </c>
      <c r="C28" s="125" t="s">
        <v>362</v>
      </c>
      <c r="D28" s="30" t="s">
        <v>228</v>
      </c>
      <c r="E28" s="126">
        <f>'Memoria de Calculo '!C86</f>
        <v>2068.96</v>
      </c>
      <c r="F28" s="126">
        <f>'COMPOSIÇÕES UNITÁRIAS SD'!$G$69</f>
        <v>0.64</v>
      </c>
      <c r="G28" s="128">
        <f>ROUND(F28*1.2196,2)</f>
        <v>0.78</v>
      </c>
      <c r="H28" s="128">
        <f>ROUND(E28*G28,2)</f>
        <v>1613.79</v>
      </c>
    </row>
    <row r="29" spans="1:8" x14ac:dyDescent="0.25">
      <c r="A29" s="321"/>
      <c r="B29" s="321"/>
      <c r="C29" s="321"/>
      <c r="D29" s="321"/>
      <c r="E29" s="321"/>
      <c r="F29" s="321"/>
      <c r="G29" s="321"/>
      <c r="H29" s="321"/>
    </row>
    <row r="30" spans="1:8" x14ac:dyDescent="0.25">
      <c r="A30" s="28" t="s">
        <v>258</v>
      </c>
      <c r="B30" s="353" t="s">
        <v>259</v>
      </c>
      <c r="C30" s="353"/>
      <c r="D30" s="353"/>
      <c r="E30" s="353"/>
      <c r="F30" s="353"/>
      <c r="G30" s="353"/>
      <c r="H30" s="124">
        <f>SUM(H31:H31)</f>
        <v>452.53</v>
      </c>
    </row>
    <row r="31" spans="1:8" ht="22.5" x14ac:dyDescent="0.25">
      <c r="A31" s="29" t="s">
        <v>260</v>
      </c>
      <c r="B31" s="111" t="s">
        <v>343</v>
      </c>
      <c r="C31" s="127" t="s">
        <v>332</v>
      </c>
      <c r="D31" s="30" t="s">
        <v>275</v>
      </c>
      <c r="E31" s="126">
        <f>'Memoria de Calculo '!C91</f>
        <v>1</v>
      </c>
      <c r="F31" s="126">
        <f>'COMPOSIÇÕES UNITÁRIAS SD'!$G$74</f>
        <v>371.05</v>
      </c>
      <c r="G31" s="128">
        <f>ROUND(F31*1.2196,2)</f>
        <v>452.53</v>
      </c>
      <c r="H31" s="128">
        <f>ROUND(E31*G31,2)</f>
        <v>452.53</v>
      </c>
    </row>
    <row r="32" spans="1:8" x14ac:dyDescent="0.25">
      <c r="A32" s="321"/>
      <c r="B32" s="321"/>
      <c r="C32" s="321"/>
      <c r="D32" s="321"/>
      <c r="E32" s="321"/>
      <c r="F32" s="321"/>
      <c r="G32" s="321"/>
      <c r="H32" s="321"/>
    </row>
    <row r="33" spans="1:8" x14ac:dyDescent="0.25">
      <c r="A33" s="352" t="s">
        <v>226</v>
      </c>
      <c r="B33" s="352"/>
      <c r="C33" s="352"/>
      <c r="D33" s="352"/>
      <c r="E33" s="352"/>
      <c r="F33" s="352"/>
      <c r="G33" s="352"/>
      <c r="H33" s="186">
        <f>SUM(H30,H26,H22,H18,H15)</f>
        <v>126701.43999999999</v>
      </c>
    </row>
    <row r="35" spans="1:8" x14ac:dyDescent="0.25">
      <c r="A35" s="240" t="s">
        <v>164</v>
      </c>
      <c r="B35" s="241" t="str">
        <f>'RESUMO SD '!B12</f>
        <v xml:space="preserve">RUA FIO </v>
      </c>
      <c r="C35" s="242"/>
      <c r="D35" s="239" t="s">
        <v>165</v>
      </c>
      <c r="E35" s="243">
        <v>4</v>
      </c>
      <c r="F35" s="244"/>
      <c r="G35" s="244"/>
      <c r="H35" s="238"/>
    </row>
    <row r="36" spans="1:8" x14ac:dyDescent="0.25">
      <c r="A36" s="131" t="s">
        <v>166</v>
      </c>
      <c r="B36" s="129">
        <f>E36*E35</f>
        <v>196</v>
      </c>
      <c r="C36" s="119"/>
      <c r="D36" s="120" t="s">
        <v>167</v>
      </c>
      <c r="E36" s="121">
        <v>49</v>
      </c>
      <c r="F36" s="122"/>
      <c r="G36" s="122"/>
      <c r="H36" s="187"/>
    </row>
    <row r="37" spans="1:8" x14ac:dyDescent="0.25">
      <c r="A37" s="300" t="s">
        <v>25</v>
      </c>
      <c r="B37" s="300" t="s">
        <v>92</v>
      </c>
      <c r="C37" s="300" t="s">
        <v>26</v>
      </c>
      <c r="D37" s="300" t="s">
        <v>27</v>
      </c>
      <c r="E37" s="302" t="s">
        <v>28</v>
      </c>
      <c r="F37" s="354" t="s">
        <v>168</v>
      </c>
      <c r="G37" s="355"/>
      <c r="H37" s="356"/>
    </row>
    <row r="38" spans="1:8" x14ac:dyDescent="0.25">
      <c r="A38" s="301"/>
      <c r="B38" s="301"/>
      <c r="C38" s="301"/>
      <c r="D38" s="301"/>
      <c r="E38" s="303"/>
      <c r="F38" s="123" t="s">
        <v>169</v>
      </c>
      <c r="G38" s="123" t="s">
        <v>170</v>
      </c>
      <c r="H38" s="178" t="s">
        <v>171</v>
      </c>
    </row>
    <row r="39" spans="1:8" x14ac:dyDescent="0.25">
      <c r="A39" s="28" t="s">
        <v>33</v>
      </c>
      <c r="B39" s="353" t="s">
        <v>173</v>
      </c>
      <c r="C39" s="353"/>
      <c r="D39" s="353"/>
      <c r="E39" s="353"/>
      <c r="F39" s="353"/>
      <c r="G39" s="353"/>
      <c r="H39" s="124">
        <f>H40</f>
        <v>137.19999999999999</v>
      </c>
    </row>
    <row r="40" spans="1:8" x14ac:dyDescent="0.25">
      <c r="A40" s="29" t="s">
        <v>35</v>
      </c>
      <c r="B40" s="111">
        <v>100575</v>
      </c>
      <c r="C40" s="127" t="s">
        <v>174</v>
      </c>
      <c r="D40" s="30" t="s">
        <v>15</v>
      </c>
      <c r="E40" s="126">
        <f>'Memoria de Calculo '!C117</f>
        <v>196</v>
      </c>
      <c r="F40" s="126">
        <f>'COMPOSIÇÕES UNITÁRIAS SD'!$G$27</f>
        <v>0.56999999999999995</v>
      </c>
      <c r="G40" s="128">
        <f>ROUND(F40*1.2196,2)</f>
        <v>0.7</v>
      </c>
      <c r="H40" s="128">
        <f>ROUND(E40*G40,2)</f>
        <v>137.19999999999999</v>
      </c>
    </row>
    <row r="41" spans="1:8" x14ac:dyDescent="0.25">
      <c r="A41" s="321"/>
      <c r="B41" s="321"/>
      <c r="C41" s="321"/>
      <c r="D41" s="321"/>
      <c r="E41" s="321"/>
      <c r="F41" s="321"/>
      <c r="G41" s="321"/>
      <c r="H41" s="321"/>
    </row>
    <row r="42" spans="1:8" x14ac:dyDescent="0.25">
      <c r="A42" s="28" t="s">
        <v>175</v>
      </c>
      <c r="B42" s="353" t="s">
        <v>176</v>
      </c>
      <c r="C42" s="353"/>
      <c r="D42" s="353"/>
      <c r="E42" s="353"/>
      <c r="F42" s="353"/>
      <c r="G42" s="353"/>
      <c r="H42" s="124">
        <f>SUM(H43:H44)</f>
        <v>17155.879999999997</v>
      </c>
    </row>
    <row r="43" spans="1:8" ht="22.5" x14ac:dyDescent="0.25">
      <c r="A43" s="29" t="s">
        <v>177</v>
      </c>
      <c r="B43" s="111" t="s">
        <v>256</v>
      </c>
      <c r="C43" s="127" t="s">
        <v>257</v>
      </c>
      <c r="D43" s="30" t="s">
        <v>15</v>
      </c>
      <c r="E43" s="126">
        <f>'Memoria de Calculo '!C123</f>
        <v>196</v>
      </c>
      <c r="F43" s="126">
        <f>'COMPOSIÇÕES UNITÁRIAS SD'!$G$34</f>
        <v>70.22</v>
      </c>
      <c r="G43" s="128">
        <f>ROUND(F43*1.2196,2)</f>
        <v>85.64</v>
      </c>
      <c r="H43" s="128">
        <f>ROUND(E43*G43,2)</f>
        <v>16785.439999999999</v>
      </c>
    </row>
    <row r="44" spans="1:8" x14ac:dyDescent="0.25">
      <c r="A44" s="29" t="s">
        <v>324</v>
      </c>
      <c r="B44" s="111" t="s">
        <v>261</v>
      </c>
      <c r="C44" s="127" t="s">
        <v>344</v>
      </c>
      <c r="D44" s="30" t="s">
        <v>15</v>
      </c>
      <c r="E44" s="126">
        <f>'Memoria de Calculo '!C128</f>
        <v>196</v>
      </c>
      <c r="F44" s="126">
        <f>'COMPOSIÇÕES UNITÁRIAS SD'!$G$42</f>
        <v>1.55</v>
      </c>
      <c r="G44" s="128">
        <f>ROUND(F44*1.2196,2)</f>
        <v>1.89</v>
      </c>
      <c r="H44" s="128">
        <f>ROUND(E44*G44,2)</f>
        <v>370.44</v>
      </c>
    </row>
    <row r="45" spans="1:8" x14ac:dyDescent="0.25">
      <c r="A45" s="321"/>
      <c r="B45" s="321"/>
      <c r="C45" s="321"/>
      <c r="D45" s="321"/>
      <c r="E45" s="321"/>
      <c r="F45" s="321"/>
      <c r="G45" s="321"/>
      <c r="H45" s="321"/>
    </row>
    <row r="46" spans="1:8" x14ac:dyDescent="0.25">
      <c r="A46" s="28" t="s">
        <v>178</v>
      </c>
      <c r="B46" s="353" t="s">
        <v>179</v>
      </c>
      <c r="C46" s="353"/>
      <c r="D46" s="353"/>
      <c r="E46" s="353"/>
      <c r="F46" s="353"/>
      <c r="G46" s="353"/>
      <c r="H46" s="124">
        <f>SUM(H47:H48)</f>
        <v>7855.26</v>
      </c>
    </row>
    <row r="47" spans="1:8" ht="33.75" x14ac:dyDescent="0.25">
      <c r="A47" s="29" t="s">
        <v>180</v>
      </c>
      <c r="B47" s="111">
        <v>94273</v>
      </c>
      <c r="C47" s="127" t="s">
        <v>181</v>
      </c>
      <c r="D47" s="30" t="s">
        <v>182</v>
      </c>
      <c r="E47" s="126">
        <f>'Memoria de Calculo '!C135</f>
        <v>102</v>
      </c>
      <c r="F47" s="126">
        <f>'COMPOSIÇÕES UNITÁRIAS SD'!$G$47</f>
        <v>41.5</v>
      </c>
      <c r="G47" s="128">
        <f>ROUND(F47*1.2196,2)</f>
        <v>50.61</v>
      </c>
      <c r="H47" s="128">
        <f>ROUND(E47*G47,2)</f>
        <v>5162.22</v>
      </c>
    </row>
    <row r="48" spans="1:8" ht="22.5" x14ac:dyDescent="0.25">
      <c r="A48" s="29" t="s">
        <v>183</v>
      </c>
      <c r="B48" s="111" t="s">
        <v>273</v>
      </c>
      <c r="C48" s="127" t="s">
        <v>262</v>
      </c>
      <c r="D48" s="30" t="s">
        <v>182</v>
      </c>
      <c r="E48" s="126">
        <f>'Memoria de Calculo '!C140</f>
        <v>98</v>
      </c>
      <c r="F48" s="126">
        <f>'COMPOSIÇÕES UNITÁRIAS SD'!$G$55</f>
        <v>22.53</v>
      </c>
      <c r="G48" s="128">
        <f>ROUND(F48*1.2196,2)</f>
        <v>27.48</v>
      </c>
      <c r="H48" s="128">
        <f>ROUND(E48*G48,2)</f>
        <v>2693.04</v>
      </c>
    </row>
    <row r="49" spans="1:8" x14ac:dyDescent="0.25">
      <c r="A49" s="321"/>
      <c r="B49" s="321"/>
      <c r="C49" s="321"/>
      <c r="D49" s="321"/>
      <c r="E49" s="321"/>
      <c r="F49" s="321"/>
      <c r="G49" s="321"/>
      <c r="H49" s="321"/>
    </row>
    <row r="50" spans="1:8" x14ac:dyDescent="0.25">
      <c r="A50" s="28" t="s">
        <v>229</v>
      </c>
      <c r="B50" s="353" t="s">
        <v>227</v>
      </c>
      <c r="C50" s="353"/>
      <c r="D50" s="353"/>
      <c r="E50" s="353"/>
      <c r="F50" s="353"/>
      <c r="G50" s="353"/>
      <c r="H50" s="124">
        <f>SUM(H51:H52)</f>
        <v>2072.39</v>
      </c>
    </row>
    <row r="51" spans="1:8" ht="33.75" x14ac:dyDescent="0.25">
      <c r="A51" s="29" t="s">
        <v>230</v>
      </c>
      <c r="B51" s="111" t="s">
        <v>384</v>
      </c>
      <c r="C51" s="125" t="s">
        <v>391</v>
      </c>
      <c r="D51" s="30" t="s">
        <v>228</v>
      </c>
      <c r="E51" s="126">
        <f>'Memoria de Calculo '!C149</f>
        <v>933.51</v>
      </c>
      <c r="F51" s="126">
        <f>'COMPOSIÇÕES UNITÁRIAS SD'!$G$64</f>
        <v>1.61</v>
      </c>
      <c r="G51" s="128">
        <f>ROUND(F51*1.2196,2)</f>
        <v>1.96</v>
      </c>
      <c r="H51" s="128">
        <f>ROUND(E51*G51,2)</f>
        <v>1829.68</v>
      </c>
    </row>
    <row r="52" spans="1:8" ht="33.75" x14ac:dyDescent="0.25">
      <c r="A52" s="29" t="s">
        <v>361</v>
      </c>
      <c r="B52" s="111" t="s">
        <v>385</v>
      </c>
      <c r="C52" s="125" t="s">
        <v>362</v>
      </c>
      <c r="D52" s="30" t="s">
        <v>228</v>
      </c>
      <c r="E52" s="126">
        <f>'Memoria de Calculo '!C157</f>
        <v>311.17</v>
      </c>
      <c r="F52" s="126">
        <f>'COMPOSIÇÕES UNITÁRIAS SD'!$G$69</f>
        <v>0.64</v>
      </c>
      <c r="G52" s="128">
        <f>ROUND(F52*1.2196,2)</f>
        <v>0.78</v>
      </c>
      <c r="H52" s="128">
        <f>ROUND(E52*G52,2)</f>
        <v>242.71</v>
      </c>
    </row>
    <row r="53" spans="1:8" x14ac:dyDescent="0.25">
      <c r="A53" s="321"/>
      <c r="B53" s="321"/>
      <c r="C53" s="321"/>
      <c r="D53" s="321"/>
      <c r="E53" s="321"/>
      <c r="F53" s="321"/>
      <c r="G53" s="321"/>
      <c r="H53" s="321"/>
    </row>
    <row r="54" spans="1:8" x14ac:dyDescent="0.25">
      <c r="A54" s="28" t="s">
        <v>258</v>
      </c>
      <c r="B54" s="353" t="s">
        <v>259</v>
      </c>
      <c r="C54" s="353"/>
      <c r="D54" s="353"/>
      <c r="E54" s="353"/>
      <c r="F54" s="353"/>
      <c r="G54" s="353"/>
      <c r="H54" s="124">
        <f>SUM(H55:H55)</f>
        <v>452.53</v>
      </c>
    </row>
    <row r="55" spans="1:8" ht="22.5" x14ac:dyDescent="0.25">
      <c r="A55" s="29" t="s">
        <v>260</v>
      </c>
      <c r="B55" s="111" t="s">
        <v>343</v>
      </c>
      <c r="C55" s="127" t="s">
        <v>332</v>
      </c>
      <c r="D55" s="30" t="s">
        <v>275</v>
      </c>
      <c r="E55" s="126">
        <f>'Memoria de Calculo '!C162</f>
        <v>1</v>
      </c>
      <c r="F55" s="126">
        <f>'COMPOSIÇÕES UNITÁRIAS SD'!$G$74</f>
        <v>371.05</v>
      </c>
      <c r="G55" s="128">
        <f>ROUND(F55*1.2196,2)</f>
        <v>452.53</v>
      </c>
      <c r="H55" s="128">
        <f>ROUND(E55*G55,2)</f>
        <v>452.53</v>
      </c>
    </row>
    <row r="56" spans="1:8" x14ac:dyDescent="0.25">
      <c r="A56" s="321"/>
      <c r="B56" s="321"/>
      <c r="C56" s="321"/>
      <c r="D56" s="321"/>
      <c r="E56" s="321"/>
      <c r="F56" s="321"/>
      <c r="G56" s="321"/>
      <c r="H56" s="321"/>
    </row>
    <row r="57" spans="1:8" x14ac:dyDescent="0.25">
      <c r="A57" s="352" t="s">
        <v>226</v>
      </c>
      <c r="B57" s="352"/>
      <c r="C57" s="352"/>
      <c r="D57" s="352"/>
      <c r="E57" s="352"/>
      <c r="F57" s="352"/>
      <c r="G57" s="352"/>
      <c r="H57" s="186">
        <f>SUM(H54,H50,H46,H42,H39)</f>
        <v>27673.26</v>
      </c>
    </row>
    <row r="59" spans="1:8" x14ac:dyDescent="0.25">
      <c r="A59" s="240" t="s">
        <v>164</v>
      </c>
      <c r="B59" s="241" t="str">
        <f>'RESUMO SD '!B13</f>
        <v xml:space="preserve">RUA CANDIDA VIEIRA </v>
      </c>
      <c r="C59" s="242"/>
      <c r="D59" s="239" t="s">
        <v>165</v>
      </c>
      <c r="E59" s="243">
        <v>4.5</v>
      </c>
      <c r="F59" s="244"/>
      <c r="G59" s="244"/>
      <c r="H59" s="238"/>
    </row>
    <row r="60" spans="1:8" x14ac:dyDescent="0.25">
      <c r="A60" s="131" t="s">
        <v>166</v>
      </c>
      <c r="B60" s="129">
        <f>E60*E59</f>
        <v>94.5</v>
      </c>
      <c r="C60" s="119"/>
      <c r="D60" s="120" t="s">
        <v>167</v>
      </c>
      <c r="E60" s="121">
        <v>21</v>
      </c>
      <c r="F60" s="122"/>
      <c r="G60" s="122"/>
      <c r="H60" s="187"/>
    </row>
    <row r="61" spans="1:8" x14ac:dyDescent="0.25">
      <c r="A61" s="300" t="s">
        <v>25</v>
      </c>
      <c r="B61" s="300" t="s">
        <v>92</v>
      </c>
      <c r="C61" s="300" t="s">
        <v>26</v>
      </c>
      <c r="D61" s="300" t="s">
        <v>27</v>
      </c>
      <c r="E61" s="302" t="s">
        <v>28</v>
      </c>
      <c r="F61" s="354" t="s">
        <v>168</v>
      </c>
      <c r="G61" s="355"/>
      <c r="H61" s="356"/>
    </row>
    <row r="62" spans="1:8" x14ac:dyDescent="0.25">
      <c r="A62" s="301"/>
      <c r="B62" s="301"/>
      <c r="C62" s="301"/>
      <c r="D62" s="301"/>
      <c r="E62" s="303"/>
      <c r="F62" s="123" t="s">
        <v>169</v>
      </c>
      <c r="G62" s="123" t="s">
        <v>170</v>
      </c>
      <c r="H62" s="178" t="s">
        <v>171</v>
      </c>
    </row>
    <row r="63" spans="1:8" x14ac:dyDescent="0.25">
      <c r="A63" s="28" t="s">
        <v>33</v>
      </c>
      <c r="B63" s="353" t="s">
        <v>173</v>
      </c>
      <c r="C63" s="353"/>
      <c r="D63" s="353"/>
      <c r="E63" s="353"/>
      <c r="F63" s="353"/>
      <c r="G63" s="353"/>
      <c r="H63" s="124">
        <f>H64</f>
        <v>66.150000000000006</v>
      </c>
    </row>
    <row r="64" spans="1:8" x14ac:dyDescent="0.25">
      <c r="A64" s="29" t="s">
        <v>35</v>
      </c>
      <c r="B64" s="111">
        <v>100575</v>
      </c>
      <c r="C64" s="127" t="s">
        <v>174</v>
      </c>
      <c r="D64" s="30" t="s">
        <v>15</v>
      </c>
      <c r="E64" s="126">
        <f>'Memoria de Calculo '!C188</f>
        <v>94.5</v>
      </c>
      <c r="F64" s="126">
        <f>'COMPOSIÇÕES UNITÁRIAS SD'!$G$27</f>
        <v>0.56999999999999995</v>
      </c>
      <c r="G64" s="128">
        <f>ROUND(F64*1.2196,2)</f>
        <v>0.7</v>
      </c>
      <c r="H64" s="128">
        <f>ROUND(E64*G64,2)</f>
        <v>66.150000000000006</v>
      </c>
    </row>
    <row r="65" spans="1:8" x14ac:dyDescent="0.25">
      <c r="A65" s="321"/>
      <c r="B65" s="321"/>
      <c r="C65" s="321"/>
      <c r="D65" s="321"/>
      <c r="E65" s="321"/>
      <c r="F65" s="321"/>
      <c r="G65" s="321"/>
      <c r="H65" s="321"/>
    </row>
    <row r="66" spans="1:8" x14ac:dyDescent="0.25">
      <c r="A66" s="28" t="s">
        <v>175</v>
      </c>
      <c r="B66" s="353" t="s">
        <v>176</v>
      </c>
      <c r="C66" s="353"/>
      <c r="D66" s="353"/>
      <c r="E66" s="353"/>
      <c r="F66" s="353"/>
      <c r="G66" s="353"/>
      <c r="H66" s="124">
        <f>SUM(H67:H68)</f>
        <v>8271.59</v>
      </c>
    </row>
    <row r="67" spans="1:8" ht="22.5" x14ac:dyDescent="0.25">
      <c r="A67" s="29" t="s">
        <v>177</v>
      </c>
      <c r="B67" s="111" t="s">
        <v>256</v>
      </c>
      <c r="C67" s="127" t="s">
        <v>257</v>
      </c>
      <c r="D67" s="30" t="s">
        <v>15</v>
      </c>
      <c r="E67" s="126">
        <f>'Memoria de Calculo '!C194</f>
        <v>94.5</v>
      </c>
      <c r="F67" s="126">
        <f>'COMPOSIÇÕES UNITÁRIAS SD'!$G$34</f>
        <v>70.22</v>
      </c>
      <c r="G67" s="128">
        <f>ROUND(F67*1.2196,2)</f>
        <v>85.64</v>
      </c>
      <c r="H67" s="128">
        <f>ROUND(E67*G67,2)</f>
        <v>8092.98</v>
      </c>
    </row>
    <row r="68" spans="1:8" x14ac:dyDescent="0.25">
      <c r="A68" s="29" t="s">
        <v>324</v>
      </c>
      <c r="B68" s="111" t="s">
        <v>261</v>
      </c>
      <c r="C68" s="127" t="s">
        <v>344</v>
      </c>
      <c r="D68" s="30" t="s">
        <v>15</v>
      </c>
      <c r="E68" s="126">
        <f>'Memoria de Calculo '!C199</f>
        <v>94.5</v>
      </c>
      <c r="F68" s="126">
        <f>'COMPOSIÇÕES UNITÁRIAS SD'!$G$42</f>
        <v>1.55</v>
      </c>
      <c r="G68" s="128">
        <f>ROUND(F68*1.2196,2)</f>
        <v>1.89</v>
      </c>
      <c r="H68" s="128">
        <f>ROUND(E68*G68,2)</f>
        <v>178.61</v>
      </c>
    </row>
    <row r="69" spans="1:8" x14ac:dyDescent="0.25">
      <c r="A69" s="321"/>
      <c r="B69" s="321"/>
      <c r="C69" s="321"/>
      <c r="D69" s="321"/>
      <c r="E69" s="321"/>
      <c r="F69" s="321"/>
      <c r="G69" s="321"/>
      <c r="H69" s="321"/>
    </row>
    <row r="70" spans="1:8" x14ac:dyDescent="0.25">
      <c r="A70" s="28" t="s">
        <v>178</v>
      </c>
      <c r="B70" s="353" t="s">
        <v>179</v>
      </c>
      <c r="C70" s="353"/>
      <c r="D70" s="353"/>
      <c r="E70" s="353"/>
      <c r="F70" s="353"/>
      <c r="G70" s="353"/>
      <c r="H70" s="124">
        <f>SUM(H71:H72)</f>
        <v>3507.5299999999997</v>
      </c>
    </row>
    <row r="71" spans="1:8" ht="33.75" x14ac:dyDescent="0.25">
      <c r="A71" s="29" t="s">
        <v>180</v>
      </c>
      <c r="B71" s="111">
        <v>94273</v>
      </c>
      <c r="C71" s="127" t="s">
        <v>181</v>
      </c>
      <c r="D71" s="30" t="s">
        <v>182</v>
      </c>
      <c r="E71" s="126">
        <f>'Memoria de Calculo '!C206</f>
        <v>46.5</v>
      </c>
      <c r="F71" s="126">
        <f>'COMPOSIÇÕES UNITÁRIAS SD'!$G$47</f>
        <v>41.5</v>
      </c>
      <c r="G71" s="128">
        <f>ROUND(F71*1.2196,2)</f>
        <v>50.61</v>
      </c>
      <c r="H71" s="128">
        <f>ROUND(E71*G71,2)</f>
        <v>2353.37</v>
      </c>
    </row>
    <row r="72" spans="1:8" ht="22.5" x14ac:dyDescent="0.25">
      <c r="A72" s="29" t="s">
        <v>183</v>
      </c>
      <c r="B72" s="111" t="s">
        <v>273</v>
      </c>
      <c r="C72" s="127" t="s">
        <v>262</v>
      </c>
      <c r="D72" s="30" t="s">
        <v>182</v>
      </c>
      <c r="E72" s="126">
        <f>'Memoria de Calculo '!C211</f>
        <v>42</v>
      </c>
      <c r="F72" s="126">
        <f>'COMPOSIÇÕES UNITÁRIAS SD'!$G$55</f>
        <v>22.53</v>
      </c>
      <c r="G72" s="128">
        <f>ROUND(F72*1.2196,2)</f>
        <v>27.48</v>
      </c>
      <c r="H72" s="128">
        <f>ROUND(E72*G72,2)</f>
        <v>1154.1600000000001</v>
      </c>
    </row>
    <row r="73" spans="1:8" x14ac:dyDescent="0.25">
      <c r="A73" s="321"/>
      <c r="B73" s="321"/>
      <c r="C73" s="321"/>
      <c r="D73" s="321"/>
      <c r="E73" s="321"/>
      <c r="F73" s="321"/>
      <c r="G73" s="321"/>
      <c r="H73" s="321"/>
    </row>
    <row r="74" spans="1:8" x14ac:dyDescent="0.25">
      <c r="A74" s="28" t="s">
        <v>229</v>
      </c>
      <c r="B74" s="353" t="s">
        <v>227</v>
      </c>
      <c r="C74" s="353"/>
      <c r="D74" s="353"/>
      <c r="E74" s="353"/>
      <c r="F74" s="353"/>
      <c r="G74" s="353"/>
      <c r="H74" s="124">
        <f>SUM(H75:H76)</f>
        <v>1010.88</v>
      </c>
    </row>
    <row r="75" spans="1:8" ht="33.75" x14ac:dyDescent="0.25">
      <c r="A75" s="29" t="s">
        <v>230</v>
      </c>
      <c r="B75" s="111" t="s">
        <v>384</v>
      </c>
      <c r="C75" s="125" t="s">
        <v>391</v>
      </c>
      <c r="D75" s="30" t="s">
        <v>228</v>
      </c>
      <c r="E75" s="126">
        <f>'Memoria de Calculo '!C220</f>
        <v>450.08</v>
      </c>
      <c r="F75" s="126">
        <f>'COMPOSIÇÕES UNITÁRIAS SD'!$G$64</f>
        <v>1.61</v>
      </c>
      <c r="G75" s="128">
        <f>ROUND(F75*1.2196,2)</f>
        <v>1.96</v>
      </c>
      <c r="H75" s="128">
        <f>ROUND(E75*G75,2)</f>
        <v>882.16</v>
      </c>
    </row>
    <row r="76" spans="1:8" ht="33.75" x14ac:dyDescent="0.25">
      <c r="A76" s="29" t="s">
        <v>361</v>
      </c>
      <c r="B76" s="111" t="s">
        <v>385</v>
      </c>
      <c r="C76" s="125" t="s">
        <v>362</v>
      </c>
      <c r="D76" s="30" t="s">
        <v>228</v>
      </c>
      <c r="E76" s="126">
        <f>'Memoria de Calculo '!C228</f>
        <v>165.03</v>
      </c>
      <c r="F76" s="126">
        <f>'COMPOSIÇÕES UNITÁRIAS SD'!$G$69</f>
        <v>0.64</v>
      </c>
      <c r="G76" s="128">
        <f>ROUND(F76*1.2196,2)</f>
        <v>0.78</v>
      </c>
      <c r="H76" s="128">
        <f>ROUND(E76*G76,2)</f>
        <v>128.72</v>
      </c>
    </row>
    <row r="77" spans="1:8" x14ac:dyDescent="0.25">
      <c r="A77" s="321"/>
      <c r="B77" s="321"/>
      <c r="C77" s="321"/>
      <c r="D77" s="321"/>
      <c r="E77" s="321"/>
      <c r="F77" s="321"/>
      <c r="G77" s="321"/>
      <c r="H77" s="321"/>
    </row>
    <row r="78" spans="1:8" x14ac:dyDescent="0.25">
      <c r="A78" s="28" t="s">
        <v>258</v>
      </c>
      <c r="B78" s="353" t="s">
        <v>259</v>
      </c>
      <c r="C78" s="353"/>
      <c r="D78" s="353"/>
      <c r="E78" s="353"/>
      <c r="F78" s="353"/>
      <c r="G78" s="353"/>
      <c r="H78" s="124">
        <f>SUM(H79:H79)</f>
        <v>452.53</v>
      </c>
    </row>
    <row r="79" spans="1:8" ht="22.5" x14ac:dyDescent="0.25">
      <c r="A79" s="29" t="s">
        <v>260</v>
      </c>
      <c r="B79" s="111" t="s">
        <v>343</v>
      </c>
      <c r="C79" s="127" t="s">
        <v>332</v>
      </c>
      <c r="D79" s="30" t="s">
        <v>275</v>
      </c>
      <c r="E79" s="126">
        <f>'Memoria de Calculo '!C233</f>
        <v>1</v>
      </c>
      <c r="F79" s="126">
        <f>'COMPOSIÇÕES UNITÁRIAS SD'!$G$74</f>
        <v>371.05</v>
      </c>
      <c r="G79" s="128">
        <f>ROUND(F79*1.2196,2)</f>
        <v>452.53</v>
      </c>
      <c r="H79" s="128">
        <f>ROUND(E79*G79,2)</f>
        <v>452.53</v>
      </c>
    </row>
    <row r="80" spans="1:8" x14ac:dyDescent="0.25">
      <c r="A80" s="321"/>
      <c r="B80" s="321"/>
      <c r="C80" s="321"/>
      <c r="D80" s="321"/>
      <c r="E80" s="321"/>
      <c r="F80" s="321"/>
      <c r="G80" s="321"/>
      <c r="H80" s="321"/>
    </row>
    <row r="81" spans="1:8" x14ac:dyDescent="0.25">
      <c r="A81" s="352" t="s">
        <v>226</v>
      </c>
      <c r="B81" s="352"/>
      <c r="C81" s="352"/>
      <c r="D81" s="352"/>
      <c r="E81" s="352"/>
      <c r="F81" s="352"/>
      <c r="G81" s="352"/>
      <c r="H81" s="186">
        <f>SUM(H78,H74,H70,H66,H63)</f>
        <v>13308.679999999998</v>
      </c>
    </row>
    <row r="83" spans="1:8" x14ac:dyDescent="0.25">
      <c r="A83" s="240" t="s">
        <v>164</v>
      </c>
      <c r="B83" s="241" t="str">
        <f>'RESUMO SD '!B14</f>
        <v xml:space="preserve">RUA SÃO PEDRO </v>
      </c>
      <c r="C83" s="242"/>
      <c r="D83" s="239" t="s">
        <v>165</v>
      </c>
      <c r="E83" s="243">
        <v>5</v>
      </c>
      <c r="F83" s="244"/>
      <c r="G83" s="244"/>
      <c r="H83" s="238"/>
    </row>
    <row r="84" spans="1:8" x14ac:dyDescent="0.25">
      <c r="A84" s="131" t="s">
        <v>166</v>
      </c>
      <c r="B84" s="129">
        <f>E84*E83</f>
        <v>470</v>
      </c>
      <c r="C84" s="119"/>
      <c r="D84" s="120" t="s">
        <v>167</v>
      </c>
      <c r="E84" s="121">
        <v>94</v>
      </c>
      <c r="F84" s="122"/>
      <c r="G84" s="122"/>
      <c r="H84" s="187"/>
    </row>
    <row r="85" spans="1:8" x14ac:dyDescent="0.25">
      <c r="A85" s="300" t="s">
        <v>25</v>
      </c>
      <c r="B85" s="300" t="s">
        <v>92</v>
      </c>
      <c r="C85" s="300" t="s">
        <v>26</v>
      </c>
      <c r="D85" s="300" t="s">
        <v>27</v>
      </c>
      <c r="E85" s="302" t="s">
        <v>28</v>
      </c>
      <c r="F85" s="354" t="s">
        <v>168</v>
      </c>
      <c r="G85" s="355"/>
      <c r="H85" s="356"/>
    </row>
    <row r="86" spans="1:8" x14ac:dyDescent="0.25">
      <c r="A86" s="301"/>
      <c r="B86" s="301"/>
      <c r="C86" s="301"/>
      <c r="D86" s="301"/>
      <c r="E86" s="303"/>
      <c r="F86" s="123" t="s">
        <v>169</v>
      </c>
      <c r="G86" s="123" t="s">
        <v>170</v>
      </c>
      <c r="H86" s="178" t="s">
        <v>171</v>
      </c>
    </row>
    <row r="87" spans="1:8" x14ac:dyDescent="0.25">
      <c r="A87" s="28" t="s">
        <v>33</v>
      </c>
      <c r="B87" s="353" t="s">
        <v>173</v>
      </c>
      <c r="C87" s="353"/>
      <c r="D87" s="353"/>
      <c r="E87" s="353"/>
      <c r="F87" s="353"/>
      <c r="G87" s="353"/>
      <c r="H87" s="124">
        <f>H88</f>
        <v>329</v>
      </c>
    </row>
    <row r="88" spans="1:8" x14ac:dyDescent="0.25">
      <c r="A88" s="29" t="s">
        <v>35</v>
      </c>
      <c r="B88" s="111">
        <v>100575</v>
      </c>
      <c r="C88" s="127" t="s">
        <v>174</v>
      </c>
      <c r="D88" s="30" t="s">
        <v>15</v>
      </c>
      <c r="E88" s="126">
        <f>'Memoria de Calculo '!C259</f>
        <v>470</v>
      </c>
      <c r="F88" s="126">
        <f>'COMPOSIÇÕES UNITÁRIAS SD'!$G$27</f>
        <v>0.56999999999999995</v>
      </c>
      <c r="G88" s="128">
        <f>ROUND(F88*1.2196,2)</f>
        <v>0.7</v>
      </c>
      <c r="H88" s="128">
        <f>ROUND(E88*G88,2)</f>
        <v>329</v>
      </c>
    </row>
    <row r="89" spans="1:8" x14ac:dyDescent="0.25">
      <c r="A89" s="321"/>
      <c r="B89" s="321"/>
      <c r="C89" s="321"/>
      <c r="D89" s="321"/>
      <c r="E89" s="321"/>
      <c r="F89" s="321"/>
      <c r="G89" s="321"/>
      <c r="H89" s="321"/>
    </row>
    <row r="90" spans="1:8" x14ac:dyDescent="0.25">
      <c r="A90" s="28" t="s">
        <v>175</v>
      </c>
      <c r="B90" s="353" t="s">
        <v>176</v>
      </c>
      <c r="C90" s="353"/>
      <c r="D90" s="353"/>
      <c r="E90" s="353"/>
      <c r="F90" s="353"/>
      <c r="G90" s="353"/>
      <c r="H90" s="124">
        <f>SUM(H91:H92)</f>
        <v>41139.100000000006</v>
      </c>
    </row>
    <row r="91" spans="1:8" ht="22.5" x14ac:dyDescent="0.25">
      <c r="A91" s="29" t="s">
        <v>177</v>
      </c>
      <c r="B91" s="111" t="s">
        <v>256</v>
      </c>
      <c r="C91" s="127" t="s">
        <v>257</v>
      </c>
      <c r="D91" s="30" t="s">
        <v>15</v>
      </c>
      <c r="E91" s="126">
        <f>'Memoria de Calculo '!C265</f>
        <v>470</v>
      </c>
      <c r="F91" s="126">
        <f>'COMPOSIÇÕES UNITÁRIAS SD'!$G$34</f>
        <v>70.22</v>
      </c>
      <c r="G91" s="128">
        <f>ROUND(F91*1.2196,2)</f>
        <v>85.64</v>
      </c>
      <c r="H91" s="128">
        <f>ROUND(E91*G91,2)</f>
        <v>40250.800000000003</v>
      </c>
    </row>
    <row r="92" spans="1:8" x14ac:dyDescent="0.25">
      <c r="A92" s="29" t="s">
        <v>324</v>
      </c>
      <c r="B92" s="111" t="s">
        <v>261</v>
      </c>
      <c r="C92" s="127" t="s">
        <v>344</v>
      </c>
      <c r="D92" s="30" t="s">
        <v>15</v>
      </c>
      <c r="E92" s="126">
        <f>'Memoria de Calculo '!C270</f>
        <v>470</v>
      </c>
      <c r="F92" s="126">
        <f>'COMPOSIÇÕES UNITÁRIAS SD'!$G$42</f>
        <v>1.55</v>
      </c>
      <c r="G92" s="128">
        <f>ROUND(F92*1.2196,2)</f>
        <v>1.89</v>
      </c>
      <c r="H92" s="128">
        <f>ROUND(E92*G92,2)</f>
        <v>888.3</v>
      </c>
    </row>
    <row r="93" spans="1:8" x14ac:dyDescent="0.25">
      <c r="A93" s="321"/>
      <c r="B93" s="321"/>
      <c r="C93" s="321"/>
      <c r="D93" s="321"/>
      <c r="E93" s="321"/>
      <c r="F93" s="321"/>
      <c r="G93" s="321"/>
      <c r="H93" s="321"/>
    </row>
    <row r="94" spans="1:8" x14ac:dyDescent="0.25">
      <c r="A94" s="28" t="s">
        <v>178</v>
      </c>
      <c r="B94" s="353" t="s">
        <v>179</v>
      </c>
      <c r="C94" s="353"/>
      <c r="D94" s="353"/>
      <c r="E94" s="353"/>
      <c r="F94" s="353"/>
      <c r="G94" s="353"/>
      <c r="H94" s="124">
        <f>SUM(H95:H96)</f>
        <v>14933.97</v>
      </c>
    </row>
    <row r="95" spans="1:8" ht="33.75" x14ac:dyDescent="0.25">
      <c r="A95" s="29" t="s">
        <v>180</v>
      </c>
      <c r="B95" s="111">
        <v>94273</v>
      </c>
      <c r="C95" s="127" t="s">
        <v>181</v>
      </c>
      <c r="D95" s="30" t="s">
        <v>182</v>
      </c>
      <c r="E95" s="126">
        <f>'Memoria de Calculo '!C277</f>
        <v>193</v>
      </c>
      <c r="F95" s="126">
        <f>'COMPOSIÇÕES UNITÁRIAS SD'!$G$47</f>
        <v>41.5</v>
      </c>
      <c r="G95" s="128">
        <f>ROUND(F95*1.2196,2)</f>
        <v>50.61</v>
      </c>
      <c r="H95" s="128">
        <f>ROUND(E95*G95,2)</f>
        <v>9767.73</v>
      </c>
    </row>
    <row r="96" spans="1:8" ht="22.5" x14ac:dyDescent="0.25">
      <c r="A96" s="29" t="s">
        <v>183</v>
      </c>
      <c r="B96" s="111" t="s">
        <v>273</v>
      </c>
      <c r="C96" s="127" t="s">
        <v>262</v>
      </c>
      <c r="D96" s="30" t="s">
        <v>182</v>
      </c>
      <c r="E96" s="126">
        <f>'Memoria de Calculo '!C282</f>
        <v>188</v>
      </c>
      <c r="F96" s="126">
        <f>'COMPOSIÇÕES UNITÁRIAS SD'!$G$55</f>
        <v>22.53</v>
      </c>
      <c r="G96" s="128">
        <f>ROUND(F96*1.2196,2)</f>
        <v>27.48</v>
      </c>
      <c r="H96" s="128">
        <f>ROUND(E96*G96,2)</f>
        <v>5166.24</v>
      </c>
    </row>
    <row r="97" spans="1:8" x14ac:dyDescent="0.25">
      <c r="A97" s="321"/>
      <c r="B97" s="321"/>
      <c r="C97" s="321"/>
      <c r="D97" s="321"/>
      <c r="E97" s="321"/>
      <c r="F97" s="321"/>
      <c r="G97" s="321"/>
      <c r="H97" s="321"/>
    </row>
    <row r="98" spans="1:8" x14ac:dyDescent="0.25">
      <c r="A98" s="28" t="s">
        <v>229</v>
      </c>
      <c r="B98" s="353" t="s">
        <v>227</v>
      </c>
      <c r="C98" s="353"/>
      <c r="D98" s="353"/>
      <c r="E98" s="353"/>
      <c r="F98" s="353"/>
      <c r="G98" s="353"/>
      <c r="H98" s="124">
        <f>SUM(H99:H100)</f>
        <v>5144.12</v>
      </c>
    </row>
    <row r="99" spans="1:8" ht="33.75" x14ac:dyDescent="0.25">
      <c r="A99" s="29" t="s">
        <v>230</v>
      </c>
      <c r="B99" s="111" t="s">
        <v>384</v>
      </c>
      <c r="C99" s="125" t="s">
        <v>391</v>
      </c>
      <c r="D99" s="30" t="s">
        <v>228</v>
      </c>
      <c r="E99" s="126">
        <f>'Memoria de Calculo '!C291</f>
        <v>2238.52</v>
      </c>
      <c r="F99" s="126">
        <f>'COMPOSIÇÕES UNITÁRIAS SD'!$G$64</f>
        <v>1.61</v>
      </c>
      <c r="G99" s="128">
        <f>ROUND(F99*1.2196,2)</f>
        <v>1.96</v>
      </c>
      <c r="H99" s="128">
        <f>ROUND(E99*G99,2)</f>
        <v>4387.5</v>
      </c>
    </row>
    <row r="100" spans="1:8" ht="33.75" x14ac:dyDescent="0.25">
      <c r="A100" s="29" t="s">
        <v>361</v>
      </c>
      <c r="B100" s="111" t="s">
        <v>385</v>
      </c>
      <c r="C100" s="125" t="s">
        <v>362</v>
      </c>
      <c r="D100" s="30" t="s">
        <v>228</v>
      </c>
      <c r="E100" s="126">
        <f>'Memoria de Calculo '!C299</f>
        <v>970.02</v>
      </c>
      <c r="F100" s="126">
        <f>'COMPOSIÇÕES UNITÁRIAS SD'!$G$69</f>
        <v>0.64</v>
      </c>
      <c r="G100" s="128">
        <f>ROUND(F100*1.2196,2)</f>
        <v>0.78</v>
      </c>
      <c r="H100" s="128">
        <f>ROUND(E100*G100,2)</f>
        <v>756.62</v>
      </c>
    </row>
    <row r="101" spans="1:8" x14ac:dyDescent="0.25">
      <c r="A101" s="321"/>
      <c r="B101" s="321"/>
      <c r="C101" s="321"/>
      <c r="D101" s="321"/>
      <c r="E101" s="321"/>
      <c r="F101" s="321"/>
      <c r="G101" s="321"/>
      <c r="H101" s="321"/>
    </row>
    <row r="102" spans="1:8" x14ac:dyDescent="0.25">
      <c r="A102" s="28" t="s">
        <v>258</v>
      </c>
      <c r="B102" s="353" t="s">
        <v>259</v>
      </c>
      <c r="C102" s="353"/>
      <c r="D102" s="353"/>
      <c r="E102" s="353"/>
      <c r="F102" s="353"/>
      <c r="G102" s="353"/>
      <c r="H102" s="124">
        <f>SUM(H103:H103)</f>
        <v>452.53</v>
      </c>
    </row>
    <row r="103" spans="1:8" ht="22.5" x14ac:dyDescent="0.25">
      <c r="A103" s="29" t="s">
        <v>260</v>
      </c>
      <c r="B103" s="111" t="s">
        <v>343</v>
      </c>
      <c r="C103" s="127" t="s">
        <v>332</v>
      </c>
      <c r="D103" s="30" t="s">
        <v>275</v>
      </c>
      <c r="E103" s="126">
        <f>'Memoria de Calculo '!C304</f>
        <v>1</v>
      </c>
      <c r="F103" s="126">
        <f>'COMPOSIÇÕES UNITÁRIAS SD'!$G$74</f>
        <v>371.05</v>
      </c>
      <c r="G103" s="128">
        <f>ROUND(F103*1.2196,2)</f>
        <v>452.53</v>
      </c>
      <c r="H103" s="128">
        <f>ROUND(E103*G103,2)</f>
        <v>452.53</v>
      </c>
    </row>
    <row r="104" spans="1:8" x14ac:dyDescent="0.25">
      <c r="A104" s="321"/>
      <c r="B104" s="321"/>
      <c r="C104" s="321"/>
      <c r="D104" s="321"/>
      <c r="E104" s="321"/>
      <c r="F104" s="321"/>
      <c r="G104" s="321"/>
      <c r="H104" s="321"/>
    </row>
    <row r="105" spans="1:8" x14ac:dyDescent="0.25">
      <c r="A105" s="352" t="s">
        <v>226</v>
      </c>
      <c r="B105" s="352"/>
      <c r="C105" s="352"/>
      <c r="D105" s="352"/>
      <c r="E105" s="352"/>
      <c r="F105" s="352"/>
      <c r="G105" s="352"/>
      <c r="H105" s="186">
        <f>SUM(H102,H98,H94,H90,H87)</f>
        <v>61998.720000000001</v>
      </c>
    </row>
    <row r="107" spans="1:8" x14ac:dyDescent="0.25">
      <c r="A107" s="240" t="s">
        <v>164</v>
      </c>
      <c r="B107" s="241" t="str">
        <f>'RESUMO SD '!B15</f>
        <v xml:space="preserve">RUA DO SAQUIM </v>
      </c>
      <c r="C107" s="242"/>
      <c r="D107" s="239" t="s">
        <v>165</v>
      </c>
      <c r="E107" s="243">
        <v>6</v>
      </c>
      <c r="F107" s="244"/>
      <c r="G107" s="244"/>
      <c r="H107" s="238"/>
    </row>
    <row r="108" spans="1:8" x14ac:dyDescent="0.25">
      <c r="A108" s="131" t="s">
        <v>166</v>
      </c>
      <c r="B108" s="129">
        <f>E108*E107</f>
        <v>900</v>
      </c>
      <c r="C108" s="119"/>
      <c r="D108" s="120" t="s">
        <v>167</v>
      </c>
      <c r="E108" s="121">
        <v>150</v>
      </c>
      <c r="F108" s="122"/>
      <c r="G108" s="122"/>
      <c r="H108" s="187"/>
    </row>
    <row r="109" spans="1:8" x14ac:dyDescent="0.25">
      <c r="A109" s="300" t="s">
        <v>25</v>
      </c>
      <c r="B109" s="300" t="s">
        <v>92</v>
      </c>
      <c r="C109" s="300" t="s">
        <v>26</v>
      </c>
      <c r="D109" s="300" t="s">
        <v>27</v>
      </c>
      <c r="E109" s="302" t="s">
        <v>28</v>
      </c>
      <c r="F109" s="354" t="s">
        <v>168</v>
      </c>
      <c r="G109" s="355"/>
      <c r="H109" s="356"/>
    </row>
    <row r="110" spans="1:8" x14ac:dyDescent="0.25">
      <c r="A110" s="301"/>
      <c r="B110" s="301"/>
      <c r="C110" s="301"/>
      <c r="D110" s="301"/>
      <c r="E110" s="303"/>
      <c r="F110" s="123" t="s">
        <v>169</v>
      </c>
      <c r="G110" s="123" t="s">
        <v>170</v>
      </c>
      <c r="H110" s="178" t="s">
        <v>171</v>
      </c>
    </row>
    <row r="111" spans="1:8" x14ac:dyDescent="0.25">
      <c r="A111" s="28" t="s">
        <v>33</v>
      </c>
      <c r="B111" s="353" t="s">
        <v>173</v>
      </c>
      <c r="C111" s="353"/>
      <c r="D111" s="353"/>
      <c r="E111" s="353"/>
      <c r="F111" s="353"/>
      <c r="G111" s="353"/>
      <c r="H111" s="124">
        <f>H112</f>
        <v>630</v>
      </c>
    </row>
    <row r="112" spans="1:8" x14ac:dyDescent="0.25">
      <c r="A112" s="29" t="s">
        <v>35</v>
      </c>
      <c r="B112" s="111">
        <v>100575</v>
      </c>
      <c r="C112" s="127" t="s">
        <v>174</v>
      </c>
      <c r="D112" s="30" t="s">
        <v>15</v>
      </c>
      <c r="E112" s="126">
        <f>'Memoria de Calculo '!C330</f>
        <v>900</v>
      </c>
      <c r="F112" s="126">
        <f>'COMPOSIÇÕES UNITÁRIAS SD'!$G$27</f>
        <v>0.56999999999999995</v>
      </c>
      <c r="G112" s="128">
        <f>ROUND(F112*1.2196,2)</f>
        <v>0.7</v>
      </c>
      <c r="H112" s="128">
        <f>ROUND(E112*G112,2)</f>
        <v>630</v>
      </c>
    </row>
    <row r="113" spans="1:8" x14ac:dyDescent="0.25">
      <c r="A113" s="321"/>
      <c r="B113" s="321"/>
      <c r="C113" s="321"/>
      <c r="D113" s="321"/>
      <c r="E113" s="321"/>
      <c r="F113" s="321"/>
      <c r="G113" s="321"/>
      <c r="H113" s="321"/>
    </row>
    <row r="114" spans="1:8" x14ac:dyDescent="0.25">
      <c r="A114" s="28" t="s">
        <v>175</v>
      </c>
      <c r="B114" s="353" t="s">
        <v>176</v>
      </c>
      <c r="C114" s="353"/>
      <c r="D114" s="353"/>
      <c r="E114" s="353"/>
      <c r="F114" s="353"/>
      <c r="G114" s="353"/>
      <c r="H114" s="124">
        <f>SUM(H115:H116)</f>
        <v>78777</v>
      </c>
    </row>
    <row r="115" spans="1:8" ht="22.5" x14ac:dyDescent="0.25">
      <c r="A115" s="29" t="s">
        <v>177</v>
      </c>
      <c r="B115" s="111" t="s">
        <v>256</v>
      </c>
      <c r="C115" s="127" t="s">
        <v>257</v>
      </c>
      <c r="D115" s="30" t="s">
        <v>15</v>
      </c>
      <c r="E115" s="126">
        <f>'Memoria de Calculo '!C336</f>
        <v>900</v>
      </c>
      <c r="F115" s="126">
        <f>'COMPOSIÇÕES UNITÁRIAS SD'!$G$34</f>
        <v>70.22</v>
      </c>
      <c r="G115" s="128">
        <f>ROUND(F115*1.2196,2)</f>
        <v>85.64</v>
      </c>
      <c r="H115" s="128">
        <f>ROUND(E115*G115,2)</f>
        <v>77076</v>
      </c>
    </row>
    <row r="116" spans="1:8" x14ac:dyDescent="0.25">
      <c r="A116" s="29" t="s">
        <v>324</v>
      </c>
      <c r="B116" s="111" t="s">
        <v>261</v>
      </c>
      <c r="C116" s="127" t="s">
        <v>344</v>
      </c>
      <c r="D116" s="30" t="s">
        <v>15</v>
      </c>
      <c r="E116" s="126">
        <f>'Memoria de Calculo '!C341</f>
        <v>900</v>
      </c>
      <c r="F116" s="126">
        <f>'COMPOSIÇÕES UNITÁRIAS SD'!$G$42</f>
        <v>1.55</v>
      </c>
      <c r="G116" s="128">
        <f>ROUND(F116*1.2196,2)</f>
        <v>1.89</v>
      </c>
      <c r="H116" s="128">
        <f>ROUND(E116*G116,2)</f>
        <v>1701</v>
      </c>
    </row>
    <row r="117" spans="1:8" x14ac:dyDescent="0.25">
      <c r="A117" s="321"/>
      <c r="B117" s="321"/>
      <c r="C117" s="321"/>
      <c r="D117" s="321"/>
      <c r="E117" s="321"/>
      <c r="F117" s="321"/>
      <c r="G117" s="321"/>
      <c r="H117" s="321"/>
    </row>
    <row r="118" spans="1:8" x14ac:dyDescent="0.25">
      <c r="A118" s="28" t="s">
        <v>178</v>
      </c>
      <c r="B118" s="353" t="s">
        <v>179</v>
      </c>
      <c r="C118" s="353"/>
      <c r="D118" s="353"/>
      <c r="E118" s="353"/>
      <c r="F118" s="353"/>
      <c r="G118" s="353"/>
      <c r="H118" s="124">
        <f>SUM(H119:H120)</f>
        <v>23730.66</v>
      </c>
    </row>
    <row r="119" spans="1:8" ht="33.75" x14ac:dyDescent="0.25">
      <c r="A119" s="29" t="s">
        <v>180</v>
      </c>
      <c r="B119" s="111">
        <v>94273</v>
      </c>
      <c r="C119" s="127" t="s">
        <v>181</v>
      </c>
      <c r="D119" s="30" t="s">
        <v>182</v>
      </c>
      <c r="E119" s="126">
        <f>'Memoria de Calculo '!C348</f>
        <v>306</v>
      </c>
      <c r="F119" s="126">
        <f>'COMPOSIÇÕES UNITÁRIAS SD'!$G$47</f>
        <v>41.5</v>
      </c>
      <c r="G119" s="128">
        <f>ROUND(F119*1.2196,2)</f>
        <v>50.61</v>
      </c>
      <c r="H119" s="128">
        <f>ROUND(E119*G119,2)</f>
        <v>15486.66</v>
      </c>
    </row>
    <row r="120" spans="1:8" ht="22.5" x14ac:dyDescent="0.25">
      <c r="A120" s="29" t="s">
        <v>183</v>
      </c>
      <c r="B120" s="111" t="s">
        <v>273</v>
      </c>
      <c r="C120" s="127" t="s">
        <v>262</v>
      </c>
      <c r="D120" s="30" t="s">
        <v>182</v>
      </c>
      <c r="E120" s="126">
        <f>'Memoria de Calculo '!C353</f>
        <v>300</v>
      </c>
      <c r="F120" s="126">
        <f>'COMPOSIÇÕES UNITÁRIAS SD'!$G$55</f>
        <v>22.53</v>
      </c>
      <c r="G120" s="128">
        <f>ROUND(F120*1.2196,2)</f>
        <v>27.48</v>
      </c>
      <c r="H120" s="128">
        <f>ROUND(E120*G120,2)</f>
        <v>8244</v>
      </c>
    </row>
    <row r="121" spans="1:8" x14ac:dyDescent="0.25">
      <c r="A121" s="321"/>
      <c r="B121" s="321"/>
      <c r="C121" s="321"/>
      <c r="D121" s="321"/>
      <c r="E121" s="321"/>
      <c r="F121" s="321"/>
      <c r="G121" s="321"/>
      <c r="H121" s="321"/>
    </row>
    <row r="122" spans="1:8" x14ac:dyDescent="0.25">
      <c r="A122" s="28" t="s">
        <v>229</v>
      </c>
      <c r="B122" s="353" t="s">
        <v>227</v>
      </c>
      <c r="C122" s="353"/>
      <c r="D122" s="353"/>
      <c r="E122" s="353"/>
      <c r="F122" s="353"/>
      <c r="G122" s="353"/>
      <c r="H122" s="124">
        <f>SUM(H123:H124)</f>
        <v>9293.17</v>
      </c>
    </row>
    <row r="123" spans="1:8" ht="33.75" x14ac:dyDescent="0.25">
      <c r="A123" s="29" t="s">
        <v>230</v>
      </c>
      <c r="B123" s="111" t="s">
        <v>384</v>
      </c>
      <c r="C123" s="125" t="s">
        <v>391</v>
      </c>
      <c r="D123" s="30" t="s">
        <v>228</v>
      </c>
      <c r="E123" s="126">
        <f>'Memoria de Calculo '!C362</f>
        <v>4286.5200000000004</v>
      </c>
      <c r="F123" s="126">
        <f>'COMPOSIÇÕES UNITÁRIAS SD'!$G$64</f>
        <v>1.61</v>
      </c>
      <c r="G123" s="128">
        <f>ROUND(F123*1.2196,2)</f>
        <v>1.96</v>
      </c>
      <c r="H123" s="128">
        <f>ROUND(E123*G123,2)</f>
        <v>8401.58</v>
      </c>
    </row>
    <row r="124" spans="1:8" ht="33.75" x14ac:dyDescent="0.25">
      <c r="A124" s="29" t="s">
        <v>361</v>
      </c>
      <c r="B124" s="111" t="s">
        <v>385</v>
      </c>
      <c r="C124" s="125" t="s">
        <v>362</v>
      </c>
      <c r="D124" s="30" t="s">
        <v>228</v>
      </c>
      <c r="E124" s="126">
        <f>'Memoria de Calculo '!C370</f>
        <v>1143.07</v>
      </c>
      <c r="F124" s="126">
        <f>'COMPOSIÇÕES UNITÁRIAS SD'!$G$69</f>
        <v>0.64</v>
      </c>
      <c r="G124" s="128">
        <f>ROUND(F124*1.2196,2)</f>
        <v>0.78</v>
      </c>
      <c r="H124" s="128">
        <f>ROUND(E124*G124,2)</f>
        <v>891.59</v>
      </c>
    </row>
    <row r="125" spans="1:8" x14ac:dyDescent="0.25">
      <c r="A125" s="321"/>
      <c r="B125" s="321"/>
      <c r="C125" s="321"/>
      <c r="D125" s="321"/>
      <c r="E125" s="321"/>
      <c r="F125" s="321"/>
      <c r="G125" s="321"/>
      <c r="H125" s="321"/>
    </row>
    <row r="126" spans="1:8" x14ac:dyDescent="0.25">
      <c r="A126" s="28" t="s">
        <v>258</v>
      </c>
      <c r="B126" s="353" t="s">
        <v>259</v>
      </c>
      <c r="C126" s="353"/>
      <c r="D126" s="353"/>
      <c r="E126" s="353"/>
      <c r="F126" s="353"/>
      <c r="G126" s="353"/>
      <c r="H126" s="124">
        <f>SUM(H127:H127)</f>
        <v>452.53</v>
      </c>
    </row>
    <row r="127" spans="1:8" ht="22.5" x14ac:dyDescent="0.25">
      <c r="A127" s="29" t="s">
        <v>260</v>
      </c>
      <c r="B127" s="111" t="s">
        <v>343</v>
      </c>
      <c r="C127" s="127" t="s">
        <v>332</v>
      </c>
      <c r="D127" s="30" t="s">
        <v>275</v>
      </c>
      <c r="E127" s="126">
        <f>'Memoria de Calculo '!C375</f>
        <v>1</v>
      </c>
      <c r="F127" s="126">
        <f>'COMPOSIÇÕES UNITÁRIAS SD'!$G$74</f>
        <v>371.05</v>
      </c>
      <c r="G127" s="128">
        <f>ROUND(F127*1.2196,2)</f>
        <v>452.53</v>
      </c>
      <c r="H127" s="128">
        <f>ROUND(E127*G127,2)</f>
        <v>452.53</v>
      </c>
    </row>
    <row r="128" spans="1:8" x14ac:dyDescent="0.25">
      <c r="A128" s="321"/>
      <c r="B128" s="321"/>
      <c r="C128" s="321"/>
      <c r="D128" s="321"/>
      <c r="E128" s="321"/>
      <c r="F128" s="321"/>
      <c r="G128" s="321"/>
      <c r="H128" s="321"/>
    </row>
    <row r="129" spans="1:8" x14ac:dyDescent="0.25">
      <c r="A129" s="352" t="s">
        <v>226</v>
      </c>
      <c r="B129" s="352"/>
      <c r="C129" s="352"/>
      <c r="D129" s="352"/>
      <c r="E129" s="352"/>
      <c r="F129" s="352"/>
      <c r="G129" s="352"/>
      <c r="H129" s="186">
        <f>SUM(H126,H122,H118,H114,H111)</f>
        <v>112883.36</v>
      </c>
    </row>
    <row r="131" spans="1:8" x14ac:dyDescent="0.25">
      <c r="A131" s="240" t="s">
        <v>164</v>
      </c>
      <c r="B131" s="241" t="str">
        <f>'RESUMO SD '!B16</f>
        <v xml:space="preserve">RUA DO PAIOL AO BREJO DE BAIXO </v>
      </c>
      <c r="C131" s="242"/>
      <c r="D131" s="239" t="s">
        <v>165</v>
      </c>
      <c r="E131" s="243">
        <v>6</v>
      </c>
      <c r="F131" s="244"/>
      <c r="G131" s="244"/>
      <c r="H131" s="238"/>
    </row>
    <row r="132" spans="1:8" x14ac:dyDescent="0.25">
      <c r="A132" s="131" t="s">
        <v>166</v>
      </c>
      <c r="B132" s="129">
        <f>E132*E131</f>
        <v>2262</v>
      </c>
      <c r="C132" s="119"/>
      <c r="D132" s="120" t="s">
        <v>167</v>
      </c>
      <c r="E132" s="121">
        <v>377</v>
      </c>
      <c r="F132" s="122"/>
      <c r="G132" s="122"/>
      <c r="H132" s="187"/>
    </row>
    <row r="133" spans="1:8" x14ac:dyDescent="0.25">
      <c r="A133" s="300" t="s">
        <v>25</v>
      </c>
      <c r="B133" s="300" t="s">
        <v>92</v>
      </c>
      <c r="C133" s="300" t="s">
        <v>26</v>
      </c>
      <c r="D133" s="300" t="s">
        <v>27</v>
      </c>
      <c r="E133" s="302" t="s">
        <v>28</v>
      </c>
      <c r="F133" s="354" t="s">
        <v>168</v>
      </c>
      <c r="G133" s="355"/>
      <c r="H133" s="356"/>
    </row>
    <row r="134" spans="1:8" x14ac:dyDescent="0.25">
      <c r="A134" s="301"/>
      <c r="B134" s="301"/>
      <c r="C134" s="301"/>
      <c r="D134" s="301"/>
      <c r="E134" s="303"/>
      <c r="F134" s="123" t="s">
        <v>169</v>
      </c>
      <c r="G134" s="123" t="s">
        <v>170</v>
      </c>
      <c r="H134" s="178" t="s">
        <v>171</v>
      </c>
    </row>
    <row r="135" spans="1:8" x14ac:dyDescent="0.25">
      <c r="A135" s="28" t="s">
        <v>33</v>
      </c>
      <c r="B135" s="353" t="s">
        <v>173</v>
      </c>
      <c r="C135" s="353"/>
      <c r="D135" s="353"/>
      <c r="E135" s="353"/>
      <c r="F135" s="353"/>
      <c r="G135" s="353"/>
      <c r="H135" s="124">
        <f>H136</f>
        <v>1583.4</v>
      </c>
    </row>
    <row r="136" spans="1:8" x14ac:dyDescent="0.25">
      <c r="A136" s="29" t="s">
        <v>35</v>
      </c>
      <c r="B136" s="111">
        <v>100575</v>
      </c>
      <c r="C136" s="127" t="s">
        <v>174</v>
      </c>
      <c r="D136" s="30" t="s">
        <v>15</v>
      </c>
      <c r="E136" s="126">
        <f>'Memoria de Calculo '!C401</f>
        <v>2262</v>
      </c>
      <c r="F136" s="126">
        <f>'COMPOSIÇÕES UNITÁRIAS SD'!$G$27</f>
        <v>0.56999999999999995</v>
      </c>
      <c r="G136" s="128">
        <f>ROUND(F136*1.2196,2)</f>
        <v>0.7</v>
      </c>
      <c r="H136" s="128">
        <f>ROUND(E136*G136,2)</f>
        <v>1583.4</v>
      </c>
    </row>
    <row r="137" spans="1:8" x14ac:dyDescent="0.25">
      <c r="A137" s="321"/>
      <c r="B137" s="321"/>
      <c r="C137" s="321"/>
      <c r="D137" s="321"/>
      <c r="E137" s="321"/>
      <c r="F137" s="321"/>
      <c r="G137" s="321"/>
      <c r="H137" s="321"/>
    </row>
    <row r="138" spans="1:8" x14ac:dyDescent="0.25">
      <c r="A138" s="28" t="s">
        <v>175</v>
      </c>
      <c r="B138" s="353" t="s">
        <v>176</v>
      </c>
      <c r="C138" s="353"/>
      <c r="D138" s="353"/>
      <c r="E138" s="353"/>
      <c r="F138" s="353"/>
      <c r="G138" s="353"/>
      <c r="H138" s="124">
        <f>SUM(H139:H140)</f>
        <v>197992.86</v>
      </c>
    </row>
    <row r="139" spans="1:8" ht="22.5" x14ac:dyDescent="0.25">
      <c r="A139" s="29" t="s">
        <v>177</v>
      </c>
      <c r="B139" s="111" t="s">
        <v>256</v>
      </c>
      <c r="C139" s="127" t="s">
        <v>257</v>
      </c>
      <c r="D139" s="30" t="s">
        <v>15</v>
      </c>
      <c r="E139" s="126">
        <f>'Memoria de Calculo '!C407</f>
        <v>2262</v>
      </c>
      <c r="F139" s="126">
        <f>'COMPOSIÇÕES UNITÁRIAS SD'!$G$34</f>
        <v>70.22</v>
      </c>
      <c r="G139" s="128">
        <f>ROUND(F139*1.2196,2)</f>
        <v>85.64</v>
      </c>
      <c r="H139" s="128">
        <f>ROUND(E139*G139,2)</f>
        <v>193717.68</v>
      </c>
    </row>
    <row r="140" spans="1:8" x14ac:dyDescent="0.25">
      <c r="A140" s="29" t="s">
        <v>324</v>
      </c>
      <c r="B140" s="111" t="s">
        <v>261</v>
      </c>
      <c r="C140" s="127" t="s">
        <v>344</v>
      </c>
      <c r="D140" s="30" t="s">
        <v>15</v>
      </c>
      <c r="E140" s="126">
        <f>'Memoria de Calculo '!C412</f>
        <v>2262</v>
      </c>
      <c r="F140" s="126">
        <f>'COMPOSIÇÕES UNITÁRIAS SD'!$G$42</f>
        <v>1.55</v>
      </c>
      <c r="G140" s="128">
        <f>ROUND(F140*1.2196,2)</f>
        <v>1.89</v>
      </c>
      <c r="H140" s="128">
        <f>ROUND(E140*G140,2)</f>
        <v>4275.18</v>
      </c>
    </row>
    <row r="141" spans="1:8" x14ac:dyDescent="0.25">
      <c r="A141" s="321"/>
      <c r="B141" s="321"/>
      <c r="C141" s="321"/>
      <c r="D141" s="321"/>
      <c r="E141" s="321"/>
      <c r="F141" s="321"/>
      <c r="G141" s="321"/>
      <c r="H141" s="321"/>
    </row>
    <row r="142" spans="1:8" x14ac:dyDescent="0.25">
      <c r="A142" s="28" t="s">
        <v>178</v>
      </c>
      <c r="B142" s="353" t="s">
        <v>179</v>
      </c>
      <c r="C142" s="353"/>
      <c r="D142" s="353"/>
      <c r="E142" s="353"/>
      <c r="F142" s="353"/>
      <c r="G142" s="353"/>
      <c r="H142" s="124">
        <f>SUM(H143:H144)</f>
        <v>59183.519999999997</v>
      </c>
    </row>
    <row r="143" spans="1:8" ht="33.75" x14ac:dyDescent="0.25">
      <c r="A143" s="29" t="s">
        <v>180</v>
      </c>
      <c r="B143" s="111">
        <v>94273</v>
      </c>
      <c r="C143" s="127" t="s">
        <v>181</v>
      </c>
      <c r="D143" s="30" t="s">
        <v>182</v>
      </c>
      <c r="E143" s="126">
        <f>'Memoria de Calculo '!C419</f>
        <v>760</v>
      </c>
      <c r="F143" s="126">
        <f>'COMPOSIÇÕES UNITÁRIAS SD'!$G$47</f>
        <v>41.5</v>
      </c>
      <c r="G143" s="128">
        <f>ROUND(F143*1.2196,2)</f>
        <v>50.61</v>
      </c>
      <c r="H143" s="128">
        <f>ROUND(E143*G143,2)</f>
        <v>38463.599999999999</v>
      </c>
    </row>
    <row r="144" spans="1:8" ht="22.5" x14ac:dyDescent="0.25">
      <c r="A144" s="29" t="s">
        <v>183</v>
      </c>
      <c r="B144" s="111" t="s">
        <v>273</v>
      </c>
      <c r="C144" s="127" t="s">
        <v>262</v>
      </c>
      <c r="D144" s="30" t="s">
        <v>182</v>
      </c>
      <c r="E144" s="126">
        <f>'Memoria de Calculo '!C424</f>
        <v>754</v>
      </c>
      <c r="F144" s="126">
        <f>'COMPOSIÇÕES UNITÁRIAS SD'!$G$55</f>
        <v>22.53</v>
      </c>
      <c r="G144" s="128">
        <f>ROUND(F144*1.2196,2)</f>
        <v>27.48</v>
      </c>
      <c r="H144" s="128">
        <f>ROUND(E144*G144,2)</f>
        <v>20719.919999999998</v>
      </c>
    </row>
    <row r="145" spans="1:8" x14ac:dyDescent="0.25">
      <c r="A145" s="321"/>
      <c r="B145" s="321"/>
      <c r="C145" s="321"/>
      <c r="D145" s="321"/>
      <c r="E145" s="321"/>
      <c r="F145" s="321"/>
      <c r="G145" s="321"/>
      <c r="H145" s="321"/>
    </row>
    <row r="146" spans="1:8" x14ac:dyDescent="0.25">
      <c r="A146" s="28" t="s">
        <v>229</v>
      </c>
      <c r="B146" s="353" t="s">
        <v>227</v>
      </c>
      <c r="C146" s="353"/>
      <c r="D146" s="353"/>
      <c r="E146" s="353"/>
      <c r="F146" s="353"/>
      <c r="G146" s="353"/>
      <c r="H146" s="124">
        <f>SUM(H147:H148)</f>
        <v>23636.949999999997</v>
      </c>
    </row>
    <row r="147" spans="1:8" ht="33.75" x14ac:dyDescent="0.25">
      <c r="A147" s="29" t="s">
        <v>230</v>
      </c>
      <c r="B147" s="111" t="s">
        <v>384</v>
      </c>
      <c r="C147" s="125" t="s">
        <v>391</v>
      </c>
      <c r="D147" s="30" t="s">
        <v>228</v>
      </c>
      <c r="E147" s="126">
        <f>'Memoria de Calculo '!C433</f>
        <v>10773.45</v>
      </c>
      <c r="F147" s="126">
        <f>'COMPOSIÇÕES UNITÁRIAS SD'!$G$64</f>
        <v>1.61</v>
      </c>
      <c r="G147" s="128">
        <f>ROUND(F147*1.2196,2)</f>
        <v>1.96</v>
      </c>
      <c r="H147" s="128">
        <f>ROUND(E147*G147,2)</f>
        <v>21115.96</v>
      </c>
    </row>
    <row r="148" spans="1:8" ht="33.75" x14ac:dyDescent="0.25">
      <c r="A148" s="29" t="s">
        <v>361</v>
      </c>
      <c r="B148" s="111" t="s">
        <v>385</v>
      </c>
      <c r="C148" s="125" t="s">
        <v>362</v>
      </c>
      <c r="D148" s="30" t="s">
        <v>228</v>
      </c>
      <c r="E148" s="126">
        <f>'Memoria de Calculo '!C441</f>
        <v>3232.04</v>
      </c>
      <c r="F148" s="126">
        <f>'COMPOSIÇÕES UNITÁRIAS SD'!$G$69</f>
        <v>0.64</v>
      </c>
      <c r="G148" s="128">
        <f>ROUND(F148*1.2196,2)</f>
        <v>0.78</v>
      </c>
      <c r="H148" s="128">
        <f>ROUND(E148*G148,2)</f>
        <v>2520.9899999999998</v>
      </c>
    </row>
    <row r="149" spans="1:8" x14ac:dyDescent="0.25">
      <c r="A149" s="321"/>
      <c r="B149" s="321"/>
      <c r="C149" s="321"/>
      <c r="D149" s="321"/>
      <c r="E149" s="321"/>
      <c r="F149" s="321"/>
      <c r="G149" s="321"/>
      <c r="H149" s="321"/>
    </row>
    <row r="150" spans="1:8" x14ac:dyDescent="0.25">
      <c r="A150" s="28" t="s">
        <v>258</v>
      </c>
      <c r="B150" s="353" t="s">
        <v>259</v>
      </c>
      <c r="C150" s="353"/>
      <c r="D150" s="353"/>
      <c r="E150" s="353"/>
      <c r="F150" s="353"/>
      <c r="G150" s="353"/>
      <c r="H150" s="124">
        <f>SUM(H151:H151)</f>
        <v>452.53</v>
      </c>
    </row>
    <row r="151" spans="1:8" ht="22.5" x14ac:dyDescent="0.25">
      <c r="A151" s="29" t="s">
        <v>260</v>
      </c>
      <c r="B151" s="111" t="s">
        <v>343</v>
      </c>
      <c r="C151" s="127" t="s">
        <v>332</v>
      </c>
      <c r="D151" s="30" t="s">
        <v>275</v>
      </c>
      <c r="E151" s="126">
        <f>'Memoria de Calculo '!C446</f>
        <v>1</v>
      </c>
      <c r="F151" s="126">
        <f>'COMPOSIÇÕES UNITÁRIAS SD'!$G$74</f>
        <v>371.05</v>
      </c>
      <c r="G151" s="128">
        <f>ROUND(F151*1.2196,2)</f>
        <v>452.53</v>
      </c>
      <c r="H151" s="128">
        <f>ROUND(E151*G151,2)</f>
        <v>452.53</v>
      </c>
    </row>
    <row r="152" spans="1:8" x14ac:dyDescent="0.25">
      <c r="A152" s="321"/>
      <c r="B152" s="321"/>
      <c r="C152" s="321"/>
      <c r="D152" s="321"/>
      <c r="E152" s="321"/>
      <c r="F152" s="321"/>
      <c r="G152" s="321"/>
      <c r="H152" s="321"/>
    </row>
    <row r="153" spans="1:8" x14ac:dyDescent="0.25">
      <c r="A153" s="352" t="s">
        <v>226</v>
      </c>
      <c r="B153" s="352"/>
      <c r="C153" s="352"/>
      <c r="D153" s="352"/>
      <c r="E153" s="352"/>
      <c r="F153" s="352"/>
      <c r="G153" s="352"/>
      <c r="H153" s="186">
        <f>SUM(H150,H146,H142,H138,H135)</f>
        <v>282849.26</v>
      </c>
    </row>
    <row r="155" spans="1:8" x14ac:dyDescent="0.25">
      <c r="A155" s="240" t="s">
        <v>164</v>
      </c>
      <c r="B155" s="241" t="str">
        <f>'RESUMO SD '!B17</f>
        <v xml:space="preserve">RUA DO MORRO DO BAIRRO MALHADA </v>
      </c>
      <c r="C155" s="242"/>
      <c r="D155" s="239" t="s">
        <v>165</v>
      </c>
      <c r="E155" s="243">
        <v>6</v>
      </c>
      <c r="F155" s="244"/>
      <c r="G155" s="244"/>
      <c r="H155" s="238"/>
    </row>
    <row r="156" spans="1:8" x14ac:dyDescent="0.25">
      <c r="A156" s="131" t="s">
        <v>166</v>
      </c>
      <c r="B156" s="129">
        <f>E156*E155</f>
        <v>444</v>
      </c>
      <c r="C156" s="119"/>
      <c r="D156" s="120" t="s">
        <v>167</v>
      </c>
      <c r="E156" s="121">
        <v>74</v>
      </c>
      <c r="F156" s="122"/>
      <c r="G156" s="122"/>
      <c r="H156" s="187"/>
    </row>
    <row r="157" spans="1:8" x14ac:dyDescent="0.25">
      <c r="A157" s="300" t="s">
        <v>25</v>
      </c>
      <c r="B157" s="300" t="s">
        <v>92</v>
      </c>
      <c r="C157" s="300" t="s">
        <v>26</v>
      </c>
      <c r="D157" s="300" t="s">
        <v>27</v>
      </c>
      <c r="E157" s="302" t="s">
        <v>28</v>
      </c>
      <c r="F157" s="354" t="s">
        <v>168</v>
      </c>
      <c r="G157" s="355"/>
      <c r="H157" s="356"/>
    </row>
    <row r="158" spans="1:8" x14ac:dyDescent="0.25">
      <c r="A158" s="301"/>
      <c r="B158" s="301"/>
      <c r="C158" s="301"/>
      <c r="D158" s="301"/>
      <c r="E158" s="303"/>
      <c r="F158" s="123" t="s">
        <v>169</v>
      </c>
      <c r="G158" s="123" t="s">
        <v>170</v>
      </c>
      <c r="H158" s="178" t="s">
        <v>171</v>
      </c>
    </row>
    <row r="159" spans="1:8" x14ac:dyDescent="0.25">
      <c r="A159" s="28" t="s">
        <v>33</v>
      </c>
      <c r="B159" s="353" t="s">
        <v>173</v>
      </c>
      <c r="C159" s="353"/>
      <c r="D159" s="353"/>
      <c r="E159" s="353"/>
      <c r="F159" s="353"/>
      <c r="G159" s="353"/>
      <c r="H159" s="124">
        <f>H160</f>
        <v>310.8</v>
      </c>
    </row>
    <row r="160" spans="1:8" x14ac:dyDescent="0.25">
      <c r="A160" s="29" t="s">
        <v>35</v>
      </c>
      <c r="B160" s="111">
        <v>100575</v>
      </c>
      <c r="C160" s="127" t="s">
        <v>174</v>
      </c>
      <c r="D160" s="30" t="s">
        <v>15</v>
      </c>
      <c r="E160" s="126">
        <f>'Memoria de Calculo '!C472</f>
        <v>444</v>
      </c>
      <c r="F160" s="126">
        <f>'COMPOSIÇÕES UNITÁRIAS SD'!$G$27</f>
        <v>0.56999999999999995</v>
      </c>
      <c r="G160" s="128">
        <f>ROUND(F160*1.2196,2)</f>
        <v>0.7</v>
      </c>
      <c r="H160" s="128">
        <f>ROUND(E160*G160,2)</f>
        <v>310.8</v>
      </c>
    </row>
    <row r="161" spans="1:8" x14ac:dyDescent="0.25">
      <c r="A161" s="321"/>
      <c r="B161" s="321"/>
      <c r="C161" s="321"/>
      <c r="D161" s="321"/>
      <c r="E161" s="321"/>
      <c r="F161" s="321"/>
      <c r="G161" s="321"/>
      <c r="H161" s="321"/>
    </row>
    <row r="162" spans="1:8" x14ac:dyDescent="0.25">
      <c r="A162" s="28" t="s">
        <v>175</v>
      </c>
      <c r="B162" s="353" t="s">
        <v>176</v>
      </c>
      <c r="C162" s="353"/>
      <c r="D162" s="353"/>
      <c r="E162" s="353"/>
      <c r="F162" s="353"/>
      <c r="G162" s="353"/>
      <c r="H162" s="124">
        <f>SUM(H163:H164)</f>
        <v>38863.320000000007</v>
      </c>
    </row>
    <row r="163" spans="1:8" ht="22.5" x14ac:dyDescent="0.25">
      <c r="A163" s="29" t="s">
        <v>177</v>
      </c>
      <c r="B163" s="111" t="s">
        <v>256</v>
      </c>
      <c r="C163" s="127" t="s">
        <v>257</v>
      </c>
      <c r="D163" s="30" t="s">
        <v>15</v>
      </c>
      <c r="E163" s="126">
        <f>'Memoria de Calculo '!C478</f>
        <v>444</v>
      </c>
      <c r="F163" s="126">
        <f>'COMPOSIÇÕES UNITÁRIAS SD'!$G$34</f>
        <v>70.22</v>
      </c>
      <c r="G163" s="128">
        <f>ROUND(F163*1.2196,2)</f>
        <v>85.64</v>
      </c>
      <c r="H163" s="128">
        <f>ROUND(E163*G163,2)</f>
        <v>38024.160000000003</v>
      </c>
    </row>
    <row r="164" spans="1:8" x14ac:dyDescent="0.25">
      <c r="A164" s="29" t="s">
        <v>324</v>
      </c>
      <c r="B164" s="111" t="s">
        <v>261</v>
      </c>
      <c r="C164" s="127" t="s">
        <v>344</v>
      </c>
      <c r="D164" s="30" t="s">
        <v>15</v>
      </c>
      <c r="E164" s="126">
        <f>'Memoria de Calculo '!C483</f>
        <v>444</v>
      </c>
      <c r="F164" s="126">
        <f>'COMPOSIÇÕES UNITÁRIAS SD'!$G$42</f>
        <v>1.55</v>
      </c>
      <c r="G164" s="128">
        <f>ROUND(F164*1.2196,2)</f>
        <v>1.89</v>
      </c>
      <c r="H164" s="128">
        <f>ROUND(E164*G164,2)</f>
        <v>839.16</v>
      </c>
    </row>
    <row r="165" spans="1:8" x14ac:dyDescent="0.25">
      <c r="A165" s="321"/>
      <c r="B165" s="321"/>
      <c r="C165" s="321"/>
      <c r="D165" s="321"/>
      <c r="E165" s="321"/>
      <c r="F165" s="321"/>
      <c r="G165" s="321"/>
      <c r="H165" s="321"/>
    </row>
    <row r="166" spans="1:8" x14ac:dyDescent="0.25">
      <c r="A166" s="28" t="s">
        <v>178</v>
      </c>
      <c r="B166" s="353" t="s">
        <v>179</v>
      </c>
      <c r="C166" s="353"/>
      <c r="D166" s="353"/>
      <c r="E166" s="353"/>
      <c r="F166" s="353"/>
      <c r="G166" s="353"/>
      <c r="H166" s="124">
        <f>SUM(H167:H168)</f>
        <v>11860.98</v>
      </c>
    </row>
    <row r="167" spans="1:8" ht="33.75" x14ac:dyDescent="0.25">
      <c r="A167" s="29" t="s">
        <v>180</v>
      </c>
      <c r="B167" s="111">
        <v>94273</v>
      </c>
      <c r="C167" s="127" t="s">
        <v>181</v>
      </c>
      <c r="D167" s="30" t="s">
        <v>182</v>
      </c>
      <c r="E167" s="126">
        <f>'Memoria de Calculo '!C490</f>
        <v>154</v>
      </c>
      <c r="F167" s="126">
        <f>'COMPOSIÇÕES UNITÁRIAS SD'!$G$47</f>
        <v>41.5</v>
      </c>
      <c r="G167" s="128">
        <f>ROUND(F167*1.2196,2)</f>
        <v>50.61</v>
      </c>
      <c r="H167" s="128">
        <f>ROUND(E167*G167,2)</f>
        <v>7793.94</v>
      </c>
    </row>
    <row r="168" spans="1:8" ht="22.5" x14ac:dyDescent="0.25">
      <c r="A168" s="29" t="s">
        <v>183</v>
      </c>
      <c r="B168" s="111" t="s">
        <v>273</v>
      </c>
      <c r="C168" s="127" t="s">
        <v>262</v>
      </c>
      <c r="D168" s="30" t="s">
        <v>182</v>
      </c>
      <c r="E168" s="126">
        <f>'Memoria de Calculo '!C495</f>
        <v>148</v>
      </c>
      <c r="F168" s="126">
        <f>'COMPOSIÇÕES UNITÁRIAS SD'!$G$55</f>
        <v>22.53</v>
      </c>
      <c r="G168" s="128">
        <f>ROUND(F168*1.2196,2)</f>
        <v>27.48</v>
      </c>
      <c r="H168" s="128">
        <f>ROUND(E168*G168,2)</f>
        <v>4067.04</v>
      </c>
    </row>
    <row r="169" spans="1:8" x14ac:dyDescent="0.25">
      <c r="A169" s="321"/>
      <c r="B169" s="321"/>
      <c r="C169" s="321"/>
      <c r="D169" s="321"/>
      <c r="E169" s="321"/>
      <c r="F169" s="321"/>
      <c r="G169" s="321"/>
      <c r="H169" s="321"/>
    </row>
    <row r="170" spans="1:8" x14ac:dyDescent="0.25">
      <c r="A170" s="28" t="s">
        <v>229</v>
      </c>
      <c r="B170" s="353" t="s">
        <v>227</v>
      </c>
      <c r="C170" s="353"/>
      <c r="D170" s="353"/>
      <c r="E170" s="353"/>
      <c r="F170" s="353"/>
      <c r="G170" s="353"/>
      <c r="H170" s="124">
        <f>SUM(H171:H172)</f>
        <v>5189.42</v>
      </c>
    </row>
    <row r="171" spans="1:8" ht="33.75" x14ac:dyDescent="0.25">
      <c r="A171" s="29" t="s">
        <v>230</v>
      </c>
      <c r="B171" s="111" t="s">
        <v>384</v>
      </c>
      <c r="C171" s="125" t="s">
        <v>391</v>
      </c>
      <c r="D171" s="30" t="s">
        <v>228</v>
      </c>
      <c r="E171" s="126">
        <f>'Memoria de Calculo '!C504</f>
        <v>2114.6799999999998</v>
      </c>
      <c r="F171" s="126">
        <f>'COMPOSIÇÕES UNITÁRIAS SD'!$G$64</f>
        <v>1.61</v>
      </c>
      <c r="G171" s="128">
        <f>ROUND(F171*1.2196,2)</f>
        <v>1.96</v>
      </c>
      <c r="H171" s="128">
        <f>ROUND(E171*G171,2)</f>
        <v>4144.7700000000004</v>
      </c>
    </row>
    <row r="172" spans="1:8" ht="33.75" x14ac:dyDescent="0.25">
      <c r="A172" s="29" t="s">
        <v>361</v>
      </c>
      <c r="B172" s="111" t="s">
        <v>385</v>
      </c>
      <c r="C172" s="125" t="s">
        <v>362</v>
      </c>
      <c r="D172" s="30" t="s">
        <v>228</v>
      </c>
      <c r="E172" s="126">
        <f>'Memoria de Calculo '!C512</f>
        <v>1339.3</v>
      </c>
      <c r="F172" s="126">
        <f>'COMPOSIÇÕES UNITÁRIAS SD'!$G$69</f>
        <v>0.64</v>
      </c>
      <c r="G172" s="128">
        <f>ROUND(F172*1.2196,2)</f>
        <v>0.78</v>
      </c>
      <c r="H172" s="128">
        <f>ROUND(E172*G172,2)</f>
        <v>1044.6500000000001</v>
      </c>
    </row>
    <row r="173" spans="1:8" x14ac:dyDescent="0.25">
      <c r="A173" s="321"/>
      <c r="B173" s="321"/>
      <c r="C173" s="321"/>
      <c r="D173" s="321"/>
      <c r="E173" s="321"/>
      <c r="F173" s="321"/>
      <c r="G173" s="321"/>
      <c r="H173" s="321"/>
    </row>
    <row r="174" spans="1:8" x14ac:dyDescent="0.25">
      <c r="A174" s="28" t="s">
        <v>258</v>
      </c>
      <c r="B174" s="353" t="s">
        <v>259</v>
      </c>
      <c r="C174" s="353"/>
      <c r="D174" s="353"/>
      <c r="E174" s="353"/>
      <c r="F174" s="353"/>
      <c r="G174" s="353"/>
      <c r="H174" s="124">
        <f>SUM(H175:H175)</f>
        <v>452.53</v>
      </c>
    </row>
    <row r="175" spans="1:8" ht="22.5" x14ac:dyDescent="0.25">
      <c r="A175" s="29" t="s">
        <v>260</v>
      </c>
      <c r="B175" s="111" t="s">
        <v>343</v>
      </c>
      <c r="C175" s="127" t="s">
        <v>332</v>
      </c>
      <c r="D175" s="30" t="s">
        <v>275</v>
      </c>
      <c r="E175" s="126">
        <f>'Memoria de Calculo '!C517</f>
        <v>1</v>
      </c>
      <c r="F175" s="126">
        <f>'COMPOSIÇÕES UNITÁRIAS SD'!$G$74</f>
        <v>371.05</v>
      </c>
      <c r="G175" s="128">
        <f>ROUND(F175*1.2196,2)</f>
        <v>452.53</v>
      </c>
      <c r="H175" s="128">
        <f>ROUND(E175*G175,2)</f>
        <v>452.53</v>
      </c>
    </row>
    <row r="176" spans="1:8" x14ac:dyDescent="0.25">
      <c r="A176" s="321"/>
      <c r="B176" s="321"/>
      <c r="C176" s="321"/>
      <c r="D176" s="321"/>
      <c r="E176" s="321"/>
      <c r="F176" s="321"/>
      <c r="G176" s="321"/>
      <c r="H176" s="321"/>
    </row>
    <row r="177" spans="1:8" x14ac:dyDescent="0.25">
      <c r="A177" s="352" t="s">
        <v>226</v>
      </c>
      <c r="B177" s="352"/>
      <c r="C177" s="352"/>
      <c r="D177" s="352"/>
      <c r="E177" s="352"/>
      <c r="F177" s="352"/>
      <c r="G177" s="352"/>
      <c r="H177" s="186">
        <f>SUM(H174,H170,H166,H162,H159)</f>
        <v>56677.05000000001</v>
      </c>
    </row>
    <row r="179" spans="1:8" x14ac:dyDescent="0.25">
      <c r="A179" s="352" t="s">
        <v>358</v>
      </c>
      <c r="B179" s="352"/>
      <c r="C179" s="352"/>
      <c r="D179" s="352"/>
      <c r="E179" s="352"/>
      <c r="F179" s="352"/>
      <c r="G179" s="352"/>
      <c r="H179" s="186">
        <f>SUM(H177,H153,H129,H105,H81,H57,H33,H10)</f>
        <v>748103.57000000007</v>
      </c>
    </row>
  </sheetData>
  <sheetProtection algorithmName="SHA-512" hashValue="3M0lDmX2yC7rRzmsHdV22zDCG/27absygGs9BjbxHkdaJDONmf+NWf/D6UtMSPEwBGi43m2f/Z26kcW1vUH+lQ==" saltValue="NsuvD9/8hTRA0iIQgCQKxA==" spinCount="100000" sheet="1" objects="1" scenarios="1" selectLockedCells="1" selectUnlockedCells="1"/>
  <mergeCells count="128">
    <mergeCell ref="A1:H2"/>
    <mergeCell ref="A14:H14"/>
    <mergeCell ref="B15:G15"/>
    <mergeCell ref="A17:H17"/>
    <mergeCell ref="B18:G18"/>
    <mergeCell ref="F8:H8"/>
    <mergeCell ref="B10:G10"/>
    <mergeCell ref="A8:A9"/>
    <mergeCell ref="B8:B9"/>
    <mergeCell ref="C8:C9"/>
    <mergeCell ref="D8:D9"/>
    <mergeCell ref="E8:E9"/>
    <mergeCell ref="A3:E3"/>
    <mergeCell ref="F3:F4"/>
    <mergeCell ref="B30:G30"/>
    <mergeCell ref="A32:H32"/>
    <mergeCell ref="A37:A38"/>
    <mergeCell ref="B37:B38"/>
    <mergeCell ref="C37:C38"/>
    <mergeCell ref="D37:D38"/>
    <mergeCell ref="E37:E38"/>
    <mergeCell ref="F37:H37"/>
    <mergeCell ref="G3:G4"/>
    <mergeCell ref="H3:H4"/>
    <mergeCell ref="B22:G22"/>
    <mergeCell ref="A29:H29"/>
    <mergeCell ref="A25:H25"/>
    <mergeCell ref="B26:G26"/>
    <mergeCell ref="D4:E4"/>
    <mergeCell ref="A21:H21"/>
    <mergeCell ref="A45:H45"/>
    <mergeCell ref="B46:G46"/>
    <mergeCell ref="A49:H49"/>
    <mergeCell ref="B50:G50"/>
    <mergeCell ref="A53:H53"/>
    <mergeCell ref="B39:G39"/>
    <mergeCell ref="A41:H41"/>
    <mergeCell ref="B42:G42"/>
    <mergeCell ref="A33:G33"/>
    <mergeCell ref="B54:G54"/>
    <mergeCell ref="A56:H56"/>
    <mergeCell ref="A57:G57"/>
    <mergeCell ref="A61:A62"/>
    <mergeCell ref="B61:B62"/>
    <mergeCell ref="C61:C62"/>
    <mergeCell ref="D61:D62"/>
    <mergeCell ref="E61:E62"/>
    <mergeCell ref="F61:H61"/>
    <mergeCell ref="A73:H73"/>
    <mergeCell ref="B74:G74"/>
    <mergeCell ref="A77:H77"/>
    <mergeCell ref="B78:G78"/>
    <mergeCell ref="A80:H80"/>
    <mergeCell ref="B63:G63"/>
    <mergeCell ref="A65:H65"/>
    <mergeCell ref="B66:G66"/>
    <mergeCell ref="A69:H69"/>
    <mergeCell ref="B70:G70"/>
    <mergeCell ref="B87:G87"/>
    <mergeCell ref="A89:H89"/>
    <mergeCell ref="B90:G90"/>
    <mergeCell ref="A93:H93"/>
    <mergeCell ref="B94:G94"/>
    <mergeCell ref="A81:G81"/>
    <mergeCell ref="A85:A86"/>
    <mergeCell ref="B85:B86"/>
    <mergeCell ref="C85:C86"/>
    <mergeCell ref="D85:D86"/>
    <mergeCell ref="E85:E86"/>
    <mergeCell ref="F85:H85"/>
    <mergeCell ref="A105:G105"/>
    <mergeCell ref="A109:A110"/>
    <mergeCell ref="B109:B110"/>
    <mergeCell ref="C109:C110"/>
    <mergeCell ref="D109:D110"/>
    <mergeCell ref="E109:E110"/>
    <mergeCell ref="F109:H109"/>
    <mergeCell ref="A97:H97"/>
    <mergeCell ref="B98:G98"/>
    <mergeCell ref="A101:H101"/>
    <mergeCell ref="B102:G102"/>
    <mergeCell ref="A104:H104"/>
    <mergeCell ref="A121:H121"/>
    <mergeCell ref="B122:G122"/>
    <mergeCell ref="A125:H125"/>
    <mergeCell ref="B126:G126"/>
    <mergeCell ref="A128:H128"/>
    <mergeCell ref="B111:G111"/>
    <mergeCell ref="A113:H113"/>
    <mergeCell ref="B114:G114"/>
    <mergeCell ref="A117:H117"/>
    <mergeCell ref="B118:G118"/>
    <mergeCell ref="B135:G135"/>
    <mergeCell ref="A137:H137"/>
    <mergeCell ref="B138:G138"/>
    <mergeCell ref="A141:H141"/>
    <mergeCell ref="B142:G142"/>
    <mergeCell ref="A129:G129"/>
    <mergeCell ref="A133:A134"/>
    <mergeCell ref="B133:B134"/>
    <mergeCell ref="C133:C134"/>
    <mergeCell ref="D133:D134"/>
    <mergeCell ref="E133:E134"/>
    <mergeCell ref="F133:H133"/>
    <mergeCell ref="A153:G153"/>
    <mergeCell ref="A157:A158"/>
    <mergeCell ref="B157:B158"/>
    <mergeCell ref="C157:C158"/>
    <mergeCell ref="D157:D158"/>
    <mergeCell ref="E157:E158"/>
    <mergeCell ref="F157:H157"/>
    <mergeCell ref="A145:H145"/>
    <mergeCell ref="B146:G146"/>
    <mergeCell ref="A149:H149"/>
    <mergeCell ref="B150:G150"/>
    <mergeCell ref="A152:H152"/>
    <mergeCell ref="A177:G177"/>
    <mergeCell ref="A179:G179"/>
    <mergeCell ref="A169:H169"/>
    <mergeCell ref="B170:G170"/>
    <mergeCell ref="A173:H173"/>
    <mergeCell ref="B174:G174"/>
    <mergeCell ref="A176:H176"/>
    <mergeCell ref="B159:G159"/>
    <mergeCell ref="A161:H161"/>
    <mergeCell ref="B162:G162"/>
    <mergeCell ref="A165:H165"/>
    <mergeCell ref="B166:G166"/>
  </mergeCells>
  <phoneticPr fontId="20" type="noConversion"/>
  <pageMargins left="0.51181102362204722" right="0.51181102362204722" top="1.7716535433070868" bottom="1.5748031496062993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H86"/>
  <sheetViews>
    <sheetView workbookViewId="0">
      <selection activeCell="A15" sqref="A15"/>
    </sheetView>
  </sheetViews>
  <sheetFormatPr defaultRowHeight="15" x14ac:dyDescent="0.25"/>
  <cols>
    <col min="1" max="1" width="13.140625" style="23" customWidth="1"/>
    <col min="2" max="2" width="6.85546875" style="23" bestFit="1" customWidth="1"/>
    <col min="3" max="3" width="46.140625" customWidth="1"/>
    <col min="4" max="4" width="12" bestFit="1" customWidth="1"/>
    <col min="5" max="5" width="10" bestFit="1" customWidth="1"/>
    <col min="6" max="6" width="18.85546875" customWidth="1"/>
    <col min="7" max="8" width="17.28515625" bestFit="1" customWidth="1"/>
    <col min="9" max="9" width="0" hidden="1" customWidth="1"/>
  </cols>
  <sheetData>
    <row r="1" spans="1:8" x14ac:dyDescent="0.25">
      <c r="A1" s="366" t="s">
        <v>192</v>
      </c>
      <c r="B1" s="367"/>
      <c r="C1" s="367"/>
      <c r="D1" s="367"/>
      <c r="E1" s="367"/>
      <c r="F1" s="367"/>
      <c r="G1" s="368"/>
    </row>
    <row r="2" spans="1:8" x14ac:dyDescent="0.25">
      <c r="A2" s="369"/>
      <c r="B2" s="370"/>
      <c r="C2" s="370"/>
      <c r="D2" s="370"/>
      <c r="E2" s="370"/>
      <c r="F2" s="370"/>
      <c r="G2" s="371"/>
    </row>
    <row r="3" spans="1:8" x14ac:dyDescent="0.25">
      <c r="A3" s="331" t="str">
        <f>'ORÇAMENTO SD'!A3:E3</f>
        <v>OBJETO:  PAVIMENTAÇÃO DE VIAS PÚBLICAS NO MUNÍCIO DE BARRO DURO-PI</v>
      </c>
      <c r="B3" s="332"/>
      <c r="C3" s="332"/>
      <c r="D3" s="118" t="s">
        <v>193</v>
      </c>
      <c r="E3" s="139">
        <v>0.21959999999999999</v>
      </c>
      <c r="F3" s="358" t="str">
        <f>'ORÇAMENTO SD'!F3:F4</f>
        <v>FONTE:  
SINAPI 06/2025</v>
      </c>
      <c r="G3" s="360" t="str">
        <f>'ORÇAMENTO SD'!H3:H4</f>
        <v>HORISTA: 113,33%
MENSALISTA: 71,12%</v>
      </c>
    </row>
    <row r="4" spans="1:8" ht="25.5" customHeight="1" x14ac:dyDescent="0.25">
      <c r="A4" s="140" t="str">
        <f>'ORÇAMENTO SD'!A4</f>
        <v>LOCAL: BREJO DE BAIXO, MALHADA</v>
      </c>
      <c r="B4" s="141"/>
      <c r="C4" s="141"/>
      <c r="D4" s="374" t="s">
        <v>9</v>
      </c>
      <c r="E4" s="374"/>
      <c r="F4" s="372"/>
      <c r="G4" s="373"/>
    </row>
    <row r="6" spans="1:8" x14ac:dyDescent="0.25">
      <c r="A6" s="263" t="s">
        <v>194</v>
      </c>
      <c r="B6" s="265" t="s">
        <v>240</v>
      </c>
      <c r="C6" s="265" t="s">
        <v>195</v>
      </c>
      <c r="D6" s="264" t="s">
        <v>241</v>
      </c>
      <c r="E6" s="263" t="s">
        <v>242</v>
      </c>
      <c r="F6" s="263" t="s">
        <v>243</v>
      </c>
      <c r="G6" s="263" t="s">
        <v>118</v>
      </c>
    </row>
    <row r="7" spans="1:8" s="142" customFormat="1" ht="22.5" x14ac:dyDescent="0.25">
      <c r="A7" s="266" t="s">
        <v>263</v>
      </c>
      <c r="B7" s="267" t="s">
        <v>196</v>
      </c>
      <c r="C7" s="267" t="s">
        <v>276</v>
      </c>
      <c r="D7" s="268" t="s">
        <v>15</v>
      </c>
      <c r="E7" s="269">
        <v>1</v>
      </c>
      <c r="F7" s="270">
        <v>463.84</v>
      </c>
      <c r="G7" s="270">
        <v>463.84</v>
      </c>
      <c r="H7"/>
    </row>
    <row r="8" spans="1:8" x14ac:dyDescent="0.25">
      <c r="A8" s="182" t="s">
        <v>264</v>
      </c>
      <c r="B8" s="183" t="s">
        <v>196</v>
      </c>
      <c r="C8" s="183" t="s">
        <v>277</v>
      </c>
      <c r="D8" s="184" t="s">
        <v>15</v>
      </c>
      <c r="E8" s="185">
        <v>0.5</v>
      </c>
      <c r="F8" s="189">
        <v>24.91</v>
      </c>
      <c r="G8" s="189">
        <v>12.45</v>
      </c>
    </row>
    <row r="9" spans="1:8" x14ac:dyDescent="0.25">
      <c r="A9" s="182" t="s">
        <v>197</v>
      </c>
      <c r="B9" s="183" t="s">
        <v>196</v>
      </c>
      <c r="C9" s="183" t="s">
        <v>278</v>
      </c>
      <c r="D9" s="184" t="s">
        <v>198</v>
      </c>
      <c r="E9" s="185">
        <v>0.37290000000000001</v>
      </c>
      <c r="F9" s="189">
        <v>26.97</v>
      </c>
      <c r="G9" s="189">
        <v>10.050000000000001</v>
      </c>
    </row>
    <row r="10" spans="1:8" x14ac:dyDescent="0.25">
      <c r="A10" s="182" t="s">
        <v>199</v>
      </c>
      <c r="B10" s="183" t="s">
        <v>196</v>
      </c>
      <c r="C10" s="183" t="s">
        <v>207</v>
      </c>
      <c r="D10" s="184" t="s">
        <v>198</v>
      </c>
      <c r="E10" s="185">
        <v>1.1186</v>
      </c>
      <c r="F10" s="189">
        <v>21.71</v>
      </c>
      <c r="G10" s="189">
        <v>24.28</v>
      </c>
    </row>
    <row r="11" spans="1:8" ht="22.5" x14ac:dyDescent="0.25">
      <c r="A11" s="182" t="s">
        <v>265</v>
      </c>
      <c r="B11" s="183" t="s">
        <v>196</v>
      </c>
      <c r="C11" s="183" t="s">
        <v>279</v>
      </c>
      <c r="D11" s="184" t="s">
        <v>201</v>
      </c>
      <c r="E11" s="185">
        <v>3.2082999999999999</v>
      </c>
      <c r="F11" s="189">
        <v>5.0999999999999996</v>
      </c>
      <c r="G11" s="189">
        <v>16.36</v>
      </c>
    </row>
    <row r="12" spans="1:8" ht="22.5" x14ac:dyDescent="0.25">
      <c r="A12" s="182" t="s">
        <v>202</v>
      </c>
      <c r="B12" s="183" t="s">
        <v>196</v>
      </c>
      <c r="C12" s="183" t="s">
        <v>280</v>
      </c>
      <c r="D12" s="184" t="s">
        <v>15</v>
      </c>
      <c r="E12" s="185">
        <v>1</v>
      </c>
      <c r="F12" s="189">
        <v>400</v>
      </c>
      <c r="G12" s="189">
        <v>400</v>
      </c>
    </row>
    <row r="13" spans="1:8" x14ac:dyDescent="0.25">
      <c r="A13" s="182" t="s">
        <v>266</v>
      </c>
      <c r="B13" s="183" t="s">
        <v>196</v>
      </c>
      <c r="C13" s="183" t="s">
        <v>281</v>
      </c>
      <c r="D13" s="184" t="s">
        <v>203</v>
      </c>
      <c r="E13" s="185">
        <v>1.1299999999999999E-2</v>
      </c>
      <c r="F13" s="189">
        <v>38.700000000000003</v>
      </c>
      <c r="G13" s="189">
        <v>0.43</v>
      </c>
    </row>
    <row r="14" spans="1:8" x14ac:dyDescent="0.25">
      <c r="A14" s="182" t="s">
        <v>267</v>
      </c>
      <c r="B14" s="183" t="s">
        <v>196</v>
      </c>
      <c r="C14" s="183" t="s">
        <v>282</v>
      </c>
      <c r="D14" s="184" t="s">
        <v>203</v>
      </c>
      <c r="E14" s="185">
        <v>1.32E-2</v>
      </c>
      <c r="F14" s="189">
        <v>20.74</v>
      </c>
      <c r="G14" s="189">
        <v>0.27</v>
      </c>
    </row>
    <row r="16" spans="1:8" x14ac:dyDescent="0.25">
      <c r="A16" s="263" t="s">
        <v>194</v>
      </c>
      <c r="B16" s="265" t="s">
        <v>240</v>
      </c>
      <c r="C16" s="265" t="s">
        <v>195</v>
      </c>
      <c r="D16" s="264" t="s">
        <v>241</v>
      </c>
      <c r="E16" s="263" t="s">
        <v>242</v>
      </c>
      <c r="F16" s="263" t="s">
        <v>243</v>
      </c>
      <c r="G16" s="263" t="s">
        <v>118</v>
      </c>
    </row>
    <row r="17" spans="1:8" s="142" customFormat="1" x14ac:dyDescent="0.25">
      <c r="A17" s="266" t="s">
        <v>392</v>
      </c>
      <c r="B17" s="267" t="s">
        <v>325</v>
      </c>
      <c r="C17" s="267" t="s">
        <v>39</v>
      </c>
      <c r="D17" s="268" t="s">
        <v>40</v>
      </c>
      <c r="E17" s="269">
        <v>1</v>
      </c>
      <c r="F17" s="270">
        <v>5762.05</v>
      </c>
      <c r="G17" s="270">
        <v>5762.05</v>
      </c>
      <c r="H17"/>
    </row>
    <row r="18" spans="1:8" x14ac:dyDescent="0.25">
      <c r="A18" s="182" t="s">
        <v>372</v>
      </c>
      <c r="B18" s="183" t="s">
        <v>196</v>
      </c>
      <c r="C18" s="183" t="s">
        <v>205</v>
      </c>
      <c r="D18" s="184" t="s">
        <v>198</v>
      </c>
      <c r="E18" s="185">
        <v>35</v>
      </c>
      <c r="F18" s="189">
        <v>129.24</v>
      </c>
      <c r="G18" s="189">
        <v>4523.3999999999996</v>
      </c>
    </row>
    <row r="19" spans="1:8" x14ac:dyDescent="0.25">
      <c r="A19" s="182" t="s">
        <v>373</v>
      </c>
      <c r="B19" s="183" t="s">
        <v>196</v>
      </c>
      <c r="C19" s="183" t="s">
        <v>206</v>
      </c>
      <c r="D19" s="184" t="s">
        <v>198</v>
      </c>
      <c r="E19" s="185">
        <v>35</v>
      </c>
      <c r="F19" s="189">
        <v>35.39</v>
      </c>
      <c r="G19" s="189">
        <v>1238.6500000000001</v>
      </c>
    </row>
    <row r="21" spans="1:8" x14ac:dyDescent="0.25">
      <c r="A21" s="263" t="s">
        <v>194</v>
      </c>
      <c r="B21" s="265" t="s">
        <v>240</v>
      </c>
      <c r="C21" s="265" t="s">
        <v>195</v>
      </c>
      <c r="D21" s="264" t="s">
        <v>241</v>
      </c>
      <c r="E21" s="263" t="s">
        <v>242</v>
      </c>
      <c r="F21" s="263" t="s">
        <v>243</v>
      </c>
      <c r="G21" s="263" t="s">
        <v>118</v>
      </c>
    </row>
    <row r="22" spans="1:8" s="142" customFormat="1" x14ac:dyDescent="0.25">
      <c r="A22" s="266" t="s">
        <v>374</v>
      </c>
      <c r="B22" s="267" t="s">
        <v>196</v>
      </c>
      <c r="C22" s="267" t="s">
        <v>289</v>
      </c>
      <c r="D22" s="268" t="s">
        <v>15</v>
      </c>
      <c r="E22" s="269">
        <v>1</v>
      </c>
      <c r="F22" s="270">
        <v>4.13</v>
      </c>
      <c r="G22" s="270">
        <v>4.13</v>
      </c>
      <c r="H22"/>
    </row>
    <row r="23" spans="1:8" x14ac:dyDescent="0.25">
      <c r="A23" s="182" t="s">
        <v>199</v>
      </c>
      <c r="B23" s="183" t="s">
        <v>196</v>
      </c>
      <c r="C23" s="183" t="s">
        <v>207</v>
      </c>
      <c r="D23" s="184" t="s">
        <v>198</v>
      </c>
      <c r="E23" s="185">
        <v>0.14000000000000001</v>
      </c>
      <c r="F23" s="189">
        <v>21.71</v>
      </c>
      <c r="G23" s="189">
        <v>3.03</v>
      </c>
    </row>
    <row r="24" spans="1:8" ht="22.5" x14ac:dyDescent="0.25">
      <c r="A24" s="182" t="s">
        <v>375</v>
      </c>
      <c r="B24" s="183" t="s">
        <v>196</v>
      </c>
      <c r="C24" s="183" t="s">
        <v>386</v>
      </c>
      <c r="D24" s="184" t="s">
        <v>376</v>
      </c>
      <c r="E24" s="185">
        <v>0.05</v>
      </c>
      <c r="F24" s="189">
        <v>22.14</v>
      </c>
      <c r="G24" s="189">
        <v>1.1000000000000001</v>
      </c>
    </row>
    <row r="26" spans="1:8" x14ac:dyDescent="0.25">
      <c r="A26" s="263" t="s">
        <v>194</v>
      </c>
      <c r="B26" s="265" t="s">
        <v>240</v>
      </c>
      <c r="C26" s="265" t="s">
        <v>195</v>
      </c>
      <c r="D26" s="264" t="s">
        <v>241</v>
      </c>
      <c r="E26" s="263" t="s">
        <v>242</v>
      </c>
      <c r="F26" s="263" t="s">
        <v>243</v>
      </c>
      <c r="G26" s="263" t="s">
        <v>118</v>
      </c>
    </row>
    <row r="27" spans="1:8" s="142" customFormat="1" ht="22.5" x14ac:dyDescent="0.25">
      <c r="A27" s="266" t="s">
        <v>268</v>
      </c>
      <c r="B27" s="267" t="s">
        <v>196</v>
      </c>
      <c r="C27" s="267" t="s">
        <v>283</v>
      </c>
      <c r="D27" s="268" t="s">
        <v>15</v>
      </c>
      <c r="E27" s="269">
        <v>1</v>
      </c>
      <c r="F27" s="270">
        <v>0.56999999999999995</v>
      </c>
      <c r="G27" s="270">
        <v>0.56999999999999995</v>
      </c>
      <c r="H27"/>
    </row>
    <row r="28" spans="1:8" ht="33.75" x14ac:dyDescent="0.25">
      <c r="A28" s="182" t="s">
        <v>269</v>
      </c>
      <c r="B28" s="183" t="s">
        <v>196</v>
      </c>
      <c r="C28" s="183" t="s">
        <v>284</v>
      </c>
      <c r="D28" s="184" t="s">
        <v>246</v>
      </c>
      <c r="E28" s="185">
        <v>3.0249999999999998E-4</v>
      </c>
      <c r="F28" s="189">
        <v>264.38</v>
      </c>
      <c r="G28" s="189">
        <v>7.0000000000000007E-2</v>
      </c>
    </row>
    <row r="29" spans="1:8" ht="33.75" x14ac:dyDescent="0.25">
      <c r="A29" s="182" t="s">
        <v>270</v>
      </c>
      <c r="B29" s="183" t="s">
        <v>196</v>
      </c>
      <c r="C29" s="183" t="s">
        <v>285</v>
      </c>
      <c r="D29" s="184" t="s">
        <v>248</v>
      </c>
      <c r="E29" s="185">
        <v>7.3180000000000001E-4</v>
      </c>
      <c r="F29" s="189">
        <v>108.32</v>
      </c>
      <c r="G29" s="189">
        <v>7.0000000000000007E-2</v>
      </c>
    </row>
    <row r="30" spans="1:8" x14ac:dyDescent="0.25">
      <c r="A30" s="182" t="s">
        <v>199</v>
      </c>
      <c r="B30" s="183" t="s">
        <v>196</v>
      </c>
      <c r="C30" s="183" t="s">
        <v>207</v>
      </c>
      <c r="D30" s="184" t="s">
        <v>198</v>
      </c>
      <c r="E30" s="185">
        <v>1.0342999999999999E-3</v>
      </c>
      <c r="F30" s="189">
        <v>21.71</v>
      </c>
      <c r="G30" s="189">
        <v>0.02</v>
      </c>
    </row>
    <row r="31" spans="1:8" ht="33.75" x14ac:dyDescent="0.25">
      <c r="A31" s="182" t="s">
        <v>271</v>
      </c>
      <c r="B31" s="183" t="s">
        <v>196</v>
      </c>
      <c r="C31" s="183" t="s">
        <v>286</v>
      </c>
      <c r="D31" s="184" t="s">
        <v>248</v>
      </c>
      <c r="E31" s="185">
        <v>6.0956999999999999E-3</v>
      </c>
      <c r="F31" s="189">
        <v>68.56</v>
      </c>
      <c r="G31" s="189">
        <v>0.41</v>
      </c>
    </row>
    <row r="33" spans="1:8" x14ac:dyDescent="0.25">
      <c r="A33" s="263" t="s">
        <v>194</v>
      </c>
      <c r="B33" s="265" t="s">
        <v>240</v>
      </c>
      <c r="C33" s="265" t="s">
        <v>195</v>
      </c>
      <c r="D33" s="264" t="s">
        <v>241</v>
      </c>
      <c r="E33" s="263" t="s">
        <v>242</v>
      </c>
      <c r="F33" s="263" t="s">
        <v>243</v>
      </c>
      <c r="G33" s="263" t="s">
        <v>118</v>
      </c>
    </row>
    <row r="34" spans="1:8" s="142" customFormat="1" x14ac:dyDescent="0.25">
      <c r="A34" s="266" t="s">
        <v>401</v>
      </c>
      <c r="B34" s="267" t="s">
        <v>325</v>
      </c>
      <c r="C34" s="267" t="s">
        <v>387</v>
      </c>
      <c r="D34" s="268" t="s">
        <v>15</v>
      </c>
      <c r="E34" s="269">
        <v>1</v>
      </c>
      <c r="F34" s="270">
        <v>70.22</v>
      </c>
      <c r="G34" s="270">
        <v>70.22</v>
      </c>
      <c r="H34"/>
    </row>
    <row r="35" spans="1:8" x14ac:dyDescent="0.25">
      <c r="A35" s="182" t="s">
        <v>377</v>
      </c>
      <c r="B35" s="183" t="s">
        <v>196</v>
      </c>
      <c r="C35" s="183" t="s">
        <v>208</v>
      </c>
      <c r="D35" s="184" t="s">
        <v>198</v>
      </c>
      <c r="E35" s="185">
        <v>0.40210000000000001</v>
      </c>
      <c r="F35" s="189">
        <v>27.19</v>
      </c>
      <c r="G35" s="189">
        <v>10.93</v>
      </c>
    </row>
    <row r="36" spans="1:8" x14ac:dyDescent="0.25">
      <c r="A36" s="182" t="s">
        <v>199</v>
      </c>
      <c r="B36" s="183" t="s">
        <v>196</v>
      </c>
      <c r="C36" s="183" t="s">
        <v>207</v>
      </c>
      <c r="D36" s="184" t="s">
        <v>198</v>
      </c>
      <c r="E36" s="185">
        <v>0.40210000000000001</v>
      </c>
      <c r="F36" s="189">
        <v>21.71</v>
      </c>
      <c r="G36" s="189">
        <v>8.7200000000000006</v>
      </c>
    </row>
    <row r="37" spans="1:8" ht="22.5" x14ac:dyDescent="0.25">
      <c r="A37" s="182" t="s">
        <v>378</v>
      </c>
      <c r="B37" s="183" t="s">
        <v>196</v>
      </c>
      <c r="C37" s="183" t="s">
        <v>287</v>
      </c>
      <c r="D37" s="184" t="s">
        <v>200</v>
      </c>
      <c r="E37" s="185">
        <v>2.0400000000000001E-2</v>
      </c>
      <c r="F37" s="189">
        <v>681.15</v>
      </c>
      <c r="G37" s="189">
        <v>13.89</v>
      </c>
    </row>
    <row r="38" spans="1:8" ht="22.5" x14ac:dyDescent="0.25">
      <c r="A38" s="182" t="s">
        <v>379</v>
      </c>
      <c r="B38" s="183" t="s">
        <v>325</v>
      </c>
      <c r="C38" s="183" t="s">
        <v>388</v>
      </c>
      <c r="D38" s="184" t="s">
        <v>249</v>
      </c>
      <c r="E38" s="185">
        <v>4.2000000000000003E-2</v>
      </c>
      <c r="F38" s="189">
        <v>612.20000000000005</v>
      </c>
      <c r="G38" s="189">
        <v>25.71</v>
      </c>
    </row>
    <row r="39" spans="1:8" ht="22.5" x14ac:dyDescent="0.25">
      <c r="A39" s="182" t="s">
        <v>381</v>
      </c>
      <c r="B39" s="183" t="s">
        <v>196</v>
      </c>
      <c r="C39" s="183" t="s">
        <v>209</v>
      </c>
      <c r="D39" s="184" t="s">
        <v>200</v>
      </c>
      <c r="E39" s="185">
        <v>0.114</v>
      </c>
      <c r="F39" s="189">
        <v>96.24</v>
      </c>
      <c r="G39" s="189">
        <v>10.97</v>
      </c>
    </row>
    <row r="41" spans="1:8" x14ac:dyDescent="0.25">
      <c r="A41" s="263" t="s">
        <v>194</v>
      </c>
      <c r="B41" s="265" t="s">
        <v>240</v>
      </c>
      <c r="C41" s="265" t="s">
        <v>195</v>
      </c>
      <c r="D41" s="264" t="s">
        <v>241</v>
      </c>
      <c r="E41" s="263" t="s">
        <v>242</v>
      </c>
      <c r="F41" s="263" t="s">
        <v>243</v>
      </c>
      <c r="G41" s="263" t="s">
        <v>118</v>
      </c>
    </row>
    <row r="42" spans="1:8" s="142" customFormat="1" x14ac:dyDescent="0.25">
      <c r="A42" s="266" t="s">
        <v>402</v>
      </c>
      <c r="B42" s="267" t="s">
        <v>325</v>
      </c>
      <c r="C42" s="267" t="s">
        <v>389</v>
      </c>
      <c r="D42" s="268" t="s">
        <v>15</v>
      </c>
      <c r="E42" s="269">
        <v>1</v>
      </c>
      <c r="F42" s="270">
        <v>1.55</v>
      </c>
      <c r="G42" s="270">
        <v>1.55</v>
      </c>
      <c r="H42"/>
    </row>
    <row r="43" spans="1:8" x14ac:dyDescent="0.25">
      <c r="A43" s="182" t="s">
        <v>199</v>
      </c>
      <c r="B43" s="183" t="s">
        <v>196</v>
      </c>
      <c r="C43" s="183" t="s">
        <v>207</v>
      </c>
      <c r="D43" s="184" t="s">
        <v>198</v>
      </c>
      <c r="E43" s="185">
        <v>2E-3</v>
      </c>
      <c r="F43" s="189">
        <v>21.71</v>
      </c>
      <c r="G43" s="189">
        <v>0.04</v>
      </c>
    </row>
    <row r="44" spans="1:8" ht="45" x14ac:dyDescent="0.25">
      <c r="A44" s="182" t="s">
        <v>382</v>
      </c>
      <c r="B44" s="183" t="s">
        <v>196</v>
      </c>
      <c r="C44" s="183" t="s">
        <v>390</v>
      </c>
      <c r="D44" s="184" t="s">
        <v>274</v>
      </c>
      <c r="E44" s="185">
        <v>1.4999999999999999E-4</v>
      </c>
      <c r="F44" s="189">
        <v>10129.23</v>
      </c>
      <c r="G44" s="189">
        <v>1.51</v>
      </c>
    </row>
    <row r="46" spans="1:8" x14ac:dyDescent="0.25">
      <c r="A46" s="263" t="s">
        <v>194</v>
      </c>
      <c r="B46" s="265" t="s">
        <v>240</v>
      </c>
      <c r="C46" s="265" t="s">
        <v>195</v>
      </c>
      <c r="D46" s="264" t="s">
        <v>241</v>
      </c>
      <c r="E46" s="263" t="s">
        <v>242</v>
      </c>
      <c r="F46" s="263" t="s">
        <v>243</v>
      </c>
      <c r="G46" s="263" t="s">
        <v>118</v>
      </c>
    </row>
    <row r="47" spans="1:8" s="142" customFormat="1" ht="45" x14ac:dyDescent="0.25">
      <c r="A47" s="266" t="s">
        <v>272</v>
      </c>
      <c r="B47" s="267" t="s">
        <v>196</v>
      </c>
      <c r="C47" s="267" t="s">
        <v>288</v>
      </c>
      <c r="D47" s="268" t="s">
        <v>201</v>
      </c>
      <c r="E47" s="269">
        <v>1</v>
      </c>
      <c r="F47" s="270">
        <v>41.5</v>
      </c>
      <c r="G47" s="270">
        <v>41.5</v>
      </c>
      <c r="H47"/>
    </row>
    <row r="48" spans="1:8" x14ac:dyDescent="0.25">
      <c r="A48" s="182" t="s">
        <v>211</v>
      </c>
      <c r="B48" s="183" t="s">
        <v>196</v>
      </c>
      <c r="C48" s="183" t="s">
        <v>210</v>
      </c>
      <c r="D48" s="184" t="s">
        <v>198</v>
      </c>
      <c r="E48" s="185">
        <v>0.2296</v>
      </c>
      <c r="F48" s="189">
        <v>27.39</v>
      </c>
      <c r="G48" s="189">
        <v>6.28</v>
      </c>
    </row>
    <row r="49" spans="1:8" x14ac:dyDescent="0.25">
      <c r="A49" s="182" t="s">
        <v>199</v>
      </c>
      <c r="B49" s="183" t="s">
        <v>196</v>
      </c>
      <c r="C49" s="183" t="s">
        <v>207</v>
      </c>
      <c r="D49" s="184" t="s">
        <v>198</v>
      </c>
      <c r="E49" s="185">
        <v>0.2296</v>
      </c>
      <c r="F49" s="189">
        <v>21.71</v>
      </c>
      <c r="G49" s="189">
        <v>4.9800000000000004</v>
      </c>
    </row>
    <row r="50" spans="1:8" ht="22.5" x14ac:dyDescent="0.25">
      <c r="A50" s="182" t="s">
        <v>215</v>
      </c>
      <c r="B50" s="183" t="s">
        <v>196</v>
      </c>
      <c r="C50" s="183" t="s">
        <v>217</v>
      </c>
      <c r="D50" s="184" t="s">
        <v>200</v>
      </c>
      <c r="E50" s="185">
        <v>1.8E-3</v>
      </c>
      <c r="F50" s="189">
        <v>770.66</v>
      </c>
      <c r="G50" s="189">
        <v>1.38</v>
      </c>
    </row>
    <row r="51" spans="1:8" ht="22.5" x14ac:dyDescent="0.25">
      <c r="A51" s="182" t="s">
        <v>212</v>
      </c>
      <c r="B51" s="183" t="s">
        <v>196</v>
      </c>
      <c r="C51" s="183" t="s">
        <v>218</v>
      </c>
      <c r="D51" s="184" t="s">
        <v>200</v>
      </c>
      <c r="E51" s="185">
        <v>6.6E-3</v>
      </c>
      <c r="F51" s="189">
        <v>95</v>
      </c>
      <c r="G51" s="189">
        <v>0.62</v>
      </c>
    </row>
    <row r="52" spans="1:8" ht="22.5" x14ac:dyDescent="0.25">
      <c r="A52" s="182" t="s">
        <v>216</v>
      </c>
      <c r="B52" s="183" t="s">
        <v>196</v>
      </c>
      <c r="C52" s="183" t="s">
        <v>219</v>
      </c>
      <c r="D52" s="184" t="s">
        <v>201</v>
      </c>
      <c r="E52" s="185">
        <v>1.0049999999999999</v>
      </c>
      <c r="F52" s="189">
        <v>28.1</v>
      </c>
      <c r="G52" s="189">
        <v>28.24</v>
      </c>
    </row>
    <row r="54" spans="1:8" x14ac:dyDescent="0.25">
      <c r="A54" s="263" t="s">
        <v>194</v>
      </c>
      <c r="B54" s="265" t="s">
        <v>240</v>
      </c>
      <c r="C54" s="265" t="s">
        <v>195</v>
      </c>
      <c r="D54" s="264" t="s">
        <v>241</v>
      </c>
      <c r="E54" s="263" t="s">
        <v>242</v>
      </c>
      <c r="F54" s="263" t="s">
        <v>243</v>
      </c>
      <c r="G54" s="263" t="s">
        <v>118</v>
      </c>
    </row>
    <row r="55" spans="1:8" s="142" customFormat="1" ht="22.5" x14ac:dyDescent="0.25">
      <c r="A55" s="266" t="s">
        <v>403</v>
      </c>
      <c r="B55" s="267" t="s">
        <v>325</v>
      </c>
      <c r="C55" s="267" t="s">
        <v>262</v>
      </c>
      <c r="D55" s="268" t="s">
        <v>182</v>
      </c>
      <c r="E55" s="269">
        <v>1</v>
      </c>
      <c r="F55" s="270">
        <v>22.53</v>
      </c>
      <c r="G55" s="270">
        <v>22.53</v>
      </c>
      <c r="H55"/>
    </row>
    <row r="56" spans="1:8" x14ac:dyDescent="0.25">
      <c r="A56" s="182" t="s">
        <v>211</v>
      </c>
      <c r="B56" s="183" t="s">
        <v>196</v>
      </c>
      <c r="C56" s="183" t="s">
        <v>210</v>
      </c>
      <c r="D56" s="184" t="s">
        <v>198</v>
      </c>
      <c r="E56" s="185">
        <v>0.2326</v>
      </c>
      <c r="F56" s="189">
        <v>27.39</v>
      </c>
      <c r="G56" s="189">
        <v>6.37</v>
      </c>
    </row>
    <row r="57" spans="1:8" x14ac:dyDescent="0.25">
      <c r="A57" s="182" t="s">
        <v>199</v>
      </c>
      <c r="B57" s="183" t="s">
        <v>196</v>
      </c>
      <c r="C57" s="183" t="s">
        <v>207</v>
      </c>
      <c r="D57" s="184" t="s">
        <v>198</v>
      </c>
      <c r="E57" s="185">
        <v>0.2326</v>
      </c>
      <c r="F57" s="189">
        <v>21.71</v>
      </c>
      <c r="G57" s="189">
        <v>5.04</v>
      </c>
    </row>
    <row r="58" spans="1:8" ht="22.5" x14ac:dyDescent="0.25">
      <c r="A58" s="182" t="s">
        <v>212</v>
      </c>
      <c r="B58" s="183" t="s">
        <v>196</v>
      </c>
      <c r="C58" s="183" t="s">
        <v>218</v>
      </c>
      <c r="D58" s="184" t="s">
        <v>200</v>
      </c>
      <c r="E58" s="185">
        <v>9.9000000000000008E-3</v>
      </c>
      <c r="F58" s="189">
        <v>95</v>
      </c>
      <c r="G58" s="189">
        <v>0.94</v>
      </c>
    </row>
    <row r="59" spans="1:8" ht="22.5" x14ac:dyDescent="0.25">
      <c r="A59" s="182" t="s">
        <v>213</v>
      </c>
      <c r="B59" s="183" t="s">
        <v>196</v>
      </c>
      <c r="C59" s="183" t="s">
        <v>221</v>
      </c>
      <c r="D59" s="184" t="s">
        <v>201</v>
      </c>
      <c r="E59" s="185">
        <v>0.2</v>
      </c>
      <c r="F59" s="189">
        <v>3.52</v>
      </c>
      <c r="G59" s="189">
        <v>0.7</v>
      </c>
    </row>
    <row r="60" spans="1:8" ht="22.5" x14ac:dyDescent="0.25">
      <c r="A60" s="182" t="s">
        <v>220</v>
      </c>
      <c r="B60" s="183" t="s">
        <v>196</v>
      </c>
      <c r="C60" s="183" t="s">
        <v>222</v>
      </c>
      <c r="D60" s="184" t="s">
        <v>201</v>
      </c>
      <c r="E60" s="185">
        <v>8.3299999999999999E-2</v>
      </c>
      <c r="F60" s="189">
        <v>16.670000000000002</v>
      </c>
      <c r="G60" s="189">
        <v>1.38</v>
      </c>
    </row>
    <row r="61" spans="1:8" ht="33.75" x14ac:dyDescent="0.25">
      <c r="A61" s="182" t="s">
        <v>214</v>
      </c>
      <c r="B61" s="183" t="s">
        <v>196</v>
      </c>
      <c r="C61" s="183" t="s">
        <v>223</v>
      </c>
      <c r="D61" s="184" t="s">
        <v>200</v>
      </c>
      <c r="E61" s="185">
        <v>1.4999999999999999E-2</v>
      </c>
      <c r="F61" s="189">
        <v>540</v>
      </c>
      <c r="G61" s="189">
        <v>8.1</v>
      </c>
    </row>
    <row r="63" spans="1:8" x14ac:dyDescent="0.25">
      <c r="A63" s="263" t="s">
        <v>194</v>
      </c>
      <c r="B63" s="265" t="s">
        <v>240</v>
      </c>
      <c r="C63" s="265" t="s">
        <v>195</v>
      </c>
      <c r="D63" s="264" t="s">
        <v>241</v>
      </c>
      <c r="E63" s="263" t="s">
        <v>242</v>
      </c>
      <c r="F63" s="263" t="s">
        <v>243</v>
      </c>
      <c r="G63" s="263" t="s">
        <v>118</v>
      </c>
    </row>
    <row r="64" spans="1:8" s="142" customFormat="1" ht="33.75" x14ac:dyDescent="0.25">
      <c r="A64" s="266" t="s">
        <v>384</v>
      </c>
      <c r="B64" s="267" t="s">
        <v>196</v>
      </c>
      <c r="C64" s="267" t="s">
        <v>391</v>
      </c>
      <c r="D64" s="268" t="s">
        <v>244</v>
      </c>
      <c r="E64" s="269">
        <v>1</v>
      </c>
      <c r="F64" s="270">
        <v>1.61</v>
      </c>
      <c r="G64" s="270">
        <v>1.61</v>
      </c>
      <c r="H64"/>
    </row>
    <row r="65" spans="1:8" ht="45" x14ac:dyDescent="0.25">
      <c r="A65" s="182" t="s">
        <v>245</v>
      </c>
      <c r="B65" s="183" t="s">
        <v>196</v>
      </c>
      <c r="C65" s="183" t="s">
        <v>290</v>
      </c>
      <c r="D65" s="184" t="s">
        <v>246</v>
      </c>
      <c r="E65" s="185">
        <v>5.5999999999999999E-3</v>
      </c>
      <c r="F65" s="189">
        <v>260.67</v>
      </c>
      <c r="G65" s="189">
        <v>1.45</v>
      </c>
    </row>
    <row r="66" spans="1:8" ht="45" x14ac:dyDescent="0.25">
      <c r="A66" s="182" t="s">
        <v>247</v>
      </c>
      <c r="B66" s="183" t="s">
        <v>196</v>
      </c>
      <c r="C66" s="183" t="s">
        <v>291</v>
      </c>
      <c r="D66" s="184" t="s">
        <v>248</v>
      </c>
      <c r="E66" s="185">
        <v>2.3999999999999998E-3</v>
      </c>
      <c r="F66" s="189">
        <v>70.319999999999993</v>
      </c>
      <c r="G66" s="189">
        <v>0.16</v>
      </c>
    </row>
    <row r="68" spans="1:8" x14ac:dyDescent="0.25">
      <c r="A68" s="263" t="s">
        <v>194</v>
      </c>
      <c r="B68" s="265" t="s">
        <v>240</v>
      </c>
      <c r="C68" s="265" t="s">
        <v>195</v>
      </c>
      <c r="D68" s="264" t="s">
        <v>241</v>
      </c>
      <c r="E68" s="263" t="s">
        <v>242</v>
      </c>
      <c r="F68" s="263" t="s">
        <v>243</v>
      </c>
      <c r="G68" s="263" t="s">
        <v>118</v>
      </c>
    </row>
    <row r="69" spans="1:8" s="142" customFormat="1" ht="33.75" x14ac:dyDescent="0.25">
      <c r="A69" s="266" t="s">
        <v>385</v>
      </c>
      <c r="B69" s="267" t="s">
        <v>196</v>
      </c>
      <c r="C69" s="267" t="s">
        <v>362</v>
      </c>
      <c r="D69" s="268" t="s">
        <v>244</v>
      </c>
      <c r="E69" s="269">
        <v>1</v>
      </c>
      <c r="F69" s="270">
        <v>0.64</v>
      </c>
      <c r="G69" s="270">
        <v>0.64</v>
      </c>
      <c r="H69"/>
    </row>
    <row r="70" spans="1:8" ht="45" x14ac:dyDescent="0.25">
      <c r="A70" s="182" t="s">
        <v>245</v>
      </c>
      <c r="B70" s="183" t="s">
        <v>196</v>
      </c>
      <c r="C70" s="183" t="s">
        <v>290</v>
      </c>
      <c r="D70" s="184" t="s">
        <v>246</v>
      </c>
      <c r="E70" s="185">
        <v>2.2000000000000001E-3</v>
      </c>
      <c r="F70" s="189">
        <v>260.67</v>
      </c>
      <c r="G70" s="189">
        <v>0.56999999999999995</v>
      </c>
    </row>
    <row r="71" spans="1:8" ht="45" x14ac:dyDescent="0.25">
      <c r="A71" s="182" t="s">
        <v>247</v>
      </c>
      <c r="B71" s="183" t="s">
        <v>196</v>
      </c>
      <c r="C71" s="183" t="s">
        <v>291</v>
      </c>
      <c r="D71" s="184" t="s">
        <v>248</v>
      </c>
      <c r="E71" s="185">
        <v>1E-3</v>
      </c>
      <c r="F71" s="189">
        <v>70.319999999999993</v>
      </c>
      <c r="G71" s="189">
        <v>7.0000000000000007E-2</v>
      </c>
    </row>
    <row r="73" spans="1:8" x14ac:dyDescent="0.25">
      <c r="A73" s="263" t="s">
        <v>194</v>
      </c>
      <c r="B73" s="265" t="s">
        <v>240</v>
      </c>
      <c r="C73" s="265" t="s">
        <v>195</v>
      </c>
      <c r="D73" s="264" t="s">
        <v>241</v>
      </c>
      <c r="E73" s="263" t="s">
        <v>242</v>
      </c>
      <c r="F73" s="263" t="s">
        <v>243</v>
      </c>
      <c r="G73" s="263" t="s">
        <v>118</v>
      </c>
    </row>
    <row r="74" spans="1:8" ht="22.5" x14ac:dyDescent="0.25">
      <c r="A74" s="266" t="s">
        <v>404</v>
      </c>
      <c r="B74" s="267" t="s">
        <v>325</v>
      </c>
      <c r="C74" s="267" t="s">
        <v>332</v>
      </c>
      <c r="D74" s="268" t="s">
        <v>184</v>
      </c>
      <c r="E74" s="269">
        <v>1</v>
      </c>
      <c r="F74" s="270">
        <v>371.05</v>
      </c>
      <c r="G74" s="270">
        <v>371.05</v>
      </c>
    </row>
    <row r="75" spans="1:8" x14ac:dyDescent="0.25">
      <c r="A75" s="182" t="s">
        <v>199</v>
      </c>
      <c r="B75" s="183" t="s">
        <v>196</v>
      </c>
      <c r="C75" s="183" t="s">
        <v>371</v>
      </c>
      <c r="D75" s="184" t="s">
        <v>198</v>
      </c>
      <c r="E75" s="185">
        <v>0.2</v>
      </c>
      <c r="F75" s="189">
        <v>21.71</v>
      </c>
      <c r="G75" s="189">
        <v>4.34</v>
      </c>
    </row>
    <row r="76" spans="1:8" ht="33.75" x14ac:dyDescent="0.25">
      <c r="A76" s="182" t="s">
        <v>326</v>
      </c>
      <c r="B76" s="183" t="s">
        <v>196</v>
      </c>
      <c r="C76" s="183" t="s">
        <v>393</v>
      </c>
      <c r="D76" s="184" t="s">
        <v>200</v>
      </c>
      <c r="E76" s="185">
        <v>8.8000000000000005E-3</v>
      </c>
      <c r="F76" s="189">
        <v>579.80999999999995</v>
      </c>
      <c r="G76" s="189">
        <v>5.0999999999999996</v>
      </c>
    </row>
    <row r="77" spans="1:8" ht="22.5" x14ac:dyDescent="0.25">
      <c r="A77" s="182" t="s">
        <v>327</v>
      </c>
      <c r="B77" s="183" t="s">
        <v>196</v>
      </c>
      <c r="C77" s="183" t="s">
        <v>394</v>
      </c>
      <c r="D77" s="184" t="s">
        <v>274</v>
      </c>
      <c r="E77" s="185">
        <v>2</v>
      </c>
      <c r="F77" s="189">
        <v>12.06</v>
      </c>
      <c r="G77" s="189">
        <v>24.12</v>
      </c>
    </row>
    <row r="78" spans="1:8" ht="22.5" x14ac:dyDescent="0.25">
      <c r="A78" s="182" t="s">
        <v>328</v>
      </c>
      <c r="B78" s="183" t="s">
        <v>196</v>
      </c>
      <c r="C78" s="183" t="s">
        <v>395</v>
      </c>
      <c r="D78" s="184" t="s">
        <v>201</v>
      </c>
      <c r="E78" s="185">
        <v>2.7</v>
      </c>
      <c r="F78" s="189">
        <v>74.33</v>
      </c>
      <c r="G78" s="189">
        <v>200.69</v>
      </c>
    </row>
    <row r="79" spans="1:8" ht="22.5" x14ac:dyDescent="0.25">
      <c r="A79" s="182" t="s">
        <v>329</v>
      </c>
      <c r="B79" s="183" t="s">
        <v>330</v>
      </c>
      <c r="C79" s="183" t="s">
        <v>396</v>
      </c>
      <c r="D79" s="184" t="s">
        <v>274</v>
      </c>
      <c r="E79" s="185">
        <v>8</v>
      </c>
      <c r="F79" s="189">
        <v>0.6</v>
      </c>
      <c r="G79" s="189">
        <v>4.8</v>
      </c>
    </row>
    <row r="80" spans="1:8" ht="22.5" x14ac:dyDescent="0.25">
      <c r="A80" s="182" t="s">
        <v>331</v>
      </c>
      <c r="B80" s="183" t="s">
        <v>196</v>
      </c>
      <c r="C80" s="183" t="s">
        <v>397</v>
      </c>
      <c r="D80" s="184" t="s">
        <v>274</v>
      </c>
      <c r="E80" s="185">
        <v>1</v>
      </c>
      <c r="F80" s="189">
        <v>132</v>
      </c>
      <c r="G80" s="189">
        <v>132</v>
      </c>
    </row>
    <row r="82" spans="1:7" x14ac:dyDescent="0.25">
      <c r="A82" s="263" t="s">
        <v>194</v>
      </c>
      <c r="B82" s="265" t="s">
        <v>240</v>
      </c>
      <c r="C82" s="265" t="s">
        <v>195</v>
      </c>
      <c r="D82" s="264" t="s">
        <v>241</v>
      </c>
      <c r="E82" s="263" t="s">
        <v>242</v>
      </c>
      <c r="F82" s="263" t="s">
        <v>243</v>
      </c>
      <c r="G82" s="263" t="s">
        <v>118</v>
      </c>
    </row>
    <row r="83" spans="1:7" ht="22.5" x14ac:dyDescent="0.25">
      <c r="A83" s="267" t="s">
        <v>400</v>
      </c>
      <c r="B83" s="267" t="s">
        <v>325</v>
      </c>
      <c r="C83" s="267" t="s">
        <v>380</v>
      </c>
      <c r="D83" s="268" t="s">
        <v>249</v>
      </c>
      <c r="E83" s="269">
        <v>1</v>
      </c>
      <c r="F83" s="270">
        <v>612.20000000000005</v>
      </c>
      <c r="G83" s="270">
        <v>612.20000000000005</v>
      </c>
    </row>
    <row r="84" spans="1:7" x14ac:dyDescent="0.25">
      <c r="A84" s="182" t="s">
        <v>199</v>
      </c>
      <c r="B84" s="183" t="s">
        <v>196</v>
      </c>
      <c r="C84" s="183" t="s">
        <v>371</v>
      </c>
      <c r="D84" s="184" t="s">
        <v>198</v>
      </c>
      <c r="E84" s="185">
        <v>12</v>
      </c>
      <c r="F84" s="189">
        <v>21.71</v>
      </c>
      <c r="G84" s="189">
        <v>260.52</v>
      </c>
    </row>
    <row r="85" spans="1:7" x14ac:dyDescent="0.25">
      <c r="A85" s="182" t="s">
        <v>211</v>
      </c>
      <c r="B85" s="183" t="s">
        <v>196</v>
      </c>
      <c r="C85" s="183" t="s">
        <v>383</v>
      </c>
      <c r="D85" s="184" t="s">
        <v>198</v>
      </c>
      <c r="E85" s="185">
        <v>12</v>
      </c>
      <c r="F85" s="189">
        <v>27.39</v>
      </c>
      <c r="G85" s="189">
        <v>328.68</v>
      </c>
    </row>
    <row r="86" spans="1:7" x14ac:dyDescent="0.25">
      <c r="A86" s="182" t="s">
        <v>398</v>
      </c>
      <c r="B86" s="183" t="s">
        <v>325</v>
      </c>
      <c r="C86" s="183" t="s">
        <v>399</v>
      </c>
      <c r="D86" s="184" t="s">
        <v>249</v>
      </c>
      <c r="E86" s="185">
        <v>1</v>
      </c>
      <c r="F86" s="189">
        <v>23</v>
      </c>
      <c r="G86" s="189">
        <v>23</v>
      </c>
    </row>
  </sheetData>
  <sheetProtection algorithmName="SHA-512" hashValue="BPV0MW8Omctz5ZgmFZy9jKL8dIuvTU7c6sa1VDuRO4nVHAa3v3hdqhJcgPrsEXzuhhWCyN8L33plvOAoVr4DNw==" saltValue="wyMkcTObdBEjRqlGhOi3iA==" spinCount="100000" sheet="1" objects="1" scenarios="1" selectLockedCells="1" selectUnlockedCells="1"/>
  <mergeCells count="5">
    <mergeCell ref="A1:G2"/>
    <mergeCell ref="A3:C3"/>
    <mergeCell ref="F3:F4"/>
    <mergeCell ref="G3:G4"/>
    <mergeCell ref="D4:E4"/>
  </mergeCells>
  <pageMargins left="0.51181102362204722" right="0.51181102362204722" top="1.7716535433070868" bottom="1.5748031496062993" header="0.51181102362204722" footer="0.51181102362204722"/>
  <pageSetup paperSize="9" scale="74" fitToHeight="0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8D2F-43BE-4C91-9E51-B07ECF426F73}">
  <sheetPr>
    <pageSetUpPr fitToPage="1"/>
  </sheetPr>
  <dimension ref="A1:Q517"/>
  <sheetViews>
    <sheetView workbookViewId="0"/>
  </sheetViews>
  <sheetFormatPr defaultRowHeight="12.75" x14ac:dyDescent="0.25"/>
  <cols>
    <col min="1" max="1" width="6.28515625" style="192" bestFit="1" customWidth="1"/>
    <col min="2" max="2" width="52.28515625" style="192" bestFit="1" customWidth="1"/>
    <col min="3" max="3" width="11.28515625" style="192" bestFit="1" customWidth="1"/>
    <col min="4" max="4" width="20.5703125" style="192" customWidth="1"/>
    <col min="5" max="5" width="32.140625" style="192" bestFit="1" customWidth="1"/>
    <col min="6" max="16384" width="9.140625" style="192"/>
  </cols>
  <sheetData>
    <row r="1" spans="1:17" ht="29.25" customHeight="1" x14ac:dyDescent="0.25">
      <c r="A1" s="190" t="s">
        <v>405</v>
      </c>
      <c r="B1" s="191"/>
      <c r="C1" s="229"/>
      <c r="D1" s="229"/>
      <c r="E1" s="232"/>
    </row>
    <row r="2" spans="1:17" x14ac:dyDescent="0.25">
      <c r="A2" s="193" t="s">
        <v>369</v>
      </c>
      <c r="B2" s="231"/>
      <c r="C2" s="230"/>
      <c r="D2" s="230"/>
      <c r="E2" s="233"/>
    </row>
    <row r="3" spans="1:17" ht="12.75" customHeight="1" x14ac:dyDescent="0.25">
      <c r="E3" s="195"/>
      <c r="O3" s="194"/>
      <c r="P3" s="194"/>
      <c r="Q3" s="194"/>
    </row>
    <row r="5" spans="1:17" x14ac:dyDescent="0.25">
      <c r="A5" s="380" t="s">
        <v>292</v>
      </c>
      <c r="B5" s="380"/>
      <c r="C5" s="380"/>
      <c r="D5" s="380"/>
      <c r="E5" s="380"/>
    </row>
    <row r="6" spans="1:17" ht="20.25" customHeight="1" x14ac:dyDescent="0.25">
      <c r="A6" s="381" t="s">
        <v>191</v>
      </c>
      <c r="B6" s="381"/>
      <c r="C6" s="381"/>
      <c r="D6" s="381"/>
      <c r="E6" s="381"/>
    </row>
    <row r="7" spans="1:17" x14ac:dyDescent="0.2">
      <c r="A7" s="196" t="s">
        <v>30</v>
      </c>
      <c r="B7" s="197" t="s">
        <v>31</v>
      </c>
      <c r="C7" s="198"/>
      <c r="D7" s="199"/>
      <c r="E7" s="200"/>
    </row>
    <row r="8" spans="1:17" x14ac:dyDescent="0.2">
      <c r="A8" s="201" t="s">
        <v>32</v>
      </c>
      <c r="B8" s="202" t="s">
        <v>38</v>
      </c>
      <c r="C8" s="203"/>
      <c r="D8" s="204"/>
      <c r="E8" s="205"/>
    </row>
    <row r="9" spans="1:17" x14ac:dyDescent="0.2">
      <c r="A9" s="206"/>
      <c r="B9" s="207" t="s">
        <v>293</v>
      </c>
      <c r="C9" s="208">
        <v>3</v>
      </c>
      <c r="D9" s="209" t="s">
        <v>182</v>
      </c>
      <c r="E9" s="206"/>
    </row>
    <row r="10" spans="1:17" x14ac:dyDescent="0.2">
      <c r="A10" s="206"/>
      <c r="B10" s="207" t="s">
        <v>294</v>
      </c>
      <c r="C10" s="208">
        <v>2</v>
      </c>
      <c r="D10" s="209" t="s">
        <v>182</v>
      </c>
      <c r="E10" s="200"/>
    </row>
    <row r="11" spans="1:17" x14ac:dyDescent="0.2">
      <c r="A11" s="206"/>
      <c r="B11" s="207" t="s">
        <v>250</v>
      </c>
      <c r="C11" s="208">
        <v>1</v>
      </c>
      <c r="D11" s="209" t="s">
        <v>295</v>
      </c>
      <c r="E11" s="200"/>
    </row>
    <row r="12" spans="1:17" x14ac:dyDescent="0.2">
      <c r="A12" s="206"/>
      <c r="B12" s="207" t="s">
        <v>311</v>
      </c>
      <c r="C12" s="210">
        <f>ROUND(C11*C10*C9,2)</f>
        <v>6</v>
      </c>
      <c r="D12" s="211" t="s">
        <v>15</v>
      </c>
      <c r="E12" s="200"/>
    </row>
    <row r="13" spans="1:17" x14ac:dyDescent="0.2">
      <c r="A13" s="206"/>
      <c r="B13" s="207"/>
      <c r="C13" s="212"/>
      <c r="D13" s="213"/>
      <c r="E13" s="200"/>
    </row>
    <row r="14" spans="1:17" x14ac:dyDescent="0.2">
      <c r="A14" s="201" t="s">
        <v>172</v>
      </c>
      <c r="B14" s="202" t="s">
        <v>39</v>
      </c>
      <c r="C14" s="203"/>
      <c r="D14" s="204"/>
      <c r="E14" s="205"/>
    </row>
    <row r="15" spans="1:17" x14ac:dyDescent="0.2">
      <c r="A15" s="206"/>
      <c r="B15" s="207" t="s">
        <v>297</v>
      </c>
      <c r="C15" s="208">
        <v>5</v>
      </c>
      <c r="D15" s="209" t="s">
        <v>40</v>
      </c>
      <c r="E15" s="206"/>
    </row>
    <row r="16" spans="1:17" x14ac:dyDescent="0.2">
      <c r="A16" s="206"/>
      <c r="B16" s="207" t="s">
        <v>298</v>
      </c>
      <c r="C16" s="210">
        <f>C15</f>
        <v>5</v>
      </c>
      <c r="D16" s="211" t="s">
        <v>40</v>
      </c>
      <c r="E16" s="200"/>
    </row>
    <row r="17" spans="1:5" x14ac:dyDescent="0.2">
      <c r="A17" s="206"/>
      <c r="B17" s="207"/>
      <c r="C17" s="212"/>
      <c r="D17" s="213"/>
      <c r="E17" s="200"/>
    </row>
    <row r="18" spans="1:5" x14ac:dyDescent="0.2">
      <c r="A18" s="201" t="s">
        <v>334</v>
      </c>
      <c r="B18" s="202" t="s">
        <v>338</v>
      </c>
      <c r="C18" s="203"/>
      <c r="D18" s="204"/>
      <c r="E18" s="205"/>
    </row>
    <row r="19" spans="1:5" x14ac:dyDescent="0.2">
      <c r="A19" s="206"/>
      <c r="B19" s="207" t="s">
        <v>339</v>
      </c>
      <c r="C19" s="208">
        <f>'GERAL '!B18</f>
        <v>5452.5</v>
      </c>
      <c r="D19" s="209" t="s">
        <v>15</v>
      </c>
      <c r="E19" s="206"/>
    </row>
    <row r="20" spans="1:5" x14ac:dyDescent="0.2">
      <c r="A20" s="206"/>
      <c r="B20" s="207" t="s">
        <v>297</v>
      </c>
      <c r="C20" s="210">
        <f>C19</f>
        <v>5452.5</v>
      </c>
      <c r="D20" s="211" t="s">
        <v>15</v>
      </c>
      <c r="E20" s="200"/>
    </row>
    <row r="21" spans="1:5" x14ac:dyDescent="0.2">
      <c r="A21" s="206"/>
      <c r="B21" s="207"/>
      <c r="C21" s="212"/>
      <c r="D21" s="213"/>
      <c r="E21" s="200"/>
    </row>
    <row r="22" spans="1:5" x14ac:dyDescent="0.25">
      <c r="A22" s="214"/>
      <c r="B22" s="215" t="s">
        <v>359</v>
      </c>
      <c r="C22" s="378"/>
      <c r="D22" s="379"/>
      <c r="E22" s="379"/>
    </row>
    <row r="23" spans="1:5" x14ac:dyDescent="0.2">
      <c r="A23" s="216"/>
      <c r="B23" s="217" t="s">
        <v>299</v>
      </c>
      <c r="C23" s="218">
        <v>181</v>
      </c>
      <c r="D23" s="199" t="s">
        <v>182</v>
      </c>
      <c r="E23" s="200"/>
    </row>
    <row r="24" spans="1:5" x14ac:dyDescent="0.2">
      <c r="A24" s="216"/>
      <c r="B24" s="217" t="s">
        <v>300</v>
      </c>
      <c r="C24" s="218">
        <v>6</v>
      </c>
      <c r="D24" s="199" t="s">
        <v>182</v>
      </c>
      <c r="E24" s="200"/>
    </row>
    <row r="25" spans="1:5" x14ac:dyDescent="0.2">
      <c r="A25" s="216"/>
      <c r="B25" s="217" t="s">
        <v>312</v>
      </c>
      <c r="C25" s="218">
        <v>42</v>
      </c>
      <c r="D25" s="199" t="s">
        <v>313</v>
      </c>
      <c r="E25" s="200"/>
    </row>
    <row r="26" spans="1:5" x14ac:dyDescent="0.2">
      <c r="A26" s="216"/>
      <c r="B26" s="217"/>
      <c r="C26" s="218"/>
      <c r="D26" s="199"/>
      <c r="E26" s="200"/>
    </row>
    <row r="27" spans="1:5" x14ac:dyDescent="0.2">
      <c r="A27" s="216"/>
      <c r="B27" s="217"/>
      <c r="C27" s="218"/>
      <c r="D27" s="199"/>
      <c r="E27" s="200"/>
    </row>
    <row r="28" spans="1:5" x14ac:dyDescent="0.2">
      <c r="A28" s="216"/>
      <c r="B28" s="217"/>
      <c r="C28" s="218"/>
      <c r="D28" s="199"/>
      <c r="E28" s="200"/>
    </row>
    <row r="29" spans="1:5" x14ac:dyDescent="0.2">
      <c r="A29" s="216"/>
      <c r="B29" s="217"/>
      <c r="C29" s="218"/>
      <c r="D29" s="199"/>
      <c r="E29" s="200"/>
    </row>
    <row r="30" spans="1:5" x14ac:dyDescent="0.2">
      <c r="A30" s="216"/>
      <c r="B30" s="217"/>
      <c r="C30" s="218"/>
      <c r="D30" s="199"/>
      <c r="E30" s="200"/>
    </row>
    <row r="31" spans="1:5" x14ac:dyDescent="0.2">
      <c r="A31" s="216"/>
      <c r="B31" s="217"/>
      <c r="C31" s="218"/>
      <c r="D31" s="199"/>
      <c r="E31" s="200"/>
    </row>
    <row r="32" spans="1:5" x14ac:dyDescent="0.2">
      <c r="A32" s="216"/>
      <c r="B32" s="217"/>
      <c r="C32" s="218"/>
      <c r="D32" s="199"/>
      <c r="E32" s="200"/>
    </row>
    <row r="33" spans="1:5" x14ac:dyDescent="0.2">
      <c r="A33" s="216"/>
      <c r="B33" s="217"/>
      <c r="C33" s="218"/>
      <c r="D33" s="199"/>
      <c r="E33" s="200"/>
    </row>
    <row r="34" spans="1:5" x14ac:dyDescent="0.2">
      <c r="A34" s="216"/>
      <c r="B34" s="217"/>
      <c r="C34" s="218"/>
      <c r="D34" s="199"/>
      <c r="E34" s="200"/>
    </row>
    <row r="35" spans="1:5" x14ac:dyDescent="0.2">
      <c r="A35" s="216"/>
      <c r="B35" s="217"/>
      <c r="C35" s="218"/>
      <c r="D35" s="199"/>
      <c r="E35" s="200"/>
    </row>
    <row r="36" spans="1:5" x14ac:dyDescent="0.2">
      <c r="A36" s="216"/>
      <c r="B36" s="217"/>
      <c r="C36" s="218"/>
      <c r="D36" s="199"/>
      <c r="E36" s="200"/>
    </row>
    <row r="37" spans="1:5" x14ac:dyDescent="0.2">
      <c r="A37" s="216"/>
      <c r="B37" s="217"/>
      <c r="C37" s="218"/>
      <c r="D37" s="199"/>
      <c r="E37" s="200"/>
    </row>
    <row r="38" spans="1:5" x14ac:dyDescent="0.2">
      <c r="A38" s="216"/>
      <c r="B38" s="217"/>
      <c r="C38" s="218"/>
      <c r="D38" s="199"/>
      <c r="E38" s="200"/>
    </row>
    <row r="39" spans="1:5" x14ac:dyDescent="0.2">
      <c r="A39" s="216"/>
      <c r="B39" s="217"/>
      <c r="C39" s="218"/>
      <c r="D39" s="199"/>
      <c r="E39" s="200"/>
    </row>
    <row r="40" spans="1:5" x14ac:dyDescent="0.2">
      <c r="A40" s="216"/>
      <c r="B40" s="217"/>
      <c r="C40" s="218"/>
      <c r="D40" s="199"/>
      <c r="E40" s="200"/>
    </row>
    <row r="41" spans="1:5" x14ac:dyDescent="0.2">
      <c r="A41" s="196"/>
      <c r="B41" s="219"/>
      <c r="C41" s="198"/>
      <c r="D41" s="220"/>
      <c r="E41" s="200"/>
    </row>
    <row r="42" spans="1:5" x14ac:dyDescent="0.2">
      <c r="A42" s="196" t="s">
        <v>33</v>
      </c>
      <c r="B42" s="197" t="s">
        <v>173</v>
      </c>
      <c r="C42" s="198"/>
      <c r="D42" s="199"/>
      <c r="E42" s="200"/>
    </row>
    <row r="43" spans="1:5" x14ac:dyDescent="0.2">
      <c r="A43" s="201" t="s">
        <v>35</v>
      </c>
      <c r="B43" s="202" t="s">
        <v>174</v>
      </c>
      <c r="C43" s="203"/>
      <c r="D43" s="204"/>
      <c r="E43" s="205"/>
    </row>
    <row r="44" spans="1:5" x14ac:dyDescent="0.2">
      <c r="A44" s="206"/>
      <c r="B44" s="207" t="s">
        <v>293</v>
      </c>
      <c r="C44" s="208">
        <f>$C$23</f>
        <v>181</v>
      </c>
      <c r="D44" s="209" t="s">
        <v>182</v>
      </c>
      <c r="E44" s="206"/>
    </row>
    <row r="45" spans="1:5" x14ac:dyDescent="0.2">
      <c r="A45" s="206"/>
      <c r="B45" s="207" t="s">
        <v>294</v>
      </c>
      <c r="C45" s="208">
        <f>$C$24</f>
        <v>6</v>
      </c>
      <c r="D45" s="209" t="s">
        <v>182</v>
      </c>
      <c r="E45" s="200"/>
    </row>
    <row r="46" spans="1:5" x14ac:dyDescent="0.2">
      <c r="A46" s="206"/>
      <c r="B46" s="207" t="s">
        <v>296</v>
      </c>
      <c r="C46" s="210">
        <f>ROUND(C44*C45,2)</f>
        <v>1086</v>
      </c>
      <c r="D46" s="211" t="s">
        <v>15</v>
      </c>
      <c r="E46" s="200"/>
    </row>
    <row r="47" spans="1:5" x14ac:dyDescent="0.2">
      <c r="A47" s="221"/>
      <c r="B47" s="222"/>
      <c r="C47" s="213"/>
      <c r="D47" s="223"/>
      <c r="E47" s="224"/>
    </row>
    <row r="48" spans="1:5" x14ac:dyDescent="0.2">
      <c r="A48" s="196" t="s">
        <v>175</v>
      </c>
      <c r="B48" s="197" t="s">
        <v>176</v>
      </c>
      <c r="C48" s="198"/>
      <c r="D48" s="199"/>
      <c r="E48" s="200"/>
    </row>
    <row r="49" spans="1:5" ht="30" customHeight="1" x14ac:dyDescent="0.25">
      <c r="A49" s="225" t="s">
        <v>177</v>
      </c>
      <c r="B49" s="375" t="s">
        <v>257</v>
      </c>
      <c r="C49" s="375"/>
      <c r="D49" s="375"/>
      <c r="E49" s="376"/>
    </row>
    <row r="50" spans="1:5" x14ac:dyDescent="0.2">
      <c r="A50" s="206"/>
      <c r="B50" s="207" t="s">
        <v>293</v>
      </c>
      <c r="C50" s="208">
        <f>$C$23</f>
        <v>181</v>
      </c>
      <c r="D50" s="209" t="s">
        <v>182</v>
      </c>
      <c r="E50" s="206"/>
    </row>
    <row r="51" spans="1:5" x14ac:dyDescent="0.2">
      <c r="A51" s="206"/>
      <c r="B51" s="207" t="s">
        <v>294</v>
      </c>
      <c r="C51" s="208">
        <f>$C$24</f>
        <v>6</v>
      </c>
      <c r="D51" s="209" t="s">
        <v>182</v>
      </c>
      <c r="E51" s="200"/>
    </row>
    <row r="52" spans="1:5" x14ac:dyDescent="0.2">
      <c r="A52" s="206"/>
      <c r="B52" s="207" t="s">
        <v>296</v>
      </c>
      <c r="C52" s="210">
        <f>ROUND(C50*C51,2)</f>
        <v>1086</v>
      </c>
      <c r="D52" s="211" t="s">
        <v>15</v>
      </c>
      <c r="E52" s="200"/>
    </row>
    <row r="53" spans="1:5" x14ac:dyDescent="0.2">
      <c r="A53" s="206"/>
      <c r="B53" s="207"/>
      <c r="C53" s="254"/>
      <c r="D53" s="255"/>
      <c r="E53" s="200"/>
    </row>
    <row r="54" spans="1:5" ht="30" customHeight="1" x14ac:dyDescent="0.25">
      <c r="A54" s="225" t="s">
        <v>324</v>
      </c>
      <c r="B54" s="375" t="s">
        <v>344</v>
      </c>
      <c r="C54" s="375"/>
      <c r="D54" s="375"/>
      <c r="E54" s="376"/>
    </row>
    <row r="55" spans="1:5" x14ac:dyDescent="0.2">
      <c r="A55" s="206"/>
      <c r="B55" s="207" t="s">
        <v>293</v>
      </c>
      <c r="C55" s="208">
        <f>$C$23</f>
        <v>181</v>
      </c>
      <c r="D55" s="209" t="s">
        <v>182</v>
      </c>
      <c r="E55" s="206"/>
    </row>
    <row r="56" spans="1:5" x14ac:dyDescent="0.2">
      <c r="A56" s="206"/>
      <c r="B56" s="207" t="s">
        <v>294</v>
      </c>
      <c r="C56" s="208">
        <f>$C$24</f>
        <v>6</v>
      </c>
      <c r="D56" s="209" t="s">
        <v>182</v>
      </c>
      <c r="E56" s="200"/>
    </row>
    <row r="57" spans="1:5" x14ac:dyDescent="0.2">
      <c r="A57" s="206"/>
      <c r="B57" s="207" t="s">
        <v>296</v>
      </c>
      <c r="C57" s="210">
        <f>ROUND(C55*C56,2)</f>
        <v>1086</v>
      </c>
      <c r="D57" s="211" t="s">
        <v>15</v>
      </c>
      <c r="E57" s="200"/>
    </row>
    <row r="58" spans="1:5" x14ac:dyDescent="0.2">
      <c r="A58" s="206"/>
      <c r="B58" s="207"/>
      <c r="C58" s="254"/>
      <c r="D58" s="255"/>
      <c r="E58" s="200"/>
    </row>
    <row r="59" spans="1:5" x14ac:dyDescent="0.2">
      <c r="A59" s="196" t="s">
        <v>178</v>
      </c>
      <c r="B59" s="197" t="s">
        <v>179</v>
      </c>
      <c r="C59" s="256"/>
      <c r="D59" s="257"/>
      <c r="E59" s="200"/>
    </row>
    <row r="60" spans="1:5" ht="30" customHeight="1" x14ac:dyDescent="0.25">
      <c r="A60" s="225" t="s">
        <v>180</v>
      </c>
      <c r="B60" s="375" t="s">
        <v>181</v>
      </c>
      <c r="C60" s="377"/>
      <c r="D60" s="377"/>
      <c r="E60" s="376"/>
    </row>
    <row r="61" spans="1:5" x14ac:dyDescent="0.2">
      <c r="A61" s="206"/>
      <c r="B61" s="207" t="s">
        <v>293</v>
      </c>
      <c r="C61" s="208">
        <f>C44</f>
        <v>181</v>
      </c>
      <c r="D61" s="209" t="s">
        <v>182</v>
      </c>
      <c r="E61" s="206"/>
    </row>
    <row r="62" spans="1:5" x14ac:dyDescent="0.2">
      <c r="A62" s="206"/>
      <c r="B62" s="207" t="s">
        <v>250</v>
      </c>
      <c r="C62" s="208">
        <v>2</v>
      </c>
      <c r="D62" s="209" t="s">
        <v>184</v>
      </c>
      <c r="E62" s="206"/>
    </row>
    <row r="63" spans="1:5" x14ac:dyDescent="0.2">
      <c r="A63" s="206"/>
      <c r="B63" s="207" t="s">
        <v>314</v>
      </c>
      <c r="C63" s="208">
        <f>C56</f>
        <v>6</v>
      </c>
      <c r="D63" s="209" t="s">
        <v>182</v>
      </c>
      <c r="E63" s="206"/>
    </row>
    <row r="64" spans="1:5" x14ac:dyDescent="0.2">
      <c r="A64" s="206"/>
      <c r="B64" s="207" t="s">
        <v>301</v>
      </c>
      <c r="C64" s="210">
        <f>ROUND(C61*C62+C63,2)</f>
        <v>368</v>
      </c>
      <c r="D64" s="211" t="s">
        <v>182</v>
      </c>
      <c r="E64" s="200"/>
    </row>
    <row r="66" spans="1:6" ht="30" customHeight="1" x14ac:dyDescent="0.2">
      <c r="A66" s="225" t="s">
        <v>183</v>
      </c>
      <c r="B66" s="375" t="s">
        <v>302</v>
      </c>
      <c r="C66" s="375"/>
      <c r="D66" s="375"/>
      <c r="E66" s="376"/>
      <c r="F66" s="226"/>
    </row>
    <row r="67" spans="1:6" x14ac:dyDescent="0.2">
      <c r="A67" s="206"/>
      <c r="B67" s="207" t="s">
        <v>293</v>
      </c>
      <c r="C67" s="208">
        <f>C61</f>
        <v>181</v>
      </c>
      <c r="D67" s="209" t="s">
        <v>182</v>
      </c>
      <c r="E67" s="206"/>
    </row>
    <row r="68" spans="1:6" x14ac:dyDescent="0.2">
      <c r="A68" s="206"/>
      <c r="B68" s="207" t="s">
        <v>250</v>
      </c>
      <c r="C68" s="208">
        <v>2</v>
      </c>
      <c r="D68" s="209" t="s">
        <v>184</v>
      </c>
      <c r="E68" s="206"/>
    </row>
    <row r="69" spans="1:6" x14ac:dyDescent="0.2">
      <c r="A69" s="206"/>
      <c r="B69" s="207" t="s">
        <v>301</v>
      </c>
      <c r="C69" s="210">
        <f>ROUND(C67*C68,2)</f>
        <v>362</v>
      </c>
      <c r="D69" s="211" t="s">
        <v>182</v>
      </c>
      <c r="E69" s="200"/>
    </row>
    <row r="71" spans="1:6" x14ac:dyDescent="0.2">
      <c r="A71" s="196" t="s">
        <v>229</v>
      </c>
      <c r="B71" s="197" t="s">
        <v>227</v>
      </c>
      <c r="C71" s="198"/>
      <c r="D71" s="199"/>
      <c r="E71" s="200"/>
    </row>
    <row r="72" spans="1:6" s="227" customFormat="1" x14ac:dyDescent="0.2">
      <c r="A72" s="225" t="s">
        <v>230</v>
      </c>
      <c r="B72" s="375" t="s">
        <v>341</v>
      </c>
      <c r="C72" s="375"/>
      <c r="D72" s="375"/>
      <c r="E72" s="376"/>
      <c r="F72" s="226"/>
    </row>
    <row r="73" spans="1:6" x14ac:dyDescent="0.2">
      <c r="A73" s="206"/>
      <c r="B73" s="207" t="s">
        <v>305</v>
      </c>
      <c r="C73" s="208">
        <f>C52</f>
        <v>1086</v>
      </c>
      <c r="D73" s="209" t="s">
        <v>15</v>
      </c>
      <c r="E73" s="206"/>
    </row>
    <row r="74" spans="1:6" x14ac:dyDescent="0.2">
      <c r="A74" s="206"/>
      <c r="B74" s="207" t="s">
        <v>306</v>
      </c>
      <c r="C74" s="228">
        <v>4.2000000000000003E-2</v>
      </c>
      <c r="D74" s="209" t="s">
        <v>251</v>
      </c>
      <c r="E74" s="200"/>
    </row>
    <row r="75" spans="1:6" x14ac:dyDescent="0.2">
      <c r="A75" s="206"/>
      <c r="B75" s="207" t="s">
        <v>307</v>
      </c>
      <c r="C75" s="208">
        <v>2.52</v>
      </c>
      <c r="D75" s="209" t="s">
        <v>308</v>
      </c>
      <c r="E75" s="200"/>
    </row>
    <row r="76" spans="1:6" x14ac:dyDescent="0.2">
      <c r="A76" s="206"/>
      <c r="B76" s="207" t="s">
        <v>309</v>
      </c>
      <c r="C76" s="208">
        <v>1.5</v>
      </c>
      <c r="D76" s="209" t="s">
        <v>252</v>
      </c>
      <c r="E76" s="200"/>
    </row>
    <row r="77" spans="1:6" x14ac:dyDescent="0.2">
      <c r="A77" s="206"/>
      <c r="B77" s="207" t="s">
        <v>310</v>
      </c>
      <c r="C77" s="208">
        <v>30</v>
      </c>
      <c r="D77" s="209" t="s">
        <v>253</v>
      </c>
      <c r="E77" s="200"/>
    </row>
    <row r="78" spans="1:6" x14ac:dyDescent="0.2">
      <c r="A78" s="206"/>
      <c r="B78" s="197" t="s">
        <v>315</v>
      </c>
      <c r="C78" s="210">
        <f>ROUND(C73*C74*C75*C76*C77,2)</f>
        <v>5172.3999999999996</v>
      </c>
      <c r="D78" s="211" t="s">
        <v>316</v>
      </c>
      <c r="E78" s="200"/>
    </row>
    <row r="80" spans="1:6" s="227" customFormat="1" ht="30" customHeight="1" x14ac:dyDescent="0.2">
      <c r="A80" s="225" t="s">
        <v>361</v>
      </c>
      <c r="B80" s="375" t="s">
        <v>362</v>
      </c>
      <c r="C80" s="375"/>
      <c r="D80" s="375"/>
      <c r="E80" s="376"/>
      <c r="F80" s="226"/>
    </row>
    <row r="81" spans="1:6" x14ac:dyDescent="0.2">
      <c r="A81" s="206"/>
      <c r="B81" s="207" t="s">
        <v>305</v>
      </c>
      <c r="C81" s="208">
        <f>C73</f>
        <v>1086</v>
      </c>
      <c r="D81" s="209" t="s">
        <v>15</v>
      </c>
      <c r="E81" s="260"/>
    </row>
    <row r="82" spans="1:6" x14ac:dyDescent="0.2">
      <c r="A82" s="206"/>
      <c r="B82" s="207" t="s">
        <v>306</v>
      </c>
      <c r="C82" s="228">
        <v>4.2000000000000003E-2</v>
      </c>
      <c r="D82" s="209" t="s">
        <v>251</v>
      </c>
      <c r="E82" s="261"/>
    </row>
    <row r="83" spans="1:6" x14ac:dyDescent="0.2">
      <c r="A83" s="206"/>
      <c r="B83" s="207" t="s">
        <v>307</v>
      </c>
      <c r="C83" s="208">
        <v>2.52</v>
      </c>
      <c r="D83" s="209" t="s">
        <v>308</v>
      </c>
      <c r="E83" s="261"/>
    </row>
    <row r="84" spans="1:6" x14ac:dyDescent="0.2">
      <c r="A84" s="206"/>
      <c r="B84" s="207" t="s">
        <v>309</v>
      </c>
      <c r="C84" s="208">
        <v>1.5</v>
      </c>
      <c r="D84" s="209" t="s">
        <v>252</v>
      </c>
      <c r="E84" s="261"/>
    </row>
    <row r="85" spans="1:6" x14ac:dyDescent="0.2">
      <c r="A85" s="206"/>
      <c r="B85" s="207" t="s">
        <v>310</v>
      </c>
      <c r="C85" s="208">
        <f>C25-C77</f>
        <v>12</v>
      </c>
      <c r="D85" s="209" t="s">
        <v>253</v>
      </c>
      <c r="E85" s="261"/>
    </row>
    <row r="86" spans="1:6" ht="12.75" customHeight="1" x14ac:dyDescent="0.2">
      <c r="A86" s="206"/>
      <c r="B86" s="197" t="s">
        <v>315</v>
      </c>
      <c r="C86" s="210">
        <f>ROUND(C81*C82*C83*C84*C85,2)</f>
        <v>2068.96</v>
      </c>
      <c r="D86" s="211" t="s">
        <v>316</v>
      </c>
      <c r="E86" s="261"/>
    </row>
    <row r="87" spans="1:6" x14ac:dyDescent="0.2">
      <c r="B87" s="207"/>
      <c r="C87" s="212"/>
      <c r="D87" s="262"/>
    </row>
    <row r="88" spans="1:6" x14ac:dyDescent="0.2">
      <c r="A88" s="196" t="s">
        <v>258</v>
      </c>
      <c r="B88" s="197" t="s">
        <v>303</v>
      </c>
      <c r="C88" s="198"/>
      <c r="D88" s="199"/>
      <c r="E88" s="200"/>
    </row>
    <row r="89" spans="1:6" ht="23.25" customHeight="1" x14ac:dyDescent="0.2">
      <c r="A89" s="225" t="s">
        <v>260</v>
      </c>
      <c r="B89" s="375" t="s">
        <v>332</v>
      </c>
      <c r="C89" s="375"/>
      <c r="D89" s="375"/>
      <c r="E89" s="376"/>
      <c r="F89" s="226"/>
    </row>
    <row r="90" spans="1:6" x14ac:dyDescent="0.2">
      <c r="A90" s="206"/>
      <c r="B90" s="207" t="s">
        <v>304</v>
      </c>
      <c r="C90" s="208">
        <v>1</v>
      </c>
      <c r="D90" s="209" t="s">
        <v>184</v>
      </c>
      <c r="E90" s="206"/>
    </row>
    <row r="91" spans="1:6" x14ac:dyDescent="0.2">
      <c r="A91" s="206"/>
      <c r="B91" s="207" t="s">
        <v>337</v>
      </c>
      <c r="C91" s="210">
        <f>C90</f>
        <v>1</v>
      </c>
      <c r="D91" s="211" t="s">
        <v>184</v>
      </c>
      <c r="E91" s="200"/>
    </row>
    <row r="93" spans="1:6" x14ac:dyDescent="0.25">
      <c r="A93" s="214"/>
      <c r="B93" s="215" t="s">
        <v>360</v>
      </c>
      <c r="C93" s="378"/>
      <c r="D93" s="379"/>
      <c r="E93" s="379"/>
    </row>
    <row r="94" spans="1:6" x14ac:dyDescent="0.2">
      <c r="A94" s="216"/>
      <c r="B94" s="217" t="s">
        <v>299</v>
      </c>
      <c r="C94" s="218">
        <f>'ORÇAMENTO SD'!E36</f>
        <v>49</v>
      </c>
      <c r="D94" s="199" t="s">
        <v>182</v>
      </c>
      <c r="E94" s="200"/>
    </row>
    <row r="95" spans="1:6" x14ac:dyDescent="0.2">
      <c r="A95" s="216"/>
      <c r="B95" s="217" t="s">
        <v>300</v>
      </c>
      <c r="C95" s="218">
        <f>'ORÇAMENTO SD'!E35</f>
        <v>4</v>
      </c>
      <c r="D95" s="199" t="s">
        <v>182</v>
      </c>
      <c r="E95" s="200"/>
    </row>
    <row r="96" spans="1:6" x14ac:dyDescent="0.2">
      <c r="A96" s="216"/>
      <c r="B96" s="217" t="s">
        <v>312</v>
      </c>
      <c r="C96" s="218">
        <v>40</v>
      </c>
      <c r="D96" s="199" t="s">
        <v>313</v>
      </c>
      <c r="E96" s="200"/>
    </row>
    <row r="97" spans="1:5" x14ac:dyDescent="0.2">
      <c r="A97" s="216"/>
      <c r="B97" s="217"/>
      <c r="C97" s="218"/>
      <c r="D97" s="199"/>
      <c r="E97" s="200"/>
    </row>
    <row r="98" spans="1:5" x14ac:dyDescent="0.2">
      <c r="A98" s="216"/>
      <c r="B98" s="217"/>
      <c r="C98" s="218"/>
      <c r="D98" s="199"/>
      <c r="E98" s="200"/>
    </row>
    <row r="99" spans="1:5" x14ac:dyDescent="0.2">
      <c r="A99" s="216"/>
      <c r="B99" s="217"/>
      <c r="C99" s="218"/>
      <c r="D99" s="199"/>
      <c r="E99" s="200"/>
    </row>
    <row r="100" spans="1:5" x14ac:dyDescent="0.2">
      <c r="A100" s="216"/>
      <c r="B100" s="217"/>
      <c r="C100" s="218"/>
      <c r="D100" s="199"/>
      <c r="E100" s="200"/>
    </row>
    <row r="101" spans="1:5" x14ac:dyDescent="0.2">
      <c r="A101" s="216"/>
      <c r="B101" s="217"/>
      <c r="C101" s="218"/>
      <c r="D101" s="199"/>
      <c r="E101" s="200"/>
    </row>
    <row r="102" spans="1:5" x14ac:dyDescent="0.2">
      <c r="A102" s="216"/>
      <c r="B102" s="217"/>
      <c r="C102" s="218"/>
      <c r="D102" s="199"/>
      <c r="E102" s="200"/>
    </row>
    <row r="103" spans="1:5" x14ac:dyDescent="0.2">
      <c r="A103" s="216"/>
      <c r="B103" s="217"/>
      <c r="C103" s="218"/>
      <c r="D103" s="199"/>
      <c r="E103" s="200"/>
    </row>
    <row r="104" spans="1:5" x14ac:dyDescent="0.2">
      <c r="A104" s="216"/>
      <c r="B104" s="217"/>
      <c r="C104" s="218"/>
      <c r="D104" s="199"/>
      <c r="E104" s="200"/>
    </row>
    <row r="105" spans="1:5" x14ac:dyDescent="0.2">
      <c r="A105" s="216"/>
      <c r="B105" s="217"/>
      <c r="C105" s="218"/>
      <c r="D105" s="199"/>
      <c r="E105" s="200"/>
    </row>
    <row r="106" spans="1:5" x14ac:dyDescent="0.2">
      <c r="A106" s="216"/>
      <c r="B106" s="217"/>
      <c r="C106" s="218"/>
      <c r="D106" s="199"/>
      <c r="E106" s="200"/>
    </row>
    <row r="107" spans="1:5" x14ac:dyDescent="0.2">
      <c r="A107" s="216"/>
      <c r="B107" s="217"/>
      <c r="C107" s="218"/>
      <c r="D107" s="199"/>
      <c r="E107" s="200"/>
    </row>
    <row r="108" spans="1:5" x14ac:dyDescent="0.2">
      <c r="A108" s="216"/>
      <c r="B108" s="217"/>
      <c r="C108" s="218"/>
      <c r="D108" s="199"/>
      <c r="E108" s="200"/>
    </row>
    <row r="109" spans="1:5" x14ac:dyDescent="0.2">
      <c r="A109" s="216"/>
      <c r="B109" s="217"/>
      <c r="C109" s="218"/>
      <c r="D109" s="199"/>
      <c r="E109" s="200"/>
    </row>
    <row r="110" spans="1:5" x14ac:dyDescent="0.2">
      <c r="A110" s="216"/>
      <c r="B110" s="217"/>
      <c r="C110" s="218"/>
      <c r="D110" s="199"/>
      <c r="E110" s="200"/>
    </row>
    <row r="111" spans="1:5" x14ac:dyDescent="0.2">
      <c r="A111" s="216"/>
      <c r="B111" s="217"/>
      <c r="C111" s="218"/>
      <c r="D111" s="199"/>
      <c r="E111" s="200"/>
    </row>
    <row r="112" spans="1:5" x14ac:dyDescent="0.2">
      <c r="A112" s="196"/>
      <c r="B112" s="219"/>
      <c r="C112" s="198"/>
      <c r="D112" s="220"/>
      <c r="E112" s="200"/>
    </row>
    <row r="113" spans="1:5" x14ac:dyDescent="0.2">
      <c r="A113" s="196" t="s">
        <v>33</v>
      </c>
      <c r="B113" s="197" t="s">
        <v>173</v>
      </c>
      <c r="C113" s="198"/>
      <c r="D113" s="199"/>
      <c r="E113" s="200"/>
    </row>
    <row r="114" spans="1:5" x14ac:dyDescent="0.2">
      <c r="A114" s="201" t="s">
        <v>35</v>
      </c>
      <c r="B114" s="202" t="s">
        <v>174</v>
      </c>
      <c r="C114" s="203"/>
      <c r="D114" s="204"/>
      <c r="E114" s="205"/>
    </row>
    <row r="115" spans="1:5" x14ac:dyDescent="0.2">
      <c r="A115" s="206"/>
      <c r="B115" s="207" t="s">
        <v>293</v>
      </c>
      <c r="C115" s="208">
        <f>C94</f>
        <v>49</v>
      </c>
      <c r="D115" s="209" t="s">
        <v>182</v>
      </c>
      <c r="E115" s="206"/>
    </row>
    <row r="116" spans="1:5" x14ac:dyDescent="0.2">
      <c r="A116" s="206"/>
      <c r="B116" s="207" t="s">
        <v>294</v>
      </c>
      <c r="C116" s="208">
        <f>C95</f>
        <v>4</v>
      </c>
      <c r="D116" s="209" t="s">
        <v>182</v>
      </c>
      <c r="E116" s="200"/>
    </row>
    <row r="117" spans="1:5" x14ac:dyDescent="0.2">
      <c r="A117" s="206"/>
      <c r="B117" s="207" t="s">
        <v>296</v>
      </c>
      <c r="C117" s="210">
        <f>ROUND(C115*C116,2)</f>
        <v>196</v>
      </c>
      <c r="D117" s="211" t="s">
        <v>15</v>
      </c>
      <c r="E117" s="200"/>
    </row>
    <row r="118" spans="1:5" x14ac:dyDescent="0.2">
      <c r="A118" s="221"/>
      <c r="B118" s="222"/>
      <c r="C118" s="213"/>
      <c r="D118" s="223"/>
      <c r="E118" s="224"/>
    </row>
    <row r="119" spans="1:5" x14ac:dyDescent="0.2">
      <c r="A119" s="196" t="s">
        <v>175</v>
      </c>
      <c r="B119" s="197" t="s">
        <v>176</v>
      </c>
      <c r="C119" s="198"/>
      <c r="D119" s="199"/>
      <c r="E119" s="200"/>
    </row>
    <row r="120" spans="1:5" ht="30" customHeight="1" x14ac:dyDescent="0.25">
      <c r="A120" s="225" t="s">
        <v>177</v>
      </c>
      <c r="B120" s="375" t="s">
        <v>257</v>
      </c>
      <c r="C120" s="375"/>
      <c r="D120" s="375"/>
      <c r="E120" s="376"/>
    </row>
    <row r="121" spans="1:5" x14ac:dyDescent="0.2">
      <c r="A121" s="206"/>
      <c r="B121" s="207" t="s">
        <v>293</v>
      </c>
      <c r="C121" s="208">
        <f>C115</f>
        <v>49</v>
      </c>
      <c r="D121" s="209" t="s">
        <v>182</v>
      </c>
      <c r="E121" s="206"/>
    </row>
    <row r="122" spans="1:5" x14ac:dyDescent="0.2">
      <c r="A122" s="206"/>
      <c r="B122" s="207" t="s">
        <v>294</v>
      </c>
      <c r="C122" s="208">
        <f>C116</f>
        <v>4</v>
      </c>
      <c r="D122" s="209" t="s">
        <v>182</v>
      </c>
      <c r="E122" s="200"/>
    </row>
    <row r="123" spans="1:5" x14ac:dyDescent="0.2">
      <c r="A123" s="206"/>
      <c r="B123" s="207" t="s">
        <v>296</v>
      </c>
      <c r="C123" s="210">
        <f>ROUND(C121*C122,2)</f>
        <v>196</v>
      </c>
      <c r="D123" s="211" t="s">
        <v>15</v>
      </c>
      <c r="E123" s="200"/>
    </row>
    <row r="124" spans="1:5" x14ac:dyDescent="0.2">
      <c r="A124" s="206"/>
      <c r="B124" s="207"/>
      <c r="C124" s="254"/>
      <c r="D124" s="255"/>
      <c r="E124" s="200"/>
    </row>
    <row r="125" spans="1:5" ht="30" customHeight="1" x14ac:dyDescent="0.25">
      <c r="A125" s="225" t="s">
        <v>324</v>
      </c>
      <c r="B125" s="375" t="s">
        <v>344</v>
      </c>
      <c r="C125" s="375"/>
      <c r="D125" s="375"/>
      <c r="E125" s="376"/>
    </row>
    <row r="126" spans="1:5" x14ac:dyDescent="0.2">
      <c r="A126" s="206"/>
      <c r="B126" s="207" t="s">
        <v>293</v>
      </c>
      <c r="C126" s="208">
        <f>C121</f>
        <v>49</v>
      </c>
      <c r="D126" s="209" t="s">
        <v>182</v>
      </c>
      <c r="E126" s="206"/>
    </row>
    <row r="127" spans="1:5" x14ac:dyDescent="0.2">
      <c r="A127" s="206"/>
      <c r="B127" s="207" t="s">
        <v>294</v>
      </c>
      <c r="C127" s="208">
        <f>C122</f>
        <v>4</v>
      </c>
      <c r="D127" s="209" t="s">
        <v>182</v>
      </c>
      <c r="E127" s="200"/>
    </row>
    <row r="128" spans="1:5" x14ac:dyDescent="0.2">
      <c r="A128" s="206"/>
      <c r="B128" s="207" t="s">
        <v>296</v>
      </c>
      <c r="C128" s="210">
        <f>ROUND(C126*C127,2)</f>
        <v>196</v>
      </c>
      <c r="D128" s="211" t="s">
        <v>15</v>
      </c>
      <c r="E128" s="200"/>
    </row>
    <row r="129" spans="1:6" x14ac:dyDescent="0.2">
      <c r="A129" s="206"/>
      <c r="B129" s="207"/>
      <c r="C129" s="254"/>
      <c r="D129" s="255"/>
      <c r="E129" s="200"/>
    </row>
    <row r="130" spans="1:6" x14ac:dyDescent="0.2">
      <c r="A130" s="196" t="s">
        <v>178</v>
      </c>
      <c r="B130" s="197" t="s">
        <v>179</v>
      </c>
      <c r="C130" s="256"/>
      <c r="D130" s="257"/>
      <c r="E130" s="200"/>
    </row>
    <row r="131" spans="1:6" ht="30" customHeight="1" x14ac:dyDescent="0.25">
      <c r="A131" s="225" t="s">
        <v>180</v>
      </c>
      <c r="B131" s="375" t="s">
        <v>181</v>
      </c>
      <c r="C131" s="377"/>
      <c r="D131" s="377"/>
      <c r="E131" s="376"/>
    </row>
    <row r="132" spans="1:6" x14ac:dyDescent="0.2">
      <c r="A132" s="206"/>
      <c r="B132" s="207" t="s">
        <v>293</v>
      </c>
      <c r="C132" s="208">
        <f>C115</f>
        <v>49</v>
      </c>
      <c r="D132" s="209" t="s">
        <v>182</v>
      </c>
      <c r="E132" s="206"/>
    </row>
    <row r="133" spans="1:6" x14ac:dyDescent="0.2">
      <c r="A133" s="206"/>
      <c r="B133" s="207" t="s">
        <v>250</v>
      </c>
      <c r="C133" s="208">
        <v>2</v>
      </c>
      <c r="D133" s="209" t="s">
        <v>184</v>
      </c>
      <c r="E133" s="206"/>
    </row>
    <row r="134" spans="1:6" x14ac:dyDescent="0.2">
      <c r="A134" s="206"/>
      <c r="B134" s="207" t="s">
        <v>314</v>
      </c>
      <c r="C134" s="208">
        <f>C127</f>
        <v>4</v>
      </c>
      <c r="D134" s="209" t="s">
        <v>182</v>
      </c>
      <c r="E134" s="206"/>
    </row>
    <row r="135" spans="1:6" x14ac:dyDescent="0.2">
      <c r="A135" s="206"/>
      <c r="B135" s="207" t="s">
        <v>301</v>
      </c>
      <c r="C135" s="210">
        <f>ROUND(C132*C133+C134,2)</f>
        <v>102</v>
      </c>
      <c r="D135" s="211" t="s">
        <v>182</v>
      </c>
      <c r="E135" s="200"/>
    </row>
    <row r="137" spans="1:6" ht="30" customHeight="1" x14ac:dyDescent="0.2">
      <c r="A137" s="225" t="s">
        <v>183</v>
      </c>
      <c r="B137" s="375" t="s">
        <v>302</v>
      </c>
      <c r="C137" s="375"/>
      <c r="D137" s="375"/>
      <c r="E137" s="376"/>
      <c r="F137" s="226"/>
    </row>
    <row r="138" spans="1:6" x14ac:dyDescent="0.2">
      <c r="A138" s="206"/>
      <c r="B138" s="207" t="s">
        <v>293</v>
      </c>
      <c r="C138" s="208">
        <f>C132</f>
        <v>49</v>
      </c>
      <c r="D138" s="209" t="s">
        <v>182</v>
      </c>
      <c r="E138" s="206"/>
    </row>
    <row r="139" spans="1:6" x14ac:dyDescent="0.2">
      <c r="A139" s="206"/>
      <c r="B139" s="207" t="s">
        <v>250</v>
      </c>
      <c r="C139" s="208">
        <v>2</v>
      </c>
      <c r="D139" s="209" t="s">
        <v>184</v>
      </c>
      <c r="E139" s="206"/>
    </row>
    <row r="140" spans="1:6" x14ac:dyDescent="0.2">
      <c r="A140" s="206"/>
      <c r="B140" s="207" t="s">
        <v>301</v>
      </c>
      <c r="C140" s="210">
        <f>ROUND(C138*C139,2)</f>
        <v>98</v>
      </c>
      <c r="D140" s="211" t="s">
        <v>182</v>
      </c>
      <c r="E140" s="200"/>
    </row>
    <row r="142" spans="1:6" x14ac:dyDescent="0.2">
      <c r="A142" s="196" t="s">
        <v>229</v>
      </c>
      <c r="B142" s="197" t="s">
        <v>227</v>
      </c>
      <c r="C142" s="198"/>
      <c r="D142" s="199"/>
      <c r="E142" s="200"/>
    </row>
    <row r="143" spans="1:6" s="227" customFormat="1" x14ac:dyDescent="0.2">
      <c r="A143" s="225" t="s">
        <v>230</v>
      </c>
      <c r="B143" s="375" t="s">
        <v>341</v>
      </c>
      <c r="C143" s="375"/>
      <c r="D143" s="375"/>
      <c r="E143" s="376"/>
      <c r="F143" s="226"/>
    </row>
    <row r="144" spans="1:6" x14ac:dyDescent="0.2">
      <c r="A144" s="206"/>
      <c r="B144" s="207" t="s">
        <v>305</v>
      </c>
      <c r="C144" s="208">
        <f>C123</f>
        <v>196</v>
      </c>
      <c r="D144" s="209" t="s">
        <v>15</v>
      </c>
      <c r="E144" s="206"/>
    </row>
    <row r="145" spans="1:6" x14ac:dyDescent="0.2">
      <c r="A145" s="206"/>
      <c r="B145" s="207" t="s">
        <v>306</v>
      </c>
      <c r="C145" s="228">
        <v>4.2000000000000003E-2</v>
      </c>
      <c r="D145" s="209" t="s">
        <v>251</v>
      </c>
      <c r="E145" s="200"/>
    </row>
    <row r="146" spans="1:6" x14ac:dyDescent="0.2">
      <c r="A146" s="206"/>
      <c r="B146" s="207" t="s">
        <v>307</v>
      </c>
      <c r="C146" s="208">
        <v>2.52</v>
      </c>
      <c r="D146" s="209" t="s">
        <v>308</v>
      </c>
      <c r="E146" s="200"/>
    </row>
    <row r="147" spans="1:6" x14ac:dyDescent="0.2">
      <c r="A147" s="206"/>
      <c r="B147" s="207" t="s">
        <v>309</v>
      </c>
      <c r="C147" s="208">
        <v>1.5</v>
      </c>
      <c r="D147" s="209" t="s">
        <v>252</v>
      </c>
      <c r="E147" s="200"/>
    </row>
    <row r="148" spans="1:6" x14ac:dyDescent="0.2">
      <c r="A148" s="206"/>
      <c r="B148" s="207" t="s">
        <v>310</v>
      </c>
      <c r="C148" s="208">
        <v>30</v>
      </c>
      <c r="D148" s="209" t="s">
        <v>253</v>
      </c>
      <c r="E148" s="200"/>
    </row>
    <row r="149" spans="1:6" x14ac:dyDescent="0.2">
      <c r="A149" s="206"/>
      <c r="B149" s="197" t="s">
        <v>315</v>
      </c>
      <c r="C149" s="210">
        <f>ROUND(C144*C145*C146*C147*C148,2)</f>
        <v>933.51</v>
      </c>
      <c r="D149" s="211" t="s">
        <v>316</v>
      </c>
      <c r="E149" s="200"/>
    </row>
    <row r="151" spans="1:6" s="227" customFormat="1" ht="30" customHeight="1" x14ac:dyDescent="0.2">
      <c r="A151" s="225" t="s">
        <v>361</v>
      </c>
      <c r="B151" s="375" t="s">
        <v>362</v>
      </c>
      <c r="C151" s="375"/>
      <c r="D151" s="375"/>
      <c r="E151" s="376"/>
      <c r="F151" s="226"/>
    </row>
    <row r="152" spans="1:6" x14ac:dyDescent="0.2">
      <c r="A152" s="206"/>
      <c r="B152" s="207" t="s">
        <v>305</v>
      </c>
      <c r="C152" s="208">
        <f>C144</f>
        <v>196</v>
      </c>
      <c r="D152" s="209" t="s">
        <v>15</v>
      </c>
      <c r="E152" s="260"/>
    </row>
    <row r="153" spans="1:6" x14ac:dyDescent="0.2">
      <c r="A153" s="206"/>
      <c r="B153" s="207" t="s">
        <v>306</v>
      </c>
      <c r="C153" s="228">
        <v>4.2000000000000003E-2</v>
      </c>
      <c r="D153" s="209" t="s">
        <v>251</v>
      </c>
      <c r="E153" s="261"/>
    </row>
    <row r="154" spans="1:6" x14ac:dyDescent="0.2">
      <c r="A154" s="206"/>
      <c r="B154" s="207" t="s">
        <v>307</v>
      </c>
      <c r="C154" s="208">
        <v>2.52</v>
      </c>
      <c r="D154" s="209" t="s">
        <v>308</v>
      </c>
      <c r="E154" s="261"/>
    </row>
    <row r="155" spans="1:6" x14ac:dyDescent="0.2">
      <c r="A155" s="206"/>
      <c r="B155" s="207" t="s">
        <v>309</v>
      </c>
      <c r="C155" s="208">
        <v>1.5</v>
      </c>
      <c r="D155" s="209" t="s">
        <v>252</v>
      </c>
      <c r="E155" s="261"/>
    </row>
    <row r="156" spans="1:6" x14ac:dyDescent="0.2">
      <c r="A156" s="206"/>
      <c r="B156" s="207" t="s">
        <v>310</v>
      </c>
      <c r="C156" s="208">
        <f>C96-C148</f>
        <v>10</v>
      </c>
      <c r="D156" s="209" t="s">
        <v>253</v>
      </c>
      <c r="E156" s="261"/>
    </row>
    <row r="157" spans="1:6" ht="12.75" customHeight="1" x14ac:dyDescent="0.2">
      <c r="A157" s="206"/>
      <c r="B157" s="197" t="s">
        <v>315</v>
      </c>
      <c r="C157" s="210">
        <f>ROUND(C152*C153*C154*C155*C156,2)</f>
        <v>311.17</v>
      </c>
      <c r="D157" s="211" t="s">
        <v>316</v>
      </c>
      <c r="E157" s="261"/>
    </row>
    <row r="158" spans="1:6" x14ac:dyDescent="0.2">
      <c r="B158" s="207"/>
      <c r="C158" s="212"/>
      <c r="D158" s="262"/>
    </row>
    <row r="159" spans="1:6" x14ac:dyDescent="0.2">
      <c r="A159" s="196" t="s">
        <v>258</v>
      </c>
      <c r="B159" s="197" t="s">
        <v>303</v>
      </c>
      <c r="C159" s="198"/>
      <c r="D159" s="199"/>
      <c r="E159" s="200"/>
    </row>
    <row r="160" spans="1:6" ht="23.25" customHeight="1" x14ac:dyDescent="0.2">
      <c r="A160" s="225" t="s">
        <v>260</v>
      </c>
      <c r="B160" s="375" t="s">
        <v>332</v>
      </c>
      <c r="C160" s="375"/>
      <c r="D160" s="375"/>
      <c r="E160" s="376"/>
      <c r="F160" s="226"/>
    </row>
    <row r="161" spans="1:5" x14ac:dyDescent="0.2">
      <c r="A161" s="206"/>
      <c r="B161" s="207" t="s">
        <v>304</v>
      </c>
      <c r="C161" s="208">
        <v>1</v>
      </c>
      <c r="D161" s="209" t="s">
        <v>184</v>
      </c>
      <c r="E161" s="206"/>
    </row>
    <row r="162" spans="1:5" x14ac:dyDescent="0.2">
      <c r="A162" s="206"/>
      <c r="B162" s="207" t="s">
        <v>337</v>
      </c>
      <c r="C162" s="210">
        <f>C161</f>
        <v>1</v>
      </c>
      <c r="D162" s="211" t="s">
        <v>184</v>
      </c>
      <c r="E162" s="200"/>
    </row>
    <row r="164" spans="1:5" x14ac:dyDescent="0.25">
      <c r="A164" s="214"/>
      <c r="B164" s="215" t="s">
        <v>363</v>
      </c>
      <c r="C164" s="378"/>
      <c r="D164" s="379"/>
      <c r="E164" s="379"/>
    </row>
    <row r="165" spans="1:5" x14ac:dyDescent="0.2">
      <c r="A165" s="216"/>
      <c r="B165" s="217" t="s">
        <v>299</v>
      </c>
      <c r="C165" s="218">
        <f>'ORÇAMENTO SD'!E60</f>
        <v>21</v>
      </c>
      <c r="D165" s="199" t="s">
        <v>182</v>
      </c>
      <c r="E165" s="200"/>
    </row>
    <row r="166" spans="1:5" x14ac:dyDescent="0.2">
      <c r="A166" s="216"/>
      <c r="B166" s="217" t="s">
        <v>300</v>
      </c>
      <c r="C166" s="218">
        <f>'ORÇAMENTO SD'!E59</f>
        <v>4.5</v>
      </c>
      <c r="D166" s="199" t="s">
        <v>182</v>
      </c>
      <c r="E166" s="200"/>
    </row>
    <row r="167" spans="1:5" x14ac:dyDescent="0.2">
      <c r="A167" s="216"/>
      <c r="B167" s="217" t="s">
        <v>312</v>
      </c>
      <c r="C167" s="218">
        <v>41</v>
      </c>
      <c r="D167" s="199" t="s">
        <v>313</v>
      </c>
      <c r="E167" s="200"/>
    </row>
    <row r="168" spans="1:5" x14ac:dyDescent="0.2">
      <c r="A168" s="216"/>
      <c r="B168" s="217"/>
      <c r="C168" s="218"/>
      <c r="D168" s="199"/>
      <c r="E168" s="200"/>
    </row>
    <row r="169" spans="1:5" x14ac:dyDescent="0.2">
      <c r="A169" s="216"/>
      <c r="B169" s="217"/>
      <c r="C169" s="218"/>
      <c r="D169" s="199"/>
      <c r="E169" s="200"/>
    </row>
    <row r="170" spans="1:5" x14ac:dyDescent="0.2">
      <c r="A170" s="216"/>
      <c r="B170" s="217"/>
      <c r="C170" s="218"/>
      <c r="D170" s="199"/>
      <c r="E170" s="200"/>
    </row>
    <row r="171" spans="1:5" x14ac:dyDescent="0.2">
      <c r="A171" s="216"/>
      <c r="B171" s="217"/>
      <c r="C171" s="218"/>
      <c r="D171" s="199"/>
      <c r="E171" s="200"/>
    </row>
    <row r="172" spans="1:5" x14ac:dyDescent="0.2">
      <c r="A172" s="216"/>
      <c r="B172" s="217"/>
      <c r="C172" s="218"/>
      <c r="D172" s="199"/>
      <c r="E172" s="200"/>
    </row>
    <row r="173" spans="1:5" x14ac:dyDescent="0.2">
      <c r="A173" s="216"/>
      <c r="B173" s="217"/>
      <c r="C173" s="218"/>
      <c r="D173" s="199"/>
      <c r="E173" s="200"/>
    </row>
    <row r="174" spans="1:5" x14ac:dyDescent="0.2">
      <c r="A174" s="216"/>
      <c r="B174" s="217"/>
      <c r="C174" s="218"/>
      <c r="D174" s="199"/>
      <c r="E174" s="200"/>
    </row>
    <row r="175" spans="1:5" x14ac:dyDescent="0.2">
      <c r="A175" s="216"/>
      <c r="B175" s="217"/>
      <c r="C175" s="218"/>
      <c r="D175" s="199"/>
      <c r="E175" s="200"/>
    </row>
    <row r="176" spans="1:5" x14ac:dyDescent="0.2">
      <c r="A176" s="216"/>
      <c r="B176" s="217"/>
      <c r="C176" s="218"/>
      <c r="D176" s="199"/>
      <c r="E176" s="200"/>
    </row>
    <row r="177" spans="1:5" x14ac:dyDescent="0.2">
      <c r="A177" s="216"/>
      <c r="B177" s="217"/>
      <c r="C177" s="218"/>
      <c r="D177" s="199"/>
      <c r="E177" s="200"/>
    </row>
    <row r="178" spans="1:5" x14ac:dyDescent="0.2">
      <c r="A178" s="216"/>
      <c r="B178" s="217"/>
      <c r="C178" s="218"/>
      <c r="D178" s="199"/>
      <c r="E178" s="200"/>
    </row>
    <row r="179" spans="1:5" x14ac:dyDescent="0.2">
      <c r="A179" s="216"/>
      <c r="B179" s="217"/>
      <c r="C179" s="218"/>
      <c r="D179" s="199"/>
      <c r="E179" s="200"/>
    </row>
    <row r="180" spans="1:5" x14ac:dyDescent="0.2">
      <c r="A180" s="216"/>
      <c r="B180" s="217"/>
      <c r="C180" s="218"/>
      <c r="D180" s="199"/>
      <c r="E180" s="200"/>
    </row>
    <row r="181" spans="1:5" x14ac:dyDescent="0.2">
      <c r="A181" s="216"/>
      <c r="B181" s="217"/>
      <c r="C181" s="218"/>
      <c r="D181" s="199"/>
      <c r="E181" s="200"/>
    </row>
    <row r="182" spans="1:5" x14ac:dyDescent="0.2">
      <c r="A182" s="216"/>
      <c r="B182" s="217"/>
      <c r="C182" s="218"/>
      <c r="D182" s="199"/>
      <c r="E182" s="200"/>
    </row>
    <row r="183" spans="1:5" x14ac:dyDescent="0.2">
      <c r="A183" s="196"/>
      <c r="B183" s="219"/>
      <c r="C183" s="198"/>
      <c r="D183" s="220"/>
      <c r="E183" s="200"/>
    </row>
    <row r="184" spans="1:5" x14ac:dyDescent="0.2">
      <c r="A184" s="196" t="s">
        <v>33</v>
      </c>
      <c r="B184" s="197" t="s">
        <v>173</v>
      </c>
      <c r="C184" s="198"/>
      <c r="D184" s="199"/>
      <c r="E184" s="200"/>
    </row>
    <row r="185" spans="1:5" x14ac:dyDescent="0.2">
      <c r="A185" s="201" t="s">
        <v>35</v>
      </c>
      <c r="B185" s="202" t="s">
        <v>174</v>
      </c>
      <c r="C185" s="203"/>
      <c r="D185" s="204"/>
      <c r="E185" s="205"/>
    </row>
    <row r="186" spans="1:5" x14ac:dyDescent="0.2">
      <c r="A186" s="206"/>
      <c r="B186" s="207" t="s">
        <v>293</v>
      </c>
      <c r="C186" s="208">
        <f>C165</f>
        <v>21</v>
      </c>
      <c r="D186" s="209" t="s">
        <v>182</v>
      </c>
      <c r="E186" s="206"/>
    </row>
    <row r="187" spans="1:5" x14ac:dyDescent="0.2">
      <c r="A187" s="206"/>
      <c r="B187" s="207" t="s">
        <v>294</v>
      </c>
      <c r="C187" s="208">
        <f>C166</f>
        <v>4.5</v>
      </c>
      <c r="D187" s="209" t="s">
        <v>182</v>
      </c>
      <c r="E187" s="200"/>
    </row>
    <row r="188" spans="1:5" x14ac:dyDescent="0.2">
      <c r="A188" s="206"/>
      <c r="B188" s="207" t="s">
        <v>296</v>
      </c>
      <c r="C188" s="210">
        <f>ROUND(C186*C187,2)</f>
        <v>94.5</v>
      </c>
      <c r="D188" s="211" t="s">
        <v>15</v>
      </c>
      <c r="E188" s="200"/>
    </row>
    <row r="189" spans="1:5" x14ac:dyDescent="0.2">
      <c r="A189" s="221"/>
      <c r="B189" s="222"/>
      <c r="C189" s="213"/>
      <c r="D189" s="223"/>
      <c r="E189" s="224"/>
    </row>
    <row r="190" spans="1:5" x14ac:dyDescent="0.2">
      <c r="A190" s="196" t="s">
        <v>175</v>
      </c>
      <c r="B190" s="197" t="s">
        <v>176</v>
      </c>
      <c r="C190" s="198"/>
      <c r="D190" s="199"/>
      <c r="E190" s="200"/>
    </row>
    <row r="191" spans="1:5" ht="30" customHeight="1" x14ac:dyDescent="0.25">
      <c r="A191" s="225" t="s">
        <v>177</v>
      </c>
      <c r="B191" s="375" t="s">
        <v>257</v>
      </c>
      <c r="C191" s="375"/>
      <c r="D191" s="375"/>
      <c r="E191" s="376"/>
    </row>
    <row r="192" spans="1:5" x14ac:dyDescent="0.2">
      <c r="A192" s="206"/>
      <c r="B192" s="207" t="s">
        <v>293</v>
      </c>
      <c r="C192" s="208">
        <f>C186</f>
        <v>21</v>
      </c>
      <c r="D192" s="209" t="s">
        <v>182</v>
      </c>
      <c r="E192" s="206"/>
    </row>
    <row r="193" spans="1:6" x14ac:dyDescent="0.2">
      <c r="A193" s="206"/>
      <c r="B193" s="207" t="s">
        <v>294</v>
      </c>
      <c r="C193" s="208">
        <f>C187</f>
        <v>4.5</v>
      </c>
      <c r="D193" s="209" t="s">
        <v>182</v>
      </c>
      <c r="E193" s="200"/>
    </row>
    <row r="194" spans="1:6" x14ac:dyDescent="0.2">
      <c r="A194" s="206"/>
      <c r="B194" s="207" t="s">
        <v>296</v>
      </c>
      <c r="C194" s="210">
        <f>ROUND(C192*C193,2)</f>
        <v>94.5</v>
      </c>
      <c r="D194" s="211" t="s">
        <v>15</v>
      </c>
      <c r="E194" s="200"/>
    </row>
    <row r="195" spans="1:6" x14ac:dyDescent="0.2">
      <c r="A195" s="206"/>
      <c r="B195" s="207"/>
      <c r="C195" s="254"/>
      <c r="D195" s="255"/>
      <c r="E195" s="200"/>
    </row>
    <row r="196" spans="1:6" ht="30" customHeight="1" x14ac:dyDescent="0.25">
      <c r="A196" s="225" t="s">
        <v>324</v>
      </c>
      <c r="B196" s="375" t="s">
        <v>344</v>
      </c>
      <c r="C196" s="375"/>
      <c r="D196" s="375"/>
      <c r="E196" s="376"/>
    </row>
    <row r="197" spans="1:6" x14ac:dyDescent="0.2">
      <c r="A197" s="206"/>
      <c r="B197" s="207" t="s">
        <v>293</v>
      </c>
      <c r="C197" s="208">
        <f>C192</f>
        <v>21</v>
      </c>
      <c r="D197" s="209" t="s">
        <v>182</v>
      </c>
      <c r="E197" s="206"/>
    </row>
    <row r="198" spans="1:6" x14ac:dyDescent="0.2">
      <c r="A198" s="206"/>
      <c r="B198" s="207" t="s">
        <v>294</v>
      </c>
      <c r="C198" s="208">
        <f>C193</f>
        <v>4.5</v>
      </c>
      <c r="D198" s="209" t="s">
        <v>182</v>
      </c>
      <c r="E198" s="200"/>
    </row>
    <row r="199" spans="1:6" x14ac:dyDescent="0.2">
      <c r="A199" s="206"/>
      <c r="B199" s="207" t="s">
        <v>296</v>
      </c>
      <c r="C199" s="210">
        <f>ROUND(C197*C198,2)</f>
        <v>94.5</v>
      </c>
      <c r="D199" s="211" t="s">
        <v>15</v>
      </c>
      <c r="E199" s="200"/>
    </row>
    <row r="200" spans="1:6" x14ac:dyDescent="0.2">
      <c r="A200" s="206"/>
      <c r="B200" s="207"/>
      <c r="C200" s="254"/>
      <c r="D200" s="255"/>
      <c r="E200" s="200"/>
    </row>
    <row r="201" spans="1:6" x14ac:dyDescent="0.2">
      <c r="A201" s="196" t="s">
        <v>178</v>
      </c>
      <c r="B201" s="197" t="s">
        <v>179</v>
      </c>
      <c r="C201" s="256"/>
      <c r="D201" s="257"/>
      <c r="E201" s="200"/>
    </row>
    <row r="202" spans="1:6" ht="30" customHeight="1" x14ac:dyDescent="0.25">
      <c r="A202" s="225" t="s">
        <v>180</v>
      </c>
      <c r="B202" s="375" t="s">
        <v>181</v>
      </c>
      <c r="C202" s="377"/>
      <c r="D202" s="377"/>
      <c r="E202" s="376"/>
    </row>
    <row r="203" spans="1:6" x14ac:dyDescent="0.2">
      <c r="A203" s="206"/>
      <c r="B203" s="207" t="s">
        <v>293</v>
      </c>
      <c r="C203" s="208">
        <f>C186</f>
        <v>21</v>
      </c>
      <c r="D203" s="209" t="s">
        <v>182</v>
      </c>
      <c r="E203" s="206"/>
    </row>
    <row r="204" spans="1:6" x14ac:dyDescent="0.2">
      <c r="A204" s="206"/>
      <c r="B204" s="207" t="s">
        <v>250</v>
      </c>
      <c r="C204" s="208">
        <v>2</v>
      </c>
      <c r="D204" s="209" t="s">
        <v>184</v>
      </c>
      <c r="E204" s="206"/>
    </row>
    <row r="205" spans="1:6" x14ac:dyDescent="0.2">
      <c r="A205" s="206"/>
      <c r="B205" s="207" t="s">
        <v>314</v>
      </c>
      <c r="C205" s="208">
        <f>C198</f>
        <v>4.5</v>
      </c>
      <c r="D205" s="209" t="s">
        <v>182</v>
      </c>
      <c r="E205" s="206"/>
    </row>
    <row r="206" spans="1:6" x14ac:dyDescent="0.2">
      <c r="A206" s="206"/>
      <c r="B206" s="207" t="s">
        <v>301</v>
      </c>
      <c r="C206" s="210">
        <f>ROUND(C203*C204+C205,2)</f>
        <v>46.5</v>
      </c>
      <c r="D206" s="211" t="s">
        <v>182</v>
      </c>
      <c r="E206" s="200"/>
    </row>
    <row r="208" spans="1:6" ht="30" customHeight="1" x14ac:dyDescent="0.2">
      <c r="A208" s="225" t="s">
        <v>183</v>
      </c>
      <c r="B208" s="375" t="s">
        <v>302</v>
      </c>
      <c r="C208" s="375"/>
      <c r="D208" s="375"/>
      <c r="E208" s="376"/>
      <c r="F208" s="226"/>
    </row>
    <row r="209" spans="1:6" x14ac:dyDescent="0.2">
      <c r="A209" s="206"/>
      <c r="B209" s="207" t="s">
        <v>293</v>
      </c>
      <c r="C209" s="208">
        <f>C203</f>
        <v>21</v>
      </c>
      <c r="D209" s="209" t="s">
        <v>182</v>
      </c>
      <c r="E209" s="206"/>
    </row>
    <row r="210" spans="1:6" x14ac:dyDescent="0.2">
      <c r="A210" s="206"/>
      <c r="B210" s="207" t="s">
        <v>250</v>
      </c>
      <c r="C210" s="208">
        <v>2</v>
      </c>
      <c r="D210" s="209" t="s">
        <v>184</v>
      </c>
      <c r="E210" s="206"/>
    </row>
    <row r="211" spans="1:6" x14ac:dyDescent="0.2">
      <c r="A211" s="206"/>
      <c r="B211" s="207" t="s">
        <v>301</v>
      </c>
      <c r="C211" s="210">
        <f>ROUND(C209*C210,2)</f>
        <v>42</v>
      </c>
      <c r="D211" s="211" t="s">
        <v>182</v>
      </c>
      <c r="E211" s="200"/>
    </row>
    <row r="213" spans="1:6" x14ac:dyDescent="0.2">
      <c r="A213" s="196" t="s">
        <v>229</v>
      </c>
      <c r="B213" s="197" t="s">
        <v>227</v>
      </c>
      <c r="C213" s="198"/>
      <c r="D213" s="199"/>
      <c r="E213" s="200"/>
    </row>
    <row r="214" spans="1:6" s="227" customFormat="1" x14ac:dyDescent="0.2">
      <c r="A214" s="225" t="s">
        <v>230</v>
      </c>
      <c r="B214" s="375" t="s">
        <v>341</v>
      </c>
      <c r="C214" s="375"/>
      <c r="D214" s="375"/>
      <c r="E214" s="376"/>
      <c r="F214" s="226"/>
    </row>
    <row r="215" spans="1:6" x14ac:dyDescent="0.2">
      <c r="A215" s="206"/>
      <c r="B215" s="207" t="s">
        <v>305</v>
      </c>
      <c r="C215" s="208">
        <f>C194</f>
        <v>94.5</v>
      </c>
      <c r="D215" s="209" t="s">
        <v>15</v>
      </c>
      <c r="E215" s="206"/>
    </row>
    <row r="216" spans="1:6" x14ac:dyDescent="0.2">
      <c r="A216" s="206"/>
      <c r="B216" s="207" t="s">
        <v>306</v>
      </c>
      <c r="C216" s="228">
        <v>4.2000000000000003E-2</v>
      </c>
      <c r="D216" s="209" t="s">
        <v>251</v>
      </c>
      <c r="E216" s="200"/>
    </row>
    <row r="217" spans="1:6" x14ac:dyDescent="0.2">
      <c r="A217" s="206"/>
      <c r="B217" s="207" t="s">
        <v>307</v>
      </c>
      <c r="C217" s="208">
        <v>2.52</v>
      </c>
      <c r="D217" s="209" t="s">
        <v>308</v>
      </c>
      <c r="E217" s="200"/>
    </row>
    <row r="218" spans="1:6" x14ac:dyDescent="0.2">
      <c r="A218" s="206"/>
      <c r="B218" s="207" t="s">
        <v>309</v>
      </c>
      <c r="C218" s="208">
        <v>1.5</v>
      </c>
      <c r="D218" s="209" t="s">
        <v>252</v>
      </c>
      <c r="E218" s="200"/>
    </row>
    <row r="219" spans="1:6" x14ac:dyDescent="0.2">
      <c r="A219" s="206"/>
      <c r="B219" s="207" t="s">
        <v>310</v>
      </c>
      <c r="C219" s="208">
        <v>30</v>
      </c>
      <c r="D219" s="209" t="s">
        <v>253</v>
      </c>
      <c r="E219" s="200"/>
    </row>
    <row r="220" spans="1:6" x14ac:dyDescent="0.2">
      <c r="A220" s="206"/>
      <c r="B220" s="197" t="s">
        <v>315</v>
      </c>
      <c r="C220" s="210">
        <f>ROUND(C215*C216*C217*C218*C219,2)</f>
        <v>450.08</v>
      </c>
      <c r="D220" s="211" t="s">
        <v>316</v>
      </c>
      <c r="E220" s="200"/>
    </row>
    <row r="222" spans="1:6" s="227" customFormat="1" ht="30" customHeight="1" x14ac:dyDescent="0.2">
      <c r="A222" s="225" t="s">
        <v>361</v>
      </c>
      <c r="B222" s="375" t="s">
        <v>362</v>
      </c>
      <c r="C222" s="375"/>
      <c r="D222" s="375"/>
      <c r="E222" s="376"/>
      <c r="F222" s="226"/>
    </row>
    <row r="223" spans="1:6" x14ac:dyDescent="0.2">
      <c r="A223" s="206"/>
      <c r="B223" s="207" t="s">
        <v>305</v>
      </c>
      <c r="C223" s="208">
        <f>C215</f>
        <v>94.5</v>
      </c>
      <c r="D223" s="209" t="s">
        <v>15</v>
      </c>
      <c r="E223" s="260"/>
    </row>
    <row r="224" spans="1:6" x14ac:dyDescent="0.2">
      <c r="A224" s="206"/>
      <c r="B224" s="207" t="s">
        <v>306</v>
      </c>
      <c r="C224" s="228">
        <v>4.2000000000000003E-2</v>
      </c>
      <c r="D224" s="209" t="s">
        <v>251</v>
      </c>
      <c r="E224" s="261"/>
    </row>
    <row r="225" spans="1:6" x14ac:dyDescent="0.2">
      <c r="A225" s="206"/>
      <c r="B225" s="207" t="s">
        <v>307</v>
      </c>
      <c r="C225" s="208">
        <v>2.52</v>
      </c>
      <c r="D225" s="209" t="s">
        <v>308</v>
      </c>
      <c r="E225" s="261"/>
    </row>
    <row r="226" spans="1:6" x14ac:dyDescent="0.2">
      <c r="A226" s="206"/>
      <c r="B226" s="207" t="s">
        <v>309</v>
      </c>
      <c r="C226" s="208">
        <v>1.5</v>
      </c>
      <c r="D226" s="209" t="s">
        <v>252</v>
      </c>
      <c r="E226" s="261"/>
    </row>
    <row r="227" spans="1:6" x14ac:dyDescent="0.2">
      <c r="A227" s="206"/>
      <c r="B227" s="207" t="s">
        <v>310</v>
      </c>
      <c r="C227" s="208">
        <f>C167-C219</f>
        <v>11</v>
      </c>
      <c r="D227" s="209" t="s">
        <v>253</v>
      </c>
      <c r="E227" s="261"/>
    </row>
    <row r="228" spans="1:6" ht="12.75" customHeight="1" x14ac:dyDescent="0.2">
      <c r="A228" s="206"/>
      <c r="B228" s="197" t="s">
        <v>315</v>
      </c>
      <c r="C228" s="210">
        <f>ROUND(C223*C224*C225*C226*C227,2)</f>
        <v>165.03</v>
      </c>
      <c r="D228" s="211" t="s">
        <v>316</v>
      </c>
      <c r="E228" s="261"/>
    </row>
    <row r="229" spans="1:6" x14ac:dyDescent="0.2">
      <c r="B229" s="207"/>
      <c r="C229" s="212"/>
      <c r="D229" s="262"/>
    </row>
    <row r="230" spans="1:6" x14ac:dyDescent="0.2">
      <c r="A230" s="196" t="s">
        <v>258</v>
      </c>
      <c r="B230" s="197" t="s">
        <v>303</v>
      </c>
      <c r="C230" s="198"/>
      <c r="D230" s="199"/>
      <c r="E230" s="200"/>
    </row>
    <row r="231" spans="1:6" ht="23.25" customHeight="1" x14ac:dyDescent="0.2">
      <c r="A231" s="225" t="s">
        <v>260</v>
      </c>
      <c r="B231" s="375" t="s">
        <v>332</v>
      </c>
      <c r="C231" s="375"/>
      <c r="D231" s="375"/>
      <c r="E231" s="376"/>
      <c r="F231" s="226"/>
    </row>
    <row r="232" spans="1:6" x14ac:dyDescent="0.2">
      <c r="A232" s="206"/>
      <c r="B232" s="207" t="s">
        <v>304</v>
      </c>
      <c r="C232" s="208">
        <v>1</v>
      </c>
      <c r="D232" s="209" t="s">
        <v>184</v>
      </c>
      <c r="E232" s="206"/>
    </row>
    <row r="233" spans="1:6" x14ac:dyDescent="0.2">
      <c r="A233" s="206"/>
      <c r="B233" s="207" t="s">
        <v>337</v>
      </c>
      <c r="C233" s="210">
        <f>C232</f>
        <v>1</v>
      </c>
      <c r="D233" s="211" t="s">
        <v>184</v>
      </c>
      <c r="E233" s="200"/>
    </row>
    <row r="235" spans="1:6" x14ac:dyDescent="0.25">
      <c r="A235" s="214"/>
      <c r="B235" s="215" t="s">
        <v>364</v>
      </c>
      <c r="C235" s="378"/>
      <c r="D235" s="379"/>
      <c r="E235" s="379"/>
    </row>
    <row r="236" spans="1:6" x14ac:dyDescent="0.2">
      <c r="A236" s="216"/>
      <c r="B236" s="217" t="s">
        <v>299</v>
      </c>
      <c r="C236" s="218">
        <f>'ORÇAMENTO SD'!E84</f>
        <v>94</v>
      </c>
      <c r="D236" s="199" t="s">
        <v>182</v>
      </c>
      <c r="E236" s="200"/>
    </row>
    <row r="237" spans="1:6" x14ac:dyDescent="0.2">
      <c r="A237" s="216"/>
      <c r="B237" s="217" t="s">
        <v>300</v>
      </c>
      <c r="C237" s="218">
        <f>'ORÇAMENTO SD'!E83</f>
        <v>5</v>
      </c>
      <c r="D237" s="199" t="s">
        <v>182</v>
      </c>
      <c r="E237" s="200"/>
    </row>
    <row r="238" spans="1:6" x14ac:dyDescent="0.2">
      <c r="A238" s="216"/>
      <c r="B238" s="217" t="s">
        <v>312</v>
      </c>
      <c r="C238" s="218">
        <v>43</v>
      </c>
      <c r="D238" s="199" t="s">
        <v>313</v>
      </c>
      <c r="E238" s="200"/>
    </row>
    <row r="239" spans="1:6" x14ac:dyDescent="0.2">
      <c r="A239" s="216"/>
      <c r="B239" s="217"/>
      <c r="C239" s="218"/>
      <c r="D239" s="199"/>
      <c r="E239" s="200"/>
    </row>
    <row r="240" spans="1:6" x14ac:dyDescent="0.2">
      <c r="A240" s="216"/>
      <c r="B240" s="217"/>
      <c r="C240" s="218"/>
      <c r="D240" s="199"/>
      <c r="E240" s="200"/>
    </row>
    <row r="241" spans="1:5" x14ac:dyDescent="0.2">
      <c r="A241" s="216"/>
      <c r="B241" s="217"/>
      <c r="C241" s="218"/>
      <c r="D241" s="199"/>
      <c r="E241" s="200"/>
    </row>
    <row r="242" spans="1:5" x14ac:dyDescent="0.2">
      <c r="A242" s="216"/>
      <c r="B242" s="217"/>
      <c r="C242" s="218"/>
      <c r="D242" s="199"/>
      <c r="E242" s="200"/>
    </row>
    <row r="243" spans="1:5" x14ac:dyDescent="0.2">
      <c r="A243" s="216"/>
      <c r="B243" s="217"/>
      <c r="C243" s="218"/>
      <c r="D243" s="199"/>
      <c r="E243" s="200"/>
    </row>
    <row r="244" spans="1:5" x14ac:dyDescent="0.2">
      <c r="A244" s="216"/>
      <c r="B244" s="217"/>
      <c r="C244" s="218"/>
      <c r="D244" s="199"/>
      <c r="E244" s="200"/>
    </row>
    <row r="245" spans="1:5" x14ac:dyDescent="0.2">
      <c r="A245" s="216"/>
      <c r="B245" s="217"/>
      <c r="C245" s="218"/>
      <c r="D245" s="199"/>
      <c r="E245" s="200"/>
    </row>
    <row r="246" spans="1:5" x14ac:dyDescent="0.2">
      <c r="A246" s="216"/>
      <c r="B246" s="217"/>
      <c r="C246" s="218"/>
      <c r="D246" s="199"/>
      <c r="E246" s="200"/>
    </row>
    <row r="247" spans="1:5" x14ac:dyDescent="0.2">
      <c r="A247" s="216"/>
      <c r="B247" s="217"/>
      <c r="C247" s="218"/>
      <c r="D247" s="199"/>
      <c r="E247" s="200"/>
    </row>
    <row r="248" spans="1:5" x14ac:dyDescent="0.2">
      <c r="A248" s="216"/>
      <c r="B248" s="217"/>
      <c r="C248" s="218"/>
      <c r="D248" s="199"/>
      <c r="E248" s="200"/>
    </row>
    <row r="249" spans="1:5" x14ac:dyDescent="0.2">
      <c r="A249" s="216"/>
      <c r="B249" s="217"/>
      <c r="C249" s="218"/>
      <c r="D249" s="199"/>
      <c r="E249" s="200"/>
    </row>
    <row r="250" spans="1:5" x14ac:dyDescent="0.2">
      <c r="A250" s="216"/>
      <c r="B250" s="217"/>
      <c r="C250" s="218"/>
      <c r="D250" s="199"/>
      <c r="E250" s="200"/>
    </row>
    <row r="251" spans="1:5" x14ac:dyDescent="0.2">
      <c r="A251" s="216"/>
      <c r="B251" s="217"/>
      <c r="C251" s="218"/>
      <c r="D251" s="199"/>
      <c r="E251" s="200"/>
    </row>
    <row r="252" spans="1:5" x14ac:dyDescent="0.2">
      <c r="A252" s="216"/>
      <c r="B252" s="217"/>
      <c r="C252" s="218"/>
      <c r="D252" s="199"/>
      <c r="E252" s="200"/>
    </row>
    <row r="253" spans="1:5" x14ac:dyDescent="0.2">
      <c r="A253" s="216"/>
      <c r="B253" s="217"/>
      <c r="C253" s="218"/>
      <c r="D253" s="199"/>
      <c r="E253" s="200"/>
    </row>
    <row r="254" spans="1:5" x14ac:dyDescent="0.2">
      <c r="A254" s="196"/>
      <c r="B254" s="219"/>
      <c r="C254" s="198"/>
      <c r="D254" s="220"/>
      <c r="E254" s="200"/>
    </row>
    <row r="255" spans="1:5" x14ac:dyDescent="0.2">
      <c r="A255" s="196" t="s">
        <v>33</v>
      </c>
      <c r="B255" s="197" t="s">
        <v>173</v>
      </c>
      <c r="C255" s="198"/>
      <c r="D255" s="199"/>
      <c r="E255" s="200"/>
    </row>
    <row r="256" spans="1:5" x14ac:dyDescent="0.2">
      <c r="A256" s="201" t="s">
        <v>35</v>
      </c>
      <c r="B256" s="202" t="s">
        <v>174</v>
      </c>
      <c r="C256" s="203"/>
      <c r="D256" s="204"/>
      <c r="E256" s="205"/>
    </row>
    <row r="257" spans="1:5" x14ac:dyDescent="0.2">
      <c r="A257" s="206"/>
      <c r="B257" s="207" t="s">
        <v>293</v>
      </c>
      <c r="C257" s="208">
        <f>C236</f>
        <v>94</v>
      </c>
      <c r="D257" s="209" t="s">
        <v>182</v>
      </c>
      <c r="E257" s="206"/>
    </row>
    <row r="258" spans="1:5" x14ac:dyDescent="0.2">
      <c r="A258" s="206"/>
      <c r="B258" s="207" t="s">
        <v>294</v>
      </c>
      <c r="C258" s="208">
        <f>C237</f>
        <v>5</v>
      </c>
      <c r="D258" s="209" t="s">
        <v>182</v>
      </c>
      <c r="E258" s="200"/>
    </row>
    <row r="259" spans="1:5" x14ac:dyDescent="0.2">
      <c r="A259" s="206"/>
      <c r="B259" s="207" t="s">
        <v>296</v>
      </c>
      <c r="C259" s="210">
        <f>ROUND(C257*C258,2)</f>
        <v>470</v>
      </c>
      <c r="D259" s="211" t="s">
        <v>15</v>
      </c>
      <c r="E259" s="200"/>
    </row>
    <row r="260" spans="1:5" x14ac:dyDescent="0.2">
      <c r="A260" s="221"/>
      <c r="B260" s="222"/>
      <c r="C260" s="213"/>
      <c r="D260" s="223"/>
      <c r="E260" s="224"/>
    </row>
    <row r="261" spans="1:5" x14ac:dyDescent="0.2">
      <c r="A261" s="196" t="s">
        <v>175</v>
      </c>
      <c r="B261" s="197" t="s">
        <v>176</v>
      </c>
      <c r="C261" s="198"/>
      <c r="D261" s="199"/>
      <c r="E261" s="200"/>
    </row>
    <row r="262" spans="1:5" ht="30" customHeight="1" x14ac:dyDescent="0.25">
      <c r="A262" s="225" t="s">
        <v>177</v>
      </c>
      <c r="B262" s="375" t="s">
        <v>257</v>
      </c>
      <c r="C262" s="375"/>
      <c r="D262" s="375"/>
      <c r="E262" s="376"/>
    </row>
    <row r="263" spans="1:5" x14ac:dyDescent="0.2">
      <c r="A263" s="206"/>
      <c r="B263" s="207" t="s">
        <v>293</v>
      </c>
      <c r="C263" s="208">
        <f>C257</f>
        <v>94</v>
      </c>
      <c r="D263" s="209" t="s">
        <v>182</v>
      </c>
      <c r="E263" s="206"/>
    </row>
    <row r="264" spans="1:5" x14ac:dyDescent="0.2">
      <c r="A264" s="206"/>
      <c r="B264" s="207" t="s">
        <v>294</v>
      </c>
      <c r="C264" s="208">
        <f>C258</f>
        <v>5</v>
      </c>
      <c r="D264" s="209" t="s">
        <v>182</v>
      </c>
      <c r="E264" s="200"/>
    </row>
    <row r="265" spans="1:5" x14ac:dyDescent="0.2">
      <c r="A265" s="206"/>
      <c r="B265" s="207" t="s">
        <v>296</v>
      </c>
      <c r="C265" s="210">
        <f>ROUND(C263*C264,2)</f>
        <v>470</v>
      </c>
      <c r="D265" s="211" t="s">
        <v>15</v>
      </c>
      <c r="E265" s="200"/>
    </row>
    <row r="266" spans="1:5" x14ac:dyDescent="0.2">
      <c r="A266" s="206"/>
      <c r="B266" s="207"/>
      <c r="C266" s="254"/>
      <c r="D266" s="255"/>
      <c r="E266" s="200"/>
    </row>
    <row r="267" spans="1:5" ht="30" customHeight="1" x14ac:dyDescent="0.25">
      <c r="A267" s="225" t="s">
        <v>324</v>
      </c>
      <c r="B267" s="375" t="s">
        <v>344</v>
      </c>
      <c r="C267" s="375"/>
      <c r="D267" s="375"/>
      <c r="E267" s="376"/>
    </row>
    <row r="268" spans="1:5" x14ac:dyDescent="0.2">
      <c r="A268" s="206"/>
      <c r="B268" s="207" t="s">
        <v>293</v>
      </c>
      <c r="C268" s="208">
        <f>C263</f>
        <v>94</v>
      </c>
      <c r="D268" s="209" t="s">
        <v>182</v>
      </c>
      <c r="E268" s="206"/>
    </row>
    <row r="269" spans="1:5" x14ac:dyDescent="0.2">
      <c r="A269" s="206"/>
      <c r="B269" s="207" t="s">
        <v>294</v>
      </c>
      <c r="C269" s="208">
        <f>C264</f>
        <v>5</v>
      </c>
      <c r="D269" s="209" t="s">
        <v>182</v>
      </c>
      <c r="E269" s="200"/>
    </row>
    <row r="270" spans="1:5" x14ac:dyDescent="0.2">
      <c r="A270" s="206"/>
      <c r="B270" s="207" t="s">
        <v>296</v>
      </c>
      <c r="C270" s="210">
        <f>ROUND(C268*C269,2)</f>
        <v>470</v>
      </c>
      <c r="D270" s="211" t="s">
        <v>15</v>
      </c>
      <c r="E270" s="200"/>
    </row>
    <row r="271" spans="1:5" x14ac:dyDescent="0.2">
      <c r="A271" s="206"/>
      <c r="B271" s="207"/>
      <c r="C271" s="254"/>
      <c r="D271" s="255"/>
      <c r="E271" s="200"/>
    </row>
    <row r="272" spans="1:5" x14ac:dyDescent="0.2">
      <c r="A272" s="196" t="s">
        <v>178</v>
      </c>
      <c r="B272" s="197" t="s">
        <v>179</v>
      </c>
      <c r="C272" s="256"/>
      <c r="D272" s="257"/>
      <c r="E272" s="200"/>
    </row>
    <row r="273" spans="1:6" ht="30" customHeight="1" x14ac:dyDescent="0.25">
      <c r="A273" s="225" t="s">
        <v>180</v>
      </c>
      <c r="B273" s="375" t="s">
        <v>181</v>
      </c>
      <c r="C273" s="377"/>
      <c r="D273" s="377"/>
      <c r="E273" s="376"/>
    </row>
    <row r="274" spans="1:6" x14ac:dyDescent="0.2">
      <c r="A274" s="206"/>
      <c r="B274" s="207" t="s">
        <v>293</v>
      </c>
      <c r="C274" s="208">
        <f>C257</f>
        <v>94</v>
      </c>
      <c r="D274" s="209" t="s">
        <v>182</v>
      </c>
      <c r="E274" s="206"/>
    </row>
    <row r="275" spans="1:6" x14ac:dyDescent="0.2">
      <c r="A275" s="206"/>
      <c r="B275" s="207" t="s">
        <v>250</v>
      </c>
      <c r="C275" s="208">
        <v>2</v>
      </c>
      <c r="D275" s="209" t="s">
        <v>184</v>
      </c>
      <c r="E275" s="206"/>
    </row>
    <row r="276" spans="1:6" x14ac:dyDescent="0.2">
      <c r="A276" s="206"/>
      <c r="B276" s="207" t="s">
        <v>314</v>
      </c>
      <c r="C276" s="208">
        <f>C269</f>
        <v>5</v>
      </c>
      <c r="D276" s="209" t="s">
        <v>182</v>
      </c>
      <c r="E276" s="206"/>
    </row>
    <row r="277" spans="1:6" x14ac:dyDescent="0.2">
      <c r="A277" s="206"/>
      <c r="B277" s="207" t="s">
        <v>301</v>
      </c>
      <c r="C277" s="210">
        <f>ROUND(C274*C275+C276,2)</f>
        <v>193</v>
      </c>
      <c r="D277" s="211" t="s">
        <v>182</v>
      </c>
      <c r="E277" s="200"/>
    </row>
    <row r="279" spans="1:6" ht="30" customHeight="1" x14ac:dyDescent="0.2">
      <c r="A279" s="225" t="s">
        <v>183</v>
      </c>
      <c r="B279" s="375" t="s">
        <v>302</v>
      </c>
      <c r="C279" s="375"/>
      <c r="D279" s="375"/>
      <c r="E279" s="376"/>
      <c r="F279" s="226"/>
    </row>
    <row r="280" spans="1:6" x14ac:dyDescent="0.2">
      <c r="A280" s="206"/>
      <c r="B280" s="207" t="s">
        <v>293</v>
      </c>
      <c r="C280" s="208">
        <f>C274</f>
        <v>94</v>
      </c>
      <c r="D280" s="209" t="s">
        <v>182</v>
      </c>
      <c r="E280" s="206"/>
    </row>
    <row r="281" spans="1:6" x14ac:dyDescent="0.2">
      <c r="A281" s="206"/>
      <c r="B281" s="207" t="s">
        <v>250</v>
      </c>
      <c r="C281" s="208">
        <v>2</v>
      </c>
      <c r="D281" s="209" t="s">
        <v>184</v>
      </c>
      <c r="E281" s="206"/>
    </row>
    <row r="282" spans="1:6" x14ac:dyDescent="0.2">
      <c r="A282" s="206"/>
      <c r="B282" s="207" t="s">
        <v>301</v>
      </c>
      <c r="C282" s="210">
        <f>ROUND(C280*C281,2)</f>
        <v>188</v>
      </c>
      <c r="D282" s="211" t="s">
        <v>182</v>
      </c>
      <c r="E282" s="200"/>
    </row>
    <row r="284" spans="1:6" x14ac:dyDescent="0.2">
      <c r="A284" s="196" t="s">
        <v>229</v>
      </c>
      <c r="B284" s="197" t="s">
        <v>227</v>
      </c>
      <c r="C284" s="198"/>
      <c r="D284" s="199"/>
      <c r="E284" s="200"/>
    </row>
    <row r="285" spans="1:6" s="227" customFormat="1" x14ac:dyDescent="0.2">
      <c r="A285" s="225" t="s">
        <v>230</v>
      </c>
      <c r="B285" s="375" t="s">
        <v>341</v>
      </c>
      <c r="C285" s="375"/>
      <c r="D285" s="375"/>
      <c r="E285" s="376"/>
      <c r="F285" s="226"/>
    </row>
    <row r="286" spans="1:6" x14ac:dyDescent="0.2">
      <c r="A286" s="206"/>
      <c r="B286" s="207" t="s">
        <v>305</v>
      </c>
      <c r="C286" s="208">
        <f>C265</f>
        <v>470</v>
      </c>
      <c r="D286" s="209" t="s">
        <v>15</v>
      </c>
      <c r="E286" s="206"/>
    </row>
    <row r="287" spans="1:6" x14ac:dyDescent="0.2">
      <c r="A287" s="206"/>
      <c r="B287" s="207" t="s">
        <v>306</v>
      </c>
      <c r="C287" s="228">
        <v>4.2000000000000003E-2</v>
      </c>
      <c r="D287" s="209" t="s">
        <v>251</v>
      </c>
      <c r="E287" s="200"/>
    </row>
    <row r="288" spans="1:6" x14ac:dyDescent="0.2">
      <c r="A288" s="206"/>
      <c r="B288" s="207" t="s">
        <v>307</v>
      </c>
      <c r="C288" s="208">
        <v>2.52</v>
      </c>
      <c r="D288" s="209" t="s">
        <v>308</v>
      </c>
      <c r="E288" s="200"/>
    </row>
    <row r="289" spans="1:6" x14ac:dyDescent="0.2">
      <c r="A289" s="206"/>
      <c r="B289" s="207" t="s">
        <v>309</v>
      </c>
      <c r="C289" s="208">
        <v>1.5</v>
      </c>
      <c r="D289" s="209" t="s">
        <v>252</v>
      </c>
      <c r="E289" s="200"/>
    </row>
    <row r="290" spans="1:6" x14ac:dyDescent="0.2">
      <c r="A290" s="206"/>
      <c r="B290" s="207" t="s">
        <v>310</v>
      </c>
      <c r="C290" s="208">
        <v>30</v>
      </c>
      <c r="D290" s="209" t="s">
        <v>253</v>
      </c>
      <c r="E290" s="200"/>
    </row>
    <row r="291" spans="1:6" x14ac:dyDescent="0.2">
      <c r="A291" s="206"/>
      <c r="B291" s="197" t="s">
        <v>315</v>
      </c>
      <c r="C291" s="210">
        <f>ROUND(C286*C287*C288*C289*C290,2)</f>
        <v>2238.52</v>
      </c>
      <c r="D291" s="211" t="s">
        <v>316</v>
      </c>
      <c r="E291" s="200"/>
    </row>
    <row r="293" spans="1:6" s="227" customFormat="1" ht="30" customHeight="1" x14ac:dyDescent="0.2">
      <c r="A293" s="225" t="s">
        <v>361</v>
      </c>
      <c r="B293" s="375" t="s">
        <v>362</v>
      </c>
      <c r="C293" s="375"/>
      <c r="D293" s="375"/>
      <c r="E293" s="376"/>
      <c r="F293" s="226"/>
    </row>
    <row r="294" spans="1:6" x14ac:dyDescent="0.2">
      <c r="A294" s="206"/>
      <c r="B294" s="207" t="s">
        <v>305</v>
      </c>
      <c r="C294" s="208">
        <f>C286</f>
        <v>470</v>
      </c>
      <c r="D294" s="209" t="s">
        <v>15</v>
      </c>
      <c r="E294" s="260"/>
    </row>
    <row r="295" spans="1:6" x14ac:dyDescent="0.2">
      <c r="A295" s="206"/>
      <c r="B295" s="207" t="s">
        <v>306</v>
      </c>
      <c r="C295" s="228">
        <v>4.2000000000000003E-2</v>
      </c>
      <c r="D295" s="209" t="s">
        <v>251</v>
      </c>
      <c r="E295" s="261"/>
    </row>
    <row r="296" spans="1:6" x14ac:dyDescent="0.2">
      <c r="A296" s="206"/>
      <c r="B296" s="207" t="s">
        <v>307</v>
      </c>
      <c r="C296" s="208">
        <v>2.52</v>
      </c>
      <c r="D296" s="209" t="s">
        <v>308</v>
      </c>
      <c r="E296" s="261"/>
    </row>
    <row r="297" spans="1:6" x14ac:dyDescent="0.2">
      <c r="A297" s="206"/>
      <c r="B297" s="207" t="s">
        <v>309</v>
      </c>
      <c r="C297" s="208">
        <v>1.5</v>
      </c>
      <c r="D297" s="209" t="s">
        <v>252</v>
      </c>
      <c r="E297" s="261"/>
    </row>
    <row r="298" spans="1:6" x14ac:dyDescent="0.2">
      <c r="A298" s="206"/>
      <c r="B298" s="207" t="s">
        <v>310</v>
      </c>
      <c r="C298" s="208">
        <f>C238-C290</f>
        <v>13</v>
      </c>
      <c r="D298" s="209" t="s">
        <v>253</v>
      </c>
      <c r="E298" s="261"/>
    </row>
    <row r="299" spans="1:6" ht="12.75" customHeight="1" x14ac:dyDescent="0.2">
      <c r="A299" s="206"/>
      <c r="B299" s="197" t="s">
        <v>315</v>
      </c>
      <c r="C299" s="210">
        <f>ROUND(C294*C295*C296*C297*C298,2)</f>
        <v>970.02</v>
      </c>
      <c r="D299" s="211" t="s">
        <v>316</v>
      </c>
      <c r="E299" s="261"/>
    </row>
    <row r="300" spans="1:6" x14ac:dyDescent="0.2">
      <c r="B300" s="207"/>
      <c r="C300" s="212"/>
      <c r="D300" s="262"/>
    </row>
    <row r="301" spans="1:6" x14ac:dyDescent="0.2">
      <c r="A301" s="196" t="s">
        <v>258</v>
      </c>
      <c r="B301" s="197" t="s">
        <v>303</v>
      </c>
      <c r="C301" s="198"/>
      <c r="D301" s="199"/>
      <c r="E301" s="200"/>
    </row>
    <row r="302" spans="1:6" ht="23.25" customHeight="1" x14ac:dyDescent="0.2">
      <c r="A302" s="225" t="s">
        <v>260</v>
      </c>
      <c r="B302" s="375" t="s">
        <v>332</v>
      </c>
      <c r="C302" s="375"/>
      <c r="D302" s="375"/>
      <c r="E302" s="376"/>
      <c r="F302" s="226"/>
    </row>
    <row r="303" spans="1:6" x14ac:dyDescent="0.2">
      <c r="A303" s="206"/>
      <c r="B303" s="207" t="s">
        <v>304</v>
      </c>
      <c r="C303" s="208">
        <v>1</v>
      </c>
      <c r="D303" s="209" t="s">
        <v>184</v>
      </c>
      <c r="E303" s="206"/>
    </row>
    <row r="304" spans="1:6" x14ac:dyDescent="0.2">
      <c r="A304" s="206"/>
      <c r="B304" s="207" t="s">
        <v>337</v>
      </c>
      <c r="C304" s="210">
        <f>C303</f>
        <v>1</v>
      </c>
      <c r="D304" s="211" t="s">
        <v>184</v>
      </c>
      <c r="E304" s="200"/>
    </row>
    <row r="306" spans="1:5" x14ac:dyDescent="0.25">
      <c r="A306" s="214"/>
      <c r="B306" s="215" t="s">
        <v>365</v>
      </c>
      <c r="C306" s="378"/>
      <c r="D306" s="379"/>
      <c r="E306" s="379"/>
    </row>
    <row r="307" spans="1:5" x14ac:dyDescent="0.2">
      <c r="A307" s="216"/>
      <c r="B307" s="217" t="s">
        <v>299</v>
      </c>
      <c r="C307" s="218">
        <f>'ORÇAMENTO SD'!E108</f>
        <v>150</v>
      </c>
      <c r="D307" s="199" t="s">
        <v>182</v>
      </c>
      <c r="E307" s="200"/>
    </row>
    <row r="308" spans="1:5" x14ac:dyDescent="0.2">
      <c r="A308" s="216"/>
      <c r="B308" s="217" t="s">
        <v>300</v>
      </c>
      <c r="C308" s="218">
        <f>'ORÇAMENTO SD'!E107</f>
        <v>6</v>
      </c>
      <c r="D308" s="199" t="s">
        <v>182</v>
      </c>
      <c r="E308" s="200"/>
    </row>
    <row r="309" spans="1:5" x14ac:dyDescent="0.2">
      <c r="A309" s="216"/>
      <c r="B309" s="217" t="s">
        <v>312</v>
      </c>
      <c r="C309" s="218">
        <v>38</v>
      </c>
      <c r="D309" s="199" t="s">
        <v>313</v>
      </c>
      <c r="E309" s="200"/>
    </row>
    <row r="310" spans="1:5" x14ac:dyDescent="0.2">
      <c r="A310" s="216"/>
      <c r="B310" s="217"/>
      <c r="C310" s="218"/>
      <c r="D310" s="199"/>
      <c r="E310" s="200"/>
    </row>
    <row r="311" spans="1:5" x14ac:dyDescent="0.2">
      <c r="A311" s="216"/>
      <c r="B311" s="217"/>
      <c r="C311" s="218"/>
      <c r="D311" s="199"/>
      <c r="E311" s="200"/>
    </row>
    <row r="312" spans="1:5" x14ac:dyDescent="0.2">
      <c r="A312" s="216"/>
      <c r="B312" s="217"/>
      <c r="C312" s="218"/>
      <c r="D312" s="199"/>
      <c r="E312" s="200"/>
    </row>
    <row r="313" spans="1:5" x14ac:dyDescent="0.2">
      <c r="A313" s="216"/>
      <c r="B313" s="217"/>
      <c r="C313" s="218"/>
      <c r="D313" s="199"/>
      <c r="E313" s="200"/>
    </row>
    <row r="314" spans="1:5" x14ac:dyDescent="0.2">
      <c r="A314" s="216"/>
      <c r="B314" s="217"/>
      <c r="C314" s="218"/>
      <c r="D314" s="199"/>
      <c r="E314" s="200"/>
    </row>
    <row r="315" spans="1:5" x14ac:dyDescent="0.2">
      <c r="A315" s="216"/>
      <c r="B315" s="217"/>
      <c r="C315" s="218"/>
      <c r="D315" s="199"/>
      <c r="E315" s="200"/>
    </row>
    <row r="316" spans="1:5" x14ac:dyDescent="0.2">
      <c r="A316" s="216"/>
      <c r="B316" s="217"/>
      <c r="C316" s="218"/>
      <c r="D316" s="199"/>
      <c r="E316" s="200"/>
    </row>
    <row r="317" spans="1:5" x14ac:dyDescent="0.2">
      <c r="A317" s="216"/>
      <c r="B317" s="217"/>
      <c r="C317" s="218"/>
      <c r="D317" s="199"/>
      <c r="E317" s="200"/>
    </row>
    <row r="318" spans="1:5" x14ac:dyDescent="0.2">
      <c r="A318" s="216"/>
      <c r="B318" s="217"/>
      <c r="C318" s="218"/>
      <c r="D318" s="199"/>
      <c r="E318" s="200"/>
    </row>
    <row r="319" spans="1:5" x14ac:dyDescent="0.2">
      <c r="A319" s="216"/>
      <c r="B319" s="217"/>
      <c r="C319" s="218"/>
      <c r="D319" s="199"/>
      <c r="E319" s="200"/>
    </row>
    <row r="320" spans="1:5" x14ac:dyDescent="0.2">
      <c r="A320" s="216"/>
      <c r="B320" s="217"/>
      <c r="C320" s="218"/>
      <c r="D320" s="199"/>
      <c r="E320" s="200"/>
    </row>
    <row r="321" spans="1:5" x14ac:dyDescent="0.2">
      <c r="A321" s="216"/>
      <c r="B321" s="217"/>
      <c r="C321" s="218"/>
      <c r="D321" s="199"/>
      <c r="E321" s="200"/>
    </row>
    <row r="322" spans="1:5" x14ac:dyDescent="0.2">
      <c r="A322" s="216"/>
      <c r="B322" s="217"/>
      <c r="C322" s="218"/>
      <c r="D322" s="199"/>
      <c r="E322" s="200"/>
    </row>
    <row r="323" spans="1:5" x14ac:dyDescent="0.2">
      <c r="A323" s="216"/>
      <c r="B323" s="217"/>
      <c r="C323" s="218"/>
      <c r="D323" s="199"/>
      <c r="E323" s="200"/>
    </row>
    <row r="324" spans="1:5" x14ac:dyDescent="0.2">
      <c r="A324" s="216"/>
      <c r="B324" s="217"/>
      <c r="C324" s="218"/>
      <c r="D324" s="199"/>
      <c r="E324" s="200"/>
    </row>
    <row r="325" spans="1:5" x14ac:dyDescent="0.2">
      <c r="A325" s="196"/>
      <c r="B325" s="219"/>
      <c r="C325" s="198"/>
      <c r="D325" s="220"/>
      <c r="E325" s="200"/>
    </row>
    <row r="326" spans="1:5" x14ac:dyDescent="0.2">
      <c r="A326" s="196" t="s">
        <v>33</v>
      </c>
      <c r="B326" s="197" t="s">
        <v>173</v>
      </c>
      <c r="C326" s="198"/>
      <c r="D326" s="199"/>
      <c r="E326" s="200"/>
    </row>
    <row r="327" spans="1:5" x14ac:dyDescent="0.2">
      <c r="A327" s="201" t="s">
        <v>35</v>
      </c>
      <c r="B327" s="202" t="s">
        <v>174</v>
      </c>
      <c r="C327" s="203"/>
      <c r="D327" s="204"/>
      <c r="E327" s="205"/>
    </row>
    <row r="328" spans="1:5" x14ac:dyDescent="0.2">
      <c r="A328" s="206"/>
      <c r="B328" s="207" t="s">
        <v>293</v>
      </c>
      <c r="C328" s="208">
        <f>C307</f>
        <v>150</v>
      </c>
      <c r="D328" s="209" t="s">
        <v>182</v>
      </c>
      <c r="E328" s="206"/>
    </row>
    <row r="329" spans="1:5" x14ac:dyDescent="0.2">
      <c r="A329" s="206"/>
      <c r="B329" s="207" t="s">
        <v>294</v>
      </c>
      <c r="C329" s="208">
        <f>C308</f>
        <v>6</v>
      </c>
      <c r="D329" s="209" t="s">
        <v>182</v>
      </c>
      <c r="E329" s="200"/>
    </row>
    <row r="330" spans="1:5" x14ac:dyDescent="0.2">
      <c r="A330" s="206"/>
      <c r="B330" s="207" t="s">
        <v>296</v>
      </c>
      <c r="C330" s="210">
        <f>ROUND(C328*C329,2)</f>
        <v>900</v>
      </c>
      <c r="D330" s="211" t="s">
        <v>15</v>
      </c>
      <c r="E330" s="200"/>
    </row>
    <row r="331" spans="1:5" x14ac:dyDescent="0.2">
      <c r="A331" s="221"/>
      <c r="B331" s="222"/>
      <c r="C331" s="213"/>
      <c r="D331" s="223"/>
      <c r="E331" s="224"/>
    </row>
    <row r="332" spans="1:5" x14ac:dyDescent="0.2">
      <c r="A332" s="196" t="s">
        <v>175</v>
      </c>
      <c r="B332" s="197" t="s">
        <v>176</v>
      </c>
      <c r="C332" s="198"/>
      <c r="D332" s="199"/>
      <c r="E332" s="200"/>
    </row>
    <row r="333" spans="1:5" ht="30" customHeight="1" x14ac:dyDescent="0.25">
      <c r="A333" s="225" t="s">
        <v>177</v>
      </c>
      <c r="B333" s="375" t="s">
        <v>257</v>
      </c>
      <c r="C333" s="375"/>
      <c r="D333" s="375"/>
      <c r="E333" s="376"/>
    </row>
    <row r="334" spans="1:5" x14ac:dyDescent="0.2">
      <c r="A334" s="206"/>
      <c r="B334" s="207" t="s">
        <v>293</v>
      </c>
      <c r="C334" s="208">
        <f>C328</f>
        <v>150</v>
      </c>
      <c r="D334" s="209" t="s">
        <v>182</v>
      </c>
      <c r="E334" s="206"/>
    </row>
    <row r="335" spans="1:5" x14ac:dyDescent="0.2">
      <c r="A335" s="206"/>
      <c r="B335" s="207" t="s">
        <v>294</v>
      </c>
      <c r="C335" s="208">
        <f>C329</f>
        <v>6</v>
      </c>
      <c r="D335" s="209" t="s">
        <v>182</v>
      </c>
      <c r="E335" s="200"/>
    </row>
    <row r="336" spans="1:5" x14ac:dyDescent="0.2">
      <c r="A336" s="206"/>
      <c r="B336" s="207" t="s">
        <v>296</v>
      </c>
      <c r="C336" s="210">
        <f>ROUND(C334*C335,2)</f>
        <v>900</v>
      </c>
      <c r="D336" s="211" t="s">
        <v>15</v>
      </c>
      <c r="E336" s="200"/>
    </row>
    <row r="337" spans="1:6" x14ac:dyDescent="0.2">
      <c r="A337" s="206"/>
      <c r="B337" s="207"/>
      <c r="C337" s="254"/>
      <c r="D337" s="255"/>
      <c r="E337" s="200"/>
    </row>
    <row r="338" spans="1:6" ht="30" customHeight="1" x14ac:dyDescent="0.25">
      <c r="A338" s="225" t="s">
        <v>324</v>
      </c>
      <c r="B338" s="375" t="s">
        <v>344</v>
      </c>
      <c r="C338" s="375"/>
      <c r="D338" s="375"/>
      <c r="E338" s="376"/>
    </row>
    <row r="339" spans="1:6" x14ac:dyDescent="0.2">
      <c r="A339" s="206"/>
      <c r="B339" s="207" t="s">
        <v>293</v>
      </c>
      <c r="C339" s="208">
        <f>C334</f>
        <v>150</v>
      </c>
      <c r="D339" s="209" t="s">
        <v>182</v>
      </c>
      <c r="E339" s="206"/>
    </row>
    <row r="340" spans="1:6" x14ac:dyDescent="0.2">
      <c r="A340" s="206"/>
      <c r="B340" s="207" t="s">
        <v>294</v>
      </c>
      <c r="C340" s="208">
        <f>C335</f>
        <v>6</v>
      </c>
      <c r="D340" s="209" t="s">
        <v>182</v>
      </c>
      <c r="E340" s="200"/>
    </row>
    <row r="341" spans="1:6" x14ac:dyDescent="0.2">
      <c r="A341" s="206"/>
      <c r="B341" s="207" t="s">
        <v>296</v>
      </c>
      <c r="C341" s="210">
        <f>ROUND(C339*C340,2)</f>
        <v>900</v>
      </c>
      <c r="D341" s="211" t="s">
        <v>15</v>
      </c>
      <c r="E341" s="200"/>
    </row>
    <row r="342" spans="1:6" x14ac:dyDescent="0.2">
      <c r="A342" s="206"/>
      <c r="B342" s="207"/>
      <c r="C342" s="254"/>
      <c r="D342" s="255"/>
      <c r="E342" s="200"/>
    </row>
    <row r="343" spans="1:6" x14ac:dyDescent="0.2">
      <c r="A343" s="196" t="s">
        <v>178</v>
      </c>
      <c r="B343" s="197" t="s">
        <v>179</v>
      </c>
      <c r="C343" s="256"/>
      <c r="D343" s="257"/>
      <c r="E343" s="200"/>
    </row>
    <row r="344" spans="1:6" ht="30" customHeight="1" x14ac:dyDescent="0.25">
      <c r="A344" s="225" t="s">
        <v>180</v>
      </c>
      <c r="B344" s="375" t="s">
        <v>181</v>
      </c>
      <c r="C344" s="377"/>
      <c r="D344" s="377"/>
      <c r="E344" s="376"/>
    </row>
    <row r="345" spans="1:6" x14ac:dyDescent="0.2">
      <c r="A345" s="206"/>
      <c r="B345" s="207" t="s">
        <v>293</v>
      </c>
      <c r="C345" s="208">
        <f>C328</f>
        <v>150</v>
      </c>
      <c r="D345" s="209" t="s">
        <v>182</v>
      </c>
      <c r="E345" s="206"/>
    </row>
    <row r="346" spans="1:6" x14ac:dyDescent="0.2">
      <c r="A346" s="206"/>
      <c r="B346" s="207" t="s">
        <v>250</v>
      </c>
      <c r="C346" s="208">
        <v>2</v>
      </c>
      <c r="D346" s="209" t="s">
        <v>184</v>
      </c>
      <c r="E346" s="206"/>
    </row>
    <row r="347" spans="1:6" x14ac:dyDescent="0.2">
      <c r="A347" s="206"/>
      <c r="B347" s="207" t="s">
        <v>314</v>
      </c>
      <c r="C347" s="208">
        <f>C340</f>
        <v>6</v>
      </c>
      <c r="D347" s="209" t="s">
        <v>182</v>
      </c>
      <c r="E347" s="206"/>
    </row>
    <row r="348" spans="1:6" x14ac:dyDescent="0.2">
      <c r="A348" s="206"/>
      <c r="B348" s="207" t="s">
        <v>301</v>
      </c>
      <c r="C348" s="210">
        <f>ROUND(C345*C346+C347,2)</f>
        <v>306</v>
      </c>
      <c r="D348" s="211" t="s">
        <v>182</v>
      </c>
      <c r="E348" s="200"/>
    </row>
    <row r="350" spans="1:6" ht="30" customHeight="1" x14ac:dyDescent="0.2">
      <c r="A350" s="225" t="s">
        <v>183</v>
      </c>
      <c r="B350" s="375" t="s">
        <v>302</v>
      </c>
      <c r="C350" s="375"/>
      <c r="D350" s="375"/>
      <c r="E350" s="376"/>
      <c r="F350" s="226"/>
    </row>
    <row r="351" spans="1:6" x14ac:dyDescent="0.2">
      <c r="A351" s="206"/>
      <c r="B351" s="207" t="s">
        <v>293</v>
      </c>
      <c r="C351" s="208">
        <f>C345</f>
        <v>150</v>
      </c>
      <c r="D351" s="209" t="s">
        <v>182</v>
      </c>
      <c r="E351" s="206"/>
    </row>
    <row r="352" spans="1:6" x14ac:dyDescent="0.2">
      <c r="A352" s="206"/>
      <c r="B352" s="207" t="s">
        <v>250</v>
      </c>
      <c r="C352" s="208">
        <v>2</v>
      </c>
      <c r="D352" s="209" t="s">
        <v>184</v>
      </c>
      <c r="E352" s="206"/>
    </row>
    <row r="353" spans="1:6" x14ac:dyDescent="0.2">
      <c r="A353" s="206"/>
      <c r="B353" s="207" t="s">
        <v>301</v>
      </c>
      <c r="C353" s="210">
        <f>ROUND(C351*C352,2)</f>
        <v>300</v>
      </c>
      <c r="D353" s="211" t="s">
        <v>182</v>
      </c>
      <c r="E353" s="200"/>
    </row>
    <row r="355" spans="1:6" x14ac:dyDescent="0.2">
      <c r="A355" s="196" t="s">
        <v>229</v>
      </c>
      <c r="B355" s="197" t="s">
        <v>227</v>
      </c>
      <c r="C355" s="198"/>
      <c r="D355" s="199"/>
      <c r="E355" s="200"/>
    </row>
    <row r="356" spans="1:6" s="227" customFormat="1" x14ac:dyDescent="0.2">
      <c r="A356" s="225" t="s">
        <v>230</v>
      </c>
      <c r="B356" s="375" t="s">
        <v>341</v>
      </c>
      <c r="C356" s="375"/>
      <c r="D356" s="375"/>
      <c r="E356" s="376"/>
      <c r="F356" s="226"/>
    </row>
    <row r="357" spans="1:6" x14ac:dyDescent="0.2">
      <c r="A357" s="206"/>
      <c r="B357" s="207" t="s">
        <v>305</v>
      </c>
      <c r="C357" s="208">
        <f>C336</f>
        <v>900</v>
      </c>
      <c r="D357" s="209" t="s">
        <v>15</v>
      </c>
      <c r="E357" s="206"/>
    </row>
    <row r="358" spans="1:6" x14ac:dyDescent="0.2">
      <c r="A358" s="206"/>
      <c r="B358" s="207" t="s">
        <v>306</v>
      </c>
      <c r="C358" s="228">
        <v>4.2000000000000003E-2</v>
      </c>
      <c r="D358" s="209" t="s">
        <v>251</v>
      </c>
      <c r="E358" s="200"/>
    </row>
    <row r="359" spans="1:6" x14ac:dyDescent="0.2">
      <c r="A359" s="206"/>
      <c r="B359" s="207" t="s">
        <v>307</v>
      </c>
      <c r="C359" s="208">
        <v>2.52</v>
      </c>
      <c r="D359" s="209" t="s">
        <v>308</v>
      </c>
      <c r="E359" s="200"/>
    </row>
    <row r="360" spans="1:6" x14ac:dyDescent="0.2">
      <c r="A360" s="206"/>
      <c r="B360" s="207" t="s">
        <v>309</v>
      </c>
      <c r="C360" s="208">
        <v>1.5</v>
      </c>
      <c r="D360" s="209" t="s">
        <v>252</v>
      </c>
      <c r="E360" s="200"/>
    </row>
    <row r="361" spans="1:6" x14ac:dyDescent="0.2">
      <c r="A361" s="206"/>
      <c r="B361" s="207" t="s">
        <v>310</v>
      </c>
      <c r="C361" s="208">
        <v>30</v>
      </c>
      <c r="D361" s="209" t="s">
        <v>253</v>
      </c>
      <c r="E361" s="200"/>
    </row>
    <row r="362" spans="1:6" x14ac:dyDescent="0.2">
      <c r="A362" s="206"/>
      <c r="B362" s="197" t="s">
        <v>315</v>
      </c>
      <c r="C362" s="210">
        <f>ROUND(C357*C358*C359*C360*C361,2)</f>
        <v>4286.5200000000004</v>
      </c>
      <c r="D362" s="211" t="s">
        <v>316</v>
      </c>
      <c r="E362" s="200"/>
    </row>
    <row r="364" spans="1:6" s="227" customFormat="1" ht="30" customHeight="1" x14ac:dyDescent="0.2">
      <c r="A364" s="225" t="s">
        <v>361</v>
      </c>
      <c r="B364" s="375" t="s">
        <v>362</v>
      </c>
      <c r="C364" s="375"/>
      <c r="D364" s="375"/>
      <c r="E364" s="376"/>
      <c r="F364" s="226"/>
    </row>
    <row r="365" spans="1:6" x14ac:dyDescent="0.2">
      <c r="A365" s="206"/>
      <c r="B365" s="207" t="s">
        <v>305</v>
      </c>
      <c r="C365" s="208">
        <f>C357</f>
        <v>900</v>
      </c>
      <c r="D365" s="209" t="s">
        <v>15</v>
      </c>
      <c r="E365" s="260"/>
    </row>
    <row r="366" spans="1:6" x14ac:dyDescent="0.2">
      <c r="A366" s="206"/>
      <c r="B366" s="207" t="s">
        <v>306</v>
      </c>
      <c r="C366" s="228">
        <v>4.2000000000000003E-2</v>
      </c>
      <c r="D366" s="209" t="s">
        <v>251</v>
      </c>
      <c r="E366" s="261"/>
    </row>
    <row r="367" spans="1:6" x14ac:dyDescent="0.2">
      <c r="A367" s="206"/>
      <c r="B367" s="207" t="s">
        <v>307</v>
      </c>
      <c r="C367" s="208">
        <v>2.52</v>
      </c>
      <c r="D367" s="209" t="s">
        <v>308</v>
      </c>
      <c r="E367" s="261"/>
    </row>
    <row r="368" spans="1:6" x14ac:dyDescent="0.2">
      <c r="A368" s="206"/>
      <c r="B368" s="207" t="s">
        <v>309</v>
      </c>
      <c r="C368" s="208">
        <v>1.5</v>
      </c>
      <c r="D368" s="209" t="s">
        <v>252</v>
      </c>
      <c r="E368" s="261"/>
    </row>
    <row r="369" spans="1:6" x14ac:dyDescent="0.2">
      <c r="A369" s="206"/>
      <c r="B369" s="207" t="s">
        <v>310</v>
      </c>
      <c r="C369" s="208">
        <f>C309-C361</f>
        <v>8</v>
      </c>
      <c r="D369" s="209" t="s">
        <v>253</v>
      </c>
      <c r="E369" s="261"/>
    </row>
    <row r="370" spans="1:6" ht="12.75" customHeight="1" x14ac:dyDescent="0.2">
      <c r="A370" s="206"/>
      <c r="B370" s="197" t="s">
        <v>315</v>
      </c>
      <c r="C370" s="210">
        <f>ROUND(C365*C366*C367*C368*C369,2)</f>
        <v>1143.07</v>
      </c>
      <c r="D370" s="211" t="s">
        <v>316</v>
      </c>
      <c r="E370" s="261"/>
    </row>
    <row r="371" spans="1:6" x14ac:dyDescent="0.2">
      <c r="B371" s="207"/>
      <c r="C371" s="212"/>
      <c r="D371" s="262"/>
    </row>
    <row r="372" spans="1:6" x14ac:dyDescent="0.2">
      <c r="A372" s="196" t="s">
        <v>258</v>
      </c>
      <c r="B372" s="197" t="s">
        <v>303</v>
      </c>
      <c r="C372" s="198"/>
      <c r="D372" s="199"/>
      <c r="E372" s="200"/>
    </row>
    <row r="373" spans="1:6" ht="23.25" customHeight="1" x14ac:dyDescent="0.2">
      <c r="A373" s="225" t="s">
        <v>260</v>
      </c>
      <c r="B373" s="375" t="s">
        <v>332</v>
      </c>
      <c r="C373" s="375"/>
      <c r="D373" s="375"/>
      <c r="E373" s="376"/>
      <c r="F373" s="226"/>
    </row>
    <row r="374" spans="1:6" x14ac:dyDescent="0.2">
      <c r="A374" s="206"/>
      <c r="B374" s="207" t="s">
        <v>304</v>
      </c>
      <c r="C374" s="208">
        <v>1</v>
      </c>
      <c r="D374" s="209" t="s">
        <v>184</v>
      </c>
      <c r="E374" s="206"/>
    </row>
    <row r="375" spans="1:6" x14ac:dyDescent="0.2">
      <c r="A375" s="206"/>
      <c r="B375" s="207" t="s">
        <v>337</v>
      </c>
      <c r="C375" s="210">
        <f>C374</f>
        <v>1</v>
      </c>
      <c r="D375" s="211" t="s">
        <v>184</v>
      </c>
      <c r="E375" s="200"/>
    </row>
    <row r="377" spans="1:6" x14ac:dyDescent="0.25">
      <c r="A377" s="214"/>
      <c r="B377" s="215" t="s">
        <v>366</v>
      </c>
      <c r="C377" s="378"/>
      <c r="D377" s="379"/>
      <c r="E377" s="379"/>
    </row>
    <row r="378" spans="1:6" x14ac:dyDescent="0.2">
      <c r="A378" s="216"/>
      <c r="B378" s="217" t="s">
        <v>299</v>
      </c>
      <c r="C378" s="218">
        <v>377</v>
      </c>
      <c r="D378" s="199" t="s">
        <v>182</v>
      </c>
      <c r="E378" s="200"/>
    </row>
    <row r="379" spans="1:6" x14ac:dyDescent="0.2">
      <c r="A379" s="216"/>
      <c r="B379" s="217" t="s">
        <v>300</v>
      </c>
      <c r="C379" s="218">
        <f>'ORÇAMENTO SD'!E131</f>
        <v>6</v>
      </c>
      <c r="D379" s="199" t="s">
        <v>182</v>
      </c>
      <c r="E379" s="200"/>
    </row>
    <row r="380" spans="1:6" x14ac:dyDescent="0.2">
      <c r="A380" s="216"/>
      <c r="B380" s="217" t="s">
        <v>312</v>
      </c>
      <c r="C380" s="218">
        <v>39</v>
      </c>
      <c r="D380" s="199" t="s">
        <v>313</v>
      </c>
      <c r="E380" s="200"/>
    </row>
    <row r="381" spans="1:6" x14ac:dyDescent="0.2">
      <c r="A381" s="216"/>
      <c r="B381" s="217"/>
      <c r="C381" s="218"/>
      <c r="D381" s="199"/>
      <c r="E381" s="200"/>
    </row>
    <row r="382" spans="1:6" x14ac:dyDescent="0.2">
      <c r="A382" s="216"/>
      <c r="B382" s="217"/>
      <c r="C382" s="218"/>
      <c r="D382" s="199"/>
      <c r="E382" s="200"/>
    </row>
    <row r="383" spans="1:6" x14ac:dyDescent="0.2">
      <c r="A383" s="216"/>
      <c r="B383" s="217"/>
      <c r="C383" s="218"/>
      <c r="D383" s="199"/>
      <c r="E383" s="200"/>
    </row>
    <row r="384" spans="1:6" x14ac:dyDescent="0.2">
      <c r="A384" s="216"/>
      <c r="B384" s="217"/>
      <c r="C384" s="218"/>
      <c r="D384" s="199"/>
      <c r="E384" s="200"/>
    </row>
    <row r="385" spans="1:5" x14ac:dyDescent="0.2">
      <c r="A385" s="216"/>
      <c r="B385" s="217"/>
      <c r="C385" s="218"/>
      <c r="D385" s="199"/>
      <c r="E385" s="200"/>
    </row>
    <row r="386" spans="1:5" x14ac:dyDescent="0.2">
      <c r="A386" s="216"/>
      <c r="B386" s="217"/>
      <c r="C386" s="218"/>
      <c r="D386" s="199"/>
      <c r="E386" s="200"/>
    </row>
    <row r="387" spans="1:5" x14ac:dyDescent="0.2">
      <c r="A387" s="216"/>
      <c r="B387" s="217"/>
      <c r="C387" s="218"/>
      <c r="D387" s="199"/>
      <c r="E387" s="200"/>
    </row>
    <row r="388" spans="1:5" x14ac:dyDescent="0.2">
      <c r="A388" s="216"/>
      <c r="B388" s="217"/>
      <c r="C388" s="218"/>
      <c r="D388" s="199"/>
      <c r="E388" s="200"/>
    </row>
    <row r="389" spans="1:5" x14ac:dyDescent="0.2">
      <c r="A389" s="216"/>
      <c r="B389" s="217"/>
      <c r="C389" s="218"/>
      <c r="D389" s="199"/>
      <c r="E389" s="200"/>
    </row>
    <row r="390" spans="1:5" x14ac:dyDescent="0.2">
      <c r="A390" s="216"/>
      <c r="B390" s="217"/>
      <c r="C390" s="218"/>
      <c r="D390" s="199"/>
      <c r="E390" s="200"/>
    </row>
    <row r="391" spans="1:5" x14ac:dyDescent="0.2">
      <c r="A391" s="216"/>
      <c r="B391" s="217"/>
      <c r="C391" s="218"/>
      <c r="D391" s="199"/>
      <c r="E391" s="200"/>
    </row>
    <row r="392" spans="1:5" x14ac:dyDescent="0.2">
      <c r="A392" s="216"/>
      <c r="B392" s="217"/>
      <c r="C392" s="218"/>
      <c r="D392" s="199"/>
      <c r="E392" s="200"/>
    </row>
    <row r="393" spans="1:5" x14ac:dyDescent="0.2">
      <c r="A393" s="216"/>
      <c r="B393" s="217"/>
      <c r="C393" s="218"/>
      <c r="D393" s="199"/>
      <c r="E393" s="200"/>
    </row>
    <row r="394" spans="1:5" x14ac:dyDescent="0.2">
      <c r="A394" s="216"/>
      <c r="B394" s="217"/>
      <c r="C394" s="218"/>
      <c r="D394" s="199"/>
      <c r="E394" s="200"/>
    </row>
    <row r="395" spans="1:5" x14ac:dyDescent="0.2">
      <c r="A395" s="216"/>
      <c r="B395" s="217"/>
      <c r="C395" s="218"/>
      <c r="D395" s="199"/>
      <c r="E395" s="200"/>
    </row>
    <row r="396" spans="1:5" x14ac:dyDescent="0.2">
      <c r="A396" s="196"/>
      <c r="B396" s="219"/>
      <c r="C396" s="198"/>
      <c r="D396" s="220"/>
      <c r="E396" s="200"/>
    </row>
    <row r="397" spans="1:5" x14ac:dyDescent="0.2">
      <c r="A397" s="196" t="s">
        <v>33</v>
      </c>
      <c r="B397" s="197" t="s">
        <v>173</v>
      </c>
      <c r="C397" s="198"/>
      <c r="D397" s="199"/>
      <c r="E397" s="200"/>
    </row>
    <row r="398" spans="1:5" x14ac:dyDescent="0.2">
      <c r="A398" s="201" t="s">
        <v>35</v>
      </c>
      <c r="B398" s="202" t="s">
        <v>174</v>
      </c>
      <c r="C398" s="203"/>
      <c r="D398" s="204"/>
      <c r="E398" s="205"/>
    </row>
    <row r="399" spans="1:5" x14ac:dyDescent="0.2">
      <c r="A399" s="206"/>
      <c r="B399" s="207" t="s">
        <v>293</v>
      </c>
      <c r="C399" s="208">
        <f>C378</f>
        <v>377</v>
      </c>
      <c r="D399" s="209" t="s">
        <v>182</v>
      </c>
      <c r="E399" s="206"/>
    </row>
    <row r="400" spans="1:5" x14ac:dyDescent="0.2">
      <c r="A400" s="206"/>
      <c r="B400" s="207" t="s">
        <v>294</v>
      </c>
      <c r="C400" s="208">
        <f>C379</f>
        <v>6</v>
      </c>
      <c r="D400" s="209" t="s">
        <v>182</v>
      </c>
      <c r="E400" s="200"/>
    </row>
    <row r="401" spans="1:5" x14ac:dyDescent="0.2">
      <c r="A401" s="206"/>
      <c r="B401" s="207" t="s">
        <v>296</v>
      </c>
      <c r="C401" s="210">
        <f>ROUND(C399*C400,2)</f>
        <v>2262</v>
      </c>
      <c r="D401" s="211" t="s">
        <v>15</v>
      </c>
      <c r="E401" s="200"/>
    </row>
    <row r="402" spans="1:5" x14ac:dyDescent="0.2">
      <c r="A402" s="221"/>
      <c r="B402" s="222"/>
      <c r="C402" s="213"/>
      <c r="D402" s="223"/>
      <c r="E402" s="224"/>
    </row>
    <row r="403" spans="1:5" x14ac:dyDescent="0.2">
      <c r="A403" s="196" t="s">
        <v>175</v>
      </c>
      <c r="B403" s="197" t="s">
        <v>176</v>
      </c>
      <c r="C403" s="198"/>
      <c r="D403" s="199"/>
      <c r="E403" s="200"/>
    </row>
    <row r="404" spans="1:5" ht="30" customHeight="1" x14ac:dyDescent="0.25">
      <c r="A404" s="225" t="s">
        <v>177</v>
      </c>
      <c r="B404" s="375" t="s">
        <v>257</v>
      </c>
      <c r="C404" s="375"/>
      <c r="D404" s="375"/>
      <c r="E404" s="376"/>
    </row>
    <row r="405" spans="1:5" x14ac:dyDescent="0.2">
      <c r="A405" s="206"/>
      <c r="B405" s="207" t="s">
        <v>293</v>
      </c>
      <c r="C405" s="208">
        <f>C399</f>
        <v>377</v>
      </c>
      <c r="D405" s="209" t="s">
        <v>182</v>
      </c>
      <c r="E405" s="206"/>
    </row>
    <row r="406" spans="1:5" x14ac:dyDescent="0.2">
      <c r="A406" s="206"/>
      <c r="B406" s="207" t="s">
        <v>294</v>
      </c>
      <c r="C406" s="208">
        <f>C400</f>
        <v>6</v>
      </c>
      <c r="D406" s="209" t="s">
        <v>182</v>
      </c>
      <c r="E406" s="200"/>
    </row>
    <row r="407" spans="1:5" x14ac:dyDescent="0.2">
      <c r="A407" s="206"/>
      <c r="B407" s="207" t="s">
        <v>296</v>
      </c>
      <c r="C407" s="210">
        <f>ROUND(C405*C406,2)</f>
        <v>2262</v>
      </c>
      <c r="D407" s="211" t="s">
        <v>15</v>
      </c>
      <c r="E407" s="200"/>
    </row>
    <row r="408" spans="1:5" x14ac:dyDescent="0.2">
      <c r="A408" s="206"/>
      <c r="B408" s="207"/>
      <c r="C408" s="254"/>
      <c r="D408" s="255"/>
      <c r="E408" s="200"/>
    </row>
    <row r="409" spans="1:5" ht="30" customHeight="1" x14ac:dyDescent="0.25">
      <c r="A409" s="225" t="s">
        <v>324</v>
      </c>
      <c r="B409" s="375" t="s">
        <v>344</v>
      </c>
      <c r="C409" s="375"/>
      <c r="D409" s="375"/>
      <c r="E409" s="376"/>
    </row>
    <row r="410" spans="1:5" x14ac:dyDescent="0.2">
      <c r="A410" s="206"/>
      <c r="B410" s="207" t="s">
        <v>293</v>
      </c>
      <c r="C410" s="208">
        <f>C405</f>
        <v>377</v>
      </c>
      <c r="D410" s="209" t="s">
        <v>182</v>
      </c>
      <c r="E410" s="206"/>
    </row>
    <row r="411" spans="1:5" x14ac:dyDescent="0.2">
      <c r="A411" s="206"/>
      <c r="B411" s="207" t="s">
        <v>294</v>
      </c>
      <c r="C411" s="208">
        <f>C406</f>
        <v>6</v>
      </c>
      <c r="D411" s="209" t="s">
        <v>182</v>
      </c>
      <c r="E411" s="200"/>
    </row>
    <row r="412" spans="1:5" x14ac:dyDescent="0.2">
      <c r="A412" s="206"/>
      <c r="B412" s="207" t="s">
        <v>296</v>
      </c>
      <c r="C412" s="210">
        <f>ROUND(C410*C411,2)</f>
        <v>2262</v>
      </c>
      <c r="D412" s="211" t="s">
        <v>15</v>
      </c>
      <c r="E412" s="200"/>
    </row>
    <row r="413" spans="1:5" x14ac:dyDescent="0.2">
      <c r="A413" s="206"/>
      <c r="B413" s="207"/>
      <c r="C413" s="254"/>
      <c r="D413" s="255"/>
      <c r="E413" s="200"/>
    </row>
    <row r="414" spans="1:5" x14ac:dyDescent="0.2">
      <c r="A414" s="196" t="s">
        <v>178</v>
      </c>
      <c r="B414" s="197" t="s">
        <v>179</v>
      </c>
      <c r="C414" s="256"/>
      <c r="D414" s="257"/>
      <c r="E414" s="200"/>
    </row>
    <row r="415" spans="1:5" ht="30" customHeight="1" x14ac:dyDescent="0.25">
      <c r="A415" s="225" t="s">
        <v>180</v>
      </c>
      <c r="B415" s="375" t="s">
        <v>181</v>
      </c>
      <c r="C415" s="377"/>
      <c r="D415" s="377"/>
      <c r="E415" s="376"/>
    </row>
    <row r="416" spans="1:5" x14ac:dyDescent="0.2">
      <c r="A416" s="206"/>
      <c r="B416" s="207" t="s">
        <v>293</v>
      </c>
      <c r="C416" s="208">
        <f>C399</f>
        <v>377</v>
      </c>
      <c r="D416" s="209" t="s">
        <v>182</v>
      </c>
      <c r="E416" s="206"/>
    </row>
    <row r="417" spans="1:6" x14ac:dyDescent="0.2">
      <c r="A417" s="206"/>
      <c r="B417" s="207" t="s">
        <v>250</v>
      </c>
      <c r="C417" s="208">
        <v>2</v>
      </c>
      <c r="D417" s="209" t="s">
        <v>184</v>
      </c>
      <c r="E417" s="206"/>
    </row>
    <row r="418" spans="1:6" x14ac:dyDescent="0.2">
      <c r="A418" s="206"/>
      <c r="B418" s="207" t="s">
        <v>314</v>
      </c>
      <c r="C418" s="208">
        <f>C411</f>
        <v>6</v>
      </c>
      <c r="D418" s="209" t="s">
        <v>182</v>
      </c>
      <c r="E418" s="206"/>
    </row>
    <row r="419" spans="1:6" x14ac:dyDescent="0.2">
      <c r="A419" s="206"/>
      <c r="B419" s="207" t="s">
        <v>301</v>
      </c>
      <c r="C419" s="210">
        <f>ROUND(C416*C417+C418,2)</f>
        <v>760</v>
      </c>
      <c r="D419" s="211" t="s">
        <v>182</v>
      </c>
      <c r="E419" s="200"/>
    </row>
    <row r="421" spans="1:6" ht="30" customHeight="1" x14ac:dyDescent="0.2">
      <c r="A421" s="225" t="s">
        <v>183</v>
      </c>
      <c r="B421" s="375" t="s">
        <v>302</v>
      </c>
      <c r="C421" s="375"/>
      <c r="D421" s="375"/>
      <c r="E421" s="376"/>
      <c r="F421" s="226"/>
    </row>
    <row r="422" spans="1:6" x14ac:dyDescent="0.2">
      <c r="A422" s="206"/>
      <c r="B422" s="207" t="s">
        <v>293</v>
      </c>
      <c r="C422" s="208">
        <f>C416</f>
        <v>377</v>
      </c>
      <c r="D422" s="209" t="s">
        <v>182</v>
      </c>
      <c r="E422" s="206"/>
    </row>
    <row r="423" spans="1:6" x14ac:dyDescent="0.2">
      <c r="A423" s="206"/>
      <c r="B423" s="207" t="s">
        <v>250</v>
      </c>
      <c r="C423" s="208">
        <v>2</v>
      </c>
      <c r="D423" s="209" t="s">
        <v>184</v>
      </c>
      <c r="E423" s="206"/>
    </row>
    <row r="424" spans="1:6" x14ac:dyDescent="0.2">
      <c r="A424" s="206"/>
      <c r="B424" s="207" t="s">
        <v>301</v>
      </c>
      <c r="C424" s="210">
        <f>ROUND(C422*C423,2)</f>
        <v>754</v>
      </c>
      <c r="D424" s="211" t="s">
        <v>182</v>
      </c>
      <c r="E424" s="200"/>
    </row>
    <row r="426" spans="1:6" x14ac:dyDescent="0.2">
      <c r="A426" s="196" t="s">
        <v>229</v>
      </c>
      <c r="B426" s="197" t="s">
        <v>227</v>
      </c>
      <c r="C426" s="198"/>
      <c r="D426" s="199"/>
      <c r="E426" s="200"/>
    </row>
    <row r="427" spans="1:6" s="227" customFormat="1" x14ac:dyDescent="0.2">
      <c r="A427" s="225" t="s">
        <v>230</v>
      </c>
      <c r="B427" s="375" t="s">
        <v>341</v>
      </c>
      <c r="C427" s="375"/>
      <c r="D427" s="375"/>
      <c r="E427" s="376"/>
      <c r="F427" s="226"/>
    </row>
    <row r="428" spans="1:6" x14ac:dyDescent="0.2">
      <c r="A428" s="206"/>
      <c r="B428" s="207" t="s">
        <v>305</v>
      </c>
      <c r="C428" s="208">
        <f>C407</f>
        <v>2262</v>
      </c>
      <c r="D428" s="209" t="s">
        <v>15</v>
      </c>
      <c r="E428" s="206"/>
    </row>
    <row r="429" spans="1:6" x14ac:dyDescent="0.2">
      <c r="A429" s="206"/>
      <c r="B429" s="207" t="s">
        <v>306</v>
      </c>
      <c r="C429" s="228">
        <v>4.2000000000000003E-2</v>
      </c>
      <c r="D429" s="209" t="s">
        <v>251</v>
      </c>
      <c r="E429" s="200"/>
    </row>
    <row r="430" spans="1:6" x14ac:dyDescent="0.2">
      <c r="A430" s="206"/>
      <c r="B430" s="207" t="s">
        <v>307</v>
      </c>
      <c r="C430" s="208">
        <v>2.52</v>
      </c>
      <c r="D430" s="209" t="s">
        <v>308</v>
      </c>
      <c r="E430" s="200"/>
    </row>
    <row r="431" spans="1:6" x14ac:dyDescent="0.2">
      <c r="A431" s="206"/>
      <c r="B431" s="207" t="s">
        <v>309</v>
      </c>
      <c r="C431" s="208">
        <v>1.5</v>
      </c>
      <c r="D431" s="209" t="s">
        <v>252</v>
      </c>
      <c r="E431" s="200"/>
    </row>
    <row r="432" spans="1:6" x14ac:dyDescent="0.2">
      <c r="A432" s="206"/>
      <c r="B432" s="207" t="s">
        <v>310</v>
      </c>
      <c r="C432" s="208">
        <v>30</v>
      </c>
      <c r="D432" s="209" t="s">
        <v>253</v>
      </c>
      <c r="E432" s="200"/>
    </row>
    <row r="433" spans="1:6" x14ac:dyDescent="0.2">
      <c r="A433" s="206"/>
      <c r="B433" s="197" t="s">
        <v>315</v>
      </c>
      <c r="C433" s="210">
        <f>ROUND(C428*C429*C430*C431*C432,2)</f>
        <v>10773.45</v>
      </c>
      <c r="D433" s="211" t="s">
        <v>316</v>
      </c>
      <c r="E433" s="200"/>
    </row>
    <row r="435" spans="1:6" s="227" customFormat="1" ht="30" customHeight="1" x14ac:dyDescent="0.2">
      <c r="A435" s="225" t="s">
        <v>361</v>
      </c>
      <c r="B435" s="375" t="s">
        <v>362</v>
      </c>
      <c r="C435" s="375"/>
      <c r="D435" s="375"/>
      <c r="E435" s="376"/>
      <c r="F435" s="226"/>
    </row>
    <row r="436" spans="1:6" x14ac:dyDescent="0.2">
      <c r="A436" s="206"/>
      <c r="B436" s="207" t="s">
        <v>305</v>
      </c>
      <c r="C436" s="208">
        <f>C428</f>
        <v>2262</v>
      </c>
      <c r="D436" s="209" t="s">
        <v>15</v>
      </c>
      <c r="E436" s="260"/>
    </row>
    <row r="437" spans="1:6" x14ac:dyDescent="0.2">
      <c r="A437" s="206"/>
      <c r="B437" s="207" t="s">
        <v>306</v>
      </c>
      <c r="C437" s="228">
        <v>4.2000000000000003E-2</v>
      </c>
      <c r="D437" s="209" t="s">
        <v>251</v>
      </c>
      <c r="E437" s="261"/>
    </row>
    <row r="438" spans="1:6" x14ac:dyDescent="0.2">
      <c r="A438" s="206"/>
      <c r="B438" s="207" t="s">
        <v>307</v>
      </c>
      <c r="C438" s="208">
        <v>2.52</v>
      </c>
      <c r="D438" s="209" t="s">
        <v>308</v>
      </c>
      <c r="E438" s="261"/>
    </row>
    <row r="439" spans="1:6" x14ac:dyDescent="0.2">
      <c r="A439" s="206"/>
      <c r="B439" s="207" t="s">
        <v>309</v>
      </c>
      <c r="C439" s="208">
        <v>1.5</v>
      </c>
      <c r="D439" s="209" t="s">
        <v>252</v>
      </c>
      <c r="E439" s="261"/>
    </row>
    <row r="440" spans="1:6" x14ac:dyDescent="0.2">
      <c r="A440" s="206"/>
      <c r="B440" s="207" t="s">
        <v>310</v>
      </c>
      <c r="C440" s="208">
        <f>C380-C432</f>
        <v>9</v>
      </c>
      <c r="D440" s="209" t="s">
        <v>253</v>
      </c>
      <c r="E440" s="261"/>
    </row>
    <row r="441" spans="1:6" ht="12.75" customHeight="1" x14ac:dyDescent="0.2">
      <c r="A441" s="206"/>
      <c r="B441" s="197" t="s">
        <v>315</v>
      </c>
      <c r="C441" s="210">
        <f>ROUND(C436*C437*C438*C439*C440,2)</f>
        <v>3232.04</v>
      </c>
      <c r="D441" s="211" t="s">
        <v>316</v>
      </c>
      <c r="E441" s="261"/>
    </row>
    <row r="442" spans="1:6" x14ac:dyDescent="0.2">
      <c r="B442" s="207"/>
      <c r="C442" s="212"/>
      <c r="D442" s="262"/>
    </row>
    <row r="443" spans="1:6" x14ac:dyDescent="0.2">
      <c r="A443" s="196" t="s">
        <v>258</v>
      </c>
      <c r="B443" s="197" t="s">
        <v>303</v>
      </c>
      <c r="C443" s="198"/>
      <c r="D443" s="199"/>
      <c r="E443" s="200"/>
    </row>
    <row r="444" spans="1:6" ht="23.25" customHeight="1" x14ac:dyDescent="0.2">
      <c r="A444" s="225" t="s">
        <v>260</v>
      </c>
      <c r="B444" s="375" t="s">
        <v>332</v>
      </c>
      <c r="C444" s="375"/>
      <c r="D444" s="375"/>
      <c r="E444" s="376"/>
      <c r="F444" s="226"/>
    </row>
    <row r="445" spans="1:6" x14ac:dyDescent="0.2">
      <c r="A445" s="206"/>
      <c r="B445" s="207" t="s">
        <v>304</v>
      </c>
      <c r="C445" s="208">
        <v>1</v>
      </c>
      <c r="D445" s="209" t="s">
        <v>184</v>
      </c>
      <c r="E445" s="206"/>
    </row>
    <row r="446" spans="1:6" x14ac:dyDescent="0.2">
      <c r="A446" s="206"/>
      <c r="B446" s="207" t="s">
        <v>337</v>
      </c>
      <c r="C446" s="210">
        <f>C445</f>
        <v>1</v>
      </c>
      <c r="D446" s="211" t="s">
        <v>184</v>
      </c>
      <c r="E446" s="200"/>
    </row>
    <row r="448" spans="1:6" x14ac:dyDescent="0.25">
      <c r="A448" s="214"/>
      <c r="B448" s="215" t="s">
        <v>367</v>
      </c>
      <c r="C448" s="378"/>
      <c r="D448" s="379"/>
      <c r="E448" s="379"/>
    </row>
    <row r="449" spans="1:5" x14ac:dyDescent="0.2">
      <c r="A449" s="216"/>
      <c r="B449" s="217" t="s">
        <v>299</v>
      </c>
      <c r="C449" s="218">
        <f>'ORÇAMENTO SD'!E156</f>
        <v>74</v>
      </c>
      <c r="D449" s="199" t="s">
        <v>182</v>
      </c>
      <c r="E449" s="200"/>
    </row>
    <row r="450" spans="1:5" x14ac:dyDescent="0.2">
      <c r="A450" s="216"/>
      <c r="B450" s="217" t="s">
        <v>300</v>
      </c>
      <c r="C450" s="218">
        <f>'ORÇAMENTO SD'!E155</f>
        <v>6</v>
      </c>
      <c r="D450" s="199" t="s">
        <v>182</v>
      </c>
      <c r="E450" s="200"/>
    </row>
    <row r="451" spans="1:5" x14ac:dyDescent="0.2">
      <c r="A451" s="216"/>
      <c r="B451" s="217" t="s">
        <v>312</v>
      </c>
      <c r="C451" s="218">
        <v>49</v>
      </c>
      <c r="D451" s="199" t="s">
        <v>313</v>
      </c>
      <c r="E451" s="200"/>
    </row>
    <row r="452" spans="1:5" x14ac:dyDescent="0.2">
      <c r="A452" s="216"/>
      <c r="B452" s="217"/>
      <c r="C452" s="218"/>
      <c r="D452" s="199"/>
      <c r="E452" s="200"/>
    </row>
    <row r="453" spans="1:5" x14ac:dyDescent="0.2">
      <c r="A453" s="216"/>
      <c r="B453" s="217"/>
      <c r="C453" s="218"/>
      <c r="D453" s="199"/>
      <c r="E453" s="200"/>
    </row>
    <row r="454" spans="1:5" x14ac:dyDescent="0.2">
      <c r="A454" s="216"/>
      <c r="B454" s="217"/>
      <c r="C454" s="218"/>
      <c r="D454" s="199"/>
      <c r="E454" s="200"/>
    </row>
    <row r="455" spans="1:5" x14ac:dyDescent="0.2">
      <c r="A455" s="216"/>
      <c r="B455" s="217"/>
      <c r="C455" s="218"/>
      <c r="D455" s="199"/>
      <c r="E455" s="200"/>
    </row>
    <row r="456" spans="1:5" x14ac:dyDescent="0.2">
      <c r="A456" s="216"/>
      <c r="B456" s="217"/>
      <c r="C456" s="218"/>
      <c r="D456" s="199"/>
      <c r="E456" s="200"/>
    </row>
    <row r="457" spans="1:5" x14ac:dyDescent="0.2">
      <c r="A457" s="216"/>
      <c r="B457" s="217"/>
      <c r="C457" s="218"/>
      <c r="D457" s="199"/>
      <c r="E457" s="200"/>
    </row>
    <row r="458" spans="1:5" x14ac:dyDescent="0.2">
      <c r="A458" s="216"/>
      <c r="B458" s="217"/>
      <c r="C458" s="218"/>
      <c r="D458" s="199"/>
      <c r="E458" s="200"/>
    </row>
    <row r="459" spans="1:5" x14ac:dyDescent="0.2">
      <c r="A459" s="216"/>
      <c r="B459" s="217"/>
      <c r="C459" s="218"/>
      <c r="D459" s="199"/>
      <c r="E459" s="200"/>
    </row>
    <row r="460" spans="1:5" x14ac:dyDescent="0.2">
      <c r="A460" s="216"/>
      <c r="B460" s="217"/>
      <c r="C460" s="218"/>
      <c r="D460" s="199"/>
      <c r="E460" s="200"/>
    </row>
    <row r="461" spans="1:5" x14ac:dyDescent="0.2">
      <c r="A461" s="216"/>
      <c r="B461" s="217"/>
      <c r="C461" s="218"/>
      <c r="D461" s="199"/>
      <c r="E461" s="200"/>
    </row>
    <row r="462" spans="1:5" x14ac:dyDescent="0.2">
      <c r="A462" s="216"/>
      <c r="B462" s="217"/>
      <c r="C462" s="218"/>
      <c r="D462" s="199"/>
      <c r="E462" s="200"/>
    </row>
    <row r="463" spans="1:5" x14ac:dyDescent="0.2">
      <c r="A463" s="216"/>
      <c r="B463" s="217"/>
      <c r="C463" s="218"/>
      <c r="D463" s="199"/>
      <c r="E463" s="200"/>
    </row>
    <row r="464" spans="1:5" x14ac:dyDescent="0.2">
      <c r="A464" s="216"/>
      <c r="B464" s="217"/>
      <c r="C464" s="218"/>
      <c r="D464" s="199"/>
      <c r="E464" s="200"/>
    </row>
    <row r="465" spans="1:5" x14ac:dyDescent="0.2">
      <c r="A465" s="216"/>
      <c r="B465" s="217"/>
      <c r="C465" s="218"/>
      <c r="D465" s="199"/>
      <c r="E465" s="200"/>
    </row>
    <row r="466" spans="1:5" x14ac:dyDescent="0.2">
      <c r="A466" s="216"/>
      <c r="B466" s="217"/>
      <c r="C466" s="218"/>
      <c r="D466" s="199"/>
      <c r="E466" s="200"/>
    </row>
    <row r="467" spans="1:5" x14ac:dyDescent="0.2">
      <c r="A467" s="196"/>
      <c r="B467" s="219"/>
      <c r="C467" s="198"/>
      <c r="D467" s="220"/>
      <c r="E467" s="200"/>
    </row>
    <row r="468" spans="1:5" x14ac:dyDescent="0.2">
      <c r="A468" s="196" t="s">
        <v>33</v>
      </c>
      <c r="B468" s="197" t="s">
        <v>173</v>
      </c>
      <c r="C468" s="198"/>
      <c r="D468" s="199"/>
      <c r="E468" s="200"/>
    </row>
    <row r="469" spans="1:5" x14ac:dyDescent="0.2">
      <c r="A469" s="201" t="s">
        <v>35</v>
      </c>
      <c r="B469" s="202" t="s">
        <v>174</v>
      </c>
      <c r="C469" s="203"/>
      <c r="D469" s="204"/>
      <c r="E469" s="205"/>
    </row>
    <row r="470" spans="1:5" x14ac:dyDescent="0.2">
      <c r="A470" s="206"/>
      <c r="B470" s="207" t="s">
        <v>293</v>
      </c>
      <c r="C470" s="208">
        <f>C449</f>
        <v>74</v>
      </c>
      <c r="D470" s="209" t="s">
        <v>182</v>
      </c>
      <c r="E470" s="206"/>
    </row>
    <row r="471" spans="1:5" x14ac:dyDescent="0.2">
      <c r="A471" s="206"/>
      <c r="B471" s="207" t="s">
        <v>294</v>
      </c>
      <c r="C471" s="208">
        <f>C450</f>
        <v>6</v>
      </c>
      <c r="D471" s="209" t="s">
        <v>182</v>
      </c>
      <c r="E471" s="200"/>
    </row>
    <row r="472" spans="1:5" x14ac:dyDescent="0.2">
      <c r="A472" s="206"/>
      <c r="B472" s="207" t="s">
        <v>296</v>
      </c>
      <c r="C472" s="210">
        <f>ROUND(C470*C471,2)</f>
        <v>444</v>
      </c>
      <c r="D472" s="211" t="s">
        <v>15</v>
      </c>
      <c r="E472" s="200"/>
    </row>
    <row r="473" spans="1:5" x14ac:dyDescent="0.2">
      <c r="A473" s="221"/>
      <c r="B473" s="222"/>
      <c r="C473" s="213"/>
      <c r="D473" s="223"/>
      <c r="E473" s="224"/>
    </row>
    <row r="474" spans="1:5" x14ac:dyDescent="0.2">
      <c r="A474" s="196" t="s">
        <v>175</v>
      </c>
      <c r="B474" s="197" t="s">
        <v>176</v>
      </c>
      <c r="C474" s="198"/>
      <c r="D474" s="199"/>
      <c r="E474" s="200"/>
    </row>
    <row r="475" spans="1:5" ht="30" customHeight="1" x14ac:dyDescent="0.25">
      <c r="A475" s="225" t="s">
        <v>177</v>
      </c>
      <c r="B475" s="375" t="s">
        <v>257</v>
      </c>
      <c r="C475" s="375"/>
      <c r="D475" s="375"/>
      <c r="E475" s="376"/>
    </row>
    <row r="476" spans="1:5" x14ac:dyDescent="0.2">
      <c r="A476" s="206"/>
      <c r="B476" s="207" t="s">
        <v>293</v>
      </c>
      <c r="C476" s="208">
        <f>C470</f>
        <v>74</v>
      </c>
      <c r="D476" s="209" t="s">
        <v>182</v>
      </c>
      <c r="E476" s="206"/>
    </row>
    <row r="477" spans="1:5" x14ac:dyDescent="0.2">
      <c r="A477" s="206"/>
      <c r="B477" s="207" t="s">
        <v>294</v>
      </c>
      <c r="C477" s="208">
        <f>C471</f>
        <v>6</v>
      </c>
      <c r="D477" s="209" t="s">
        <v>182</v>
      </c>
      <c r="E477" s="200"/>
    </row>
    <row r="478" spans="1:5" x14ac:dyDescent="0.2">
      <c r="A478" s="206"/>
      <c r="B478" s="207" t="s">
        <v>296</v>
      </c>
      <c r="C478" s="210">
        <f>ROUND(C476*C477,2)</f>
        <v>444</v>
      </c>
      <c r="D478" s="211" t="s">
        <v>15</v>
      </c>
      <c r="E478" s="200"/>
    </row>
    <row r="479" spans="1:5" x14ac:dyDescent="0.2">
      <c r="A479" s="206"/>
      <c r="B479" s="207"/>
      <c r="C479" s="254"/>
      <c r="D479" s="255"/>
      <c r="E479" s="200"/>
    </row>
    <row r="480" spans="1:5" ht="30" customHeight="1" x14ac:dyDescent="0.25">
      <c r="A480" s="225" t="s">
        <v>324</v>
      </c>
      <c r="B480" s="375" t="s">
        <v>344</v>
      </c>
      <c r="C480" s="375"/>
      <c r="D480" s="375"/>
      <c r="E480" s="376"/>
    </row>
    <row r="481" spans="1:6" x14ac:dyDescent="0.2">
      <c r="A481" s="206"/>
      <c r="B481" s="207" t="s">
        <v>293</v>
      </c>
      <c r="C481" s="208">
        <f>C476</f>
        <v>74</v>
      </c>
      <c r="D481" s="209" t="s">
        <v>182</v>
      </c>
      <c r="E481" s="206"/>
    </row>
    <row r="482" spans="1:6" x14ac:dyDescent="0.2">
      <c r="A482" s="206"/>
      <c r="B482" s="207" t="s">
        <v>294</v>
      </c>
      <c r="C482" s="208">
        <f>C477</f>
        <v>6</v>
      </c>
      <c r="D482" s="209" t="s">
        <v>182</v>
      </c>
      <c r="E482" s="200"/>
    </row>
    <row r="483" spans="1:6" x14ac:dyDescent="0.2">
      <c r="A483" s="206"/>
      <c r="B483" s="207" t="s">
        <v>296</v>
      </c>
      <c r="C483" s="210">
        <f>ROUND(C481*C482,2)</f>
        <v>444</v>
      </c>
      <c r="D483" s="211" t="s">
        <v>15</v>
      </c>
      <c r="E483" s="200"/>
    </row>
    <row r="484" spans="1:6" x14ac:dyDescent="0.2">
      <c r="A484" s="206"/>
      <c r="B484" s="207"/>
      <c r="C484" s="254"/>
      <c r="D484" s="255"/>
      <c r="E484" s="200"/>
    </row>
    <row r="485" spans="1:6" x14ac:dyDescent="0.2">
      <c r="A485" s="196" t="s">
        <v>178</v>
      </c>
      <c r="B485" s="197" t="s">
        <v>179</v>
      </c>
      <c r="C485" s="256"/>
      <c r="D485" s="257"/>
      <c r="E485" s="200"/>
    </row>
    <row r="486" spans="1:6" ht="30" customHeight="1" x14ac:dyDescent="0.25">
      <c r="A486" s="225" t="s">
        <v>180</v>
      </c>
      <c r="B486" s="375" t="s">
        <v>181</v>
      </c>
      <c r="C486" s="377"/>
      <c r="D486" s="377"/>
      <c r="E486" s="376"/>
    </row>
    <row r="487" spans="1:6" x14ac:dyDescent="0.2">
      <c r="A487" s="206"/>
      <c r="B487" s="207" t="s">
        <v>293</v>
      </c>
      <c r="C487" s="208">
        <f>C470</f>
        <v>74</v>
      </c>
      <c r="D487" s="209" t="s">
        <v>182</v>
      </c>
      <c r="E487" s="206"/>
    </row>
    <row r="488" spans="1:6" x14ac:dyDescent="0.2">
      <c r="A488" s="206"/>
      <c r="B488" s="207" t="s">
        <v>250</v>
      </c>
      <c r="C488" s="208">
        <v>2</v>
      </c>
      <c r="D488" s="209" t="s">
        <v>184</v>
      </c>
      <c r="E488" s="206"/>
    </row>
    <row r="489" spans="1:6" x14ac:dyDescent="0.2">
      <c r="A489" s="206"/>
      <c r="B489" s="207" t="s">
        <v>314</v>
      </c>
      <c r="C489" s="208">
        <f>C482</f>
        <v>6</v>
      </c>
      <c r="D489" s="209" t="s">
        <v>182</v>
      </c>
      <c r="E489" s="206"/>
    </row>
    <row r="490" spans="1:6" x14ac:dyDescent="0.2">
      <c r="A490" s="206"/>
      <c r="B490" s="207" t="s">
        <v>301</v>
      </c>
      <c r="C490" s="210">
        <f>ROUND(C487*C488+C489,2)</f>
        <v>154</v>
      </c>
      <c r="D490" s="211" t="s">
        <v>182</v>
      </c>
      <c r="E490" s="200"/>
    </row>
    <row r="492" spans="1:6" ht="30" customHeight="1" x14ac:dyDescent="0.2">
      <c r="A492" s="225" t="s">
        <v>183</v>
      </c>
      <c r="B492" s="375" t="s">
        <v>302</v>
      </c>
      <c r="C492" s="375"/>
      <c r="D492" s="375"/>
      <c r="E492" s="376"/>
      <c r="F492" s="226"/>
    </row>
    <row r="493" spans="1:6" x14ac:dyDescent="0.2">
      <c r="A493" s="206"/>
      <c r="B493" s="207" t="s">
        <v>293</v>
      </c>
      <c r="C493" s="208">
        <f>C487</f>
        <v>74</v>
      </c>
      <c r="D493" s="209" t="s">
        <v>182</v>
      </c>
      <c r="E493" s="206"/>
    </row>
    <row r="494" spans="1:6" x14ac:dyDescent="0.2">
      <c r="A494" s="206"/>
      <c r="B494" s="207" t="s">
        <v>250</v>
      </c>
      <c r="C494" s="208">
        <v>2</v>
      </c>
      <c r="D494" s="209" t="s">
        <v>184</v>
      </c>
      <c r="E494" s="206"/>
    </row>
    <row r="495" spans="1:6" x14ac:dyDescent="0.2">
      <c r="A495" s="206"/>
      <c r="B495" s="207" t="s">
        <v>301</v>
      </c>
      <c r="C495" s="210">
        <f>ROUND(C493*C494,2)</f>
        <v>148</v>
      </c>
      <c r="D495" s="211" t="s">
        <v>182</v>
      </c>
      <c r="E495" s="200"/>
    </row>
    <row r="497" spans="1:6" x14ac:dyDescent="0.2">
      <c r="A497" s="196" t="s">
        <v>229</v>
      </c>
      <c r="B497" s="197" t="s">
        <v>227</v>
      </c>
      <c r="C497" s="198"/>
      <c r="D497" s="199"/>
      <c r="E497" s="200"/>
    </row>
    <row r="498" spans="1:6" s="227" customFormat="1" x14ac:dyDescent="0.2">
      <c r="A498" s="225" t="s">
        <v>230</v>
      </c>
      <c r="B498" s="375" t="s">
        <v>341</v>
      </c>
      <c r="C498" s="375"/>
      <c r="D498" s="375"/>
      <c r="E498" s="376"/>
      <c r="F498" s="226"/>
    </row>
    <row r="499" spans="1:6" x14ac:dyDescent="0.2">
      <c r="A499" s="206"/>
      <c r="B499" s="207" t="s">
        <v>305</v>
      </c>
      <c r="C499" s="208">
        <f>C478</f>
        <v>444</v>
      </c>
      <c r="D499" s="209" t="s">
        <v>15</v>
      </c>
      <c r="E499" s="206"/>
    </row>
    <row r="500" spans="1:6" x14ac:dyDescent="0.2">
      <c r="A500" s="206"/>
      <c r="B500" s="207" t="s">
        <v>306</v>
      </c>
      <c r="C500" s="228">
        <v>4.2000000000000003E-2</v>
      </c>
      <c r="D500" s="209" t="s">
        <v>251</v>
      </c>
      <c r="E500" s="200"/>
    </row>
    <row r="501" spans="1:6" x14ac:dyDescent="0.2">
      <c r="A501" s="206"/>
      <c r="B501" s="207" t="s">
        <v>307</v>
      </c>
      <c r="C501" s="208">
        <v>2.52</v>
      </c>
      <c r="D501" s="209" t="s">
        <v>308</v>
      </c>
      <c r="E501" s="200"/>
    </row>
    <row r="502" spans="1:6" x14ac:dyDescent="0.2">
      <c r="A502" s="206"/>
      <c r="B502" s="207" t="s">
        <v>309</v>
      </c>
      <c r="C502" s="208">
        <v>1.5</v>
      </c>
      <c r="D502" s="209" t="s">
        <v>252</v>
      </c>
      <c r="E502" s="200"/>
    </row>
    <row r="503" spans="1:6" x14ac:dyDescent="0.2">
      <c r="A503" s="206"/>
      <c r="B503" s="207" t="s">
        <v>310</v>
      </c>
      <c r="C503" s="208">
        <v>30</v>
      </c>
      <c r="D503" s="209" t="s">
        <v>253</v>
      </c>
      <c r="E503" s="200"/>
    </row>
    <row r="504" spans="1:6" x14ac:dyDescent="0.2">
      <c r="A504" s="206"/>
      <c r="B504" s="197" t="s">
        <v>315</v>
      </c>
      <c r="C504" s="210">
        <f>ROUND(C499*C500*C501*C502*C503,2)</f>
        <v>2114.6799999999998</v>
      </c>
      <c r="D504" s="211" t="s">
        <v>316</v>
      </c>
      <c r="E504" s="200"/>
    </row>
    <row r="506" spans="1:6" s="227" customFormat="1" ht="30" customHeight="1" x14ac:dyDescent="0.2">
      <c r="A506" s="225" t="s">
        <v>361</v>
      </c>
      <c r="B506" s="375" t="s">
        <v>362</v>
      </c>
      <c r="C506" s="375"/>
      <c r="D506" s="375"/>
      <c r="E506" s="376"/>
      <c r="F506" s="226"/>
    </row>
    <row r="507" spans="1:6" x14ac:dyDescent="0.2">
      <c r="A507" s="206"/>
      <c r="B507" s="207" t="s">
        <v>305</v>
      </c>
      <c r="C507" s="208">
        <f>C499</f>
        <v>444</v>
      </c>
      <c r="D507" s="209" t="s">
        <v>15</v>
      </c>
      <c r="E507" s="260"/>
    </row>
    <row r="508" spans="1:6" x14ac:dyDescent="0.2">
      <c r="A508" s="206"/>
      <c r="B508" s="207" t="s">
        <v>306</v>
      </c>
      <c r="C508" s="228">
        <v>4.2000000000000003E-2</v>
      </c>
      <c r="D508" s="209" t="s">
        <v>251</v>
      </c>
      <c r="E508" s="261"/>
    </row>
    <row r="509" spans="1:6" x14ac:dyDescent="0.2">
      <c r="A509" s="206"/>
      <c r="B509" s="207" t="s">
        <v>307</v>
      </c>
      <c r="C509" s="208">
        <v>2.52</v>
      </c>
      <c r="D509" s="209" t="s">
        <v>308</v>
      </c>
      <c r="E509" s="261"/>
    </row>
    <row r="510" spans="1:6" x14ac:dyDescent="0.2">
      <c r="A510" s="206"/>
      <c r="B510" s="207" t="s">
        <v>309</v>
      </c>
      <c r="C510" s="208">
        <v>1.5</v>
      </c>
      <c r="D510" s="209" t="s">
        <v>252</v>
      </c>
      <c r="E510" s="261"/>
    </row>
    <row r="511" spans="1:6" x14ac:dyDescent="0.2">
      <c r="A511" s="206"/>
      <c r="B511" s="207" t="s">
        <v>310</v>
      </c>
      <c r="C511" s="208">
        <f>C451-C503</f>
        <v>19</v>
      </c>
      <c r="D511" s="209" t="s">
        <v>253</v>
      </c>
      <c r="E511" s="261"/>
    </row>
    <row r="512" spans="1:6" ht="12.75" customHeight="1" x14ac:dyDescent="0.2">
      <c r="A512" s="206"/>
      <c r="B512" s="197" t="s">
        <v>315</v>
      </c>
      <c r="C512" s="210">
        <f>ROUND(C507*C508*C509*C510*C511,2)</f>
        <v>1339.3</v>
      </c>
      <c r="D512" s="211" t="s">
        <v>316</v>
      </c>
      <c r="E512" s="261"/>
    </row>
    <row r="513" spans="1:6" x14ac:dyDescent="0.2">
      <c r="B513" s="207"/>
      <c r="C513" s="212"/>
      <c r="D513" s="262"/>
    </row>
    <row r="514" spans="1:6" x14ac:dyDescent="0.2">
      <c r="A514" s="196" t="s">
        <v>258</v>
      </c>
      <c r="B514" s="197" t="s">
        <v>303</v>
      </c>
      <c r="C514" s="198"/>
      <c r="D514" s="199"/>
      <c r="E514" s="200"/>
    </row>
    <row r="515" spans="1:6" ht="23.25" customHeight="1" x14ac:dyDescent="0.2">
      <c r="A515" s="225" t="s">
        <v>260</v>
      </c>
      <c r="B515" s="375" t="s">
        <v>332</v>
      </c>
      <c r="C515" s="375"/>
      <c r="D515" s="375"/>
      <c r="E515" s="376"/>
      <c r="F515" s="226"/>
    </row>
    <row r="516" spans="1:6" x14ac:dyDescent="0.2">
      <c r="A516" s="206"/>
      <c r="B516" s="207" t="s">
        <v>304</v>
      </c>
      <c r="C516" s="208">
        <v>1</v>
      </c>
      <c r="D516" s="209" t="s">
        <v>184</v>
      </c>
      <c r="E516" s="206"/>
    </row>
    <row r="517" spans="1:6" x14ac:dyDescent="0.2">
      <c r="A517" s="206"/>
      <c r="B517" s="207" t="s">
        <v>337</v>
      </c>
      <c r="C517" s="210">
        <f>C516</f>
        <v>1</v>
      </c>
      <c r="D517" s="211" t="s">
        <v>184</v>
      </c>
      <c r="E517" s="200"/>
    </row>
  </sheetData>
  <sheetProtection algorithmName="SHA-512" hashValue="NWmPv5wXY5IrBF2WW7dL7ESAWvVum++5p4WdAcqu1h/+4pgFAHz+E/J7oiGOZS4Fwz9rlV9uda9/BBP0a9EPjQ==" saltValue="958lo4lKoK+Z+qXR/Oez6Q==" spinCount="100000" sheet="1" objects="1" scenarios="1" selectLockedCells="1" selectUnlockedCells="1"/>
  <mergeCells count="58">
    <mergeCell ref="B137:E137"/>
    <mergeCell ref="B89:E89"/>
    <mergeCell ref="B54:E54"/>
    <mergeCell ref="A5:E5"/>
    <mergeCell ref="B72:E72"/>
    <mergeCell ref="A6:E6"/>
    <mergeCell ref="C22:E22"/>
    <mergeCell ref="B49:E49"/>
    <mergeCell ref="B60:E60"/>
    <mergeCell ref="B66:E66"/>
    <mergeCell ref="B202:E202"/>
    <mergeCell ref="B208:E208"/>
    <mergeCell ref="B214:E214"/>
    <mergeCell ref="B231:E231"/>
    <mergeCell ref="B80:E80"/>
    <mergeCell ref="B151:E151"/>
    <mergeCell ref="B222:E222"/>
    <mergeCell ref="B143:E143"/>
    <mergeCell ref="B160:E160"/>
    <mergeCell ref="C164:E164"/>
    <mergeCell ref="B191:E191"/>
    <mergeCell ref="B196:E196"/>
    <mergeCell ref="C93:E93"/>
    <mergeCell ref="B120:E120"/>
    <mergeCell ref="B125:E125"/>
    <mergeCell ref="B131:E131"/>
    <mergeCell ref="C235:E235"/>
    <mergeCell ref="B262:E262"/>
    <mergeCell ref="B267:E267"/>
    <mergeCell ref="B273:E273"/>
    <mergeCell ref="B279:E279"/>
    <mergeCell ref="B285:E285"/>
    <mergeCell ref="B293:E293"/>
    <mergeCell ref="B302:E302"/>
    <mergeCell ref="C306:E306"/>
    <mergeCell ref="B333:E333"/>
    <mergeCell ref="B338:E338"/>
    <mergeCell ref="B344:E344"/>
    <mergeCell ref="B350:E350"/>
    <mergeCell ref="B356:E356"/>
    <mergeCell ref="B364:E364"/>
    <mergeCell ref="B373:E373"/>
    <mergeCell ref="C377:E377"/>
    <mergeCell ref="B404:E404"/>
    <mergeCell ref="B409:E409"/>
    <mergeCell ref="B415:E415"/>
    <mergeCell ref="B421:E421"/>
    <mergeCell ref="B427:E427"/>
    <mergeCell ref="B435:E435"/>
    <mergeCell ref="B444:E444"/>
    <mergeCell ref="C448:E448"/>
    <mergeCell ref="B506:E506"/>
    <mergeCell ref="B515:E515"/>
    <mergeCell ref="B475:E475"/>
    <mergeCell ref="B480:E480"/>
    <mergeCell ref="B486:E486"/>
    <mergeCell ref="B492:E492"/>
    <mergeCell ref="B498:E498"/>
  </mergeCells>
  <pageMargins left="0.70866141732283472" right="0.70866141732283472" top="1.3779527559055118" bottom="1.5748031496062993" header="0.31496062992125984" footer="0.31496062992125984"/>
  <pageSetup paperSize="9" scale="71" fitToHeight="0" orientation="portrait" r:id="rId1"/>
  <headerFooter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K74"/>
  <sheetViews>
    <sheetView workbookViewId="0">
      <selection sqref="A1:H1"/>
    </sheetView>
  </sheetViews>
  <sheetFormatPr defaultRowHeight="15" x14ac:dyDescent="0.25"/>
  <cols>
    <col min="1" max="1" width="15.7109375" style="108" customWidth="1"/>
    <col min="2" max="2" width="36.28515625" style="108" bestFit="1" customWidth="1"/>
    <col min="3" max="3" width="7.140625" style="109" bestFit="1" customWidth="1"/>
    <col min="4" max="4" width="13.42578125" style="110" bestFit="1" customWidth="1"/>
    <col min="5" max="5" width="15.7109375" style="109" customWidth="1"/>
    <col min="6" max="6" width="19.28515625" style="109" customWidth="1"/>
    <col min="7" max="7" width="13.5703125" style="110" bestFit="1" customWidth="1"/>
    <col min="8" max="8" width="9.140625" style="110"/>
    <col min="9" max="11" width="0" hidden="1" customWidth="1"/>
  </cols>
  <sheetData>
    <row r="1" spans="1:11" x14ac:dyDescent="0.25">
      <c r="A1" s="383" t="s">
        <v>406</v>
      </c>
      <c r="B1" s="384"/>
      <c r="C1" s="384"/>
      <c r="D1" s="384"/>
      <c r="E1" s="384"/>
      <c r="F1" s="384"/>
      <c r="G1" s="384"/>
      <c r="H1" s="384"/>
    </row>
    <row r="2" spans="1:11" x14ac:dyDescent="0.25">
      <c r="A2" s="385" t="s">
        <v>369</v>
      </c>
      <c r="B2" s="385"/>
      <c r="C2" s="385"/>
      <c r="D2" s="385"/>
      <c r="E2" s="385"/>
      <c r="F2" s="385"/>
      <c r="G2" s="385"/>
      <c r="H2" s="385"/>
    </row>
    <row r="3" spans="1:11" x14ac:dyDescent="0.25">
      <c r="A3" s="385" t="s">
        <v>407</v>
      </c>
      <c r="B3" s="385"/>
      <c r="C3" s="385"/>
      <c r="D3" s="385"/>
      <c r="E3" s="385"/>
      <c r="F3" s="385"/>
      <c r="G3" s="385"/>
      <c r="H3" s="385"/>
    </row>
    <row r="5" spans="1:11" x14ac:dyDescent="0.25">
      <c r="A5" s="386" t="s">
        <v>43</v>
      </c>
      <c r="B5" s="387"/>
      <c r="C5" s="387"/>
      <c r="D5" s="387"/>
      <c r="E5" s="387"/>
      <c r="F5" s="387"/>
      <c r="G5" s="387"/>
      <c r="H5" s="388"/>
    </row>
    <row r="6" spans="1:11" x14ac:dyDescent="0.25">
      <c r="A6" s="148"/>
      <c r="B6" s="389"/>
      <c r="C6" s="389"/>
      <c r="D6" s="389"/>
      <c r="E6" s="389"/>
      <c r="F6" s="149"/>
      <c r="G6" s="149"/>
      <c r="H6" s="150"/>
    </row>
    <row r="7" spans="1:11" x14ac:dyDescent="0.25">
      <c r="A7" s="151"/>
      <c r="B7" s="152"/>
      <c r="C7" s="152"/>
      <c r="D7" s="152"/>
      <c r="E7" s="152"/>
      <c r="F7" s="152"/>
      <c r="G7" s="152"/>
      <c r="H7" s="153"/>
      <c r="I7" s="39"/>
      <c r="J7" s="40"/>
      <c r="K7" s="40"/>
    </row>
    <row r="8" spans="1:11" x14ac:dyDescent="0.25">
      <c r="A8" s="390" t="s">
        <v>44</v>
      </c>
      <c r="B8" s="391"/>
      <c r="C8" s="41"/>
      <c r="D8" s="41"/>
      <c r="E8" s="41"/>
      <c r="F8" s="41"/>
      <c r="G8" s="41"/>
      <c r="H8" s="42"/>
      <c r="I8" s="39"/>
      <c r="J8" s="40"/>
      <c r="K8" s="40"/>
    </row>
    <row r="9" spans="1:11" x14ac:dyDescent="0.25">
      <c r="A9" s="144"/>
      <c r="B9" s="43"/>
      <c r="C9" s="41"/>
      <c r="D9" s="41"/>
      <c r="E9" s="41"/>
      <c r="F9" s="41"/>
      <c r="G9" s="41"/>
      <c r="H9" s="42"/>
      <c r="I9" s="39"/>
      <c r="J9" s="40"/>
      <c r="K9" s="40"/>
    </row>
    <row r="10" spans="1:11" x14ac:dyDescent="0.25">
      <c r="A10" s="44"/>
      <c r="B10" s="45" t="s">
        <v>10</v>
      </c>
      <c r="C10" s="46"/>
      <c r="D10" s="47">
        <f>IF(C10="x",1,0)</f>
        <v>0</v>
      </c>
      <c r="E10" s="48"/>
      <c r="F10" s="49"/>
      <c r="G10" s="50"/>
      <c r="H10" s="51">
        <f>IF(F10="x",1,0)</f>
        <v>0</v>
      </c>
      <c r="I10" s="39"/>
      <c r="J10" s="40"/>
      <c r="K10" s="40"/>
    </row>
    <row r="11" spans="1:11" x14ac:dyDescent="0.25">
      <c r="A11" s="44"/>
      <c r="B11" s="45" t="s">
        <v>9</v>
      </c>
      <c r="C11" s="46" t="s">
        <v>45</v>
      </c>
      <c r="D11" s="47">
        <f>IF(C11="x",1,0)</f>
        <v>1</v>
      </c>
      <c r="E11" s="52"/>
      <c r="F11" s="49"/>
      <c r="G11" s="50"/>
      <c r="H11" s="51">
        <f>IF(F11="x",1,0)</f>
        <v>0</v>
      </c>
      <c r="I11" s="39"/>
      <c r="J11" s="40"/>
      <c r="K11" s="40"/>
    </row>
    <row r="12" spans="1:11" ht="15.75" thickBot="1" x14ac:dyDescent="0.3">
      <c r="A12" s="53"/>
      <c r="B12" s="392" t="str">
        <f>IF(D12&gt;1,"SELECIONE SOMENTE UM TIPO DE BDI",IF(D12=0,"SELECIONE UM TIPO DE BDI",""))</f>
        <v/>
      </c>
      <c r="C12" s="392"/>
      <c r="D12" s="54">
        <f>SUM(D10:D11)</f>
        <v>1</v>
      </c>
      <c r="E12" s="393"/>
      <c r="F12" s="393"/>
      <c r="G12" s="393"/>
      <c r="H12" s="55">
        <f>SUM(H10:H11)</f>
        <v>0</v>
      </c>
      <c r="I12" s="39"/>
      <c r="J12" s="40"/>
      <c r="K12" s="40"/>
    </row>
    <row r="13" spans="1:11" ht="15.75" thickBot="1" x14ac:dyDescent="0.3">
      <c r="A13" s="41"/>
      <c r="B13" s="41"/>
      <c r="C13" s="41"/>
      <c r="D13" s="41"/>
      <c r="E13" s="41"/>
      <c r="F13" s="41"/>
      <c r="G13" s="57"/>
      <c r="H13" s="57"/>
      <c r="I13" s="39"/>
      <c r="J13" s="40"/>
      <c r="K13" s="40"/>
    </row>
    <row r="14" spans="1:11" x14ac:dyDescent="0.25">
      <c r="A14" s="394" t="s">
        <v>46</v>
      </c>
      <c r="B14" s="395"/>
      <c r="C14" s="146"/>
      <c r="D14" s="146"/>
      <c r="E14" s="146"/>
      <c r="F14" s="146"/>
      <c r="G14" s="56"/>
      <c r="H14" s="154"/>
      <c r="I14" s="39">
        <f>IF(H22&lt;&gt;0,VLOOKUP("x",G16:I21,3,FALSE),0)</f>
        <v>2</v>
      </c>
      <c r="J14" s="40"/>
      <c r="K14" s="40"/>
    </row>
    <row r="15" spans="1:11" x14ac:dyDescent="0.25">
      <c r="A15" s="144"/>
      <c r="B15" s="43"/>
      <c r="C15" s="41"/>
      <c r="D15" s="41"/>
      <c r="E15" s="41"/>
      <c r="F15" s="41"/>
      <c r="G15" s="57"/>
      <c r="H15" s="155"/>
      <c r="I15" s="39"/>
      <c r="J15" s="40"/>
      <c r="K15" s="40"/>
    </row>
    <row r="16" spans="1:11" x14ac:dyDescent="0.25">
      <c r="A16" s="58"/>
      <c r="B16" s="41"/>
      <c r="C16" s="41"/>
      <c r="D16" s="41"/>
      <c r="E16" s="41"/>
      <c r="F16" s="59" t="s">
        <v>47</v>
      </c>
      <c r="G16" s="46"/>
      <c r="H16" s="51">
        <f t="shared" ref="H16:H21" si="0">IF(G16="x",1,0)</f>
        <v>0</v>
      </c>
      <c r="I16" s="39">
        <v>1</v>
      </c>
      <c r="J16" s="40"/>
      <c r="K16" s="40"/>
    </row>
    <row r="17" spans="1:11" x14ac:dyDescent="0.25">
      <c r="A17" s="58"/>
      <c r="B17" s="41"/>
      <c r="C17" s="41"/>
      <c r="D17" s="41"/>
      <c r="E17" s="41"/>
      <c r="F17" s="59" t="s">
        <v>48</v>
      </c>
      <c r="G17" s="46" t="s">
        <v>45</v>
      </c>
      <c r="H17" s="51">
        <f t="shared" si="0"/>
        <v>1</v>
      </c>
      <c r="I17" s="39">
        <v>2</v>
      </c>
      <c r="J17" s="40"/>
      <c r="K17" s="40"/>
    </row>
    <row r="18" spans="1:11" x14ac:dyDescent="0.25">
      <c r="A18" s="58"/>
      <c r="B18" s="41"/>
      <c r="C18" s="41"/>
      <c r="D18" s="41"/>
      <c r="E18" s="41"/>
      <c r="F18" s="59" t="s">
        <v>49</v>
      </c>
      <c r="G18" s="46"/>
      <c r="H18" s="51">
        <f t="shared" si="0"/>
        <v>0</v>
      </c>
      <c r="I18" s="39">
        <v>3</v>
      </c>
      <c r="J18" s="40"/>
      <c r="K18" s="40"/>
    </row>
    <row r="19" spans="1:11" x14ac:dyDescent="0.25">
      <c r="A19" s="58"/>
      <c r="B19" s="41"/>
      <c r="C19" s="41"/>
      <c r="D19" s="41"/>
      <c r="E19" s="41"/>
      <c r="F19" s="59" t="s">
        <v>50</v>
      </c>
      <c r="G19" s="46"/>
      <c r="H19" s="51">
        <f t="shared" si="0"/>
        <v>0</v>
      </c>
      <c r="I19" s="39">
        <v>4</v>
      </c>
      <c r="J19" s="40"/>
      <c r="K19" s="40"/>
    </row>
    <row r="20" spans="1:11" x14ac:dyDescent="0.25">
      <c r="A20" s="58"/>
      <c r="B20" s="41"/>
      <c r="C20" s="41"/>
      <c r="D20" s="41"/>
      <c r="E20" s="41"/>
      <c r="F20" s="59" t="s">
        <v>51</v>
      </c>
      <c r="G20" s="46"/>
      <c r="H20" s="51">
        <f t="shared" si="0"/>
        <v>0</v>
      </c>
      <c r="I20" s="39">
        <v>5</v>
      </c>
      <c r="J20" s="40"/>
      <c r="K20" s="40"/>
    </row>
    <row r="21" spans="1:11" x14ac:dyDescent="0.25">
      <c r="A21" s="58"/>
      <c r="B21" s="396" t="str">
        <f>IF(AND(C10="x",G21="x"),"NÃO HÁ DESONERAÇÃO PARA FORNECIMENTO DE MATERIAIS","")</f>
        <v/>
      </c>
      <c r="C21" s="396"/>
      <c r="D21" s="396"/>
      <c r="E21" s="41"/>
      <c r="F21" s="59" t="s">
        <v>52</v>
      </c>
      <c r="G21" s="46"/>
      <c r="H21" s="51">
        <f t="shared" si="0"/>
        <v>0</v>
      </c>
      <c r="I21" s="39">
        <v>6</v>
      </c>
      <c r="J21" s="40"/>
      <c r="K21" s="40"/>
    </row>
    <row r="22" spans="1:11" ht="15.75" thickBot="1" x14ac:dyDescent="0.3">
      <c r="A22" s="53"/>
      <c r="B22" s="382" t="str">
        <f>IF(H22&gt;1,"SELECIONE SOMENTE UM TIPO DE SERVIÇO",IF(H22=0,"SELECIONE UM TIPO DE SERVIÇO",""))</f>
        <v/>
      </c>
      <c r="C22" s="382"/>
      <c r="D22" s="143"/>
      <c r="E22" s="143"/>
      <c r="F22" s="60"/>
      <c r="G22" s="61"/>
      <c r="H22" s="55">
        <f>SUM(H16:H21)</f>
        <v>1</v>
      </c>
      <c r="I22" s="39"/>
      <c r="J22" s="40"/>
      <c r="K22" s="40"/>
    </row>
    <row r="23" spans="1:11" ht="15.75" thickBot="1" x14ac:dyDescent="0.3">
      <c r="A23" s="41"/>
      <c r="B23" s="41"/>
      <c r="C23" s="41"/>
      <c r="D23" s="41"/>
      <c r="E23" s="145"/>
      <c r="F23" s="145"/>
      <c r="G23" s="50"/>
      <c r="H23" s="50"/>
      <c r="I23" s="39"/>
      <c r="J23" s="40"/>
      <c r="K23" s="40"/>
    </row>
    <row r="24" spans="1:11" x14ac:dyDescent="0.25">
      <c r="A24" s="394" t="s">
        <v>53</v>
      </c>
      <c r="B24" s="395"/>
      <c r="C24" s="146"/>
      <c r="D24" s="146"/>
      <c r="E24" s="403"/>
      <c r="F24" s="403"/>
      <c r="G24" s="63" t="s">
        <v>21</v>
      </c>
      <c r="H24" s="64"/>
      <c r="I24" s="39"/>
      <c r="J24" s="40"/>
      <c r="K24" s="40"/>
    </row>
    <row r="25" spans="1:11" x14ac:dyDescent="0.25">
      <c r="A25" s="65"/>
      <c r="B25" s="145"/>
      <c r="C25" s="145"/>
      <c r="D25" s="145"/>
      <c r="E25" s="145"/>
      <c r="F25" s="145"/>
      <c r="G25" s="50"/>
      <c r="H25" s="66"/>
      <c r="I25" s="39"/>
      <c r="J25" s="40" t="s">
        <v>54</v>
      </c>
      <c r="K25" s="40" t="s">
        <v>55</v>
      </c>
    </row>
    <row r="26" spans="1:11" x14ac:dyDescent="0.25">
      <c r="A26" s="65"/>
      <c r="B26" s="67" t="s">
        <v>56</v>
      </c>
      <c r="C26" s="68"/>
      <c r="D26" s="68" t="str">
        <f>IF(AND(G26&gt;=J26,G26&lt;=K26),"","FORA DO LIMITE")</f>
        <v/>
      </c>
      <c r="E26" s="68"/>
      <c r="F26" s="69" t="s">
        <v>57</v>
      </c>
      <c r="G26" s="70">
        <v>3.7999999999999999E-2</v>
      </c>
      <c r="H26" s="66"/>
      <c r="I26" s="39"/>
      <c r="J26" s="40">
        <f>VLOOKUP($I$13,[7]Referências!A13:D19,2,FALSE)</f>
        <v>0</v>
      </c>
      <c r="K26" s="40">
        <f>VLOOKUP($I$13,[7]Referências!A13:D19,4,FALSE)</f>
        <v>1</v>
      </c>
    </row>
    <row r="27" spans="1:11" x14ac:dyDescent="0.25">
      <c r="A27" s="65"/>
      <c r="B27" s="71"/>
      <c r="C27" s="145"/>
      <c r="D27" s="145"/>
      <c r="E27" s="145"/>
      <c r="F27" s="59"/>
      <c r="G27" s="72"/>
      <c r="H27" s="66"/>
      <c r="I27" s="39"/>
      <c r="J27" s="40"/>
      <c r="K27" s="40"/>
    </row>
    <row r="28" spans="1:11" x14ac:dyDescent="0.25">
      <c r="A28" s="65"/>
      <c r="B28" s="67" t="s">
        <v>58</v>
      </c>
      <c r="C28" s="68"/>
      <c r="D28" s="68" t="str">
        <f>IF(AND(G28&gt;=J28,G28&lt;=K28),"","FORA DO LIMITE")</f>
        <v/>
      </c>
      <c r="E28" s="68"/>
      <c r="F28" s="69" t="s">
        <v>59</v>
      </c>
      <c r="G28" s="73">
        <v>1.0200000000000001E-2</v>
      </c>
      <c r="H28" s="74"/>
      <c r="I28" s="39"/>
      <c r="J28" s="40">
        <f>VLOOKUP($I$13,[7]Referências!A40:D46,2,FALSE)</f>
        <v>0</v>
      </c>
      <c r="K28" s="40">
        <f>VLOOKUP($I$13,[7]Referências!A40:D46,4,FALSE)</f>
        <v>1</v>
      </c>
    </row>
    <row r="29" spans="1:11" x14ac:dyDescent="0.25">
      <c r="A29" s="65"/>
      <c r="B29" s="71"/>
      <c r="C29" s="145"/>
      <c r="D29" s="145"/>
      <c r="E29" s="145"/>
      <c r="F29" s="59"/>
      <c r="G29" s="75"/>
      <c r="H29" s="74"/>
      <c r="I29" s="39"/>
      <c r="J29" s="40"/>
      <c r="K29" s="40"/>
    </row>
    <row r="30" spans="1:11" x14ac:dyDescent="0.25">
      <c r="A30" s="65"/>
      <c r="B30" s="76" t="s">
        <v>60</v>
      </c>
      <c r="C30" s="77"/>
      <c r="D30" s="77"/>
      <c r="E30" s="77"/>
      <c r="F30" s="78"/>
      <c r="G30" s="79"/>
      <c r="H30" s="80"/>
      <c r="I30" s="39"/>
      <c r="J30" s="40"/>
      <c r="K30" s="40"/>
    </row>
    <row r="31" spans="1:11" x14ac:dyDescent="0.25">
      <c r="A31" s="65"/>
      <c r="B31" s="147"/>
      <c r="C31" s="145"/>
      <c r="D31" s="145" t="str">
        <f>IF(AND(G31&gt;=J31,G31&lt;=K31),"","FORA DO LIMITE")</f>
        <v/>
      </c>
      <c r="E31" s="145"/>
      <c r="F31" s="59" t="s">
        <v>61</v>
      </c>
      <c r="G31" s="81">
        <v>3.2000000000000002E-3</v>
      </c>
      <c r="H31" s="82"/>
      <c r="I31" s="39"/>
      <c r="J31" s="40">
        <f>VLOOKUP($I$13,[7]Referências!A22:D28,2,FALSE)</f>
        <v>0</v>
      </c>
      <c r="K31" s="40">
        <f>VLOOKUP($I$13,[7]Referências!A22:D28,4,FALSE)</f>
        <v>1</v>
      </c>
    </row>
    <row r="32" spans="1:11" x14ac:dyDescent="0.25">
      <c r="A32" s="65"/>
      <c r="B32" s="83"/>
      <c r="C32" s="84"/>
      <c r="D32" s="84" t="str">
        <f>IF(AND(G32&gt;=J32,G32&lt;=K32),"","FORA DO LIMITE")</f>
        <v/>
      </c>
      <c r="E32" s="84"/>
      <c r="F32" s="85" t="s">
        <v>62</v>
      </c>
      <c r="G32" s="86">
        <v>7.1999999999999998E-3</v>
      </c>
      <c r="H32" s="66"/>
      <c r="I32" s="39"/>
      <c r="J32" s="40">
        <f>VLOOKUP($I$13,[7]Referências!A31:D37,2,FALSE)</f>
        <v>0</v>
      </c>
      <c r="K32" s="40">
        <f>VLOOKUP($I$13,[7]Referências!A31:D37,4,FALSE)</f>
        <v>1</v>
      </c>
    </row>
    <row r="33" spans="1:11" x14ac:dyDescent="0.25">
      <c r="A33" s="65"/>
      <c r="B33" s="145"/>
      <c r="C33" s="145"/>
      <c r="D33" s="145"/>
      <c r="E33" s="145"/>
      <c r="F33" s="59"/>
      <c r="G33" s="75"/>
      <c r="H33" s="82"/>
      <c r="I33" s="39"/>
      <c r="J33" s="40"/>
      <c r="K33" s="40"/>
    </row>
    <row r="34" spans="1:11" x14ac:dyDescent="0.25">
      <c r="A34" s="65"/>
      <c r="B34" s="45" t="s">
        <v>63</v>
      </c>
      <c r="C34" s="68"/>
      <c r="D34" s="68" t="str">
        <f t="shared" ref="D34" si="1">IF(AND(G34&gt;=J34,G34&lt;=K34),"","FORA DO LIMITE")</f>
        <v/>
      </c>
      <c r="E34" s="68"/>
      <c r="F34" s="69" t="s">
        <v>64</v>
      </c>
      <c r="G34" s="73">
        <v>7.4999999999999997E-2</v>
      </c>
      <c r="H34" s="82"/>
      <c r="I34" s="39"/>
      <c r="J34" s="40">
        <f>VLOOKUP($I$13,[7]Referências!A49:D55,2,FALSE)</f>
        <v>0</v>
      </c>
      <c r="K34" s="40">
        <f>VLOOKUP($I$13,[7]Referências!A49:D55,4,FALSE)</f>
        <v>1</v>
      </c>
    </row>
    <row r="35" spans="1:11" x14ac:dyDescent="0.25">
      <c r="A35" s="65"/>
      <c r="B35" s="145"/>
      <c r="C35" s="145"/>
      <c r="D35" s="145"/>
      <c r="E35" s="145"/>
      <c r="F35" s="59"/>
      <c r="G35" s="75"/>
      <c r="H35" s="82"/>
      <c r="I35" s="39"/>
      <c r="J35" s="40"/>
      <c r="K35" s="40"/>
    </row>
    <row r="36" spans="1:11" x14ac:dyDescent="0.25">
      <c r="A36" s="65"/>
      <c r="B36" s="76" t="s">
        <v>65</v>
      </c>
      <c r="C36" s="77"/>
      <c r="D36" s="77"/>
      <c r="E36" s="77"/>
      <c r="F36" s="78"/>
      <c r="G36" s="79"/>
      <c r="H36" s="82"/>
      <c r="I36" s="39"/>
      <c r="J36" s="40"/>
      <c r="K36" s="40"/>
    </row>
    <row r="37" spans="1:11" x14ac:dyDescent="0.25">
      <c r="A37" s="65"/>
      <c r="B37" s="87"/>
      <c r="C37" s="145"/>
      <c r="D37" s="145"/>
      <c r="E37" s="145"/>
      <c r="F37" s="59" t="str">
        <f>IF(AND(C10="X",C10&lt;&gt;C11,I14&lt;&gt;6,F11&lt;&gt;"X"),"INSS =","")</f>
        <v/>
      </c>
      <c r="G37" s="88" t="str">
        <f>IF(AND(C10="x",I14&lt;&gt;6,B12&lt;&gt;"SELECIONE SOMENTE UM TIPO DE BDI"),K37,"")</f>
        <v/>
      </c>
      <c r="H37" s="89"/>
      <c r="I37" s="39"/>
      <c r="J37" s="40">
        <v>0</v>
      </c>
      <c r="K37" s="40">
        <v>4.4999999999999998E-2</v>
      </c>
    </row>
    <row r="38" spans="1:11" x14ac:dyDescent="0.25">
      <c r="A38" s="65"/>
      <c r="B38" s="404" t="str">
        <f>IF(AND(G38&lt;&gt;"",I14=6),"APAGUE O PERCENTUAL DESTA LINHA","")</f>
        <v/>
      </c>
      <c r="C38" s="396"/>
      <c r="D38" s="145" t="str">
        <f>IF(B38="APAGUE O PERCENTUAL DESTA LINHA","",IF(AND(G38&gt;=J38,G38&lt;=K38),"","FORA DO LIMITE"))</f>
        <v/>
      </c>
      <c r="E38" s="145"/>
      <c r="F38" s="59" t="str">
        <f>IF(I14=6,"","ISSQN =")</f>
        <v>ISSQN =</v>
      </c>
      <c r="G38" s="81">
        <v>0.03</v>
      </c>
      <c r="H38" s="89"/>
      <c r="I38" s="39"/>
      <c r="J38" s="40">
        <v>1.2E-2</v>
      </c>
      <c r="K38" s="40">
        <v>0.03</v>
      </c>
    </row>
    <row r="39" spans="1:11" x14ac:dyDescent="0.25">
      <c r="A39" s="65"/>
      <c r="B39" s="147"/>
      <c r="C39" s="145"/>
      <c r="D39" s="145" t="str">
        <f>IF(AND(G39&gt;=J39,G39&lt;=K39),"","FORA DO LIMITE")</f>
        <v/>
      </c>
      <c r="E39" s="145"/>
      <c r="F39" s="59" t="s">
        <v>66</v>
      </c>
      <c r="G39" s="90">
        <v>6.4999999999999997E-3</v>
      </c>
      <c r="H39" s="89"/>
      <c r="I39" s="39"/>
      <c r="J39" s="40">
        <v>6.4999999999999997E-3</v>
      </c>
      <c r="K39" s="40">
        <v>6.4999999999999997E-3</v>
      </c>
    </row>
    <row r="40" spans="1:11" x14ac:dyDescent="0.25">
      <c r="A40" s="65"/>
      <c r="B40" s="147"/>
      <c r="C40" s="145"/>
      <c r="D40" s="145" t="str">
        <f t="shared" ref="D40" si="2">IF(AND(G40&gt;=J40,G40&lt;=K40),"","FORA DO LIMITE")</f>
        <v/>
      </c>
      <c r="E40" s="145"/>
      <c r="F40" s="59" t="s">
        <v>67</v>
      </c>
      <c r="G40" s="90">
        <v>0.03</v>
      </c>
      <c r="H40" s="89"/>
      <c r="I40" s="39"/>
      <c r="J40" s="40">
        <v>0.03</v>
      </c>
      <c r="K40" s="40">
        <v>0.03</v>
      </c>
    </row>
    <row r="41" spans="1:11" x14ac:dyDescent="0.25">
      <c r="A41" s="65"/>
      <c r="B41" s="83"/>
      <c r="C41" s="84"/>
      <c r="D41" s="84"/>
      <c r="E41" s="84"/>
      <c r="F41" s="85" t="s">
        <v>68</v>
      </c>
      <c r="G41" s="91">
        <f>SUM(G37:G40)</f>
        <v>6.6500000000000004E-2</v>
      </c>
      <c r="H41" s="82"/>
      <c r="I41" s="39"/>
      <c r="J41" s="40"/>
      <c r="K41" s="40"/>
    </row>
    <row r="42" spans="1:11" ht="15.75" thickBot="1" x14ac:dyDescent="0.3">
      <c r="A42" s="92"/>
      <c r="B42" s="60"/>
      <c r="C42" s="60"/>
      <c r="D42" s="60"/>
      <c r="E42" s="60"/>
      <c r="F42" s="93"/>
      <c r="G42" s="94"/>
      <c r="H42" s="95"/>
      <c r="I42" s="39"/>
      <c r="J42" s="40"/>
      <c r="K42" s="40"/>
    </row>
    <row r="43" spans="1:11" ht="15.75" thickBot="1" x14ac:dyDescent="0.3">
      <c r="A43" s="145"/>
      <c r="B43" s="145"/>
      <c r="C43" s="145"/>
      <c r="D43" s="145"/>
      <c r="E43" s="145"/>
      <c r="F43" s="156"/>
      <c r="G43" s="157"/>
      <c r="H43" s="158"/>
      <c r="I43" s="39"/>
      <c r="J43" s="40"/>
      <c r="K43" s="40"/>
    </row>
    <row r="44" spans="1:11" x14ac:dyDescent="0.25">
      <c r="A44" s="394" t="s">
        <v>69</v>
      </c>
      <c r="B44" s="395"/>
      <c r="C44" s="146"/>
      <c r="D44" s="146"/>
      <c r="E44" s="146"/>
      <c r="F44" s="146"/>
      <c r="G44" s="63"/>
      <c r="H44" s="64"/>
      <c r="I44" s="39"/>
      <c r="J44" s="40" t="s">
        <v>70</v>
      </c>
      <c r="K44" s="40"/>
    </row>
    <row r="45" spans="1:11" x14ac:dyDescent="0.25">
      <c r="A45" s="65"/>
      <c r="B45" s="145"/>
      <c r="C45" s="145"/>
      <c r="D45" s="145"/>
      <c r="E45" s="145"/>
      <c r="F45" s="145"/>
      <c r="G45" s="50"/>
      <c r="H45" s="66"/>
      <c r="I45" s="39"/>
      <c r="J45" s="96">
        <v>1</v>
      </c>
      <c r="K45" s="40" t="str">
        <f>IF(OR(B12="SELECIONE UM TIPO DE BDI",B12="SELECIONE SOMENTE UM TIPO DE BDI"),"VER TIPO DE BDI","OK")</f>
        <v>OK</v>
      </c>
    </row>
    <row r="46" spans="1:11" x14ac:dyDescent="0.25">
      <c r="A46" s="65"/>
      <c r="B46" s="145"/>
      <c r="C46" s="145"/>
      <c r="D46" s="145"/>
      <c r="E46" s="145"/>
      <c r="F46" s="145"/>
      <c r="G46" s="50"/>
      <c r="H46" s="66"/>
      <c r="I46" s="39"/>
      <c r="J46" s="96">
        <v>2</v>
      </c>
      <c r="K46" s="40" t="str">
        <f>IF(OR(B22="SELECIONE SOMENTE UM TIPO DE SERVIÇO",B22="SELECIONE UM TIPO DE SERVIÇO",B21="NÃO HÁ DESONERAÇÃO PARA FORNECIMENTO DE MATERIAIS"),"VER TIPO DE SERVIÇO","OK")</f>
        <v>OK</v>
      </c>
    </row>
    <row r="47" spans="1:11" x14ac:dyDescent="0.25">
      <c r="A47" s="65"/>
      <c r="B47" s="145"/>
      <c r="C47" s="145"/>
      <c r="D47" s="145"/>
      <c r="E47" s="145"/>
      <c r="F47" s="145"/>
      <c r="G47" s="50"/>
      <c r="H47" s="66"/>
      <c r="I47" s="39"/>
      <c r="J47" s="96">
        <v>3</v>
      </c>
      <c r="K47" s="40" t="str">
        <f t="shared" ref="K47:K48" si="3">IF(OR(B23="SELECIONE SOMENTE UM TIPO DE SERVIÇO",B23="SELECIONE UM TIPO DE SERVIÇO",B22="NÃO HÁ DESONERAÇÃO PARA FORNECIMENTO DE MATERIAIS"),"VER TIPO DE SERVIÇO","OK")</f>
        <v>OK</v>
      </c>
    </row>
    <row r="48" spans="1:11" x14ac:dyDescent="0.25">
      <c r="A48" s="65"/>
      <c r="B48" s="145"/>
      <c r="C48" s="145"/>
      <c r="D48" s="145"/>
      <c r="E48" s="145"/>
      <c r="F48" s="145"/>
      <c r="G48" s="50"/>
      <c r="H48" s="66"/>
      <c r="I48" s="39"/>
      <c r="J48" s="96">
        <v>4</v>
      </c>
      <c r="K48" s="40" t="str">
        <f t="shared" si="3"/>
        <v>OK</v>
      </c>
    </row>
    <row r="49" spans="1:11" x14ac:dyDescent="0.25">
      <c r="A49" s="65"/>
      <c r="B49" s="145"/>
      <c r="C49" s="145"/>
      <c r="D49" s="145"/>
      <c r="E49" s="145"/>
      <c r="F49" s="145"/>
      <c r="G49" s="50"/>
      <c r="H49" s="66"/>
      <c r="I49" s="39"/>
      <c r="J49" s="96"/>
      <c r="K49" s="40"/>
    </row>
    <row r="50" spans="1:11" x14ac:dyDescent="0.25">
      <c r="A50" s="65"/>
      <c r="B50" s="145"/>
      <c r="C50" s="145"/>
      <c r="D50" s="145"/>
      <c r="E50" s="145"/>
      <c r="F50" s="145"/>
      <c r="G50" s="50"/>
      <c r="H50" s="66"/>
      <c r="I50" s="39"/>
      <c r="J50" s="40"/>
      <c r="K50" s="40"/>
    </row>
    <row r="51" spans="1:11" x14ac:dyDescent="0.25">
      <c r="A51" s="65"/>
      <c r="B51" s="145"/>
      <c r="C51" s="145"/>
      <c r="D51" s="145"/>
      <c r="E51" s="145"/>
      <c r="F51" s="145"/>
      <c r="G51" s="50"/>
      <c r="H51" s="66"/>
      <c r="I51" s="39"/>
      <c r="J51" s="40"/>
      <c r="K51" s="40"/>
    </row>
    <row r="52" spans="1:11" x14ac:dyDescent="0.25">
      <c r="A52" s="65" t="s">
        <v>71</v>
      </c>
      <c r="B52" s="48" t="s">
        <v>72</v>
      </c>
      <c r="C52" s="145"/>
      <c r="D52" s="145"/>
      <c r="E52" s="145"/>
      <c r="F52" s="145"/>
      <c r="G52" s="50"/>
      <c r="H52" s="66"/>
      <c r="I52" s="39"/>
      <c r="J52" s="40"/>
      <c r="K52" s="40"/>
    </row>
    <row r="53" spans="1:11" x14ac:dyDescent="0.25">
      <c r="A53" s="65" t="s">
        <v>73</v>
      </c>
      <c r="B53" s="48" t="s">
        <v>74</v>
      </c>
      <c r="C53" s="145"/>
      <c r="D53" s="145"/>
      <c r="E53" s="145"/>
      <c r="F53" s="145"/>
      <c r="G53" s="50"/>
      <c r="H53" s="66"/>
      <c r="I53" s="39"/>
      <c r="J53" s="40"/>
      <c r="K53" s="40"/>
    </row>
    <row r="54" spans="1:11" x14ac:dyDescent="0.25">
      <c r="A54" s="65" t="s">
        <v>75</v>
      </c>
      <c r="B54" s="48" t="s">
        <v>76</v>
      </c>
      <c r="C54" s="145"/>
      <c r="D54" s="145"/>
      <c r="E54" s="145"/>
      <c r="F54" s="145"/>
      <c r="G54" s="50"/>
      <c r="H54" s="66"/>
      <c r="I54" s="39"/>
      <c r="J54" s="40"/>
      <c r="K54" s="40"/>
    </row>
    <row r="55" spans="1:11" x14ac:dyDescent="0.25">
      <c r="A55" s="65" t="s">
        <v>59</v>
      </c>
      <c r="B55" s="48" t="s">
        <v>77</v>
      </c>
      <c r="C55" s="145"/>
      <c r="D55" s="145"/>
      <c r="E55" s="145"/>
      <c r="F55" s="145"/>
      <c r="G55" s="50"/>
      <c r="H55" s="66"/>
      <c r="I55" s="39"/>
      <c r="J55" s="40"/>
      <c r="K55" s="40"/>
    </row>
    <row r="56" spans="1:11" x14ac:dyDescent="0.25">
      <c r="A56" s="65" t="s">
        <v>64</v>
      </c>
      <c r="B56" s="48" t="s">
        <v>78</v>
      </c>
      <c r="C56" s="145"/>
      <c r="D56" s="145"/>
      <c r="E56" s="145"/>
      <c r="F56" s="145"/>
      <c r="G56" s="50"/>
      <c r="H56" s="66"/>
      <c r="I56" s="39"/>
      <c r="J56" s="40"/>
      <c r="K56" s="40"/>
    </row>
    <row r="57" spans="1:11" x14ac:dyDescent="0.25">
      <c r="A57" s="65" t="s">
        <v>79</v>
      </c>
      <c r="B57" s="48" t="s">
        <v>80</v>
      </c>
      <c r="C57" s="145"/>
      <c r="D57" s="145"/>
      <c r="E57" s="145"/>
      <c r="F57" s="145"/>
      <c r="G57" s="50"/>
      <c r="H57" s="66"/>
      <c r="I57" s="39"/>
      <c r="J57" s="40"/>
      <c r="K57" s="40"/>
    </row>
    <row r="58" spans="1:11" ht="15.75" thickBot="1" x14ac:dyDescent="0.3">
      <c r="A58" s="92"/>
      <c r="B58" s="97"/>
      <c r="C58" s="60"/>
      <c r="D58" s="60"/>
      <c r="E58" s="60"/>
      <c r="F58" s="60"/>
      <c r="G58" s="98"/>
      <c r="H58" s="99"/>
      <c r="I58" s="39"/>
      <c r="J58" s="40"/>
      <c r="K58" s="40"/>
    </row>
    <row r="59" spans="1:11" ht="15.75" thickBot="1" x14ac:dyDescent="0.3">
      <c r="A59" s="145"/>
      <c r="B59" s="48"/>
      <c r="C59" s="145"/>
      <c r="D59" s="145"/>
      <c r="E59" s="145"/>
      <c r="F59" s="145"/>
      <c r="G59" s="50"/>
      <c r="H59" s="50"/>
      <c r="I59" s="39"/>
      <c r="J59" s="40"/>
      <c r="K59" s="40"/>
    </row>
    <row r="60" spans="1:11" x14ac:dyDescent="0.25">
      <c r="A60" s="394" t="s">
        <v>81</v>
      </c>
      <c r="B60" s="395"/>
      <c r="C60" s="100"/>
      <c r="D60" s="100"/>
      <c r="E60" s="395" t="s">
        <v>82</v>
      </c>
      <c r="F60" s="395"/>
      <c r="G60" s="63"/>
      <c r="H60" s="64"/>
      <c r="I60" s="101">
        <f>SUM(1+G26,G31,G32)</f>
        <v>1.0484000000000002</v>
      </c>
      <c r="J60" s="40"/>
      <c r="K60" s="40"/>
    </row>
    <row r="61" spans="1:11" x14ac:dyDescent="0.25">
      <c r="A61" s="144"/>
      <c r="B61" s="43"/>
      <c r="C61" s="145"/>
      <c r="D61" s="145"/>
      <c r="E61" s="145"/>
      <c r="F61" s="145"/>
      <c r="G61" s="50"/>
      <c r="H61" s="66"/>
      <c r="I61" s="39">
        <f>1+G28</f>
        <v>1.0102</v>
      </c>
      <c r="J61" s="40"/>
      <c r="K61" s="40"/>
    </row>
    <row r="62" spans="1:11" x14ac:dyDescent="0.25">
      <c r="A62" s="65"/>
      <c r="B62" s="102" t="s">
        <v>83</v>
      </c>
      <c r="C62" s="103">
        <v>0.19600000000000001</v>
      </c>
      <c r="D62" s="71" t="str">
        <f>IF(AND(C62&gt;I65,C11="X"),"BDI ABAIXO","")</f>
        <v/>
      </c>
      <c r="E62" s="102" t="s">
        <v>83</v>
      </c>
      <c r="F62" s="103">
        <v>0.25600000000000001</v>
      </c>
      <c r="G62" s="71" t="str">
        <f>IF(AND(F62&gt;I65,C10="X"),"BDI ABAIXO","")</f>
        <v/>
      </c>
      <c r="H62" s="66"/>
      <c r="I62" s="39">
        <f>1+G34</f>
        <v>1.075</v>
      </c>
      <c r="J62" s="40"/>
      <c r="K62" s="40"/>
    </row>
    <row r="63" spans="1:11" x14ac:dyDescent="0.25">
      <c r="A63" s="65"/>
      <c r="B63" s="102" t="s">
        <v>84</v>
      </c>
      <c r="C63" s="103">
        <v>0.24229999999999999</v>
      </c>
      <c r="D63" s="71" t="str">
        <f>IF(AND(C63&lt;I66,C11="X"),"BDI ACIMA","")</f>
        <v/>
      </c>
      <c r="E63" s="102" t="s">
        <v>84</v>
      </c>
      <c r="F63" s="103">
        <v>0.30520000000000003</v>
      </c>
      <c r="G63" s="71" t="str">
        <f>IF(AND(F63&lt;I65,C10="X"),"BDI ACIMA","")</f>
        <v/>
      </c>
      <c r="H63" s="66"/>
      <c r="I63" s="39">
        <f>1-G41</f>
        <v>0.9335</v>
      </c>
      <c r="J63" s="40"/>
      <c r="K63" s="40"/>
    </row>
    <row r="64" spans="1:11" ht="15.75" thickBot="1" x14ac:dyDescent="0.3">
      <c r="A64" s="92"/>
      <c r="B64" s="97"/>
      <c r="C64" s="60"/>
      <c r="D64" s="104"/>
      <c r="E64" s="60"/>
      <c r="F64" s="104"/>
      <c r="G64" s="98"/>
      <c r="H64" s="99"/>
      <c r="I64" s="39">
        <f>I60*I61*I62/I63</f>
        <v>1.2196311794322443</v>
      </c>
      <c r="J64" s="40"/>
      <c r="K64" s="40"/>
    </row>
    <row r="65" spans="1:11" ht="15.75" thickBot="1" x14ac:dyDescent="0.3">
      <c r="A65" s="145"/>
      <c r="B65" s="145"/>
      <c r="C65" s="145"/>
      <c r="D65" s="145"/>
      <c r="E65" s="145"/>
      <c r="F65" s="145"/>
      <c r="G65" s="50"/>
      <c r="H65" s="50"/>
      <c r="I65" s="39">
        <f>ROUND(I64-1,4)</f>
        <v>0.21959999999999999</v>
      </c>
      <c r="J65" s="40"/>
      <c r="K65" s="40"/>
    </row>
    <row r="66" spans="1:11" ht="15.75" thickBot="1" x14ac:dyDescent="0.3">
      <c r="A66" s="145"/>
      <c r="B66" s="145"/>
      <c r="C66" s="145"/>
      <c r="D66" s="159"/>
      <c r="E66" s="397" t="s">
        <v>85</v>
      </c>
      <c r="F66" s="398"/>
      <c r="G66" s="160">
        <f>IF(AND(K45="OK",K46="OK",K47="OK",K48="OK"),I65,IF(K45="VER TIPO DE BDI","VER TIPO DE BDI",IF(K46="VER TIPO DE SERVIÇO","VER TIPO DE SERVIÇO",IF(K47="VER PERCENTUAIS","VER PERCENTUAIS",IF(K48="BDI FORA DO LIMITE","BDI FORA DO LIMITE","VÁRIOS ERROS")))))</f>
        <v>0.21959999999999999</v>
      </c>
      <c r="H66" s="161" t="str">
        <f>IF(AND(M66&gt;=P66,M66&lt;=Q66),"","FORA DO LIMITE")</f>
        <v/>
      </c>
      <c r="I66" s="105">
        <f>G72</f>
        <v>0.21959999999999999</v>
      </c>
      <c r="J66" s="40"/>
      <c r="K66" s="40"/>
    </row>
    <row r="67" spans="1:11" x14ac:dyDescent="0.25">
      <c r="A67" s="145"/>
      <c r="B67" s="145"/>
      <c r="C67" s="145"/>
      <c r="D67" s="145"/>
      <c r="E67" s="41"/>
      <c r="F67" s="41"/>
      <c r="G67" s="162"/>
      <c r="H67" s="162"/>
      <c r="I67" s="106"/>
      <c r="J67" s="40"/>
      <c r="K67" s="40"/>
    </row>
    <row r="68" spans="1:11" x14ac:dyDescent="0.25">
      <c r="A68" s="41"/>
      <c r="B68" s="43" t="s">
        <v>86</v>
      </c>
      <c r="C68" s="41"/>
      <c r="D68" s="41"/>
      <c r="E68" s="145"/>
      <c r="F68" s="145"/>
      <c r="G68" s="145"/>
      <c r="H68" s="145"/>
      <c r="I68" s="106"/>
      <c r="J68" s="40"/>
      <c r="K68" s="40"/>
    </row>
    <row r="69" spans="1:11" x14ac:dyDescent="0.25">
      <c r="A69" s="48"/>
      <c r="B69" s="8" t="s">
        <v>87</v>
      </c>
      <c r="C69" s="8"/>
      <c r="D69" s="8"/>
      <c r="E69" s="145"/>
      <c r="F69" s="145"/>
      <c r="G69" s="399"/>
      <c r="H69" s="399"/>
      <c r="I69" s="39"/>
      <c r="J69" s="40"/>
      <c r="K69" s="40"/>
    </row>
    <row r="70" spans="1:11" x14ac:dyDescent="0.25">
      <c r="A70" s="145"/>
      <c r="B70" s="8" t="s">
        <v>88</v>
      </c>
      <c r="C70" s="163"/>
      <c r="D70" s="145"/>
      <c r="E70" s="145"/>
      <c r="F70" s="145"/>
      <c r="G70" s="400"/>
      <c r="H70" s="400"/>
      <c r="I70" s="39"/>
      <c r="J70" s="40"/>
      <c r="K70" s="40"/>
    </row>
    <row r="71" spans="1:11" x14ac:dyDescent="0.25">
      <c r="A71" s="145"/>
      <c r="B71" s="8" t="s">
        <v>89</v>
      </c>
      <c r="C71" s="145"/>
      <c r="D71" s="145"/>
      <c r="E71" s="145"/>
      <c r="F71" s="164"/>
      <c r="G71" s="50"/>
      <c r="H71" s="50"/>
      <c r="I71" s="39"/>
      <c r="J71" s="40"/>
      <c r="K71" s="40"/>
    </row>
    <row r="72" spans="1:11" x14ac:dyDescent="0.25">
      <c r="A72" s="145"/>
      <c r="B72" s="145"/>
      <c r="C72" s="145"/>
      <c r="D72" s="145"/>
      <c r="E72" s="145"/>
      <c r="F72" s="107" t="s">
        <v>90</v>
      </c>
      <c r="G72" s="401">
        <f>I65</f>
        <v>0.21959999999999999</v>
      </c>
      <c r="H72" s="402"/>
      <c r="I72" s="39"/>
      <c r="J72" s="40"/>
      <c r="K72" s="40"/>
    </row>
    <row r="73" spans="1:11" x14ac:dyDescent="0.25">
      <c r="A73" s="165"/>
      <c r="B73" s="165"/>
      <c r="C73" s="166"/>
      <c r="D73" s="167"/>
      <c r="E73" s="166"/>
      <c r="F73" s="166"/>
      <c r="G73" s="167"/>
      <c r="H73" s="167"/>
    </row>
    <row r="74" spans="1:11" x14ac:dyDescent="0.25">
      <c r="A74" s="165"/>
      <c r="B74" s="165"/>
      <c r="C74" s="166"/>
      <c r="D74" s="167"/>
      <c r="E74" s="166"/>
      <c r="F74" s="166"/>
      <c r="G74" s="167"/>
      <c r="H74" s="167"/>
    </row>
  </sheetData>
  <sheetProtection algorithmName="SHA-512" hashValue="7Gtd55rr51ApTRM5mkVknoS3WrR/6vhnateiDhlQjlEs3bRgg+qOocWWsx+qq9+l8thbagJnLMYPGUJoR/4KwQ==" saltValue="97zE18tTT6qyKh5AEQc04w==" spinCount="100000" sheet="1" objects="1" scenarios="1" selectLockedCells="1" selectUnlockedCells="1"/>
  <mergeCells count="21">
    <mergeCell ref="E66:F66"/>
    <mergeCell ref="G69:H69"/>
    <mergeCell ref="G70:H70"/>
    <mergeCell ref="G72:H72"/>
    <mergeCell ref="A24:B24"/>
    <mergeCell ref="E24:F24"/>
    <mergeCell ref="B38:C38"/>
    <mergeCell ref="A44:B44"/>
    <mergeCell ref="A60:B60"/>
    <mergeCell ref="E60:F60"/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</mergeCells>
  <conditionalFormatting sqref="B12">
    <cfRule type="cellIs" dxfId="48" priority="19" operator="equal">
      <formula>"SELECIONE SOMENTE UM TIPO DE BDI"</formula>
    </cfRule>
  </conditionalFormatting>
  <conditionalFormatting sqref="B21">
    <cfRule type="cellIs" dxfId="47" priority="6" operator="equal">
      <formula>"NÃO HÁ DESONERAÇÃO PARA FORNECIMENTO DE MATERIAIS"</formula>
    </cfRule>
  </conditionalFormatting>
  <conditionalFormatting sqref="B22">
    <cfRule type="cellIs" dxfId="46" priority="25" operator="equal">
      <formula>"SELECIONE SOMENTE UM TIPO DE SERVIÇO"</formula>
    </cfRule>
  </conditionalFormatting>
  <conditionalFormatting sqref="B12:C12 E12:G12">
    <cfRule type="cellIs" dxfId="45" priority="9" operator="equal">
      <formula>"SELECIONE UM TIPO DE BDI"</formula>
    </cfRule>
  </conditionalFormatting>
  <conditionalFormatting sqref="B22:C22">
    <cfRule type="cellIs" dxfId="44" priority="8" operator="equal">
      <formula>"SELECIONE UM TIPO DE SERVIÇO"</formula>
    </cfRule>
  </conditionalFormatting>
  <conditionalFormatting sqref="B38:C38">
    <cfRule type="cellIs" dxfId="43" priority="18" operator="equal">
      <formula>"APAGUE O PERCENTUAL DESTA LINHA"</formula>
    </cfRule>
  </conditionalFormatting>
  <conditionalFormatting sqref="C10:C11 G16:G21 G26 G28 G31:G32 G34">
    <cfRule type="cellIs" dxfId="42" priority="16" operator="equal">
      <formula>0</formula>
    </cfRule>
  </conditionalFormatting>
  <conditionalFormatting sqref="D26 D38:D40">
    <cfRule type="cellIs" dxfId="41" priority="24" operator="equal">
      <formula>"FORA DO LIMITE"</formula>
    </cfRule>
  </conditionalFormatting>
  <conditionalFormatting sqref="D28">
    <cfRule type="cellIs" dxfId="40" priority="23" operator="equal">
      <formula>"FORA DO LIMITE"</formula>
    </cfRule>
  </conditionalFormatting>
  <conditionalFormatting sqref="D31:D32">
    <cfRule type="cellIs" dxfId="39" priority="21" operator="equal">
      <formula>"FORA DO LIMITE"</formula>
    </cfRule>
  </conditionalFormatting>
  <conditionalFormatting sqref="D34">
    <cfRule type="cellIs" dxfId="38" priority="20" operator="equal">
      <formula>"FORA DO LIMITE"</formula>
    </cfRule>
  </conditionalFormatting>
  <conditionalFormatting sqref="D62">
    <cfRule type="cellIs" dxfId="37" priority="5" operator="equal">
      <formula>"BDI ABAIXO"</formula>
    </cfRule>
  </conditionalFormatting>
  <conditionalFormatting sqref="D63">
    <cfRule type="cellIs" dxfId="36" priority="4" operator="equal">
      <formula>"BDI ACIMA"</formula>
    </cfRule>
  </conditionalFormatting>
  <conditionalFormatting sqref="E12">
    <cfRule type="cellIs" dxfId="35" priority="12" operator="equal">
      <formula>"SELECIONE SOMENTE UM TIPO DE BDI"</formula>
    </cfRule>
  </conditionalFormatting>
  <conditionalFormatting sqref="E12:G12">
    <cfRule type="cellIs" dxfId="34" priority="7" operator="equal">
      <formula>"SOMENTE HÁ DESONERAÇÃO PARA OBRAS"</formula>
    </cfRule>
    <cfRule type="cellIs" dxfId="33" priority="11" operator="equal">
      <formula>"NÃO HÁ PROJETO PARA FORNECIMENTO"</formula>
    </cfRule>
  </conditionalFormatting>
  <conditionalFormatting sqref="G38:G40">
    <cfRule type="cellIs" dxfId="32" priority="10" operator="equal">
      <formula>0</formula>
    </cfRule>
  </conditionalFormatting>
  <conditionalFormatting sqref="G62">
    <cfRule type="cellIs" dxfId="31" priority="3" operator="equal">
      <formula>"BDI ABAIXO"</formula>
    </cfRule>
  </conditionalFormatting>
  <conditionalFormatting sqref="G63">
    <cfRule type="cellIs" dxfId="30" priority="2" operator="equal">
      <formula>"BDI ACIMA"</formula>
    </cfRule>
  </conditionalFormatting>
  <conditionalFormatting sqref="G66:H67">
    <cfRule type="cellIs" dxfId="29" priority="1" operator="equal">
      <formula>"VER PERCENTUAIS"</formula>
    </cfRule>
    <cfRule type="cellIs" dxfId="28" priority="13" operator="equal">
      <formula>"VÁRIOS ERROS"</formula>
    </cfRule>
    <cfRule type="cellIs" dxfId="27" priority="14" operator="equal">
      <formula>"BDI FORA DO LIMITE"</formula>
    </cfRule>
    <cfRule type="cellIs" dxfId="26" priority="15" operator="equal">
      <formula>"VER TIPO DE BDI"</formula>
    </cfRule>
    <cfRule type="cellIs" dxfId="25" priority="17" operator="equal">
      <formula>"VER TIPO DE SERVIÇO"</formula>
    </cfRule>
  </conditionalFormatting>
  <dataValidations disablePrompts="1" count="3">
    <dataValidation type="list" allowBlank="1" showInputMessage="1" showErrorMessage="1" promptTitle="Alerta" prompt="Digite somente 'X'" sqref="G16:G21 C10:C11" xr:uid="{00000000-0002-0000-0400-000000000000}">
      <formula1>"x,X"</formula1>
    </dataValidation>
    <dataValidation type="decimal" allowBlank="1" showInputMessage="1" showErrorMessage="1" sqref="G38:G41 G26:G36" xr:uid="{00000000-0002-0000-0400-000001000000}">
      <formula1>0</formula1>
      <formula2>100</formula2>
    </dataValidation>
    <dataValidation allowBlank="1" promptTitle="Alerta" prompt="Digite somente 'X'" sqref="F10:F11" xr:uid="{00000000-0002-0000-0400-000002000000}"/>
  </dataValidations>
  <pageMargins left="0.51181102362204722" right="0.51181102362204722" top="1.7716535433070868" bottom="1.5748031496062993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11</vt:i4>
      </vt:variant>
    </vt:vector>
  </HeadingPairs>
  <TitlesOfParts>
    <vt:vector size="27" baseType="lpstr">
      <vt:lpstr>GERAL </vt:lpstr>
      <vt:lpstr>GERAL  (2)</vt:lpstr>
      <vt:lpstr>QUADRO RESUMO RUAS</vt:lpstr>
      <vt:lpstr>RESUMO SD </vt:lpstr>
      <vt:lpstr>CRONOGRAMA SD</vt:lpstr>
      <vt:lpstr>ORÇAMENTO SD</vt:lpstr>
      <vt:lpstr>COMPOSIÇÕES UNITÁRIAS SD</vt:lpstr>
      <vt:lpstr>Memoria de Calculo </vt:lpstr>
      <vt:lpstr>BDI SD</vt:lpstr>
      <vt:lpstr>QCI </vt:lpstr>
      <vt:lpstr>ENCARGOS</vt:lpstr>
      <vt:lpstr>RESUMO CD</vt:lpstr>
      <vt:lpstr>CRONOGRAMA CD</vt:lpstr>
      <vt:lpstr>ORÇAMENTO CD</vt:lpstr>
      <vt:lpstr>COMPOSIÇÕES UNITÁRIAS CD</vt:lpstr>
      <vt:lpstr>BDI CD</vt:lpstr>
      <vt:lpstr>'COMPOSIÇÕES UNITÁRIAS CD'!Area_de_impressao</vt:lpstr>
      <vt:lpstr>'COMPOSIÇÕES UNITÁRIAS SD'!Area_de_impressao</vt:lpstr>
      <vt:lpstr>'CRONOGRAMA CD'!Area_de_impressao</vt:lpstr>
      <vt:lpstr>'CRONOGRAMA SD'!Area_de_impressao</vt:lpstr>
      <vt:lpstr>'GERAL '!Area_de_impressao</vt:lpstr>
      <vt:lpstr>'GERAL  (2)'!Area_de_impressao</vt:lpstr>
      <vt:lpstr>'Memoria de Calculo '!Area_de_impressao</vt:lpstr>
      <vt:lpstr>'QCI '!Area_de_impressao</vt:lpstr>
      <vt:lpstr>'QUADRO RESUMO RUAS'!Area_de_impressao</vt:lpstr>
      <vt:lpstr>'RESUMO CD'!Area_de_impressao</vt:lpstr>
      <vt:lpstr>'RESUMO SD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2026-01-22T12:20:41Z</dcterms:modified>
</cp:coreProperties>
</file>