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24226"/>
  <xr:revisionPtr revIDLastSave="0" documentId="13_ncr:1_{37672B8D-D8E7-4CF1-9834-8B325F7C8DFB}" xr6:coauthVersionLast="47" xr6:coauthVersionMax="47" xr10:uidLastSave="{00000000-0000-0000-0000-000000000000}"/>
  <bookViews>
    <workbookView xWindow="-120" yWindow="-120" windowWidth="20730" windowHeight="11040" activeTab="4" xr2:uid="{58F00B46-6ACA-47C7-BD31-202A7AFD8ED5}"/>
  </bookViews>
  <sheets>
    <sheet name="GERAL " sheetId="1" r:id="rId1"/>
    <sheet name="Planilha1" sheetId="27" state="hidden" r:id="rId2"/>
    <sheet name="RESUMO SD " sheetId="2" r:id="rId3"/>
    <sheet name="CRONOGRAMA SD" sheetId="7" r:id="rId4"/>
    <sheet name="ORÇAMENTO SD" sheetId="6" r:id="rId5"/>
    <sheet name="COMPOSIÇÕES UNITÁRIAS SD" sheetId="9" r:id="rId6"/>
    <sheet name="Memoria de Calculo " sheetId="16" r:id="rId7"/>
    <sheet name="BDI SD" sheetId="3" r:id="rId8"/>
    <sheet name="QCI " sheetId="15" r:id="rId9"/>
    <sheet name="ENCARGOS" sheetId="4" r:id="rId10"/>
    <sheet name="RESUMO CD" sheetId="31" r:id="rId11"/>
    <sheet name="CRONOGRAMA CD" sheetId="32" r:id="rId12"/>
    <sheet name="ORÇAMENTO CD" sheetId="33" r:id="rId13"/>
    <sheet name="COMPOSIÇÕES UNITÁRIAS CD" sheetId="34" r:id="rId14"/>
    <sheet name="BDI CD" sheetId="5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______________OUT98" hidden="1">{#N/A,#N/A,TRUE,"Serviços"}</definedName>
    <definedName name="______________OUT98" hidden="1">{#N/A,#N/A,TRUE,"Serviços"}</definedName>
    <definedName name="_____________OUT98" hidden="1">{#N/A,#N/A,TRUE,"Serviços"}</definedName>
    <definedName name="____________OUT98" hidden="1">{#N/A,#N/A,TRUE,"Serviços"}</definedName>
    <definedName name="____________OUT988" hidden="1">{#N/A,#N/A,TRUE,"Serviços"}</definedName>
    <definedName name="___________OUT98" hidden="1">{#N/A,#N/A,TRUE,"Serviços"}</definedName>
    <definedName name="___________OUT988" hidden="1">{#N/A,#N/A,TRUE,"Serviços"}</definedName>
    <definedName name="___________OUT9888" hidden="1">{#N/A,#N/A,TRUE,"Serviços"}</definedName>
    <definedName name="__________OUT98" hidden="1">{#N/A,#N/A,TRUE,"Serviços"}</definedName>
    <definedName name="_________OUT98" hidden="1">{#N/A,#N/A,TRUE,"Serviços"}</definedName>
    <definedName name="_________OUTT98" hidden="1">{#N/A,#N/A,TRUE,"Serviços"}</definedName>
    <definedName name="_________OUTT988" hidden="1">{#N/A,#N/A,TRUE,"Serviços"}</definedName>
    <definedName name="________OUT98" hidden="1">{#N/A,#N/A,TRUE,"Serviços"}</definedName>
    <definedName name="________OUTTT98" hidden="1">{#N/A,#N/A,TRUE,"Serviços"}</definedName>
    <definedName name="_______OUT98" hidden="1">{#N/A,#N/A,TRUE,"Serviços"}</definedName>
    <definedName name="_______OUT9888" hidden="1">{#N/A,#N/A,TRUE,"Serviços"}</definedName>
    <definedName name="______OUT98" hidden="1">{#N/A,#N/A,TRUE,"Serviços"}</definedName>
    <definedName name="______OUTT98888" hidden="1">{#N/A,#N/A,TRUE,"Serviços"}</definedName>
    <definedName name="_____OUT98" hidden="1">{#N/A,#N/A,TRUE,"Serviços"}</definedName>
    <definedName name="_____OUTTT988" hidden="1">{#N/A,#N/A,TRUE,"Serviços"}</definedName>
    <definedName name="____OUT98" hidden="1">{#N/A,#N/A,TRUE,"Serviços"}</definedName>
    <definedName name="____out99" hidden="1">{#N/A,#N/A,TRUE,"Serviços"}</definedName>
    <definedName name="____OUTTT98" hidden="1">{#N/A,#N/A,TRUE,"Serviços"}</definedName>
    <definedName name="___OUT98" hidden="1">{#N/A,#N/A,TRUE,"Serviços"}</definedName>
    <definedName name="___out99" hidden="1">{#N/A,#N/A,TRUE,"Serviços"}</definedName>
    <definedName name="__123Graph_A" hidden="1">[1]A!$B$4:$E$4</definedName>
    <definedName name="__123Graph_AGraph1" hidden="1">[1]A!$B$4:$B$8</definedName>
    <definedName name="__123Graph_AGraph10" hidden="1">[2]aux!$I$24:$M$24</definedName>
    <definedName name="__123Graph_AGraph11" hidden="1">[2]aux!$I$26:$M$26</definedName>
    <definedName name="__123Graph_AGraph12" hidden="1">[2]aux!$I$28:$M$28</definedName>
    <definedName name="__123Graph_AGraph2" hidden="1">[1]A!$C$4:$C$8</definedName>
    <definedName name="__123Graph_AGraph3" hidden="1">[1]A!$D$4:$D$8</definedName>
    <definedName name="__123Graph_AGraph4" hidden="1">[1]A!$B$4:$B$9</definedName>
    <definedName name="__123Graph_AGraph5" hidden="1">[1]A!$B$4:$B$9</definedName>
    <definedName name="__123Graph_AGraph6" hidden="1">[1]A!$E$4:$E$8</definedName>
    <definedName name="__123Graph_AGraph7" hidden="1">[1]A!$B$4:$E$4</definedName>
    <definedName name="__123Graph_AGraph8" hidden="1">[1]A!$B$4:$E$4</definedName>
    <definedName name="__123Graph_AGraph9" hidden="1">[2]aux!$I$22:$M$22</definedName>
    <definedName name="__123Graph_B" hidden="1">[1]A!$B$5:$E$5</definedName>
    <definedName name="__123Graph_BGraph1" hidden="1">[2]aux!$B$6:$F$6</definedName>
    <definedName name="__123Graph_BGraph10" hidden="1">[2]aux!$B$24:$F$24</definedName>
    <definedName name="__123Graph_BGraph11" hidden="1">[2]aux!$B$26:$F$26</definedName>
    <definedName name="__123Graph_BGraph12" hidden="1">[2]aux!$B$28:$F$28</definedName>
    <definedName name="__123Graph_BGraph2" hidden="1">[2]aux!$B$8:$F$8</definedName>
    <definedName name="__123Graph_BGraph3" hidden="1">[2]aux!$B$10:$F$10</definedName>
    <definedName name="__123Graph_BGraph4" hidden="1">[2]aux!$B$12:$F$12</definedName>
    <definedName name="__123Graph_BGraph5" hidden="1">[2]aux!$B$14:$F$14</definedName>
    <definedName name="__123Graph_BGraph6" hidden="1">[2]aux!$B$16:$F$16</definedName>
    <definedName name="__123Graph_BGraph7" hidden="1">[1]A!$B$5:$E$5</definedName>
    <definedName name="__123Graph_BGraph8" hidden="1">[1]A!$B$5:$E$5</definedName>
    <definedName name="__123Graph_BGraph9" hidden="1">[2]aux!$B$22:$F$22</definedName>
    <definedName name="__123Graph_C" hidden="1">[1]A!$B$6:$E$6</definedName>
    <definedName name="__123Graph_CGraph7" hidden="1">[1]A!$B$6:$E$6</definedName>
    <definedName name="__123Graph_CGraph8" hidden="1">[1]A!$B$6:$E$6</definedName>
    <definedName name="__123Graph_D" hidden="1">[1]A!$B$7:$E$7</definedName>
    <definedName name="__123Graph_DGraph7" hidden="1">[1]A!$B$7:$E$7</definedName>
    <definedName name="__123Graph_DGraph8" hidden="1">[1]A!$B$7:$E$7</definedName>
    <definedName name="__123Graph_E" hidden="1">[1]A!$B$8:$E$8</definedName>
    <definedName name="__123Graph_EGraph7" hidden="1">[1]A!$B$8:$E$8</definedName>
    <definedName name="__123Graph_EGraph8" hidden="1">[1]A!$B$8:$E$8</definedName>
    <definedName name="__123Graph_X" hidden="1">[1]A!$B$3:$E$3</definedName>
    <definedName name="__123Graph_XGraph1" hidden="1">[1]A!$A$4:$A$8</definedName>
    <definedName name="__123Graph_XGraph10" hidden="1">[2]aux!$B$25:$F$25</definedName>
    <definedName name="__123Graph_XGraph11" hidden="1">[2]aux!$B$27:$F$27</definedName>
    <definedName name="__123Graph_XGraph12" hidden="1">[2]aux!$B$29:$F$29</definedName>
    <definedName name="__123Graph_XGraph2" hidden="1">[1]A!$A$4:$A$8</definedName>
    <definedName name="__123Graph_XGraph3" hidden="1">[1]A!$A$4:$A$8</definedName>
    <definedName name="__123Graph_XGraph4" hidden="1">[1]A!$A$4:$A$9</definedName>
    <definedName name="__123Graph_XGraph5" hidden="1">[1]A!$A$4:$A$9</definedName>
    <definedName name="__123Graph_XGraph6" hidden="1">[1]A!$A$4:$A$8</definedName>
    <definedName name="__123Graph_XGraph7" hidden="1">[1]A!$B$3:$E$3</definedName>
    <definedName name="__123Graph_XGraph8" hidden="1">[1]A!$B$3:$E$3</definedName>
    <definedName name="__123Graph_XGraph9" hidden="1">[2]aux!$B$23:$F$23</definedName>
    <definedName name="__IntlFixup" hidden="1">TRUE</definedName>
    <definedName name="__OUT98" hidden="1">{#N/A,#N/A,TRUE,"Serviços"}</definedName>
    <definedName name="__OUT988888" hidden="1">{#N/A,#N/A,TRUE,"Serviços"}</definedName>
    <definedName name="__xlfn.AVERAGEIF" hidden="1">#NAME?</definedName>
    <definedName name="__xlfn.RTD" hidden="1">#NAME?</definedName>
    <definedName name="_1830201" hidden="1">#N/A</definedName>
    <definedName name="_Fill" hidden="1">#REF!</definedName>
    <definedName name="_Key1" hidden="1">'[3]1.6'!$A$11</definedName>
    <definedName name="_Key2" hidden="1">#REF!</definedName>
    <definedName name="_Order1" hidden="1">255</definedName>
    <definedName name="_Order2" hidden="1">0</definedName>
    <definedName name="_OUT98" hidden="1">{#N/A,#N/A,TRUE,"Serviços"}</definedName>
    <definedName name="_OUT98_" hidden="1">{#N/A,#N/A,TRUE,"Serviços"}</definedName>
    <definedName name="_OUTTTT9888" hidden="1">{#N/A,#N/A,TRUE,"Serviços"}</definedName>
    <definedName name="_Parse_On" hidden="1">#REF!</definedName>
    <definedName name="_Parse_Out" hidden="1">#REF!</definedName>
    <definedName name="_Regression_Int" hidden="1">1</definedName>
    <definedName name="_Sort" hidden="1">#REF!</definedName>
    <definedName name="aaaa" hidden="1">#REF!</definedName>
    <definedName name="AccessDatabase" hidden="1">"D:\Arquivos do excel\Planilha modelo1.mdb"</definedName>
    <definedName name="acost" hidden="1">{#N/A,#N/A,TRUE,"Serviços"}</definedName>
    <definedName name="AGOR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AGORA2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alex" hidden="1">{#N/A,#N/A,FALSE,"MO (2)"}</definedName>
    <definedName name="alex_1" hidden="1">{#N/A,#N/A,FALSE,"MO (2)"}</definedName>
    <definedName name="Anexo" hidden="1">{#N/A,#N/A,FALSE,"Planilha";#N/A,#N/A,FALSE,"Resumo";#N/A,#N/A,FALSE,"Fisico";#N/A,#N/A,FALSE,"Financeiro";#N/A,#N/A,FALSE,"Financeiro"}</definedName>
    <definedName name="anscount" hidden="1">3</definedName>
    <definedName name="ant" hidden="1">{#N/A,#N/A,FALSE,"MO (2)"}</definedName>
    <definedName name="ant_1" hidden="1">{#N/A,#N/A,FALSE,"MO (2)"}</definedName>
    <definedName name="_xlnm.Print_Area" localSheetId="13">'COMPOSIÇÕES UNITÁRIAS CD'!$A$1:$G$92</definedName>
    <definedName name="_xlnm.Print_Area" localSheetId="5">'COMPOSIÇÕES UNITÁRIAS SD'!$A$1:$G$92</definedName>
    <definedName name="_xlnm.Print_Area" localSheetId="11">'CRONOGRAMA CD'!$A$1:$G$31</definedName>
    <definedName name="_xlnm.Print_Area" localSheetId="3">'CRONOGRAMA SD'!$A$1:$G$31</definedName>
    <definedName name="_xlnm.Print_Area" localSheetId="0">'GERAL '!$A$1:$H$29</definedName>
    <definedName name="_xlnm.Print_Area" localSheetId="6">'Memoria de Calculo '!$A$1:$E$158</definedName>
    <definedName name="_xlnm.Print_Area" localSheetId="8">'QCI '!$A$1:$D$33</definedName>
    <definedName name="_xlnm.Print_Area" localSheetId="10">'RESUMO CD'!$A$1:$F$20</definedName>
    <definedName name="_xlnm.Print_Area" localSheetId="2">'RESUMO SD '!$A$1:$F$20</definedName>
    <definedName name="ASDFG" hidden="1">{#N/A,#N/A,TRUE,"Serviços"}</definedName>
    <definedName name="ASFGG" hidden="1">{#N/A,#N/A,TRUE,"Serviços"}</definedName>
    <definedName name="batista" hidden="1">{#N/A,#N/A,FALSE,"SS 1";#N/A,#N/A,FALSE,"SS 2";#N/A,#N/A,FALSE,"TER 1 (1)";#N/A,#N/A,FALSE,"TER 1 (2)";#N/A,#N/A,FALSE,"TER 2 ";#N/A,#N/A,FALSE,"TP  (1)";#N/A,#N/A,FALSE,"TP  (2)";#N/A,#N/A,FALSE,"CM BAR"}</definedName>
    <definedName name="bbbb" hidden="1">{#N/A,#N/A,FALSE,"MO (2)"}</definedName>
    <definedName name="bbbb_1" hidden="1">{#N/A,#N/A,FALSE,"MO (2)"}</definedName>
    <definedName name="BDI">[4]DADOS!$B$7</definedName>
    <definedName name="Bloco" hidden="1">#REF!</definedName>
    <definedName name="Bloco2" hidden="1">#REF!</definedName>
    <definedName name="cadeira" hidden="1">{#N/A,#N/A,TRUE,"Serviços"}</definedName>
    <definedName name="CadIns" hidden="1">#REF!</definedName>
    <definedName name="CadSrv" hidden="1">#REF!</definedName>
    <definedName name="CAPA" hidden="1">{#N/A,#N/A,TRUE,"Serviços"}</definedName>
    <definedName name="capa1" hidden="1">{#N/A,#N/A,TRUE,"Serviços"}</definedName>
    <definedName name="capa11" hidden="1">{#N/A,#N/A,TRUE,"Serviços"}</definedName>
    <definedName name="capa22" hidden="1">{#N/A,#N/A,TRUE,"Serviços"}</definedName>
    <definedName name="CAPAA" hidden="1">{#N/A,#N/A,TRUE,"Serviços"}</definedName>
    <definedName name="CARL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cch" hidden="1">#N/A</definedName>
    <definedName name="CdQtEqA" hidden="1">2</definedName>
    <definedName name="CdQtEqP" hidden="1">2</definedName>
    <definedName name="CdQtMoA" hidden="1">2</definedName>
    <definedName name="CdQtMoP" hidden="1">2</definedName>
    <definedName name="CdQtMpA" hidden="1">5</definedName>
    <definedName name="CdQtMpP" hidden="1">5</definedName>
    <definedName name="CdQtTrA" hidden="1">2</definedName>
    <definedName name="CdQtTrP" hidden="1">2</definedName>
    <definedName name="Chave" hidden="1">#REF!</definedName>
    <definedName name="Chave1" hidden="1">#REF!</definedName>
    <definedName name="Clas" hidden="1">MAX(LEN(#REF!))</definedName>
    <definedName name="Clas_1" hidden="1">MAX(LEN(#REF!))</definedName>
    <definedName name="Cliente" hidden="1">""</definedName>
    <definedName name="Cls" hidden="1">#N/A</definedName>
    <definedName name="Coluna" hidden="1">#REF!</definedName>
    <definedName name="Comp" hidden="1">#REF!</definedName>
    <definedName name="CpuAux" hidden="1">#REF!</definedName>
    <definedName name="CPUs" hidden="1">#REF!</definedName>
    <definedName name="CRIT" hidden="1">#REF!</definedName>
    <definedName name="Cron" hidden="1">{#N/A,#N/A,FALSE,"MO (2)"}</definedName>
    <definedName name="Cron_1" hidden="1">{#N/A,#N/A,FALSE,"MO (2)"}</definedName>
    <definedName name="cronograma" hidden="1">{#N/A,#N/A,TRUE,"Plan1"}</definedName>
    <definedName name="Cun" hidden="1">#N/A</definedName>
    <definedName name="CunEq" hidden="1">SUM(IF(#REF! =#REF!,(#REF!)*(#REF!="EQ")))</definedName>
    <definedName name="CunEq_1" hidden="1">SUM(IF(#REF! =#REF!,(#REF!)*(#REF!="EQ")))</definedName>
    <definedName name="CunMo" hidden="1">SUM(IF(#REF! =#REF!,(#REF!)*(#REF!="MO")))</definedName>
    <definedName name="CunMo_1" hidden="1">SUM(IF(#REF! =#REF!,(#REF!)*(#REF!="MO")))</definedName>
    <definedName name="CunMp" hidden="1">SUM(IF(#REF! =#REF!,(#REF!)*(#REF!="MP")))</definedName>
    <definedName name="CunMp_1" hidden="1">SUM(IF(#REF! =#REF!,(#REF!)*(#REF!="MP")))</definedName>
    <definedName name="DAER1" hidden="1">{#N/A,#N/A,TRUE,"Serviços"}</definedName>
    <definedName name="DAER11" hidden="1">{#N/A,#N/A,TRUE,"Serviços"}</definedName>
    <definedName name="DescAux" hidden="1">#N/A</definedName>
    <definedName name="dfgs" hidden="1">{#N/A,#N/A,TRUE,"Serviços"}</definedName>
    <definedName name="dfgss" hidden="1">{#N/A,#N/A,TRUE,"Serviços"}</definedName>
    <definedName name="DGF" hidden="1">{#N/A,#N/A,FALSE,"MO (2)"}</definedName>
    <definedName name="DGF_1" hidden="1">{#N/A,#N/A,FALSE,"MO (2)"}</definedName>
    <definedName name="Dom_Páscoa" hidden="1">#N/A</definedName>
    <definedName name="Dsc" hidden="1">#N/A</definedName>
    <definedName name="Edit" hidden="1">#REF!</definedName>
    <definedName name="EmpAux" hidden="1">""</definedName>
    <definedName name="Empr" hidden="1">#REF!</definedName>
    <definedName name="EQ" hidden="1">#REF!</definedName>
    <definedName name="ES" hidden="1">#REF!</definedName>
    <definedName name="EU" hidden="1">{#N/A,#N/A,FALSE,"MO (2)"}</definedName>
    <definedName name="EU_1" hidden="1">{#N/A,#N/A,FALSE,"MO (2)"}</definedName>
    <definedName name="FATUR" hidden="1">{#N/A,#N/A,FALSE,"Planilha";#N/A,#N/A,FALSE,"Resumo";#N/A,#N/A,FALSE,"Fisico";#N/A,#N/A,FALSE,"Financeiro";#N/A,#N/A,FALSE,"Financeiro"}</definedName>
    <definedName name="FATURAS2002" hidden="1">{#N/A,#N/A,TRUE,"Serviços"}</definedName>
    <definedName name="FATURAS20022" hidden="1">{#N/A,#N/A,TRUE,"Serviços"}</definedName>
    <definedName name="fernanda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fgff" hidden="1">{#N/A,#N/A,FALSE,"MO (2)"}</definedName>
    <definedName name="fgff_1" hidden="1">{#N/A,#N/A,FALSE,"MO (2)"}</definedName>
    <definedName name="figura1">"Figura 1"</definedName>
    <definedName name="FOLHA01" hidden="1">{#N/A,#N/A,TRUE,"Serviços"}</definedName>
    <definedName name="FOLHA011" hidden="1">{#N/A,#N/A,TRUE,"Serviços"}</definedName>
    <definedName name="folha1" hidden="1">{#N/A,#N/A,TRUE,"Serviços"}</definedName>
    <definedName name="folha11" hidden="1">{#N/A,#N/A,TRUE,"Serviços"}</definedName>
    <definedName name="Fresagem01" hidden="1">{#N/A,#N/A,TRUE,"Serviços"}</definedName>
    <definedName name="Fresagem011" hidden="1">{#N/A,#N/A,TRUE,"Serviços"}</definedName>
    <definedName name="gtryfj" hidden="1">{#N/A,#N/A,TRUE,"Serviços"}</definedName>
    <definedName name="gtryfjj" hidden="1">{#N/A,#N/A,TRUE,"Serviços"}</definedName>
    <definedName name="Guia">"Figura 1"</definedName>
    <definedName name="Insumos" hidden="1">#REF!</definedName>
    <definedName name="Itens" hidden="1">#REF!</definedName>
    <definedName name="JANEIRO2003" hidden="1">{#N/A,#N/A,TRUE,"Serviços"}</definedName>
    <definedName name="JANEIRO20033" hidden="1">{#N/A,#N/A,TRUE,"Serviços"}</definedName>
    <definedName name="JOAO" hidden="1">{#N/A,#N/A,FALSE,"SS 1";#N/A,#N/A,FALSE,"SS 2";#N/A,#N/A,FALSE,"TER 1 (1)";#N/A,#N/A,FALSE,"TER 1 (2)";#N/A,#N/A,FALSE,"TER 2 ";#N/A,#N/A,FALSE,"TP  (1)";#N/A,#N/A,FALSE,"TP  (2)";#N/A,#N/A,FALSE,"CM BAR"}</definedName>
    <definedName name="JOAO1" hidden="1">{#N/A,#N/A,FALSE,"LEVFER V2 P";#N/A,#N/A,FALSE,"LEVFER V2 P10%"}</definedName>
    <definedName name="JOSE" hidden="1">{#N/A,#N/A,FALSE,"LEVFER V2 P";#N/A,#N/A,FALSE,"LEVFER V2 P10%"}</definedName>
    <definedName name="juca" hidden="1">{#N/A,#N/A,FALSE,"SS 1";#N/A,#N/A,FALSE,"TER 1 (A)";#N/A,#N/A,FALSE,"SS 2";#N/A,#N/A,FALSE,"TER 1 (B)";#N/A,#N/A,FALSE,"TER 1 (C)";#N/A,#N/A,FALSE,"TER 1 (D)";#N/A,#N/A,FALSE,"TER 1 (E)";#N/A,#N/A,FALSE,"TER 2 "}</definedName>
    <definedName name="la" hidden="1">{#N/A,#N/A,FALSE,"MO (2)"}</definedName>
    <definedName name="la_1" hidden="1">{#N/A,#N/A,FALSE,"MO (2)"}</definedName>
    <definedName name="lab" hidden="1">{#N/A,#N/A,TRUE,"Serviços"}</definedName>
    <definedName name="labb" hidden="1">{#N/A,#N/A,TRUE,"Serviços"}</definedName>
    <definedName name="limcount" hidden="1">1</definedName>
    <definedName name="LOGOTIPO">"Figura 3"</definedName>
    <definedName name="Max" hidden="1">COUNTIF(#REF!,"&lt;&gt;0")+3</definedName>
    <definedName name="MO" hidden="1">#REF!</definedName>
    <definedName name="Mob" hidden="1">#REF!</definedName>
    <definedName name="MP" hidden="1">#REF!</definedName>
    <definedName name="NLEq" hidden="1">4</definedName>
    <definedName name="NLMo" hidden="1">6</definedName>
    <definedName name="NLMp" hidden="1">5</definedName>
    <definedName name="NLTr" hidden="1">3</definedName>
    <definedName name="Obra" hidden="1">""</definedName>
    <definedName name="OnOff" hidden="1">"ON"</definedName>
    <definedName name="orçamrest" hidden="1">{#N/A,#N/A,TRUE,"Serviços"}</definedName>
    <definedName name="orçamrestt" hidden="1">{#N/A,#N/A,TRUE,"Serviços"}</definedName>
    <definedName name="Ordem" hidden="1">#REF!</definedName>
    <definedName name="Origem" hidden="1">#REF!</definedName>
    <definedName name="Payment_Needed">"Pagamento necessário"</definedName>
    <definedName name="pcf">[4]DADOS!$F$8</definedName>
    <definedName name="PISTA" hidden="1">{#N/A,#N/A,TRUE,"Serviços"}</definedName>
    <definedName name="Plan1" hidden="1">#REF!</definedName>
    <definedName name="PLANILHA" hidden="1">{#N/A,#N/A,TRUE,"Serviços"}</definedName>
    <definedName name="Posição" hidden="1">#REF!</definedName>
    <definedName name="Prd" hidden="1">#N/A</definedName>
    <definedName name="PrdAux" hidden="1">#N/A</definedName>
    <definedName name="PROD_1" hidden="1">{#N/A,#N/A,TRUE,"Serviços"}</definedName>
    <definedName name="PROD_11" hidden="1">{#N/A,#N/A,TRUE,"Serviços"}</definedName>
    <definedName name="Pto" hidden="1">ROUND([5]Planilha!$D1*[5]Planilha!$E1,2)</definedName>
    <definedName name="Pun" hidden="1">#N/A</definedName>
    <definedName name="QD" hidden="1">#REF!</definedName>
    <definedName name="QTD" hidden="1">#REF!</definedName>
    <definedName name="QtEq" hidden="1">#REF!</definedName>
    <definedName name="QtMo" hidden="1">#REF!</definedName>
    <definedName name="QtMp" hidden="1">#REF!</definedName>
    <definedName name="QtTr" hidden="1">#REF!</definedName>
    <definedName name="Reimbursement">"Reembolso"</definedName>
    <definedName name="REL" hidden="1">{#N/A,#N/A,TRUE,"Serviços"}</definedName>
    <definedName name="Relat" hidden="1">#REF!</definedName>
    <definedName name="RELL" hidden="1">{#N/A,#N/A,TRUE,"Serviços"}</definedName>
    <definedName name="RELMOBR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sumou" hidden="1">{#N/A,#N/A,TRUE,"Plan1"}</definedName>
    <definedName name="Rod" hidden="1">#REF!</definedName>
    <definedName name="rrff" hidden="1">{#N/A,#N/A,TRUE,"Serviços"}</definedName>
    <definedName name="rrfff" hidden="1">{#N/A,#N/A,TRUE,"Serviços"}</definedName>
    <definedName name="rrr" hidden="1">{#N/A,#N/A,TRUE,"Serviços"}</definedName>
    <definedName name="SASASA" hidden="1">{#N/A,#N/A,FALSE,"MO (2)"}</definedName>
    <definedName name="SASASA_1" hidden="1">{#N/A,#N/A,FALSE,"MO (2)"}</definedName>
    <definedName name="sasda" hidden="1">{#N/A,#N/A,TRUE,"Serviços"}</definedName>
    <definedName name="sasdaa" hidden="1">{#N/A,#N/A,TRUE,"Serviços"}</definedName>
    <definedName name="SE" hidden="1">#REF!</definedName>
    <definedName name="sencount" hidden="1">1</definedName>
    <definedName name="SETEMBRO" hidden="1">{#N/A,#N/A,TRUE,"Serviços"}</definedName>
    <definedName name="SETEMBROO" hidden="1">{#N/A,#N/A,TRUE,"Serviços"}</definedName>
    <definedName name="SINTETICO" hidden="1">{#N/A,#N/A,TRUE,"TER  EXT";#N/A,#N/A,TRUE,"TER  EXT";#N/A,#N/A,TRUE,"LAT  ESQ";#N/A,#N/A,TRUE,"FRONTAL";#N/A,#N/A,TRUE,"POST";#N/A,#N/A,TRUE,"LAT  DIR"}</definedName>
    <definedName name="solver_lin" hidden="1">0</definedName>
    <definedName name="solver_num" hidden="1">0</definedName>
    <definedName name="solver_opt" hidden="1">'[6]61M-CBMI:MAT-BET'!$H$18</definedName>
    <definedName name="solver_typ" hidden="1">1</definedName>
    <definedName name="solver_val" hidden="1">0</definedName>
    <definedName name="SRV" hidden="1">#REF!</definedName>
    <definedName name="SS" hidden="1">#REF!</definedName>
    <definedName name="SSS_1" hidden="1">{#N/A,#N/A,FALSE,"MO (2)"}</definedName>
    <definedName name="sssssssssssssssssssss" hidden="1">{#N/A,#N/A,TRUE,"Plan1"}</definedName>
    <definedName name="sssssssssssssssssssss_1" hidden="1">{#N/A,#N/A,TRUE,"Plan1"}</definedName>
    <definedName name="sxcc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Tachas" hidden="1">{#N/A,#N/A,TRUE,"Plan1"}</definedName>
    <definedName name="Tachas_1" hidden="1">{#N/A,#N/A,TRUE,"Plan1"}</definedName>
    <definedName name="TYUIO" hidden="1">{#N/A,#N/A,TRUE,"Serviços"}</definedName>
    <definedName name="TYUIOO" hidden="1">{#N/A,#N/A,TRUE,"Serviços"}</definedName>
    <definedName name="un" hidden="1">#N/A</definedName>
    <definedName name="Und" hidden="1">#N/A</definedName>
    <definedName name="UnidAux" hidden="1">#N/A</definedName>
    <definedName name="uuu" hidden="1">{#N/A,#N/A,TRUE,"Serviços"}</definedName>
    <definedName name="vvv" hidden="1">{#N/A,#N/A,FALSE,"MO (2)"}</definedName>
    <definedName name="vvv_1" hidden="1">{#N/A,#N/A,FALSE,"MO (2)"}</definedName>
    <definedName name="wrn.ACABINT.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_.TOT." hidden="1">{#N/A,#N/A,FALSE,"SS 1";#N/A,#N/A,FALSE,"TER 1 (A)";#N/A,#N/A,FALSE,"SS 2";#N/A,#N/A,FALSE,"TER 1 (B)";#N/A,#N/A,FALSE,"TER 1 (C)";#N/A,#N/A,FALSE,"TER 1 (D)";#N/A,#N/A,FALSE,"TER 1 (E)";#N/A,#N/A,FALSE,"TER 2 "}</definedName>
    <definedName name="wrn.FACHADA." hidden="1">{#N/A,#N/A,TRUE,"TER  EXT";#N/A,#N/A,TRUE,"TER  EXT";#N/A,#N/A,TRUE,"LAT  ESQ";#N/A,#N/A,TRUE,"FRONTAL";#N/A,#N/A,TRUE,"POST";#N/A,#N/A,TRUE,"LAT  DIR"}</definedName>
    <definedName name="wrn.LEVFER." hidden="1">{#N/A,#N/A,FALSE,"LEVFER V2 P";#N/A,#N/A,FALSE,"LEVFER V2 P10%"}</definedName>
    <definedName name="wrn.mo2." hidden="1">{#N/A,#N/A,FALSE,"MO (2)"}</definedName>
    <definedName name="wrn.mo2._1" hidden="1">{#N/A,#N/A,FALSE,"MO (2)"}</definedName>
    <definedName name="wrn.Orçamento." hidden="1">{#N/A,#N/A,FALSE,"Planilha";#N/A,#N/A,FALSE,"Resumo";#N/A,#N/A,FALSE,"Fisico";#N/A,#N/A,FALSE,"Financeiro";#N/A,#N/A,FALSE,"Financeiro"}</definedName>
    <definedName name="wrn.Orçamento._1" hidden="1">{#N/A,#N/A,FALSE,"Planilha";#N/A,#N/A,FALSE,"Resumo";#N/A,#N/A,FALSE,"Fisico";#N/A,#N/A,FALSE,"Financeiro";#N/A,#N/A,FALSE,"Financeiro"}</definedName>
    <definedName name="wrn.Orçamento._2" hidden="1">{#N/A,#N/A,FALSE,"Planilha";#N/A,#N/A,FALSE,"Resumo";#N/A,#N/A,FALSE,"Fisico";#N/A,#N/A,FALSE,"Financeiro";#N/A,#N/A,FALSE,"Financeiro"}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relext." hidden="1">{#N/A,#N/A,TRUE,"Plan1"}</definedName>
    <definedName name="wrn.relext._1" hidden="1">{#N/A,#N/A,TRUE,"Plan1"}</definedName>
    <definedName name="wrn.SERV._.PAVTO." hidden="1">{#N/A,#N/A,FALSE,"SS 1";#N/A,#N/A,FALSE,"SS 2";#N/A,#N/A,FALSE,"TER 1 (1)";#N/A,#N/A,FALSE,"TER 1 (2)";#N/A,#N/A,FALSE,"TER 2 ";#N/A,#N/A,FALSE,"TP  (1)";#N/A,#N/A,FALSE,"TP  (2)";#N/A,#N/A,FALSE,"CM BAR"}</definedName>
    <definedName name="wrn.Tipo." hidden="1">{#N/A,#N/A,TRUE,"Serviços"}</definedName>
    <definedName name="wrn.Tipo.." hidden="1">{#N/A,#N/A,TRUE,"Serviços"}</definedName>
    <definedName name="yy" hidden="1">{#N/A,#N/A,TRUE,"Serviços"}</definedName>
    <definedName name="z_1" hidden="1">{#N/A,#N/A,FALSE,"MO (2)"}</definedName>
    <definedName name="zaza" hidden="1">{#N/A,#N/A,FALSE,"MO (2)"}</definedName>
    <definedName name="zaza_1" hidden="1">{#N/A,#N/A,FALSE,"MO (2)"}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7" l="1"/>
  <c r="D4" i="27"/>
  <c r="C5" i="27"/>
  <c r="C4" i="27"/>
  <c r="G11" i="7"/>
  <c r="C26" i="15"/>
  <c r="C23" i="15"/>
  <c r="C20" i="15"/>
  <c r="C17" i="15"/>
  <c r="C15" i="15"/>
  <c r="C11" i="15"/>
  <c r="B18" i="15"/>
  <c r="D24" i="1"/>
  <c r="D23" i="1"/>
  <c r="D19" i="1"/>
  <c r="D18" i="1"/>
  <c r="C24" i="1"/>
  <c r="C23" i="1"/>
  <c r="C19" i="1"/>
  <c r="C18" i="1"/>
  <c r="C6" i="1"/>
  <c r="G52" i="33"/>
  <c r="G51" i="33"/>
  <c r="G48" i="33"/>
  <c r="G47" i="33"/>
  <c r="G44" i="33"/>
  <c r="G43" i="33"/>
  <c r="G40" i="33"/>
  <c r="G31" i="33"/>
  <c r="G28" i="33"/>
  <c r="G27" i="33"/>
  <c r="G24" i="33"/>
  <c r="G23" i="33"/>
  <c r="G20" i="33"/>
  <c r="G19" i="33"/>
  <c r="G16" i="33"/>
  <c r="G13" i="33"/>
  <c r="G12" i="33"/>
  <c r="G11" i="33"/>
  <c r="G18" i="7"/>
  <c r="F18" i="7"/>
  <c r="F91" i="34"/>
  <c r="G91" i="34" s="1"/>
  <c r="F13" i="33" s="1"/>
  <c r="H13" i="33" s="1"/>
  <c r="F63" i="34"/>
  <c r="G63" i="34" s="1"/>
  <c r="F50" i="34"/>
  <c r="G50" i="34" s="1"/>
  <c r="G46" i="34"/>
  <c r="G45" i="34"/>
  <c r="G44" i="34"/>
  <c r="F25" i="34"/>
  <c r="G25" i="34" s="1"/>
  <c r="G20" i="34"/>
  <c r="F12" i="33" s="1"/>
  <c r="A4" i="34"/>
  <c r="F3" i="34"/>
  <c r="A3" i="34"/>
  <c r="F52" i="33"/>
  <c r="E52" i="33"/>
  <c r="F51" i="33"/>
  <c r="E51" i="33"/>
  <c r="E48" i="33"/>
  <c r="F47" i="33"/>
  <c r="E47" i="33"/>
  <c r="E44" i="33"/>
  <c r="E43" i="33"/>
  <c r="E40" i="33"/>
  <c r="B36" i="33"/>
  <c r="F31" i="33"/>
  <c r="E31" i="33"/>
  <c r="F28" i="33"/>
  <c r="E28" i="33"/>
  <c r="F27" i="33"/>
  <c r="E27" i="33"/>
  <c r="E24" i="33"/>
  <c r="F23" i="33"/>
  <c r="E23" i="33"/>
  <c r="E20" i="33"/>
  <c r="E19" i="33"/>
  <c r="E16" i="33"/>
  <c r="E13" i="33"/>
  <c r="E12" i="33"/>
  <c r="F11" i="33"/>
  <c r="E11" i="33"/>
  <c r="B7" i="33"/>
  <c r="B6" i="33"/>
  <c r="G3" i="34"/>
  <c r="G3" i="33"/>
  <c r="A3" i="33"/>
  <c r="B15" i="32"/>
  <c r="G10" i="32"/>
  <c r="F10" i="32"/>
  <c r="E10" i="32"/>
  <c r="B12" i="31"/>
  <c r="B35" i="33" s="1"/>
  <c r="B11" i="31"/>
  <c r="D9" i="31"/>
  <c r="F3" i="31"/>
  <c r="G27" i="9"/>
  <c r="G28" i="9"/>
  <c r="G29" i="9"/>
  <c r="G26" i="9"/>
  <c r="F25" i="9" s="1"/>
  <c r="G25" i="9" s="1"/>
  <c r="E24" i="6"/>
  <c r="E13" i="6"/>
  <c r="C19" i="16"/>
  <c r="F10" i="7"/>
  <c r="G10" i="7"/>
  <c r="E10" i="7"/>
  <c r="H52" i="33" l="1"/>
  <c r="H27" i="33"/>
  <c r="H26" i="33" s="1"/>
  <c r="H28" i="33"/>
  <c r="H11" i="33"/>
  <c r="H31" i="33"/>
  <c r="H30" i="33" s="1"/>
  <c r="H51" i="33"/>
  <c r="H50" i="33" s="1"/>
  <c r="G47" i="34"/>
  <c r="F37" i="34" s="1"/>
  <c r="G37" i="34" s="1"/>
  <c r="G38" i="34" s="1"/>
  <c r="G39" i="34" s="1"/>
  <c r="G40" i="34" s="1"/>
  <c r="H23" i="33"/>
  <c r="G21" i="34"/>
  <c r="G22" i="34" s="1"/>
  <c r="H12" i="33"/>
  <c r="D9" i="32" s="1"/>
  <c r="D7" i="32"/>
  <c r="E7" i="31"/>
  <c r="F40" i="33"/>
  <c r="H40" i="33" s="1"/>
  <c r="H39" i="33" s="1"/>
  <c r="F16" i="33"/>
  <c r="E8" i="31"/>
  <c r="F48" i="33"/>
  <c r="H48" i="33" s="1"/>
  <c r="F24" i="33"/>
  <c r="H24" i="33" s="1"/>
  <c r="F43" i="33"/>
  <c r="H43" i="33" s="1"/>
  <c r="F19" i="33"/>
  <c r="H19" i="33" s="1"/>
  <c r="H18" i="33" s="1"/>
  <c r="F44" i="33"/>
  <c r="H44" i="33" s="1"/>
  <c r="F20" i="33"/>
  <c r="H20" i="33"/>
  <c r="H16" i="33"/>
  <c r="H15" i="33" s="1"/>
  <c r="H47" i="33"/>
  <c r="E9" i="31"/>
  <c r="D11" i="32"/>
  <c r="G11" i="32" s="1"/>
  <c r="B18" i="32"/>
  <c r="F50" i="9"/>
  <c r="G50" i="9" s="1"/>
  <c r="H10" i="33" l="1"/>
  <c r="H22" i="33"/>
  <c r="H33" i="33" s="1"/>
  <c r="E11" i="31" s="1"/>
  <c r="H42" i="33"/>
  <c r="F9" i="32"/>
  <c r="E9" i="32"/>
  <c r="G9" i="32"/>
  <c r="E6" i="31"/>
  <c r="H46" i="33"/>
  <c r="E7" i="32"/>
  <c r="F44" i="6"/>
  <c r="G44" i="6" s="1"/>
  <c r="F20" i="6"/>
  <c r="G20" i="6" s="1"/>
  <c r="A5" i="27"/>
  <c r="A4" i="27"/>
  <c r="B35" i="6"/>
  <c r="B12" i="2"/>
  <c r="B18" i="7" s="1"/>
  <c r="B11" i="2"/>
  <c r="F7" i="27"/>
  <c r="D6" i="15"/>
  <c r="D5" i="15"/>
  <c r="G3" i="6"/>
  <c r="F31" i="6"/>
  <c r="F91" i="9"/>
  <c r="G91" i="9" s="1"/>
  <c r="F13" i="6" s="1"/>
  <c r="G13" i="6" s="1"/>
  <c r="B15" i="7"/>
  <c r="C155" i="16"/>
  <c r="C121" i="16"/>
  <c r="C126" i="16" s="1"/>
  <c r="C115" i="16"/>
  <c r="C114" i="16"/>
  <c r="C131" i="16" s="1"/>
  <c r="F52" i="6"/>
  <c r="G52" i="6" s="1"/>
  <c r="F51" i="6"/>
  <c r="G51" i="6" s="1"/>
  <c r="F47" i="6"/>
  <c r="G47" i="6" s="1"/>
  <c r="B36" i="6"/>
  <c r="B11" i="1" s="1"/>
  <c r="E5" i="27" s="1"/>
  <c r="F28" i="6"/>
  <c r="F27" i="6"/>
  <c r="F23" i="6"/>
  <c r="C84" i="16"/>
  <c r="F11" i="6"/>
  <c r="G11" i="6" s="1"/>
  <c r="F41" i="4"/>
  <c r="E41" i="4"/>
  <c r="D41" i="4"/>
  <c r="C41" i="4"/>
  <c r="F37" i="4"/>
  <c r="E37" i="4"/>
  <c r="D37" i="4"/>
  <c r="C37" i="4"/>
  <c r="F30" i="4"/>
  <c r="E30" i="4"/>
  <c r="D30" i="4"/>
  <c r="C30" i="4"/>
  <c r="F18" i="4"/>
  <c r="E18" i="4"/>
  <c r="D18" i="4"/>
  <c r="C18" i="4"/>
  <c r="B17" i="15"/>
  <c r="B20" i="15"/>
  <c r="B26" i="15"/>
  <c r="B23" i="15"/>
  <c r="B24" i="15"/>
  <c r="G69" i="9"/>
  <c r="C90" i="16"/>
  <c r="E31" i="6" s="1"/>
  <c r="C16" i="16"/>
  <c r="E12" i="6" s="1"/>
  <c r="C50" i="16"/>
  <c r="C55" i="16" s="1"/>
  <c r="C49" i="16"/>
  <c r="C54" i="16" s="1"/>
  <c r="C44" i="16"/>
  <c r="C43" i="16"/>
  <c r="C60" i="16" s="1"/>
  <c r="C63" i="16" s="1"/>
  <c r="E23" i="6" s="1"/>
  <c r="C12" i="16"/>
  <c r="E11" i="6" s="1"/>
  <c r="H54" i="33" l="1"/>
  <c r="H56" i="33" s="1"/>
  <c r="D15" i="32"/>
  <c r="E15" i="32" s="1"/>
  <c r="E21" i="32" s="1"/>
  <c r="E12" i="31"/>
  <c r="E10" i="31" s="1"/>
  <c r="F14" i="31" s="1"/>
  <c r="D18" i="32"/>
  <c r="C56" i="16"/>
  <c r="E20" i="6" s="1"/>
  <c r="H20" i="6" s="1"/>
  <c r="C116" i="16"/>
  <c r="C120" i="16"/>
  <c r="C137" i="16"/>
  <c r="C139" i="16" s="1"/>
  <c r="C134" i="16"/>
  <c r="H11" i="6"/>
  <c r="D7" i="7" s="1"/>
  <c r="F42" i="4"/>
  <c r="D42" i="4"/>
  <c r="E42" i="4"/>
  <c r="C42" i="4"/>
  <c r="F63" i="9"/>
  <c r="G63" i="9" s="1"/>
  <c r="C66" i="16"/>
  <c r="C68" i="16" s="1"/>
  <c r="C51" i="16"/>
  <c r="C72" i="16" s="1"/>
  <c r="C45" i="16"/>
  <c r="G18" i="32" l="1"/>
  <c r="G21" i="32" s="1"/>
  <c r="F18" i="32"/>
  <c r="F15" i="32"/>
  <c r="D21" i="32"/>
  <c r="C18" i="32" s="1"/>
  <c r="E22" i="32"/>
  <c r="C122" i="16"/>
  <c r="C143" i="16" s="1"/>
  <c r="C125" i="16"/>
  <c r="C127" i="16" s="1"/>
  <c r="E44" i="6" s="1"/>
  <c r="H44" i="6" s="1"/>
  <c r="E19" i="6"/>
  <c r="E47" i="6"/>
  <c r="E48" i="6"/>
  <c r="E40" i="6"/>
  <c r="F48" i="6"/>
  <c r="G48" i="6" s="1"/>
  <c r="F24" i="6"/>
  <c r="G24" i="6" s="1"/>
  <c r="H24" i="6" s="1"/>
  <c r="E7" i="7"/>
  <c r="E16" i="6"/>
  <c r="F21" i="32" l="1"/>
  <c r="F22" i="32" s="1"/>
  <c r="E23" i="32"/>
  <c r="E24" i="32"/>
  <c r="D23" i="32"/>
  <c r="C7" i="32"/>
  <c r="C9" i="32"/>
  <c r="C11" i="32"/>
  <c r="C15" i="32"/>
  <c r="G23" i="32"/>
  <c r="E43" i="6"/>
  <c r="H47" i="6"/>
  <c r="H48" i="6"/>
  <c r="C151" i="16"/>
  <c r="C156" i="16" s="1"/>
  <c r="C148" i="16"/>
  <c r="C77" i="16"/>
  <c r="C80" i="16"/>
  <c r="C85" i="16" s="1"/>
  <c r="G28" i="6"/>
  <c r="G27" i="6"/>
  <c r="F23" i="32" l="1"/>
  <c r="G22" i="32"/>
  <c r="G24" i="32" s="1"/>
  <c r="F24" i="32"/>
  <c r="H46" i="6"/>
  <c r="E52" i="6"/>
  <c r="H52" i="6" s="1"/>
  <c r="E51" i="6"/>
  <c r="H51" i="6" s="1"/>
  <c r="E28" i="6"/>
  <c r="H28" i="6" s="1"/>
  <c r="E27" i="6"/>
  <c r="H27" i="6" s="1"/>
  <c r="H50" i="6" l="1"/>
  <c r="H26" i="6"/>
  <c r="G23" i="6"/>
  <c r="G31" i="6" l="1"/>
  <c r="F16" i="6" l="1"/>
  <c r="G16" i="6" s="1"/>
  <c r="H16" i="6" s="1"/>
  <c r="H15" i="6" s="1"/>
  <c r="F40" i="6"/>
  <c r="G40" i="6" s="1"/>
  <c r="H40" i="6" s="1"/>
  <c r="H39" i="6" s="1"/>
  <c r="H31" i="6"/>
  <c r="H30" i="6" s="1"/>
  <c r="G46" i="9" l="1"/>
  <c r="G45" i="9"/>
  <c r="G44" i="9"/>
  <c r="G47" i="9" l="1"/>
  <c r="F37" i="9" s="1"/>
  <c r="F3" i="9" l="1"/>
  <c r="G37" i="9"/>
  <c r="G20" i="9" l="1"/>
  <c r="F12" i="6" s="1"/>
  <c r="G12" i="6" s="1"/>
  <c r="H12" i="6" s="1"/>
  <c r="G38" i="9"/>
  <c r="F19" i="6" l="1"/>
  <c r="G19" i="6" s="1"/>
  <c r="F43" i="6"/>
  <c r="G43" i="6" s="1"/>
  <c r="H43" i="6" s="1"/>
  <c r="D9" i="7"/>
  <c r="G39" i="9"/>
  <c r="G40" i="9" s="1"/>
  <c r="G21" i="9"/>
  <c r="G22" i="9" s="1"/>
  <c r="B7" i="6"/>
  <c r="B10" i="1" s="1"/>
  <c r="H3" i="6"/>
  <c r="A3" i="6"/>
  <c r="H67" i="5"/>
  <c r="I63" i="5"/>
  <c r="I62" i="5"/>
  <c r="I61" i="5"/>
  <c r="K49" i="5"/>
  <c r="G42" i="5"/>
  <c r="I64" i="5" s="1"/>
  <c r="D40" i="5"/>
  <c r="D39" i="5"/>
  <c r="K34" i="5"/>
  <c r="J34" i="5"/>
  <c r="K32" i="5"/>
  <c r="J32" i="5"/>
  <c r="K31" i="5"/>
  <c r="J31" i="5"/>
  <c r="K28" i="5"/>
  <c r="J28" i="5"/>
  <c r="K26" i="5"/>
  <c r="J26" i="5"/>
  <c r="H21" i="5"/>
  <c r="B21" i="5"/>
  <c r="H20" i="5"/>
  <c r="H19" i="5"/>
  <c r="H18" i="5"/>
  <c r="H17" i="5"/>
  <c r="H16" i="5"/>
  <c r="H11" i="5"/>
  <c r="D11" i="5"/>
  <c r="H10" i="5"/>
  <c r="D10" i="5"/>
  <c r="D12" i="5" s="1"/>
  <c r="B12" i="5" s="1"/>
  <c r="K46" i="5" s="1"/>
  <c r="H66" i="3"/>
  <c r="I62" i="3"/>
  <c r="I61" i="3"/>
  <c r="I60" i="3"/>
  <c r="K48" i="3"/>
  <c r="D40" i="3"/>
  <c r="D39" i="3"/>
  <c r="K34" i="3"/>
  <c r="J34" i="3"/>
  <c r="K32" i="3"/>
  <c r="J32" i="3"/>
  <c r="K31" i="3"/>
  <c r="J31" i="3"/>
  <c r="K28" i="3"/>
  <c r="J28" i="3"/>
  <c r="D28" i="3" s="1"/>
  <c r="K26" i="3"/>
  <c r="J26" i="3"/>
  <c r="H21" i="3"/>
  <c r="B21" i="3"/>
  <c r="H20" i="3"/>
  <c r="H19" i="3"/>
  <c r="H18" i="3"/>
  <c r="H17" i="3"/>
  <c r="H16" i="3"/>
  <c r="H11" i="3"/>
  <c r="D11" i="3"/>
  <c r="H10" i="3"/>
  <c r="H12" i="3" s="1"/>
  <c r="D10" i="3"/>
  <c r="H42" i="6" l="1"/>
  <c r="H54" i="6" s="1"/>
  <c r="B13" i="1"/>
  <c r="E4" i="27"/>
  <c r="E7" i="27" s="1"/>
  <c r="D28" i="5"/>
  <c r="F9" i="7"/>
  <c r="E9" i="7"/>
  <c r="G9" i="7"/>
  <c r="G21" i="7" s="1"/>
  <c r="E8" i="2"/>
  <c r="G3" i="9"/>
  <c r="F4" i="1"/>
  <c r="D12" i="3"/>
  <c r="B12" i="3" s="1"/>
  <c r="K45" i="3" s="1"/>
  <c r="D34" i="5"/>
  <c r="H4" i="1"/>
  <c r="H22" i="5"/>
  <c r="D31" i="5"/>
  <c r="D32" i="5"/>
  <c r="H22" i="3"/>
  <c r="B22" i="3" s="1"/>
  <c r="H12" i="5"/>
  <c r="I65" i="5"/>
  <c r="I66" i="5" s="1"/>
  <c r="A3" i="9"/>
  <c r="A4" i="9"/>
  <c r="D32" i="3"/>
  <c r="D26" i="3"/>
  <c r="D26" i="5"/>
  <c r="D31" i="3"/>
  <c r="D34" i="3"/>
  <c r="H23" i="6"/>
  <c r="G63" i="5"/>
  <c r="G64" i="5"/>
  <c r="D63" i="5"/>
  <c r="G73" i="5"/>
  <c r="I67" i="5" s="1"/>
  <c r="B22" i="5"/>
  <c r="I14" i="5"/>
  <c r="E12" i="2" l="1"/>
  <c r="D18" i="7"/>
  <c r="H13" i="6"/>
  <c r="D9" i="2"/>
  <c r="E7" i="2"/>
  <c r="H19" i="6"/>
  <c r="I14" i="3"/>
  <c r="B38" i="3" s="1"/>
  <c r="D38" i="3" s="1"/>
  <c r="H22" i="6"/>
  <c r="B38" i="5"/>
  <c r="D38" i="5" s="1"/>
  <c r="F38" i="5"/>
  <c r="G37" i="5"/>
  <c r="F37" i="5"/>
  <c r="K48" i="5"/>
  <c r="K47" i="5"/>
  <c r="G67" i="5" s="1"/>
  <c r="K46" i="3"/>
  <c r="K47" i="3"/>
  <c r="H18" i="6" l="1"/>
  <c r="H10" i="6"/>
  <c r="D11" i="7"/>
  <c r="E9" i="2"/>
  <c r="E6" i="2" s="1"/>
  <c r="F3" i="2"/>
  <c r="F38" i="3"/>
  <c r="F37" i="3"/>
  <c r="G37" i="3"/>
  <c r="G41" i="3" s="1"/>
  <c r="I63" i="3" s="1"/>
  <c r="I64" i="3" s="1"/>
  <c r="I65" i="3" s="1"/>
  <c r="G63" i="3" s="1"/>
  <c r="H33" i="6" l="1"/>
  <c r="H56" i="6" s="1"/>
  <c r="C27" i="15"/>
  <c r="D26" i="15" s="1"/>
  <c r="D62" i="3"/>
  <c r="G62" i="3"/>
  <c r="G72" i="3"/>
  <c r="I66" i="3" s="1"/>
  <c r="D63" i="3" s="1"/>
  <c r="G66" i="3"/>
  <c r="G19" i="1"/>
  <c r="A24" i="1"/>
  <c r="G18" i="1"/>
  <c r="C13" i="1"/>
  <c r="F23" i="1" l="1"/>
  <c r="F24" i="1"/>
  <c r="D15" i="7"/>
  <c r="D21" i="7" s="1"/>
  <c r="E11" i="2"/>
  <c r="E10" i="2" s="1"/>
  <c r="F14" i="2" s="1"/>
  <c r="B6" i="1" s="1"/>
  <c r="C7" i="1"/>
  <c r="D23" i="15"/>
  <c r="D11" i="15"/>
  <c r="D17" i="15"/>
  <c r="D15" i="15"/>
  <c r="D20" i="15"/>
  <c r="B6" i="6"/>
  <c r="G23" i="1"/>
  <c r="G24" i="1"/>
  <c r="B7" i="1" l="1"/>
  <c r="F19" i="1"/>
  <c r="F18" i="1"/>
  <c r="F15" i="7"/>
  <c r="E15" i="7"/>
  <c r="C18" i="7"/>
  <c r="C11" i="7"/>
  <c r="C9" i="7"/>
  <c r="C7" i="7"/>
  <c r="D23" i="7"/>
  <c r="G23" i="7"/>
  <c r="C15" i="7"/>
  <c r="D27" i="15"/>
  <c r="E21" i="7" l="1"/>
  <c r="E22" i="7" s="1"/>
  <c r="F21" i="7"/>
  <c r="F23" i="7" s="1"/>
  <c r="E23" i="7" l="1"/>
  <c r="F22" i="7"/>
  <c r="G22" i="7" s="1"/>
  <c r="G24" i="7" s="1"/>
  <c r="E24" i="7"/>
  <c r="F24" i="7" l="1"/>
</calcChain>
</file>

<file path=xl/sharedStrings.xml><?xml version="1.0" encoding="utf-8"?>
<sst xmlns="http://schemas.openxmlformats.org/spreadsheetml/2006/main" count="1417" uniqueCount="402">
  <si>
    <t>OBRA</t>
  </si>
  <si>
    <t xml:space="preserve">PAVIMENTAÇÃO EM PARALELEPÍPEDO DE VIAS </t>
  </si>
  <si>
    <t>SINAPI SEM DESONERAÇÃO</t>
  </si>
  <si>
    <t>SINAPI COM DESONERAÇÃO</t>
  </si>
  <si>
    <t>MUNICÍPIO</t>
  </si>
  <si>
    <t>LOCALIDADE</t>
  </si>
  <si>
    <t>BDI</t>
  </si>
  <si>
    <t>ZONA</t>
  </si>
  <si>
    <t>LEIS SOCIAIS</t>
  </si>
  <si>
    <t>SEM DESONERAÇÃO</t>
  </si>
  <si>
    <t>COM DESONERAÇÃO</t>
  </si>
  <si>
    <t>VALOR TOTAL</t>
  </si>
  <si>
    <t>VALOR (m²)</t>
  </si>
  <si>
    <t>TRECHO</t>
  </si>
  <si>
    <t>ÁREA</t>
  </si>
  <si>
    <t>m²</t>
  </si>
  <si>
    <t xml:space="preserve">EXTENSÃO TOTAL </t>
  </si>
  <si>
    <t>PARCELA DE RELEVÂNCIA SEM DESONERAÇÃO</t>
  </si>
  <si>
    <t>EXIGÊNCIA MÁX.</t>
  </si>
  <si>
    <t>SERVIÇO</t>
  </si>
  <si>
    <t>QUANTIDADE</t>
  </si>
  <si>
    <t>%</t>
  </si>
  <si>
    <t>PARCELA DE RELEVÂNCIA COM DESONERAÇÃO</t>
  </si>
  <si>
    <t>Assentamento de guia (meio-fio), confeccionada em concreto pré-fabricado, dimensões 100x15x13x30 (comprimento x base inferiror x base superior x altura), para vias urbanas ( m )</t>
  </si>
  <si>
    <t>ÁREA TOTAL (m²):</t>
  </si>
  <si>
    <t>ITEM</t>
  </si>
  <si>
    <t>DISCRIMINAÇÃO</t>
  </si>
  <si>
    <t>UNID.</t>
  </si>
  <si>
    <t>QUANT.</t>
  </si>
  <si>
    <t>PREÇO TOTAL</t>
  </si>
  <si>
    <t>1.0</t>
  </si>
  <si>
    <t>SERVIÇOS PRELIMINARES</t>
  </si>
  <si>
    <t>1.1</t>
  </si>
  <si>
    <t>2.0</t>
  </si>
  <si>
    <t>PAVIMENTAÇÃO DE VIAS EM PARALELEPÍPEDO</t>
  </si>
  <si>
    <t>2.1</t>
  </si>
  <si>
    <t>unid.</t>
  </si>
  <si>
    <t>TOTAL GERAL ORÇAMENTÁRIO..................................................R$</t>
  </si>
  <si>
    <t>Placa de Obra em chapa de aço galvanizado</t>
  </si>
  <si>
    <t>Administração local da obra</t>
  </si>
  <si>
    <t>mês</t>
  </si>
  <si>
    <t>SEM DESONERAÇÃO
BDI: 21,96%</t>
  </si>
  <si>
    <t xml:space="preserve">PLANILHA RESUMO - SEM DESONERAÇÃO </t>
  </si>
  <si>
    <t>COMPOSIÇÃO DA PARCELA DE BDI (BONIFICAÇÃO E DESPESAS INDIRETAS)</t>
  </si>
  <si>
    <t>TIPO DE BDI</t>
  </si>
  <si>
    <t>X</t>
  </si>
  <si>
    <t>TIPO DE SERVIÇO</t>
  </si>
  <si>
    <t>CONSTRUÇÃO DE EDIFICAÇÕES</t>
  </si>
  <si>
    <t>CONSTRUÇÃO DE RODOVIAS E FERROVIAS</t>
  </si>
  <si>
    <t>CONSTRUÇÃO DE REDES DE ABASTECIMENTO DE ÁGUA, COLETA DE ESGOTO E CONSTRUÇÕES DE CORRELATAS</t>
  </si>
  <si>
    <t>CONSTRUÇÃO E MANUTENÇÃO DE ESTAÇÕES E REDES DE DISTRIBUIÇÃO DE ENERGIA ELÉTRICA</t>
  </si>
  <si>
    <t>OBRAS PORTUÁRIAS, MARÍTIMAS E FLUVIAIS</t>
  </si>
  <si>
    <t>FORNECIMENTO DE MATERIAIS</t>
  </si>
  <si>
    <t>ÍNDICES PERCENTUAIS</t>
  </si>
  <si>
    <t>min</t>
  </si>
  <si>
    <t>max</t>
  </si>
  <si>
    <t>ADMINISTRAÇÃO CENTRAL</t>
  </si>
  <si>
    <t>A =</t>
  </si>
  <si>
    <t>DESPESAS FINANCEIRAS</t>
  </si>
  <si>
    <t>DF =</t>
  </si>
  <si>
    <t>SEGURO, GARANTIA E RISCOS</t>
  </si>
  <si>
    <t>SEGURO + GARANTIA  (S + G) =</t>
  </si>
  <si>
    <t>RISCO (R) =</t>
  </si>
  <si>
    <t>LUCRO</t>
  </si>
  <si>
    <t>L =</t>
  </si>
  <si>
    <t>IMPOSTOS</t>
  </si>
  <si>
    <t>PIS =</t>
  </si>
  <si>
    <t>COFINS =</t>
  </si>
  <si>
    <t xml:space="preserve">T = </t>
  </si>
  <si>
    <t>CÁLCULO</t>
  </si>
  <si>
    <t>LISTA DE ERROS</t>
  </si>
  <si>
    <t>AC =</t>
  </si>
  <si>
    <t>TAXA DE RATEIO DA ADMINISTRAÇÃO CENTRAL</t>
  </si>
  <si>
    <t>S + G =</t>
  </si>
  <si>
    <t>SEGURO E GARANTIA DO EMPREENDIMENTO</t>
  </si>
  <si>
    <t>R =</t>
  </si>
  <si>
    <t>TAXA DE RISCO</t>
  </si>
  <si>
    <t>TAXA DE DESPESAS FINANCEIRAS</t>
  </si>
  <si>
    <t>TAXA DE LUCRO</t>
  </si>
  <si>
    <t>T =</t>
  </si>
  <si>
    <t>TAXA DE TRIBUTOS</t>
  </si>
  <si>
    <t>BDI DE REFERÊNCIAS S/ INSS</t>
  </si>
  <si>
    <t>BDI DE REFERÊNCIAS C/ INSS</t>
  </si>
  <si>
    <t>MÍNIMO</t>
  </si>
  <si>
    <t>MÁXIMO</t>
  </si>
  <si>
    <t>BDI CALCULADO  =</t>
  </si>
  <si>
    <t>DE ACORDO COM:</t>
  </si>
  <si>
    <t>LEI Nº 12.546, DE 14 DE DEZEMBRO DE 2011</t>
  </si>
  <si>
    <t>LEI Nº 13.161, DE 31 DE AGOSTO DE 2015</t>
  </si>
  <si>
    <t>ACÓRDÃO Nº 2622/2013 – TCU – Plenário</t>
  </si>
  <si>
    <t>BDI CALCULADO</t>
  </si>
  <si>
    <r>
      <rPr>
        <b/>
        <sz val="8"/>
        <rFont val="Arial"/>
        <family val="2"/>
      </rPr>
      <t>ENCARGOS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SOCIAIS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SOBRE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A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MÃO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DE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OBRA</t>
    </r>
  </si>
  <si>
    <t>CÓDIGO</t>
  </si>
  <si>
    <t>DESCRIÇÃO</t>
  </si>
  <si>
    <r>
      <rPr>
        <b/>
        <sz val="8"/>
        <rFont val="Arial"/>
        <family val="2"/>
      </rPr>
      <t>COM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DESONERAÇÃO</t>
    </r>
  </si>
  <si>
    <r>
      <rPr>
        <b/>
        <sz val="8"/>
        <rFont val="Arial"/>
        <family val="2"/>
      </rPr>
      <t>SEM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DESONERAÇÃO</t>
    </r>
  </si>
  <si>
    <r>
      <rPr>
        <b/>
        <sz val="8"/>
        <rFont val="Arial"/>
        <family val="2"/>
      </rPr>
      <t>HORISTA
%</t>
    </r>
  </si>
  <si>
    <r>
      <rPr>
        <b/>
        <sz val="8"/>
        <rFont val="Arial"/>
        <family val="2"/>
      </rPr>
      <t>MENSALISTA
%</t>
    </r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</si>
  <si>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A</t>
    </r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</si>
  <si>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</si>
  <si>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</si>
  <si>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</si>
  <si>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</si>
  <si>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</si>
  <si>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</si>
  <si>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</si>
  <si>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</si>
  <si>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</si>
  <si>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</si>
  <si>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</si>
  <si>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</si>
  <si>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</si>
  <si>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</si>
  <si>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</si>
  <si>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</si>
  <si>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</si>
  <si>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</si>
  <si>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</si>
  <si>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</t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</si>
  <si>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B</t>
    </r>
  </si>
  <si>
    <t>B1</t>
  </si>
  <si>
    <t>Repouso Semanal Remunerado</t>
  </si>
  <si>
    <t>Não incide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</si>
  <si>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</si>
  <si>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</si>
  <si>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</si>
  <si>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</si>
  <si>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</si>
  <si>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</si>
  <si>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</si>
  <si>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</si>
  <si>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</si>
  <si>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</si>
  <si>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</si>
  <si>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</si>
  <si>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</si>
  <si>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</si>
  <si>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</si>
  <si>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</si>
  <si>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</si>
  <si>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</si>
  <si>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</si>
  <si>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C</t>
    </r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</si>
  <si>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</si>
  <si>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</si>
  <si>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</si>
  <si>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</si>
  <si>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</si>
  <si>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</si>
  <si>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</si>
  <si>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</si>
  <si>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</si>
  <si>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</si>
  <si>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</si>
  <si>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</t>
    </r>
  </si>
  <si>
    <t>D1</t>
  </si>
  <si>
    <t>Reincidência de Grupo A sobre Grupo B</t>
  </si>
  <si>
    <t>D2</t>
  </si>
  <si>
    <t>Reincidência de Grupo A sobre Aviso Prévio Trabalhado e Reincidência do FGTS sobre Aviso
Prévio Indenizado</t>
  </si>
  <si>
    <t>D</t>
  </si>
  <si>
    <t>TOTAL(A+B+C+D)</t>
  </si>
  <si>
    <t>CPRB=</t>
  </si>
  <si>
    <t xml:space="preserve">OBRA: PAVIMENTAÇÃO EM PARALELEPIPEDO </t>
  </si>
  <si>
    <t xml:space="preserve">PLANILHA ORÇAMENTÁRIA </t>
  </si>
  <si>
    <t>TRECHO:</t>
  </si>
  <si>
    <t>LARGURA (m):</t>
  </si>
  <si>
    <t>ÁREA (m²):</t>
  </si>
  <si>
    <t>EXTENSÃO (m):</t>
  </si>
  <si>
    <t>PREÇO</t>
  </si>
  <si>
    <t>UNIT. SEM BDI</t>
  </si>
  <si>
    <t>UNIT. COM BDI</t>
  </si>
  <si>
    <t>TOTAL</t>
  </si>
  <si>
    <t>1.2</t>
  </si>
  <si>
    <t>TERRAPLENAGEM</t>
  </si>
  <si>
    <t>Regularização em superficies em terra com motoniveladora</t>
  </si>
  <si>
    <t>3.0</t>
  </si>
  <si>
    <t>PAVIMENTAÇÃO</t>
  </si>
  <si>
    <t>3.1</t>
  </si>
  <si>
    <t>4.0</t>
  </si>
  <si>
    <t>SERVIÇOS COMPLEMENTARES</t>
  </si>
  <si>
    <t>4.1</t>
  </si>
  <si>
    <t>Assentamento de guia (meio-fio), confeccionada em concreto pré-fabricado, dimensões 100x15x13x30 (comprimento x base inferiror x base superior x altura), para vias urbanas</t>
  </si>
  <si>
    <t>m</t>
  </si>
  <si>
    <t>4.2</t>
  </si>
  <si>
    <t>und</t>
  </si>
  <si>
    <t>CRONOGRAMA FÍSICO-FINANCEIRO</t>
  </si>
  <si>
    <t>DISCRIMINAÇÃO DOS SERVIÇOS</t>
  </si>
  <si>
    <t>DIAS</t>
  </si>
  <si>
    <t>VALOR TOTAL (R$)</t>
  </si>
  <si>
    <t>TOTAL (%)</t>
  </si>
  <si>
    <t>PESO                      (%)</t>
  </si>
  <si>
    <t>PAVIMENTAÇÃO EM PARALELEPÍPEDO</t>
  </si>
  <si>
    <t>COMPOSIÇÕES DE CUSTO UNITÁRIOS - CCU</t>
  </si>
  <si>
    <t>BDI SERVIÇOS:</t>
  </si>
  <si>
    <t>Unid.: m²</t>
  </si>
  <si>
    <t>Código</t>
  </si>
  <si>
    <t>Descrição</t>
  </si>
  <si>
    <t>Unidade</t>
  </si>
  <si>
    <t>Coeficiente</t>
  </si>
  <si>
    <t>Preço</t>
  </si>
  <si>
    <t>SINAPI</t>
  </si>
  <si>
    <t xml:space="preserve"> 88262 </t>
  </si>
  <si>
    <t>H</t>
  </si>
  <si>
    <t xml:space="preserve"> 88316 </t>
  </si>
  <si>
    <t>m³</t>
  </si>
  <si>
    <t>M</t>
  </si>
  <si>
    <t xml:space="preserve"> 00004813 </t>
  </si>
  <si>
    <t>KG</t>
  </si>
  <si>
    <t>TOTAL:</t>
  </si>
  <si>
    <t>BDI:</t>
  </si>
  <si>
    <t>TOTAL COM BDI:</t>
  </si>
  <si>
    <t>Unid.: mês</t>
  </si>
  <si>
    <t>Engenheiro civil de obra junior com encargos complementares</t>
  </si>
  <si>
    <t>h</t>
  </si>
  <si>
    <t>Encarregado geral com encargos complementares</t>
  </si>
  <si>
    <t>Servente com encargos complementares</t>
  </si>
  <si>
    <t>Calceteiro com encargos complementares</t>
  </si>
  <si>
    <t>Areia grossa - posto jazida/fornecedor (retirado na jazida, sem transporte)</t>
  </si>
  <si>
    <t>mil</t>
  </si>
  <si>
    <t>TOTAL COM BDI</t>
  </si>
  <si>
    <t>Pedreiro com encargos complementares</t>
  </si>
  <si>
    <t xml:space="preserve"> 88309 </t>
  </si>
  <si>
    <t xml:space="preserve"> 00000370 </t>
  </si>
  <si>
    <t xml:space="preserve"> 00004517 </t>
  </si>
  <si>
    <t xml:space="preserve"> 00034492 </t>
  </si>
  <si>
    <t xml:space="preserve"> 88629 </t>
  </si>
  <si>
    <t xml:space="preserve"> 00004059 </t>
  </si>
  <si>
    <t>Argamassa traço 1:3 (em volume de cimento e areia média úmida), preparo manual. af_08/2019</t>
  </si>
  <si>
    <t>Areia media - posto jazida/fornecedor (retirado na jazida, sem transporte)</t>
  </si>
  <si>
    <t>Meio-fio ou guia de concreto, pre-moldado, comp 1 m, *30 x 12/15* cm (h x l1/l2)</t>
  </si>
  <si>
    <t xml:space="preserve"> 00006212 </t>
  </si>
  <si>
    <t>Sarrafo *2,5 x 7,5* cm em pinus, mista ou equivalente da regiao - bruta</t>
  </si>
  <si>
    <t>Tabua *2,5 x 30 cm em pinus, mista ou equivalente da regiao - bruta</t>
  </si>
  <si>
    <t>Concreto usinado bombeavel, classe de resistencia c20, com brita 0 e 1, slump = 100 +/- 20 mm, exclui servico de bombeamento (nbr 8953)</t>
  </si>
  <si>
    <t xml:space="preserve">OBRA: PAVIMENTAÇÃO EM PARALELEPÍPEDO </t>
  </si>
  <si>
    <t>VALOR DAS OBRAS E SERVIÇOS  (R$)</t>
  </si>
  <si>
    <t>TOTAL GERAL R$</t>
  </si>
  <si>
    <t xml:space="preserve">TRANSPORTE </t>
  </si>
  <si>
    <t>t.Km</t>
  </si>
  <si>
    <t>5.0</t>
  </si>
  <si>
    <t>5.1</t>
  </si>
  <si>
    <t xml:space="preserve">QUADRO DE COMPOSIÇÃO DO INVESTIMENTO - QCI </t>
  </si>
  <si>
    <t>ENCARGOS HORISTAS:</t>
  </si>
  <si>
    <t>ENCARGOS MENSALISTAS:</t>
  </si>
  <si>
    <t xml:space="preserve">DISCRIMINAÇÃO </t>
  </si>
  <si>
    <t xml:space="preserve">ITEM </t>
  </si>
  <si>
    <t>VALOR R$</t>
  </si>
  <si>
    <t xml:space="preserve">TERRAPLENAGEM </t>
  </si>
  <si>
    <t xml:space="preserve">PAVIMENTAÇÃO </t>
  </si>
  <si>
    <t xml:space="preserve">SERVIÇOS COMPLEMENTARES </t>
  </si>
  <si>
    <t>Banco</t>
  </si>
  <si>
    <t>Und</t>
  </si>
  <si>
    <t>Quant.</t>
  </si>
  <si>
    <t>Valor Unit</t>
  </si>
  <si>
    <t>TXKM</t>
  </si>
  <si>
    <t xml:space="preserve"> 91386 </t>
  </si>
  <si>
    <t>CHP</t>
  </si>
  <si>
    <t xml:space="preserve"> 91387 </t>
  </si>
  <si>
    <t>CHI</t>
  </si>
  <si>
    <t xml:space="preserve">Composição </t>
  </si>
  <si>
    <t xml:space="preserve">TCE PI </t>
  </si>
  <si>
    <t xml:space="preserve">Demonte manual de rocha arenitica </t>
  </si>
  <si>
    <t xml:space="preserve">TCE PI - DESMONTE MANUAL DE ROCHA DE ORIGEM ARENITICA </t>
  </si>
  <si>
    <t xml:space="preserve">Unid.: milheiro </t>
  </si>
  <si>
    <t xml:space="preserve">Pedreiro com encargos complementares </t>
  </si>
  <si>
    <t>COTAÇÃO INDENIZAÇÃO</t>
  </si>
  <si>
    <t xml:space="preserve">Indenização de Jazida </t>
  </si>
  <si>
    <t>milheiro</t>
  </si>
  <si>
    <t>Quantidade</t>
  </si>
  <si>
    <t>mil/m²</t>
  </si>
  <si>
    <t>t/m³</t>
  </si>
  <si>
    <t>Km</t>
  </si>
  <si>
    <t>103689/SINAPI PI</t>
  </si>
  <si>
    <t>COMP. SADA 01</t>
  </si>
  <si>
    <t>COMP. SADA 02</t>
  </si>
  <si>
    <t>Execução de pavimento em paralelepípedos, rejuntamento com argamassa traço 1:3 (cimento e areia)</t>
  </si>
  <si>
    <t>6.0</t>
  </si>
  <si>
    <t>SINALIZAÇÃO</t>
  </si>
  <si>
    <t>6.1</t>
  </si>
  <si>
    <t>COMP. SADA 03</t>
  </si>
  <si>
    <t>Execução de sarjeta de concreto usinado, moldada in loco em trecho reto, 30 cm base x  3 cm altura</t>
  </si>
  <si>
    <t>ADMINISTRAÇÃO LOCAL DA OBRA - COMP. SADA 01</t>
  </si>
  <si>
    <t xml:space="preserve"> 103689 </t>
  </si>
  <si>
    <t xml:space="preserve"> 102234 </t>
  </si>
  <si>
    <t xml:space="preserve"> 00004509 </t>
  </si>
  <si>
    <t xml:space="preserve"> 00005065 </t>
  </si>
  <si>
    <t xml:space="preserve"> 00005069 </t>
  </si>
  <si>
    <t xml:space="preserve"> 100575 </t>
  </si>
  <si>
    <t xml:space="preserve"> 5932 </t>
  </si>
  <si>
    <t xml:space="preserve"> 5934 </t>
  </si>
  <si>
    <t xml:space="preserve"> 93244 </t>
  </si>
  <si>
    <t xml:space="preserve"> 94273 </t>
  </si>
  <si>
    <t>94287  SINAPI ADAPTADO</t>
  </si>
  <si>
    <t>COMP. SADA 04</t>
  </si>
  <si>
    <t>UN</t>
  </si>
  <si>
    <t>UND</t>
  </si>
  <si>
    <t>EXECUÇÃO DE PAVIMENTO EM PARALELEPÍPEDOS, REJUNTAMENTO COM ARGAMASSA TRAÇO 1:3 (CIMENTO E AREIA). AF_05/2020 - ( SINAPI - 101169) - ADAPTADA - COMP. SADA 02</t>
  </si>
  <si>
    <t>5.2</t>
  </si>
  <si>
    <t>Transporte com caminhão basculante de 10 m³, em via urbana pavimentada, dmt até 30 km (unidade: txkm). af_07/2020</t>
  </si>
  <si>
    <t>Transporte com caminhão basculante de 10 m³, em via urbana pavimentada, adicional para dmt excedente a 30 km (unidade: txkm). af_07/2020</t>
  </si>
  <si>
    <t xml:space="preserve"> 95878 </t>
  </si>
  <si>
    <t xml:space="preserve"> 93596 </t>
  </si>
  <si>
    <t>Fornecimento e instalação de placa de obra com chapa galvanizada e estrutura de madeira. af_03/2022_ps</t>
  </si>
  <si>
    <t>Pintura imunizante para madeira, 2 demãos. af_01/2021</t>
  </si>
  <si>
    <t>Carpinteiro de formas com encargos complementares</t>
  </si>
  <si>
    <t>Sarrafo *2,5 x 10* cm em pinus, mista ou equivalente da regiao - bruta</t>
  </si>
  <si>
    <t>Placa de obra (para construcao civil) em chapa galvanizada *n. 22*, adesivada, de *2,4 x 1,2* m (sem postes para fixacao)</t>
  </si>
  <si>
    <t>Prego de aco polido com cabeca 10 x 10 (7/8 x 17)</t>
  </si>
  <si>
    <t>Prego de aco polido com cabeca 17 x 27 (2 1/2 x 11)</t>
  </si>
  <si>
    <t>Regularização de superfícies com motoniveladora. af_09/2024</t>
  </si>
  <si>
    <t>Motoniveladora potência básica líquida (primeira marcha) 125 hp, peso bruto 13032 kg, largura da lâmina de 3,7 m - chp diurno. af_06/2014</t>
  </si>
  <si>
    <t>Motoniveladora potência básica líquida (primeira marcha) 125 hp, peso bruto 13032 kg, largura da lâmina de 3,7 m - chi diurno. af_06/2014</t>
  </si>
  <si>
    <t>Rolo compactador vibratório pé de carneiro para solos, potência 80 hp, peso operacional sem/com lastro 7,4 / 8,8 t, largura de trabalho 1,68 m - chi diurno. af_02/2016</t>
  </si>
  <si>
    <t>Argamassa traço 1:3 (em volume de cimento e areia média úmida), preparo mecânico com betoneira 400 l. af_08/2019</t>
  </si>
  <si>
    <t>Assentamento de guia (meio-fio) em trecho reto, confeccionada em concreto pré-fabricado, dimensões 100x15x13x30 cm (comprimento x base inferior x base superior x altura). af_01/2024</t>
  </si>
  <si>
    <t>Execução de sarjeta de concreto usinado, moldada  in loco  em trecho reto, 30 cm base x 10 cm altura. af_01/2024</t>
  </si>
  <si>
    <t>Limpeza final da obra</t>
  </si>
  <si>
    <t>Caminhão basculante 10 m3, trucado cabine simples, peso bruto total 23.000 kg, carga útil máxima 15.935 kg, distância entre eixos 4,80 m, potência 230 cv inclusive caçamba metálica - chp diurno. af_06/2014</t>
  </si>
  <si>
    <t>Caminhão basculante 10 m3, trucado cabine simples, peso bruto total 23.000 kg, carga útil máxima 15.935 kg, distância entre eixos 4,80 m, potência 230 cv inclusive caçamba metálica - chi diurno. af_06/2014</t>
  </si>
  <si>
    <t>MEMÓRIA DE CÁLCULO</t>
  </si>
  <si>
    <t>Comprimento</t>
  </si>
  <si>
    <t>Largura</t>
  </si>
  <si>
    <t>u n</t>
  </si>
  <si>
    <t>Área total (projeto)</t>
  </si>
  <si>
    <t xml:space="preserve">Quantidade </t>
  </si>
  <si>
    <t>Comprimento =</t>
  </si>
  <si>
    <t>Largura da rua =</t>
  </si>
  <si>
    <t>Comprimento total (projeto)</t>
  </si>
  <si>
    <t>Execução de sarjeta de concreto usinado, moldada in loco em trecho reto, 30 cm base x 3 cm altura</t>
  </si>
  <si>
    <t xml:space="preserve">SINALIZAÇÃO </t>
  </si>
  <si>
    <t>Quantidade projeto</t>
  </si>
  <si>
    <t>Área</t>
  </si>
  <si>
    <t xml:space="preserve">Consumo </t>
  </si>
  <si>
    <t xml:space="preserve">Volume </t>
  </si>
  <si>
    <t>m³/m²</t>
  </si>
  <si>
    <t xml:space="preserve">Peso Específico </t>
  </si>
  <si>
    <t xml:space="preserve">DMT </t>
  </si>
  <si>
    <t xml:space="preserve">Área total </t>
  </si>
  <si>
    <t xml:space="preserve">DMT Obra à Jazida </t>
  </si>
  <si>
    <t xml:space="preserve">Km </t>
  </si>
  <si>
    <t xml:space="preserve">Contenção </t>
  </si>
  <si>
    <t xml:space="preserve">Total </t>
  </si>
  <si>
    <t>txKm</t>
  </si>
  <si>
    <t>HORISTA: 113,33%
MENSALISTA: 71,12%</t>
  </si>
  <si>
    <t>TOTAL GERAL DO ORÇAMENTO R$</t>
  </si>
  <si>
    <t>LOCAL: TERESINA- PI</t>
  </si>
  <si>
    <t>Próprio</t>
  </si>
  <si>
    <t xml:space="preserve"> 94969 </t>
  </si>
  <si>
    <t xml:space="preserve"> 00039126 </t>
  </si>
  <si>
    <t xml:space="preserve"> 00007696 </t>
  </si>
  <si>
    <t xml:space="preserve"> I2525 </t>
  </si>
  <si>
    <t>SEINFRA</t>
  </si>
  <si>
    <t xml:space="preserve"> 00013521 </t>
  </si>
  <si>
    <t xml:space="preserve"> COMP SADA 03</t>
  </si>
  <si>
    <t>Placa esmaltada para identificação de nome de rua, dimensões 45 x 20 cm com tubo de aço</t>
  </si>
  <si>
    <t>Concreto fck = 15mpa, traço 1:3,4:3,5 (em massa seca de cimento/ areia média/ brita 1) - preparo mecânico com betoneira 600 l. af_05/2021</t>
  </si>
  <si>
    <t>Abracadeira em aco para amarracao de eletrodutos, tipo d, com 4" e cunha de fixacao</t>
  </si>
  <si>
    <t>Tubo aco galvanizado com costura, classe media, dn 2", e = *3,65* mm, peso *5,10* kg/m (nbr 5580)</t>
  </si>
  <si>
    <t>Parafuso c/porca e arruela de 1/4x1 1/2"</t>
  </si>
  <si>
    <t>Placa de aco esmaltada para identificacao de rua, *45 cm x 20* cm</t>
  </si>
  <si>
    <t>SERVIÇOS DIVERSOS</t>
  </si>
  <si>
    <t>1.3</t>
  </si>
  <si>
    <t>9537 - SINAPI/PI</t>
  </si>
  <si>
    <t>FONTE:  
SINAPI 04/2025</t>
  </si>
  <si>
    <t>BASE DE PREÇO SEM DESONERAÇÃO</t>
  </si>
  <si>
    <t xml:space="preserve">Quantidade total </t>
  </si>
  <si>
    <t>2.8</t>
  </si>
  <si>
    <t xml:space="preserve">COORDENADAS </t>
  </si>
  <si>
    <t xml:space="preserve">ÁGUA BRANCA </t>
  </si>
  <si>
    <t>SÃO JOÃO E BARREIRO</t>
  </si>
  <si>
    <t>RURAL</t>
  </si>
  <si>
    <t xml:space="preserve">Limpeza final da obra </t>
  </si>
  <si>
    <t>RUA MAJOR APRÍGIO - LOC. SÃO JOÃO</t>
  </si>
  <si>
    <t>RUA JOSÉ MIGUEL - LOC. BARREIRO</t>
  </si>
  <si>
    <t xml:space="preserve">LOGRADOURO: RUA MAJOR APRIGIO - SÃO JOÃO </t>
  </si>
  <si>
    <t>LOGRADOURO: RUA JOSÉ MIGUEL - LOC. BARREIRO</t>
  </si>
  <si>
    <t xml:space="preserve"> -5.907382°                                                    -42.657384°</t>
  </si>
  <si>
    <t xml:space="preserve"> -5.888106°                            -42.613518°          </t>
  </si>
  <si>
    <t>3.2</t>
  </si>
  <si>
    <t>COMP. SADA 05</t>
  </si>
  <si>
    <t xml:space="preserve">Compactação Mecânica </t>
  </si>
  <si>
    <t>SADA 05</t>
  </si>
  <si>
    <t>Compactação Mecanica</t>
  </si>
  <si>
    <t>Compactador de solo tipo Placa Vibratoria reversivel, peso 125 a 150 Kg, força centrif. 2500 a 2800 Kgf, larg. trabalho 400 a 450 mm, freq. vibração 4300 a 4500 rpm, velocidade. trabalho 15 a 20 m/min, pot. 5,5 a 6,0 hp</t>
  </si>
  <si>
    <t>Quantidade Total</t>
  </si>
  <si>
    <t xml:space="preserve">SADA </t>
  </si>
  <si>
    <t>OBJETO:  PAVIMENTAÇÃO DE VIAS PÚBLICAS NO MUNÍCIO DE ÁGUA BRANCA-PI</t>
  </si>
  <si>
    <t>FONTE:  
SINAPI 06/2025</t>
  </si>
  <si>
    <t>LOCAL: SÃO JOÃO E BARREIRO</t>
  </si>
  <si>
    <t>OBJETO:  PAVIMENTAÇÃO DE VIAS PÚBLICAS NO MUNÍCIO DE AGUA BRANCA  -PI</t>
  </si>
  <si>
    <t>BANCA: SINAPI - 06/2025</t>
  </si>
  <si>
    <t>LOCAL: AGUA BRANCA - PI</t>
  </si>
  <si>
    <t>SEM DESONERAÇÃO
BDI: 28,14%</t>
  </si>
  <si>
    <t>Horista: 90,66% Mensalista : 52,90%</t>
  </si>
  <si>
    <t>BASE DE PREÇO: SINAPI PI 06/2025</t>
  </si>
  <si>
    <r>
      <t xml:space="preserve">OBRA: </t>
    </r>
    <r>
      <rPr>
        <sz val="10"/>
        <color theme="1"/>
        <rFont val="Arial"/>
        <family val="2"/>
      </rPr>
      <t>PAVIMENTAÇÃO EM AGUA BRANCA  -PI</t>
    </r>
  </si>
  <si>
    <t>OBJETO:  PAVIMENTAÇÃO DE VIAS PÚBLICAS NO MUNÍCIO DE AGUA BRANCA -PI</t>
  </si>
  <si>
    <t>BANCA: SINAPI 06/2025 - Sem desoneração</t>
  </si>
  <si>
    <t>BANCA: SINAPI 06/2025 - Com desoneração - Horista: 90,66 % / Mensalista: 52,90% - BDI: 28,14 %</t>
  </si>
  <si>
    <t>COMPRIMENTO</t>
  </si>
  <si>
    <t>LARGURA</t>
  </si>
  <si>
    <t>SINAPI 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</si>
</sst>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General\ &quot;m²&quot;"/>
    <numFmt numFmtId="165" formatCode="#,##0.0000"/>
    <numFmt numFmtId="166" formatCode="#,##0.000"/>
    <numFmt numFmtId="167" formatCode="_(* #,##0.00_);_(* \(#,##0.00\);_(* &quot;-&quot;??_);_(@_)"/>
    <numFmt numFmtId="168" formatCode="&quot;R$&quot;\ #,##0.00"/>
    <numFmt numFmtId="169" formatCode="#,##0.00;[Red]#,##0.00"/>
    <numFmt numFmtId="170" formatCode="&quot;R$&quot;\ #,##0.00;[Red]&quot;R$&quot;\ #,##0.00"/>
    <numFmt numFmtId="171" formatCode="0.0000"/>
    <numFmt numFmtId="172" formatCode="0.0000%"/>
    <numFmt numFmtId="173" formatCode="_(&quot;R$ &quot;* #,##0.00_);_(&quot;R$ &quot;* \(#,##0.00\);_(&quot;R$ &quot;* &quot;-&quot;??_);_(@_)"/>
    <numFmt numFmtId="174" formatCode="#,##0.0000;[Red]#,##0.0000"/>
    <numFmt numFmtId="175" formatCode="#,##0.0000000"/>
    <numFmt numFmtId="176" formatCode="_(* #,##0.000_);_(* \(#,##0.000\);_(* &quot;-&quot;??_);_(@_)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8"/>
      <color theme="0"/>
      <name val="Arial"/>
      <family val="2"/>
    </font>
    <font>
      <sz val="8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1"/>
    </font>
    <font>
      <b/>
      <sz val="8"/>
      <name val="Arial"/>
      <family val="1"/>
    </font>
    <font>
      <b/>
      <sz val="8"/>
      <color rgb="FF000000"/>
      <name val="Arial"/>
      <family val="1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color rgb="FF000000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1"/>
    </font>
    <font>
      <sz val="8"/>
      <color rgb="FF000000"/>
      <name val="Arial"/>
      <family val="1"/>
    </font>
    <font>
      <b/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D6D6D6"/>
      </patternFill>
    </fill>
    <fill>
      <patternFill patternType="solid">
        <fgColor theme="0"/>
        <bgColor rgb="FFEFEFE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rgb="FFDFF0D8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31" fillId="0" borderId="0"/>
  </cellStyleXfs>
  <cellXfs count="519">
    <xf numFmtId="0" fontId="0" fillId="0" borderId="0" xfId="0"/>
    <xf numFmtId="10" fontId="3" fillId="0" borderId="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4" fontId="3" fillId="3" borderId="0" xfId="0" applyNumberFormat="1" applyFont="1" applyFill="1" applyAlignment="1">
      <alignment vertical="center"/>
    </xf>
    <xf numFmtId="0" fontId="3" fillId="3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2" fillId="2" borderId="2" xfId="0" applyFont="1" applyFill="1" applyBorder="1" applyAlignment="1">
      <alignment vertical="center"/>
    </xf>
    <xf numFmtId="166" fontId="2" fillId="2" borderId="3" xfId="0" applyNumberFormat="1" applyFont="1" applyFill="1" applyBorder="1" applyAlignment="1">
      <alignment vertical="center"/>
    </xf>
    <xf numFmtId="4" fontId="2" fillId="2" borderId="4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3" fillId="0" borderId="2" xfId="0" applyNumberFormat="1" applyFont="1" applyBorder="1" applyAlignment="1">
      <alignment vertical="center"/>
    </xf>
    <xf numFmtId="10" fontId="3" fillId="0" borderId="2" xfId="3" applyNumberFormat="1" applyFont="1" applyFill="1" applyBorder="1" applyAlignment="1">
      <alignment vertical="center"/>
    </xf>
    <xf numFmtId="44" fontId="2" fillId="0" borderId="2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167" fontId="4" fillId="0" borderId="4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69" fontId="7" fillId="0" borderId="8" xfId="1" applyNumberFormat="1" applyFont="1" applyFill="1" applyBorder="1" applyAlignment="1">
      <alignment horizontal="center" vertical="center" wrapText="1"/>
    </xf>
    <xf numFmtId="169" fontId="7" fillId="0" borderId="4" xfId="1" applyNumberFormat="1" applyFont="1" applyFill="1" applyBorder="1" applyAlignment="1">
      <alignment horizontal="center" vertical="center" wrapText="1"/>
    </xf>
    <xf numFmtId="170" fontId="5" fillId="5" borderId="2" xfId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43" fontId="7" fillId="0" borderId="2" xfId="1" applyFont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center" vertical="center" wrapText="1"/>
    </xf>
    <xf numFmtId="2" fontId="9" fillId="0" borderId="0" xfId="4" applyNumberFormat="1" applyFont="1" applyAlignment="1" applyProtection="1">
      <alignment horizontal="center" vertical="center"/>
      <protection hidden="1"/>
    </xf>
    <xf numFmtId="10" fontId="9" fillId="0" borderId="0" xfId="4" applyNumberFormat="1" applyFont="1" applyAlignment="1" applyProtection="1">
      <alignment horizontal="center" vertical="center"/>
      <protection hidden="1"/>
    </xf>
    <xf numFmtId="0" fontId="4" fillId="0" borderId="0" xfId="4" applyFont="1" applyAlignment="1" applyProtection="1">
      <alignment horizontal="center" vertical="center"/>
      <protection hidden="1"/>
    </xf>
    <xf numFmtId="0" fontId="4" fillId="0" borderId="16" xfId="4" applyFont="1" applyBorder="1" applyAlignment="1" applyProtection="1">
      <alignment horizontal="center" vertical="center"/>
      <protection hidden="1"/>
    </xf>
    <xf numFmtId="0" fontId="4" fillId="0" borderId="0" xfId="4" applyFont="1" applyAlignment="1" applyProtection="1">
      <alignment horizontal="left" vertical="center"/>
      <protection hidden="1"/>
    </xf>
    <xf numFmtId="0" fontId="4" fillId="0" borderId="5" xfId="4" applyFont="1" applyBorder="1" applyAlignment="1" applyProtection="1">
      <alignment vertical="center"/>
      <protection hidden="1"/>
    </xf>
    <xf numFmtId="0" fontId="6" fillId="0" borderId="3" xfId="4" applyFont="1" applyBorder="1" applyAlignment="1" applyProtection="1">
      <alignment vertical="center"/>
      <protection hidden="1"/>
    </xf>
    <xf numFmtId="2" fontId="4" fillId="0" borderId="2" xfId="4" applyNumberFormat="1" applyFont="1" applyBorder="1" applyAlignment="1" applyProtection="1">
      <alignment horizontal="center" vertical="center"/>
      <protection locked="0" hidden="1"/>
    </xf>
    <xf numFmtId="2" fontId="10" fillId="0" borderId="0" xfId="4" applyNumberFormat="1" applyFont="1" applyAlignment="1" applyProtection="1">
      <alignment horizontal="center" vertical="center"/>
      <protection hidden="1"/>
    </xf>
    <xf numFmtId="0" fontId="6" fillId="0" borderId="0" xfId="4" applyFont="1" applyAlignment="1" applyProtection="1">
      <alignment vertical="center"/>
      <protection hidden="1"/>
    </xf>
    <xf numFmtId="2" fontId="4" fillId="0" borderId="0" xfId="4" applyNumberFormat="1" applyFont="1" applyAlignment="1" applyProtection="1">
      <alignment horizontal="center" vertical="center"/>
      <protection locked="0" hidden="1"/>
    </xf>
    <xf numFmtId="2" fontId="6" fillId="0" borderId="0" xfId="4" applyNumberFormat="1" applyFont="1" applyAlignment="1" applyProtection="1">
      <alignment horizontal="center" vertical="center"/>
      <protection hidden="1"/>
    </xf>
    <xf numFmtId="2" fontId="10" fillId="0" borderId="16" xfId="4" applyNumberFormat="1" applyFont="1" applyBorder="1" applyAlignment="1" applyProtection="1">
      <alignment horizontal="center" vertical="center"/>
      <protection hidden="1"/>
    </xf>
    <xf numFmtId="0" fontId="6" fillId="0" borderId="0" xfId="4" applyFont="1" applyAlignment="1" applyProtection="1">
      <alignment vertical="center" wrapText="1"/>
      <protection hidden="1"/>
    </xf>
    <xf numFmtId="0" fontId="4" fillId="0" borderId="17" xfId="4" applyFont="1" applyBorder="1" applyAlignment="1" applyProtection="1">
      <alignment horizontal="center" vertical="center"/>
      <protection hidden="1"/>
    </xf>
    <xf numFmtId="2" fontId="10" fillId="0" borderId="19" xfId="4" applyNumberFormat="1" applyFont="1" applyBorder="1" applyAlignment="1" applyProtection="1">
      <alignment horizontal="center" vertical="center"/>
      <protection hidden="1"/>
    </xf>
    <xf numFmtId="2" fontId="10" fillId="0" borderId="20" xfId="4" applyNumberFormat="1" applyFont="1" applyBorder="1" applyAlignment="1" applyProtection="1">
      <alignment horizontal="center" vertical="center"/>
      <protection hidden="1"/>
    </xf>
    <xf numFmtId="2" fontId="4" fillId="0" borderId="22" xfId="4" applyNumberFormat="1" applyFont="1" applyBorder="1" applyAlignment="1" applyProtection="1">
      <alignment horizontal="center" vertical="center"/>
      <protection hidden="1"/>
    </xf>
    <xf numFmtId="2" fontId="4" fillId="0" borderId="0" xfId="4" applyNumberFormat="1" applyFont="1" applyAlignment="1" applyProtection="1">
      <alignment horizontal="center" vertical="center"/>
      <protection hidden="1"/>
    </xf>
    <xf numFmtId="0" fontId="4" fillId="0" borderId="5" xfId="4" applyFont="1" applyBorder="1" applyAlignment="1" applyProtection="1">
      <alignment horizontal="center" vertical="center"/>
      <protection hidden="1"/>
    </xf>
    <xf numFmtId="0" fontId="6" fillId="0" borderId="0" xfId="4" applyFont="1" applyAlignment="1" applyProtection="1">
      <alignment horizontal="right" vertical="center"/>
      <protection hidden="1"/>
    </xf>
    <xf numFmtId="0" fontId="6" fillId="0" borderId="19" xfId="4" applyFont="1" applyBorder="1" applyAlignment="1" applyProtection="1">
      <alignment horizontal="center" vertical="center"/>
      <protection hidden="1"/>
    </xf>
    <xf numFmtId="2" fontId="4" fillId="0" borderId="18" xfId="4" applyNumberFormat="1" applyFont="1" applyBorder="1" applyAlignment="1" applyProtection="1">
      <alignment horizontal="center" vertical="center"/>
      <protection hidden="1"/>
    </xf>
    <xf numFmtId="0" fontId="11" fillId="0" borderId="0" xfId="4" applyFont="1" applyAlignment="1" applyProtection="1">
      <alignment horizontal="center" vertical="center"/>
      <protection hidden="1"/>
    </xf>
    <xf numFmtId="2" fontId="6" fillId="0" borderId="22" xfId="4" applyNumberFormat="1" applyFont="1" applyBorder="1" applyAlignment="1" applyProtection="1">
      <alignment horizontal="center" vertical="center"/>
      <protection hidden="1"/>
    </xf>
    <xf numFmtId="2" fontId="6" fillId="0" borderId="23" xfId="4" applyNumberFormat="1" applyFont="1" applyBorder="1" applyAlignment="1" applyProtection="1">
      <alignment horizontal="center" vertical="center"/>
      <protection hidden="1"/>
    </xf>
    <xf numFmtId="0" fontId="6" fillId="0" borderId="5" xfId="4" applyFont="1" applyBorder="1" applyAlignment="1" applyProtection="1">
      <alignment horizontal="center" vertical="center"/>
      <protection hidden="1"/>
    </xf>
    <xf numFmtId="2" fontId="6" fillId="0" borderId="16" xfId="4" applyNumberFormat="1" applyFont="1" applyBorder="1" applyAlignment="1" applyProtection="1">
      <alignment horizontal="center" vertical="center"/>
      <protection hidden="1"/>
    </xf>
    <xf numFmtId="0" fontId="6" fillId="0" borderId="3" xfId="4" applyFont="1" applyBorder="1" applyAlignment="1" applyProtection="1">
      <alignment horizontal="left" vertical="center"/>
      <protection hidden="1"/>
    </xf>
    <xf numFmtId="0" fontId="6" fillId="0" borderId="8" xfId="4" applyFont="1" applyBorder="1" applyAlignment="1" applyProtection="1">
      <alignment horizontal="center" vertical="center"/>
      <protection hidden="1"/>
    </xf>
    <xf numFmtId="0" fontId="6" fillId="0" borderId="8" xfId="4" applyFont="1" applyBorder="1" applyAlignment="1" applyProtection="1">
      <alignment horizontal="right" vertical="center"/>
      <protection hidden="1"/>
    </xf>
    <xf numFmtId="10" fontId="6" fillId="0" borderId="4" xfId="4" applyNumberFormat="1" applyFont="1" applyBorder="1" applyAlignment="1" applyProtection="1">
      <alignment horizontal="center" vertical="center"/>
      <protection locked="0"/>
    </xf>
    <xf numFmtId="0" fontId="6" fillId="0" borderId="0" xfId="4" applyFont="1" applyAlignment="1" applyProtection="1">
      <alignment horizontal="left" vertical="center"/>
      <protection hidden="1"/>
    </xf>
    <xf numFmtId="10" fontId="6" fillId="0" borderId="0" xfId="4" applyNumberFormat="1" applyFont="1" applyAlignment="1" applyProtection="1">
      <alignment horizontal="center" vertical="center"/>
      <protection hidden="1"/>
    </xf>
    <xf numFmtId="10" fontId="6" fillId="0" borderId="4" xfId="5" applyNumberFormat="1" applyFont="1" applyFill="1" applyBorder="1" applyAlignment="1" applyProtection="1">
      <alignment horizontal="center" vertical="center"/>
      <protection locked="0"/>
    </xf>
    <xf numFmtId="171" fontId="6" fillId="0" borderId="16" xfId="5" applyNumberFormat="1" applyFont="1" applyFill="1" applyBorder="1" applyAlignment="1" applyProtection="1">
      <alignment horizontal="center" vertical="center"/>
      <protection hidden="1"/>
    </xf>
    <xf numFmtId="10" fontId="6" fillId="0" borderId="0" xfId="5" applyNumberFormat="1" applyFont="1" applyFill="1" applyBorder="1" applyAlignment="1" applyProtection="1">
      <alignment horizontal="center" vertical="center"/>
      <protection hidden="1"/>
    </xf>
    <xf numFmtId="0" fontId="6" fillId="0" borderId="10" xfId="4" applyFont="1" applyBorder="1" applyAlignment="1" applyProtection="1">
      <alignment vertical="center"/>
      <protection hidden="1"/>
    </xf>
    <xf numFmtId="0" fontId="6" fillId="0" borderId="15" xfId="4" applyFont="1" applyBorder="1" applyAlignment="1" applyProtection="1">
      <alignment horizontal="center" vertical="center"/>
      <protection hidden="1"/>
    </xf>
    <xf numFmtId="0" fontId="6" fillId="0" borderId="15" xfId="4" applyFont="1" applyBorder="1" applyAlignment="1" applyProtection="1">
      <alignment horizontal="right" vertical="center"/>
      <protection hidden="1"/>
    </xf>
    <xf numFmtId="10" fontId="6" fillId="0" borderId="11" xfId="5" applyNumberFormat="1" applyFont="1" applyFill="1" applyBorder="1" applyAlignment="1" applyProtection="1">
      <alignment horizontal="center" vertical="center"/>
      <protection hidden="1"/>
    </xf>
    <xf numFmtId="171" fontId="4" fillId="0" borderId="16" xfId="5" applyNumberFormat="1" applyFont="1" applyFill="1" applyBorder="1" applyAlignment="1" applyProtection="1">
      <alignment horizontal="center" vertical="center"/>
      <protection hidden="1"/>
    </xf>
    <xf numFmtId="10" fontId="6" fillId="0" borderId="25" xfId="5" applyNumberFormat="1" applyFont="1" applyFill="1" applyBorder="1" applyAlignment="1" applyProtection="1">
      <alignment horizontal="center" vertical="center"/>
      <protection locked="0"/>
    </xf>
    <xf numFmtId="2" fontId="4" fillId="0" borderId="16" xfId="5" applyNumberFormat="1" applyFont="1" applyFill="1" applyBorder="1" applyAlignment="1" applyProtection="1">
      <alignment horizontal="center" vertical="center"/>
      <protection hidden="1"/>
    </xf>
    <xf numFmtId="0" fontId="6" fillId="0" borderId="13" xfId="4" applyFont="1" applyBorder="1" applyAlignment="1" applyProtection="1">
      <alignment horizontal="center" vertical="center"/>
      <protection hidden="1"/>
    </xf>
    <xf numFmtId="0" fontId="6" fillId="0" borderId="14" xfId="4" applyFont="1" applyBorder="1" applyAlignment="1" applyProtection="1">
      <alignment horizontal="center" vertical="center"/>
      <protection hidden="1"/>
    </xf>
    <xf numFmtId="0" fontId="6" fillId="0" borderId="14" xfId="4" applyFont="1" applyBorder="1" applyAlignment="1" applyProtection="1">
      <alignment horizontal="right" vertical="center"/>
      <protection hidden="1"/>
    </xf>
    <xf numFmtId="10" fontId="6" fillId="0" borderId="6" xfId="4" applyNumberFormat="1" applyFont="1" applyBorder="1" applyAlignment="1" applyProtection="1">
      <alignment horizontal="center" vertical="center"/>
      <protection locked="0"/>
    </xf>
    <xf numFmtId="0" fontId="6" fillId="0" borderId="24" xfId="4" applyFont="1" applyBorder="1" applyAlignment="1" applyProtection="1">
      <alignment vertical="center"/>
      <protection hidden="1"/>
    </xf>
    <xf numFmtId="10" fontId="6" fillId="0" borderId="25" xfId="5" applyNumberFormat="1" applyFont="1" applyFill="1" applyBorder="1" applyAlignment="1" applyProtection="1">
      <alignment horizontal="center" vertical="center"/>
      <protection hidden="1"/>
    </xf>
    <xf numFmtId="2" fontId="6" fillId="0" borderId="16" xfId="5" applyNumberFormat="1" applyFont="1" applyFill="1" applyBorder="1" applyAlignment="1" applyProtection="1">
      <alignment horizontal="center" vertical="center"/>
      <protection hidden="1"/>
    </xf>
    <xf numFmtId="10" fontId="6" fillId="0" borderId="25" xfId="5" applyNumberFormat="1" applyFont="1" applyFill="1" applyBorder="1" applyAlignment="1" applyProtection="1">
      <alignment horizontal="center" vertical="center"/>
    </xf>
    <xf numFmtId="10" fontId="6" fillId="0" borderId="6" xfId="5" applyNumberFormat="1" applyFont="1" applyFill="1" applyBorder="1" applyAlignment="1" applyProtection="1">
      <alignment horizontal="center" vertical="center"/>
      <protection hidden="1"/>
    </xf>
    <xf numFmtId="0" fontId="6" fillId="0" borderId="17" xfId="4" applyFont="1" applyBorder="1" applyAlignment="1" applyProtection="1">
      <alignment horizontal="center" vertical="center"/>
      <protection hidden="1"/>
    </xf>
    <xf numFmtId="167" fontId="6" fillId="0" borderId="19" xfId="5" applyFont="1" applyFill="1" applyBorder="1" applyAlignment="1" applyProtection="1">
      <alignment horizontal="center" vertical="center"/>
      <protection hidden="1"/>
    </xf>
    <xf numFmtId="2" fontId="6" fillId="0" borderId="19" xfId="5" applyNumberFormat="1" applyFont="1" applyFill="1" applyBorder="1" applyAlignment="1" applyProtection="1">
      <alignment horizontal="center" vertical="center"/>
      <protection hidden="1"/>
    </xf>
    <xf numFmtId="2" fontId="4" fillId="0" borderId="20" xfId="5" applyNumberFormat="1" applyFont="1" applyFill="1" applyBorder="1" applyAlignment="1" applyProtection="1">
      <alignment horizontal="center" vertical="center"/>
      <protection hidden="1"/>
    </xf>
    <xf numFmtId="1" fontId="9" fillId="0" borderId="0" xfId="4" applyNumberFormat="1" applyFont="1" applyAlignment="1" applyProtection="1">
      <alignment horizontal="center" vertical="center"/>
      <protection hidden="1"/>
    </xf>
    <xf numFmtId="0" fontId="6" fillId="0" borderId="19" xfId="4" applyFont="1" applyBorder="1" applyAlignment="1" applyProtection="1">
      <alignment vertical="center"/>
      <protection hidden="1"/>
    </xf>
    <xf numFmtId="2" fontId="6" fillId="0" borderId="19" xfId="4" applyNumberFormat="1" applyFont="1" applyBorder="1" applyAlignment="1" applyProtection="1">
      <alignment horizontal="center" vertical="center"/>
      <protection hidden="1"/>
    </xf>
    <xf numFmtId="2" fontId="6" fillId="0" borderId="20" xfId="4" applyNumberFormat="1" applyFont="1" applyBorder="1" applyAlignment="1" applyProtection="1">
      <alignment horizontal="center" vertical="center"/>
      <protection hidden="1"/>
    </xf>
    <xf numFmtId="0" fontId="6" fillId="0" borderId="22" xfId="4" applyFont="1" applyBorder="1" applyAlignment="1" applyProtection="1">
      <alignment horizontal="center" vertical="center"/>
      <protection hidden="1"/>
    </xf>
    <xf numFmtId="171" fontId="9" fillId="0" borderId="0" xfId="4" applyNumberFormat="1" applyFont="1" applyAlignment="1" applyProtection="1">
      <alignment horizontal="center" vertical="center"/>
      <protection hidden="1"/>
    </xf>
    <xf numFmtId="0" fontId="6" fillId="0" borderId="2" xfId="4" applyFont="1" applyBorder="1" applyAlignment="1" applyProtection="1">
      <alignment horizontal="center" vertical="center"/>
      <protection hidden="1"/>
    </xf>
    <xf numFmtId="10" fontId="6" fillId="0" borderId="2" xfId="4" applyNumberFormat="1" applyFont="1" applyBorder="1" applyAlignment="1" applyProtection="1">
      <alignment horizontal="center" vertical="center"/>
      <protection hidden="1"/>
    </xf>
    <xf numFmtId="10" fontId="6" fillId="0" borderId="19" xfId="4" applyNumberFormat="1" applyFont="1" applyBorder="1" applyAlignment="1" applyProtection="1">
      <alignment horizontal="center" vertical="center"/>
      <protection hidden="1"/>
    </xf>
    <xf numFmtId="172" fontId="9" fillId="0" borderId="0" xfId="4" applyNumberFormat="1" applyFont="1" applyAlignment="1" applyProtection="1">
      <alignment horizontal="center" vertical="center"/>
      <protection hidden="1"/>
    </xf>
    <xf numFmtId="0" fontId="9" fillId="0" borderId="0" xfId="4" applyFont="1" applyAlignment="1" applyProtection="1">
      <alignment horizontal="center" vertical="center"/>
      <protection hidden="1"/>
    </xf>
    <xf numFmtId="0" fontId="6" fillId="0" borderId="3" xfId="4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0" fontId="6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0" fontId="4" fillId="0" borderId="2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14" xfId="0" applyFont="1" applyBorder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43" fontId="6" fillId="0" borderId="14" xfId="1" applyFont="1" applyFill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43" fontId="4" fillId="5" borderId="2" xfId="1" applyFont="1" applyFill="1" applyBorder="1" applyAlignment="1">
      <alignment horizontal="center" vertical="center" wrapText="1"/>
    </xf>
    <xf numFmtId="169" fontId="5" fillId="2" borderId="2" xfId="1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69" fontId="7" fillId="0" borderId="2" xfId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43" fontId="7" fillId="0" borderId="2" xfId="1" applyFont="1" applyFill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4" fontId="7" fillId="3" borderId="2" xfId="2" applyFont="1" applyFill="1" applyBorder="1" applyAlignment="1">
      <alignment horizontal="center" vertical="center" wrapText="1"/>
    </xf>
    <xf numFmtId="44" fontId="7" fillId="0" borderId="2" xfId="2" applyFont="1" applyFill="1" applyBorder="1" applyAlignment="1">
      <alignment horizontal="center" vertical="center" wrapText="1"/>
    </xf>
    <xf numFmtId="10" fontId="7" fillId="0" borderId="2" xfId="1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10" fontId="7" fillId="0" borderId="8" xfId="0" applyNumberFormat="1" applyFont="1" applyBorder="1" applyAlignment="1">
      <alignment horizontal="center" vertical="center" wrapText="1"/>
    </xf>
    <xf numFmtId="10" fontId="7" fillId="0" borderId="8" xfId="1" applyNumberFormat="1" applyFont="1" applyFill="1" applyBorder="1" applyAlignment="1">
      <alignment horizontal="center" vertical="center" wrapText="1"/>
    </xf>
    <xf numFmtId="10" fontId="6" fillId="0" borderId="3" xfId="0" applyNumberFormat="1" applyFont="1" applyBorder="1" applyAlignment="1">
      <alignment vertical="center"/>
    </xf>
    <xf numFmtId="10" fontId="6" fillId="0" borderId="8" xfId="0" applyNumberFormat="1" applyFont="1" applyBorder="1" applyAlignment="1">
      <alignment vertical="center"/>
    </xf>
    <xf numFmtId="10" fontId="4" fillId="0" borderId="0" xfId="0" applyNumberFormat="1" applyFont="1" applyAlignment="1">
      <alignment horizontal="left" vertical="center" wrapText="1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6" borderId="2" xfId="4" applyFont="1" applyFill="1" applyBorder="1" applyAlignment="1">
      <alignment horizontal="center" vertical="center" wrapText="1"/>
    </xf>
    <xf numFmtId="0" fontId="7" fillId="6" borderId="2" xfId="4" applyFont="1" applyFill="1" applyBorder="1" applyAlignment="1">
      <alignment horizontal="center" vertical="center" wrapText="1"/>
    </xf>
    <xf numFmtId="0" fontId="7" fillId="6" borderId="2" xfId="4" applyFont="1" applyFill="1" applyBorder="1" applyAlignment="1">
      <alignment vertical="center" wrapText="1"/>
    </xf>
    <xf numFmtId="174" fontId="7" fillId="6" borderId="2" xfId="5" applyNumberFormat="1" applyFont="1" applyFill="1" applyBorder="1" applyAlignment="1">
      <alignment horizontal="center" vertical="center" wrapText="1"/>
    </xf>
    <xf numFmtId="169" fontId="7" fillId="6" borderId="2" xfId="4" applyNumberFormat="1" applyFont="1" applyFill="1" applyBorder="1" applyAlignment="1">
      <alignment horizontal="center" vertical="center" wrapText="1"/>
    </xf>
    <xf numFmtId="0" fontId="5" fillId="6" borderId="15" xfId="4" applyFont="1" applyFill="1" applyBorder="1" applyAlignment="1">
      <alignment vertical="center" wrapText="1"/>
    </xf>
    <xf numFmtId="0" fontId="5" fillId="6" borderId="11" xfId="4" applyFont="1" applyFill="1" applyBorder="1" applyAlignment="1">
      <alignment vertical="center" wrapText="1"/>
    </xf>
    <xf numFmtId="169" fontId="5" fillId="0" borderId="4" xfId="4" applyNumberFormat="1" applyFont="1" applyBorder="1" applyAlignment="1">
      <alignment horizontal="center" vertical="center" wrapText="1"/>
    </xf>
    <xf numFmtId="0" fontId="5" fillId="6" borderId="0" xfId="4" applyFont="1" applyFill="1" applyAlignment="1">
      <alignment vertical="center"/>
    </xf>
    <xf numFmtId="0" fontId="5" fillId="6" borderId="0" xfId="4" applyFont="1" applyFill="1" applyAlignment="1">
      <alignment vertical="center" wrapText="1"/>
    </xf>
    <xf numFmtId="169" fontId="5" fillId="0" borderId="4" xfId="5" applyNumberFormat="1" applyFont="1" applyFill="1" applyBorder="1" applyAlignment="1">
      <alignment horizontal="center" vertical="center" wrapText="1"/>
    </xf>
    <xf numFmtId="0" fontId="7" fillId="6" borderId="2" xfId="4" applyFont="1" applyFill="1" applyBorder="1" applyAlignment="1">
      <alignment horizontal="left" vertical="center" wrapText="1"/>
    </xf>
    <xf numFmtId="169" fontId="2" fillId="0" borderId="4" xfId="0" applyNumberFormat="1" applyFont="1" applyBorder="1" applyAlignment="1">
      <alignment horizontal="center" vertical="center"/>
    </xf>
    <xf numFmtId="0" fontId="12" fillId="0" borderId="0" xfId="0" applyFont="1"/>
    <xf numFmtId="169" fontId="7" fillId="0" borderId="2" xfId="4" applyNumberFormat="1" applyFont="1" applyBorder="1" applyAlignment="1">
      <alignment horizontal="center" vertical="center" wrapText="1"/>
    </xf>
    <xf numFmtId="10" fontId="0" fillId="0" borderId="0" xfId="0" applyNumberFormat="1"/>
    <xf numFmtId="0" fontId="4" fillId="0" borderId="19" xfId="4" applyFont="1" applyBorder="1" applyAlignment="1" applyProtection="1">
      <alignment horizontal="center" vertical="center"/>
      <protection hidden="1"/>
    </xf>
    <xf numFmtId="0" fontId="4" fillId="0" borderId="5" xfId="4" applyFont="1" applyBorder="1" applyAlignment="1" applyProtection="1">
      <alignment horizontal="left" vertical="center"/>
      <protection hidden="1"/>
    </xf>
    <xf numFmtId="0" fontId="6" fillId="0" borderId="0" xfId="4" applyFont="1" applyAlignment="1" applyProtection="1">
      <alignment horizontal="center" vertical="center"/>
      <protection hidden="1"/>
    </xf>
    <xf numFmtId="0" fontId="4" fillId="0" borderId="22" xfId="4" applyFont="1" applyBorder="1" applyAlignment="1" applyProtection="1">
      <alignment horizontal="center" vertical="center"/>
      <protection hidden="1"/>
    </xf>
    <xf numFmtId="0" fontId="6" fillId="0" borderId="24" xfId="4" applyFont="1" applyBorder="1" applyAlignment="1" applyProtection="1">
      <alignment horizontal="center" vertical="center"/>
      <protection hidden="1"/>
    </xf>
    <xf numFmtId="0" fontId="3" fillId="0" borderId="10" xfId="0" applyFont="1" applyBorder="1"/>
    <xf numFmtId="0" fontId="3" fillId="0" borderId="15" xfId="0" applyFont="1" applyBorder="1"/>
    <xf numFmtId="0" fontId="3" fillId="0" borderId="11" xfId="0" applyFont="1" applyBorder="1"/>
    <xf numFmtId="0" fontId="4" fillId="0" borderId="13" xfId="4" applyFont="1" applyBorder="1" applyAlignment="1" applyProtection="1">
      <alignment horizontal="center" vertical="center"/>
      <protection hidden="1"/>
    </xf>
    <xf numFmtId="0" fontId="4" fillId="0" borderId="14" xfId="4" applyFont="1" applyBorder="1" applyAlignment="1" applyProtection="1">
      <alignment horizontal="center" vertical="center"/>
      <protection hidden="1"/>
    </xf>
    <xf numFmtId="0" fontId="4" fillId="0" borderId="6" xfId="4" applyFont="1" applyBorder="1" applyAlignment="1" applyProtection="1">
      <alignment horizontal="center" vertical="center"/>
      <protection hidden="1"/>
    </xf>
    <xf numFmtId="2" fontId="4" fillId="0" borderId="23" xfId="4" applyNumberFormat="1" applyFont="1" applyBorder="1" applyAlignment="1" applyProtection="1">
      <alignment horizontal="center" vertical="center"/>
      <protection hidden="1"/>
    </xf>
    <xf numFmtId="2" fontId="4" fillId="0" borderId="16" xfId="4" applyNumberFormat="1" applyFont="1" applyBorder="1" applyAlignment="1" applyProtection="1">
      <alignment horizontal="center" vertical="center"/>
      <protection hidden="1"/>
    </xf>
    <xf numFmtId="167" fontId="6" fillId="0" borderId="0" xfId="5" applyFont="1" applyFill="1" applyBorder="1" applyAlignment="1" applyProtection="1">
      <alignment horizontal="center" vertical="center"/>
      <protection hidden="1"/>
    </xf>
    <xf numFmtId="2" fontId="6" fillId="0" borderId="0" xfId="5" applyNumberFormat="1" applyFont="1" applyFill="1" applyBorder="1" applyAlignment="1" applyProtection="1">
      <alignment horizontal="center" vertical="center"/>
      <protection hidden="1"/>
    </xf>
    <xf numFmtId="2" fontId="4" fillId="0" borderId="0" xfId="5" applyNumberFormat="1" applyFont="1" applyFill="1" applyBorder="1" applyAlignment="1" applyProtection="1">
      <alignment horizontal="center" vertical="center"/>
      <protection hidden="1"/>
    </xf>
    <xf numFmtId="0" fontId="6" fillId="0" borderId="16" xfId="4" applyFont="1" applyBorder="1" applyAlignment="1" applyProtection="1">
      <alignment horizontal="center" vertical="center"/>
      <protection hidden="1"/>
    </xf>
    <xf numFmtId="10" fontId="4" fillId="0" borderId="27" xfId="5" applyNumberFormat="1" applyFont="1" applyFill="1" applyBorder="1" applyAlignment="1" applyProtection="1">
      <alignment horizontal="center" vertical="center"/>
      <protection hidden="1"/>
    </xf>
    <xf numFmtId="10" fontId="4" fillId="0" borderId="28" xfId="5" applyNumberFormat="1" applyFont="1" applyFill="1" applyBorder="1" applyAlignment="1" applyProtection="1">
      <alignment horizontal="center" vertical="center"/>
      <protection hidden="1"/>
    </xf>
    <xf numFmtId="10" fontId="4" fillId="0" borderId="0" xfId="5" applyNumberFormat="1" applyFont="1" applyFill="1" applyBorder="1" applyAlignment="1" applyProtection="1">
      <alignment horizontal="center" vertical="center"/>
      <protection hidden="1"/>
    </xf>
    <xf numFmtId="172" fontId="6" fillId="0" borderId="0" xfId="4" applyNumberFormat="1" applyFont="1" applyAlignment="1" applyProtection="1">
      <alignment horizontal="center" vertical="center"/>
      <protection locked="0" hidden="1"/>
    </xf>
    <xf numFmtId="172" fontId="6" fillId="0" borderId="0" xfId="4" applyNumberFormat="1" applyFont="1" applyAlignment="1" applyProtection="1">
      <alignment horizontal="center" vertical="center"/>
      <protection hidden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10" fontId="15" fillId="4" borderId="2" xfId="0" applyNumberFormat="1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44" fontId="8" fillId="0" borderId="9" xfId="0" applyNumberFormat="1" applyFont="1" applyBorder="1" applyAlignment="1">
      <alignment horizontal="center" vertical="center"/>
    </xf>
    <xf numFmtId="10" fontId="8" fillId="0" borderId="9" xfId="3" applyNumberFormat="1" applyFont="1" applyFill="1" applyBorder="1" applyAlignment="1">
      <alignment horizontal="center" vertical="center"/>
    </xf>
    <xf numFmtId="0" fontId="15" fillId="3" borderId="2" xfId="0" quotePrefix="1" applyFont="1" applyFill="1" applyBorder="1" applyAlignment="1">
      <alignment horizontal="justify" vertical="center" wrapText="1"/>
    </xf>
    <xf numFmtId="0" fontId="15" fillId="3" borderId="2" xfId="0" applyFont="1" applyFill="1" applyBorder="1" applyAlignment="1">
      <alignment horizontal="justify" vertical="center" wrapText="1"/>
    </xf>
    <xf numFmtId="44" fontId="14" fillId="4" borderId="2" xfId="0" applyNumberFormat="1" applyFont="1" applyFill="1" applyBorder="1" applyAlignment="1">
      <alignment vertical="center"/>
    </xf>
    <xf numFmtId="10" fontId="14" fillId="4" borderId="2" xfId="3" applyNumberFormat="1" applyFont="1" applyFill="1" applyBorder="1" applyAlignment="1">
      <alignment horizontal="center" vertical="center"/>
    </xf>
    <xf numFmtId="43" fontId="4" fillId="5" borderId="2" xfId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righ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175" fontId="17" fillId="0" borderId="2" xfId="0" applyNumberFormat="1" applyFont="1" applyBorder="1" applyAlignment="1">
      <alignment horizontal="right" vertical="center" wrapText="1"/>
    </xf>
    <xf numFmtId="169" fontId="2" fillId="2" borderId="2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9" fontId="2" fillId="4" borderId="2" xfId="3" applyFont="1" applyFill="1" applyBorder="1" applyAlignment="1">
      <alignment horizontal="center" vertical="center"/>
    </xf>
    <xf numFmtId="4" fontId="17" fillId="0" borderId="2" xfId="0" applyNumberFormat="1" applyFont="1" applyBorder="1" applyAlignment="1">
      <alignment horizontal="right" vertical="center" wrapText="1"/>
    </xf>
    <xf numFmtId="175" fontId="17" fillId="0" borderId="2" xfId="0" applyNumberFormat="1" applyFont="1" applyBorder="1" applyAlignment="1">
      <alignment horizontal="center" vertical="center" wrapText="1"/>
    </xf>
    <xf numFmtId="43" fontId="17" fillId="0" borderId="2" xfId="1" applyFont="1" applyBorder="1" applyAlignment="1">
      <alignment horizontal="center" vertical="center" wrapText="1"/>
    </xf>
    <xf numFmtId="43" fontId="17" fillId="0" borderId="2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3" fillId="3" borderId="10" xfId="11" applyFont="1" applyFill="1" applyBorder="1" applyAlignment="1">
      <alignment vertical="center"/>
    </xf>
    <xf numFmtId="0" fontId="24" fillId="3" borderId="15" xfId="11" applyFont="1" applyFill="1" applyBorder="1" applyAlignment="1">
      <alignment vertical="center"/>
    </xf>
    <xf numFmtId="0" fontId="22" fillId="0" borderId="0" xfId="11" applyAlignment="1">
      <alignment horizontal="left" vertical="top"/>
    </xf>
    <xf numFmtId="0" fontId="23" fillId="3" borderId="13" xfId="11" applyFont="1" applyFill="1" applyBorder="1" applyAlignment="1">
      <alignment vertical="center"/>
    </xf>
    <xf numFmtId="0" fontId="25" fillId="3" borderId="0" xfId="11" applyFont="1" applyFill="1" applyAlignment="1">
      <alignment horizontal="left" vertical="center"/>
    </xf>
    <xf numFmtId="43" fontId="0" fillId="0" borderId="0" xfId="12" applyFont="1" applyAlignment="1">
      <alignment horizontal="left" vertical="top"/>
    </xf>
    <xf numFmtId="167" fontId="16" fillId="0" borderId="0" xfId="4" applyNumberFormat="1" applyFont="1" applyAlignment="1">
      <alignment horizontal="center" vertical="top"/>
    </xf>
    <xf numFmtId="0" fontId="16" fillId="0" borderId="0" xfId="4" applyFont="1" applyAlignment="1">
      <alignment horizontal="justify" wrapText="1"/>
    </xf>
    <xf numFmtId="0" fontId="8" fillId="0" borderId="0" xfId="4" applyAlignment="1">
      <alignment vertical="center"/>
    </xf>
    <xf numFmtId="167" fontId="8" fillId="0" borderId="0" xfId="4" applyNumberFormat="1" applyAlignment="1">
      <alignment vertical="center"/>
    </xf>
    <xf numFmtId="167" fontId="16" fillId="0" borderId="0" xfId="4" applyNumberFormat="1" applyFont="1" applyAlignment="1">
      <alignment horizontal="center"/>
    </xf>
    <xf numFmtId="167" fontId="8" fillId="0" borderId="3" xfId="4" applyNumberFormat="1" applyBorder="1" applyAlignment="1">
      <alignment horizontal="center" vertical="top"/>
    </xf>
    <xf numFmtId="49" fontId="8" fillId="0" borderId="8" xfId="4" applyNumberFormat="1" applyBorder="1"/>
    <xf numFmtId="0" fontId="8" fillId="0" borderId="8" xfId="4" applyBorder="1"/>
    <xf numFmtId="167" fontId="8" fillId="0" borderId="8" xfId="4" applyNumberFormat="1" applyBorder="1"/>
    <xf numFmtId="167" fontId="8" fillId="0" borderId="4" xfId="4" applyNumberFormat="1" applyBorder="1" applyAlignment="1">
      <alignment horizontal="center"/>
    </xf>
    <xf numFmtId="167" fontId="8" fillId="0" borderId="0" xfId="4" applyNumberFormat="1" applyAlignment="1">
      <alignment horizontal="center"/>
    </xf>
    <xf numFmtId="0" fontId="8" fillId="0" borderId="0" xfId="4" applyAlignment="1">
      <alignment horizontal="justify" wrapText="1"/>
    </xf>
    <xf numFmtId="167" fontId="8" fillId="0" borderId="0" xfId="13" applyFont="1" applyBorder="1" applyAlignment="1"/>
    <xf numFmtId="167" fontId="8" fillId="0" borderId="0" xfId="4" applyNumberFormat="1"/>
    <xf numFmtId="167" fontId="16" fillId="2" borderId="2" xfId="13" applyFont="1" applyFill="1" applyBorder="1" applyAlignment="1"/>
    <xf numFmtId="167" fontId="16" fillId="2" borderId="2" xfId="4" applyNumberFormat="1" applyFont="1" applyFill="1" applyBorder="1"/>
    <xf numFmtId="167" fontId="16" fillId="0" borderId="0" xfId="13" applyFont="1" applyFill="1" applyBorder="1" applyAlignment="1"/>
    <xf numFmtId="167" fontId="26" fillId="0" borderId="0" xfId="13" applyFont="1" applyBorder="1" applyAlignment="1"/>
    <xf numFmtId="0" fontId="16" fillId="4" borderId="0" xfId="4" applyFont="1" applyFill="1" applyAlignment="1">
      <alignment vertical="top"/>
    </xf>
    <xf numFmtId="49" fontId="16" fillId="4" borderId="0" xfId="4" applyNumberFormat="1" applyFont="1" applyFill="1" applyAlignment="1">
      <alignment vertical="center"/>
    </xf>
    <xf numFmtId="0" fontId="16" fillId="0" borderId="0" xfId="4" applyFont="1" applyAlignment="1">
      <alignment vertical="top"/>
    </xf>
    <xf numFmtId="49" fontId="8" fillId="0" borderId="0" xfId="4" applyNumberFormat="1" applyAlignment="1">
      <alignment vertical="center"/>
    </xf>
    <xf numFmtId="167" fontId="8" fillId="0" borderId="0" xfId="13" applyFont="1" applyBorder="1" applyAlignment="1">
      <alignment vertical="center"/>
    </xf>
    <xf numFmtId="49" fontId="16" fillId="0" borderId="0" xfId="4" applyNumberFormat="1" applyFont="1" applyAlignment="1">
      <alignment wrapText="1"/>
    </xf>
    <xf numFmtId="167" fontId="16" fillId="0" borderId="0" xfId="4" applyNumberFormat="1" applyFont="1" applyAlignment="1">
      <alignment horizontal="center" vertical="center"/>
    </xf>
    <xf numFmtId="167" fontId="16" fillId="0" borderId="0" xfId="4" applyNumberFormat="1" applyFont="1"/>
    <xf numFmtId="167" fontId="26" fillId="0" borderId="0" xfId="4" applyNumberFormat="1" applyFont="1" applyAlignment="1">
      <alignment horizontal="center"/>
    </xf>
    <xf numFmtId="0" fontId="26" fillId="0" borderId="0" xfId="4" applyFont="1" applyAlignment="1">
      <alignment horizontal="justify" wrapText="1"/>
    </xf>
    <xf numFmtId="167" fontId="26" fillId="0" borderId="0" xfId="4" applyNumberFormat="1" applyFont="1"/>
    <xf numFmtId="167" fontId="27" fillId="0" borderId="0" xfId="4" applyNumberFormat="1" applyFont="1" applyAlignment="1">
      <alignment horizontal="center"/>
    </xf>
    <xf numFmtId="167" fontId="8" fillId="0" borderId="3" xfId="4" applyNumberFormat="1" applyBorder="1" applyAlignment="1">
      <alignment horizontal="center" vertical="center"/>
    </xf>
    <xf numFmtId="49" fontId="22" fillId="0" borderId="0" xfId="11" applyNumberFormat="1"/>
    <xf numFmtId="0" fontId="22" fillId="0" borderId="0" xfId="11" applyAlignment="1">
      <alignment horizontal="center" vertical="center"/>
    </xf>
    <xf numFmtId="176" fontId="8" fillId="0" borderId="0" xfId="13" applyNumberFormat="1" applyFont="1" applyBorder="1" applyAlignment="1"/>
    <xf numFmtId="167" fontId="28" fillId="0" borderId="0" xfId="4" applyNumberFormat="1" applyFont="1" applyAlignment="1">
      <alignment horizontal="center"/>
    </xf>
    <xf numFmtId="167" fontId="29" fillId="0" borderId="0" xfId="4" applyNumberFormat="1" applyFont="1" applyAlignment="1">
      <alignment horizontal="center"/>
    </xf>
    <xf numFmtId="0" fontId="23" fillId="3" borderId="15" xfId="11" applyFont="1" applyFill="1" applyBorder="1" applyAlignment="1">
      <alignment vertical="center" wrapText="1"/>
    </xf>
    <xf numFmtId="0" fontId="23" fillId="3" borderId="14" xfId="11" applyFont="1" applyFill="1" applyBorder="1" applyAlignment="1">
      <alignment vertical="center" wrapText="1"/>
    </xf>
    <xf numFmtId="0" fontId="24" fillId="3" borderId="14" xfId="11" applyFont="1" applyFill="1" applyBorder="1" applyAlignment="1">
      <alignment vertical="center"/>
    </xf>
    <xf numFmtId="43" fontId="23" fillId="0" borderId="11" xfId="12" applyFont="1" applyFill="1" applyBorder="1" applyAlignment="1">
      <alignment horizontal="left" vertical="center"/>
    </xf>
    <xf numFmtId="43" fontId="23" fillId="0" borderId="6" xfId="12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44" fontId="2" fillId="4" borderId="2" xfId="0" applyNumberFormat="1" applyFont="1" applyFill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167" fontId="4" fillId="0" borderId="15" xfId="0" applyNumberFormat="1" applyFont="1" applyBorder="1" applyAlignment="1">
      <alignment horizontal="left" vertical="center"/>
    </xf>
    <xf numFmtId="0" fontId="6" fillId="0" borderId="15" xfId="0" applyFont="1" applyBorder="1" applyAlignment="1">
      <alignment vertical="center"/>
    </xf>
    <xf numFmtId="43" fontId="6" fillId="0" borderId="15" xfId="1" applyFont="1" applyFill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169" fontId="2" fillId="5" borderId="2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44" fontId="15" fillId="3" borderId="9" xfId="0" applyNumberFormat="1" applyFont="1" applyFill="1" applyBorder="1" applyAlignment="1">
      <alignment horizontal="center" vertical="center"/>
    </xf>
    <xf numFmtId="10" fontId="15" fillId="3" borderId="9" xfId="3" applyNumberFormat="1" applyFont="1" applyFill="1" applyBorder="1" applyAlignment="1">
      <alignment horizontal="center" vertical="center"/>
    </xf>
    <xf numFmtId="173" fontId="4" fillId="4" borderId="2" xfId="2" applyNumberFormat="1" applyFont="1" applyFill="1" applyBorder="1" applyAlignment="1">
      <alignment horizontal="center" vertical="center" wrapText="1"/>
    </xf>
    <xf numFmtId="10" fontId="4" fillId="4" borderId="2" xfId="3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1" fontId="4" fillId="4" borderId="2" xfId="1" applyNumberFormat="1" applyFont="1" applyFill="1" applyBorder="1" applyAlignment="1">
      <alignment horizontal="center" vertical="center" wrapText="1"/>
    </xf>
    <xf numFmtId="0" fontId="30" fillId="0" borderId="0" xfId="0" applyFont="1"/>
    <xf numFmtId="0" fontId="17" fillId="7" borderId="2" xfId="0" applyFont="1" applyFill="1" applyBorder="1" applyAlignment="1">
      <alignment horizontal="right" vertical="center" wrapText="1"/>
    </xf>
    <xf numFmtId="0" fontId="17" fillId="7" borderId="2" xfId="0" applyFont="1" applyFill="1" applyBorder="1" applyAlignment="1">
      <alignment horizontal="left" vertical="center" wrapText="1"/>
    </xf>
    <xf numFmtId="0" fontId="17" fillId="7" borderId="2" xfId="0" applyFont="1" applyFill="1" applyBorder="1" applyAlignment="1">
      <alignment horizontal="center" vertical="center" wrapText="1"/>
    </xf>
    <xf numFmtId="175" fontId="17" fillId="7" borderId="2" xfId="0" applyNumberFormat="1" applyFont="1" applyFill="1" applyBorder="1" applyAlignment="1">
      <alignment horizontal="right" vertical="center" wrapText="1"/>
    </xf>
    <xf numFmtId="4" fontId="17" fillId="7" borderId="2" xfId="0" applyNumberFormat="1" applyFont="1" applyFill="1" applyBorder="1" applyAlignment="1">
      <alignment horizontal="right" vertical="center" wrapText="1"/>
    </xf>
    <xf numFmtId="0" fontId="17" fillId="8" borderId="2" xfId="0" applyFont="1" applyFill="1" applyBorder="1" applyAlignment="1">
      <alignment horizontal="right" vertical="center" wrapText="1"/>
    </xf>
    <xf numFmtId="0" fontId="17" fillId="8" borderId="2" xfId="0" applyFont="1" applyFill="1" applyBorder="1" applyAlignment="1">
      <alignment horizontal="left" vertical="center" wrapText="1"/>
    </xf>
    <xf numFmtId="0" fontId="17" fillId="8" borderId="2" xfId="0" applyFont="1" applyFill="1" applyBorder="1" applyAlignment="1">
      <alignment horizontal="center" vertical="center" wrapText="1"/>
    </xf>
    <xf numFmtId="175" fontId="17" fillId="8" borderId="2" xfId="0" applyNumberFormat="1" applyFont="1" applyFill="1" applyBorder="1" applyAlignment="1">
      <alignment horizontal="right" vertical="center" wrapText="1"/>
    </xf>
    <xf numFmtId="4" fontId="17" fillId="8" borderId="2" xfId="0" applyNumberFormat="1" applyFont="1" applyFill="1" applyBorder="1" applyAlignment="1">
      <alignment horizontal="right" vertical="center" wrapText="1"/>
    </xf>
    <xf numFmtId="0" fontId="33" fillId="0" borderId="0" xfId="0" applyFont="1"/>
    <xf numFmtId="0" fontId="32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left" vertical="center" wrapText="1"/>
    </xf>
    <xf numFmtId="175" fontId="32" fillId="0" borderId="2" xfId="0" applyNumberFormat="1" applyFont="1" applyBorder="1" applyAlignment="1">
      <alignment horizontal="right" vertical="center" wrapText="1"/>
    </xf>
    <xf numFmtId="4" fontId="32" fillId="0" borderId="2" xfId="0" applyNumberFormat="1" applyFont="1" applyBorder="1" applyAlignment="1">
      <alignment horizontal="right" vertical="center" wrapText="1"/>
    </xf>
    <xf numFmtId="0" fontId="18" fillId="4" borderId="2" xfId="0" applyFont="1" applyFill="1" applyBorder="1" applyAlignment="1">
      <alignment horizontal="right" vertical="center" wrapText="1"/>
    </xf>
    <xf numFmtId="0" fontId="18" fillId="4" borderId="2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right" vertical="center" wrapText="1"/>
    </xf>
    <xf numFmtId="0" fontId="19" fillId="4" borderId="2" xfId="0" applyFont="1" applyFill="1" applyBorder="1" applyAlignment="1">
      <alignment horizontal="left" vertical="center" wrapText="1"/>
    </xf>
    <xf numFmtId="0" fontId="19" fillId="4" borderId="2" xfId="0" applyFont="1" applyFill="1" applyBorder="1" applyAlignment="1">
      <alignment horizontal="center" vertical="center" wrapText="1"/>
    </xf>
    <xf numFmtId="175" fontId="19" fillId="4" borderId="2" xfId="0" applyNumberFormat="1" applyFont="1" applyFill="1" applyBorder="1" applyAlignment="1">
      <alignment horizontal="right" vertical="center" wrapText="1"/>
    </xf>
    <xf numFmtId="4" fontId="19" fillId="4" borderId="2" xfId="0" applyNumberFormat="1" applyFont="1" applyFill="1" applyBorder="1" applyAlignment="1">
      <alignment horizontal="right" vertical="center" wrapText="1"/>
    </xf>
    <xf numFmtId="0" fontId="5" fillId="4" borderId="2" xfId="4" applyFont="1" applyFill="1" applyBorder="1" applyAlignment="1">
      <alignment horizontal="center" vertical="center" wrapText="1"/>
    </xf>
    <xf numFmtId="0" fontId="5" fillId="4" borderId="2" xfId="4" applyFont="1" applyFill="1" applyBorder="1" applyAlignment="1">
      <alignment horizontal="center" vertical="center"/>
    </xf>
    <xf numFmtId="175" fontId="19" fillId="4" borderId="2" xfId="0" applyNumberFormat="1" applyFont="1" applyFill="1" applyBorder="1" applyAlignment="1">
      <alignment horizontal="center" vertical="center" wrapText="1"/>
    </xf>
    <xf numFmtId="43" fontId="19" fillId="4" borderId="2" xfId="1" applyFont="1" applyFill="1" applyBorder="1" applyAlignment="1">
      <alignment horizontal="right" vertical="center" wrapText="1"/>
    </xf>
    <xf numFmtId="0" fontId="0" fillId="3" borderId="0" xfId="0" applyFill="1"/>
    <xf numFmtId="0" fontId="12" fillId="3" borderId="0" xfId="0" applyFont="1" applyFill="1"/>
    <xf numFmtId="0" fontId="7" fillId="9" borderId="2" xfId="4" applyFont="1" applyFill="1" applyBorder="1" applyAlignment="1">
      <alignment horizontal="center" vertical="center" wrapText="1"/>
    </xf>
    <xf numFmtId="0" fontId="3" fillId="9" borderId="0" xfId="0" applyFont="1" applyFill="1" applyAlignment="1">
      <alignment vertical="center"/>
    </xf>
    <xf numFmtId="174" fontId="7" fillId="9" borderId="2" xfId="5" applyNumberFormat="1" applyFont="1" applyFill="1" applyBorder="1" applyAlignment="1">
      <alignment horizontal="center" vertical="center" wrapText="1"/>
    </xf>
    <xf numFmtId="169" fontId="7" fillId="9" borderId="2" xfId="4" applyNumberFormat="1" applyFont="1" applyFill="1" applyBorder="1" applyAlignment="1">
      <alignment horizontal="center" vertical="center" wrapText="1"/>
    </xf>
    <xf numFmtId="0" fontId="5" fillId="9" borderId="2" xfId="4" applyFont="1" applyFill="1" applyBorder="1" applyAlignment="1">
      <alignment horizontal="center" vertical="center"/>
    </xf>
    <xf numFmtId="43" fontId="18" fillId="4" borderId="2" xfId="1" applyFont="1" applyFill="1" applyBorder="1" applyAlignment="1">
      <alignment horizontal="center" vertical="center" wrapText="1"/>
    </xf>
    <xf numFmtId="43" fontId="19" fillId="4" borderId="2" xfId="1" applyFont="1" applyFill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right" vertical="center" wrapText="1"/>
    </xf>
    <xf numFmtId="0" fontId="18" fillId="10" borderId="2" xfId="0" applyFont="1" applyFill="1" applyBorder="1" applyAlignment="1">
      <alignment horizontal="left" vertical="center" wrapText="1"/>
    </xf>
    <xf numFmtId="0" fontId="18" fillId="10" borderId="2" xfId="0" applyFont="1" applyFill="1" applyBorder="1" applyAlignment="1">
      <alignment horizontal="center" vertical="center" wrapText="1"/>
    </xf>
    <xf numFmtId="0" fontId="19" fillId="11" borderId="2" xfId="0" applyFont="1" applyFill="1" applyBorder="1" applyAlignment="1">
      <alignment horizontal="right" vertical="center" wrapText="1"/>
    </xf>
    <xf numFmtId="0" fontId="19" fillId="11" borderId="2" xfId="0" applyFont="1" applyFill="1" applyBorder="1" applyAlignment="1">
      <alignment horizontal="left" vertical="center" wrapText="1"/>
    </xf>
    <xf numFmtId="0" fontId="19" fillId="11" borderId="2" xfId="0" applyFont="1" applyFill="1" applyBorder="1" applyAlignment="1">
      <alignment horizontal="center" vertical="center" wrapText="1"/>
    </xf>
    <xf numFmtId="175" fontId="19" fillId="11" borderId="2" xfId="0" applyNumberFormat="1" applyFont="1" applyFill="1" applyBorder="1" applyAlignment="1">
      <alignment horizontal="right" vertical="center" wrapText="1"/>
    </xf>
    <xf numFmtId="4" fontId="19" fillId="11" borderId="2" xfId="0" applyNumberFormat="1" applyFont="1" applyFill="1" applyBorder="1" applyAlignment="1">
      <alignment horizontal="right" vertical="center" wrapText="1"/>
    </xf>
    <xf numFmtId="0" fontId="15" fillId="0" borderId="8" xfId="0" applyFont="1" applyBorder="1" applyAlignment="1">
      <alignment horizontal="justify" vertical="center"/>
    </xf>
    <xf numFmtId="0" fontId="2" fillId="2" borderId="8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left" vertical="center" wrapText="1"/>
    </xf>
    <xf numFmtId="167" fontId="16" fillId="3" borderId="15" xfId="13" applyFont="1" applyFill="1" applyBorder="1" applyAlignment="1"/>
    <xf numFmtId="167" fontId="16" fillId="3" borderId="15" xfId="4" applyNumberFormat="1" applyFont="1" applyFill="1" applyBorder="1"/>
    <xf numFmtId="169" fontId="7" fillId="0" borderId="2" xfId="4" applyNumberFormat="1" applyFont="1" applyBorder="1" applyAlignment="1">
      <alignment horizontal="right" vertical="center" wrapText="1"/>
    </xf>
    <xf numFmtId="0" fontId="5" fillId="12" borderId="2" xfId="4" applyFont="1" applyFill="1" applyBorder="1" applyAlignment="1">
      <alignment horizontal="center" vertical="center"/>
    </xf>
    <xf numFmtId="169" fontId="0" fillId="0" borderId="0" xfId="0" applyNumberFormat="1"/>
    <xf numFmtId="169" fontId="7" fillId="6" borderId="2" xfId="4" applyNumberFormat="1" applyFont="1" applyFill="1" applyBorder="1" applyAlignment="1">
      <alignment horizontal="right" vertical="center" wrapText="1"/>
    </xf>
    <xf numFmtId="43" fontId="7" fillId="0" borderId="3" xfId="0" applyNumberFormat="1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49" fontId="3" fillId="3" borderId="9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4" fontId="3" fillId="0" borderId="3" xfId="2" applyFont="1" applyFill="1" applyBorder="1" applyAlignment="1">
      <alignment vertical="center"/>
    </xf>
    <xf numFmtId="44" fontId="3" fillId="0" borderId="4" xfId="2" applyFont="1" applyFill="1" applyBorder="1" applyAlignment="1">
      <alignment vertical="center"/>
    </xf>
    <xf numFmtId="169" fontId="7" fillId="0" borderId="3" xfId="1" applyNumberFormat="1" applyFont="1" applyFill="1" applyBorder="1" applyAlignment="1">
      <alignment horizontal="center" vertical="center" wrapText="1"/>
    </xf>
    <xf numFmtId="169" fontId="7" fillId="0" borderId="4" xfId="1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168" fontId="5" fillId="2" borderId="8" xfId="0" applyNumberFormat="1" applyFont="1" applyFill="1" applyBorder="1" applyAlignment="1">
      <alignment horizontal="center" vertical="center" wrapText="1"/>
    </xf>
    <xf numFmtId="168" fontId="5" fillId="2" borderId="4" xfId="0" applyNumberFormat="1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43" fontId="4" fillId="5" borderId="9" xfId="1" applyFont="1" applyFill="1" applyBorder="1" applyAlignment="1">
      <alignment horizontal="center" vertical="center"/>
    </xf>
    <xf numFmtId="43" fontId="4" fillId="5" borderId="12" xfId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43" fontId="4" fillId="5" borderId="10" xfId="1" applyFont="1" applyFill="1" applyBorder="1" applyAlignment="1">
      <alignment horizontal="center" vertical="center"/>
    </xf>
    <xf numFmtId="43" fontId="4" fillId="5" borderId="11" xfId="1" applyFont="1" applyFill="1" applyBorder="1" applyAlignment="1">
      <alignment horizontal="center" vertical="center"/>
    </xf>
    <xf numFmtId="43" fontId="4" fillId="5" borderId="13" xfId="1" applyFont="1" applyFill="1" applyBorder="1" applyAlignment="1">
      <alignment horizontal="center" vertical="center"/>
    </xf>
    <xf numFmtId="43" fontId="4" fillId="5" borderId="6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9" fontId="7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10" fontId="7" fillId="0" borderId="2" xfId="0" applyNumberFormat="1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173" fontId="5" fillId="4" borderId="9" xfId="2" applyNumberFormat="1" applyFont="1" applyFill="1" applyBorder="1" applyAlignment="1">
      <alignment horizontal="center" vertical="center" wrapText="1"/>
    </xf>
    <xf numFmtId="173" fontId="5" fillId="4" borderId="12" xfId="2" applyNumberFormat="1" applyFont="1" applyFill="1" applyBorder="1" applyAlignment="1">
      <alignment horizontal="center" vertical="center" wrapText="1"/>
    </xf>
    <xf numFmtId="10" fontId="5" fillId="4" borderId="9" xfId="0" applyNumberFormat="1" applyFont="1" applyFill="1" applyBorder="1" applyAlignment="1">
      <alignment horizontal="center" vertical="center" wrapText="1"/>
    </xf>
    <xf numFmtId="10" fontId="5" fillId="4" borderId="29" xfId="0" applyNumberFormat="1" applyFont="1" applyFill="1" applyBorder="1" applyAlignment="1">
      <alignment horizontal="center" vertical="center" wrapText="1"/>
    </xf>
    <xf numFmtId="10" fontId="5" fillId="4" borderId="12" xfId="0" applyNumberFormat="1" applyFont="1" applyFill="1" applyBorder="1" applyAlignment="1">
      <alignment horizontal="center" vertical="center" wrapText="1"/>
    </xf>
    <xf numFmtId="10" fontId="5" fillId="4" borderId="9" xfId="3" applyNumberFormat="1" applyFont="1" applyFill="1" applyBorder="1" applyAlignment="1">
      <alignment horizontal="center" vertical="center" wrapText="1"/>
    </xf>
    <xf numFmtId="10" fontId="5" fillId="4" borderId="12" xfId="3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167" fontId="4" fillId="4" borderId="2" xfId="1" applyNumberFormat="1" applyFont="1" applyFill="1" applyBorder="1" applyAlignment="1">
      <alignment horizontal="center" vertical="center" wrapText="1"/>
    </xf>
    <xf numFmtId="167" fontId="4" fillId="4" borderId="2" xfId="1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3" fontId="4" fillId="5" borderId="3" xfId="1" applyFont="1" applyFill="1" applyBorder="1" applyAlignment="1">
      <alignment horizontal="center" vertical="center"/>
    </xf>
    <xf numFmtId="43" fontId="4" fillId="5" borderId="8" xfId="1" applyFont="1" applyFill="1" applyBorder="1" applyAlignment="1">
      <alignment horizontal="center" vertical="center"/>
    </xf>
    <xf numFmtId="43" fontId="4" fillId="5" borderId="4" xfId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9" borderId="3" xfId="4" applyFont="1" applyFill="1" applyBorder="1" applyAlignment="1">
      <alignment horizontal="center" vertical="center" wrapText="1"/>
    </xf>
    <xf numFmtId="0" fontId="5" fillId="9" borderId="8" xfId="4" applyFont="1" applyFill="1" applyBorder="1" applyAlignment="1">
      <alignment horizontal="center" vertical="center" wrapText="1"/>
    </xf>
    <xf numFmtId="0" fontId="5" fillId="9" borderId="4" xfId="4" applyFont="1" applyFill="1" applyBorder="1" applyAlignment="1">
      <alignment horizontal="center" vertical="center" wrapText="1"/>
    </xf>
    <xf numFmtId="0" fontId="5" fillId="6" borderId="3" xfId="4" applyFont="1" applyFill="1" applyBorder="1" applyAlignment="1">
      <alignment horizontal="center" vertical="center" wrapText="1"/>
    </xf>
    <xf numFmtId="0" fontId="5" fillId="6" borderId="4" xfId="4" applyFont="1" applyFill="1" applyBorder="1" applyAlignment="1">
      <alignment horizontal="center" vertical="center" wrapText="1"/>
    </xf>
    <xf numFmtId="0" fontId="7" fillId="6" borderId="3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5" fillId="6" borderId="3" xfId="4" applyFont="1" applyFill="1" applyBorder="1" applyAlignment="1">
      <alignment horizontal="right" vertical="center" wrapText="1"/>
    </xf>
    <xf numFmtId="0" fontId="5" fillId="6" borderId="8" xfId="4" applyFont="1" applyFill="1" applyBorder="1" applyAlignment="1">
      <alignment horizontal="right" vertical="center" wrapText="1"/>
    </xf>
    <xf numFmtId="0" fontId="5" fillId="4" borderId="3" xfId="4" applyFont="1" applyFill="1" applyBorder="1" applyAlignment="1">
      <alignment horizontal="center" vertical="center" wrapText="1"/>
    </xf>
    <xf numFmtId="0" fontId="5" fillId="4" borderId="8" xfId="4" applyFont="1" applyFill="1" applyBorder="1" applyAlignment="1">
      <alignment horizontal="center" vertical="center" wrapText="1"/>
    </xf>
    <xf numFmtId="0" fontId="5" fillId="4" borderId="4" xfId="4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6" borderId="3" xfId="4" applyFont="1" applyFill="1" applyBorder="1" applyAlignment="1">
      <alignment horizontal="right" vertical="center"/>
    </xf>
    <xf numFmtId="0" fontId="5" fillId="6" borderId="8" xfId="4" applyFont="1" applyFill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5" fillId="6" borderId="2" xfId="4" applyFont="1" applyFill="1" applyBorder="1" applyAlignment="1">
      <alignment horizontal="center" vertical="center" wrapText="1"/>
    </xf>
    <xf numFmtId="0" fontId="5" fillId="12" borderId="2" xfId="4" applyFont="1" applyFill="1" applyBorder="1" applyAlignment="1">
      <alignment horizontal="center" vertical="center" wrapText="1"/>
    </xf>
    <xf numFmtId="49" fontId="8" fillId="0" borderId="8" xfId="4" applyNumberFormat="1" applyBorder="1" applyAlignment="1">
      <alignment horizontal="left" vertical="center" wrapText="1"/>
    </xf>
    <xf numFmtId="49" fontId="8" fillId="0" borderId="4" xfId="4" applyNumberFormat="1" applyBorder="1" applyAlignment="1">
      <alignment horizontal="left" vertical="center" wrapText="1"/>
    </xf>
    <xf numFmtId="17" fontId="16" fillId="4" borderId="0" xfId="4" applyNumberFormat="1" applyFont="1" applyFill="1" applyAlignment="1">
      <alignment horizontal="left" vertical="center"/>
    </xf>
    <xf numFmtId="0" fontId="16" fillId="4" borderId="0" xfId="4" applyFont="1" applyFill="1" applyAlignment="1">
      <alignment horizontal="left" vertical="center"/>
    </xf>
    <xf numFmtId="167" fontId="16" fillId="2" borderId="2" xfId="4" applyNumberFormat="1" applyFont="1" applyFill="1" applyBorder="1" applyAlignment="1">
      <alignment horizontal="center" vertical="justify" wrapText="1"/>
    </xf>
    <xf numFmtId="0" fontId="16" fillId="4" borderId="2" xfId="4" applyFont="1" applyFill="1" applyBorder="1" applyAlignment="1">
      <alignment horizontal="center" vertical="center"/>
    </xf>
    <xf numFmtId="0" fontId="4" fillId="0" borderId="26" xfId="4" applyFont="1" applyBorder="1" applyAlignment="1" applyProtection="1">
      <alignment horizontal="right" vertical="center"/>
      <protection hidden="1"/>
    </xf>
    <xf numFmtId="0" fontId="4" fillId="0" borderId="27" xfId="4" applyFont="1" applyBorder="1" applyAlignment="1" applyProtection="1">
      <alignment horizontal="right" vertical="center"/>
      <protection hidden="1"/>
    </xf>
    <xf numFmtId="172" fontId="6" fillId="0" borderId="0" xfId="4" applyNumberFormat="1" applyFont="1" applyAlignment="1" applyProtection="1">
      <alignment horizontal="center" vertical="center"/>
      <protection hidden="1"/>
    </xf>
    <xf numFmtId="2" fontId="6" fillId="0" borderId="0" xfId="4" applyNumberFormat="1" applyFont="1" applyAlignment="1" applyProtection="1">
      <alignment horizontal="center" vertical="center"/>
      <protection hidden="1"/>
    </xf>
    <xf numFmtId="172" fontId="6" fillId="0" borderId="8" xfId="4" applyNumberFormat="1" applyFont="1" applyBorder="1" applyAlignment="1" applyProtection="1">
      <alignment horizontal="center" vertical="center"/>
      <protection hidden="1"/>
    </xf>
    <xf numFmtId="172" fontId="6" fillId="0" borderId="4" xfId="4" applyNumberFormat="1" applyFont="1" applyBorder="1" applyAlignment="1" applyProtection="1">
      <alignment horizontal="center" vertical="center"/>
      <protection hidden="1"/>
    </xf>
    <xf numFmtId="0" fontId="4" fillId="0" borderId="21" xfId="4" applyFont="1" applyBorder="1" applyAlignment="1" applyProtection="1">
      <alignment horizontal="left" vertical="center"/>
      <protection hidden="1"/>
    </xf>
    <xf numFmtId="0" fontId="4" fillId="0" borderId="22" xfId="4" applyFont="1" applyBorder="1" applyAlignment="1" applyProtection="1">
      <alignment horizontal="left" vertical="center"/>
      <protection hidden="1"/>
    </xf>
    <xf numFmtId="0" fontId="4" fillId="0" borderId="22" xfId="4" applyFont="1" applyBorder="1" applyAlignment="1" applyProtection="1">
      <alignment horizontal="center" vertical="center"/>
      <protection hidden="1"/>
    </xf>
    <xf numFmtId="0" fontId="6" fillId="0" borderId="24" xfId="4" applyFont="1" applyBorder="1" applyAlignment="1" applyProtection="1">
      <alignment horizontal="center" vertical="center"/>
      <protection hidden="1"/>
    </xf>
    <xf numFmtId="0" fontId="6" fillId="0" borderId="0" xfId="4" applyFont="1" applyAlignment="1" applyProtection="1">
      <alignment horizontal="center" vertical="center"/>
      <protection hidden="1"/>
    </xf>
    <xf numFmtId="0" fontId="4" fillId="0" borderId="19" xfId="4" applyFont="1" applyBorder="1" applyAlignment="1" applyProtection="1">
      <alignment horizontal="center" vertical="center"/>
      <protection hidden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4" fillId="0" borderId="5" xfId="4" applyFont="1" applyBorder="1" applyAlignment="1" applyProtection="1">
      <alignment horizontal="left" vertical="center"/>
      <protection hidden="1"/>
    </xf>
    <xf numFmtId="0" fontId="4" fillId="0" borderId="0" xfId="4" applyFont="1" applyAlignment="1" applyProtection="1">
      <alignment horizontal="left" vertical="center"/>
      <protection hidden="1"/>
    </xf>
    <xf numFmtId="0" fontId="4" fillId="0" borderId="18" xfId="4" applyFont="1" applyBorder="1" applyAlignment="1" applyProtection="1">
      <alignment horizontal="left" vertical="center"/>
      <protection hidden="1"/>
    </xf>
    <xf numFmtId="0" fontId="4" fillId="0" borderId="19" xfId="4" applyFont="1" applyBorder="1" applyAlignment="1" applyProtection="1">
      <alignment horizontal="left" vertical="center"/>
      <protection hidden="1"/>
    </xf>
    <xf numFmtId="10" fontId="15" fillId="0" borderId="2" xfId="3" applyNumberFormat="1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right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44" fontId="15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right" vertical="center"/>
    </xf>
    <xf numFmtId="0" fontId="14" fillId="4" borderId="4" xfId="0" applyFont="1" applyFill="1" applyBorder="1" applyAlignment="1">
      <alignment horizontal="right" vertical="center"/>
    </xf>
    <xf numFmtId="0" fontId="14" fillId="4" borderId="3" xfId="0" applyFont="1" applyFill="1" applyBorder="1" applyAlignment="1">
      <alignment horizontal="left" vertical="center"/>
    </xf>
    <xf numFmtId="0" fontId="14" fillId="4" borderId="8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3" borderId="9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44" fontId="15" fillId="3" borderId="2" xfId="0" applyNumberFormat="1" applyFont="1" applyFill="1" applyBorder="1" applyAlignment="1">
      <alignment horizontal="center" vertical="center"/>
    </xf>
    <xf numFmtId="10" fontId="15" fillId="0" borderId="11" xfId="3" applyNumberFormat="1" applyFont="1" applyFill="1" applyBorder="1" applyAlignment="1">
      <alignment horizontal="center" vertical="center"/>
    </xf>
    <xf numFmtId="10" fontId="15" fillId="0" borderId="6" xfId="3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44" fontId="15" fillId="3" borderId="9" xfId="0" applyNumberFormat="1" applyFont="1" applyFill="1" applyBorder="1" applyAlignment="1">
      <alignment horizontal="center" vertical="center"/>
    </xf>
    <xf numFmtId="44" fontId="15" fillId="3" borderId="12" xfId="0" applyNumberFormat="1" applyFont="1" applyFill="1" applyBorder="1" applyAlignment="1">
      <alignment horizontal="center" vertical="center"/>
    </xf>
    <xf numFmtId="10" fontId="15" fillId="3" borderId="9" xfId="3" applyNumberFormat="1" applyFont="1" applyFill="1" applyBorder="1" applyAlignment="1">
      <alignment horizontal="center" vertical="center"/>
    </xf>
    <xf numFmtId="10" fontId="15" fillId="3" borderId="12" xfId="3" applyNumberFormat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44" fontId="8" fillId="3" borderId="9" xfId="0" applyNumberFormat="1" applyFont="1" applyFill="1" applyBorder="1" applyAlignment="1">
      <alignment horizontal="center" vertical="center"/>
    </xf>
    <xf numFmtId="44" fontId="8" fillId="3" borderId="12" xfId="0" applyNumberFormat="1" applyFont="1" applyFill="1" applyBorder="1" applyAlignment="1">
      <alignment horizontal="center" vertical="center"/>
    </xf>
    <xf numFmtId="10" fontId="8" fillId="3" borderId="9" xfId="3" applyNumberFormat="1" applyFont="1" applyFill="1" applyBorder="1" applyAlignment="1">
      <alignment horizontal="center" vertical="center"/>
    </xf>
    <xf numFmtId="10" fontId="8" fillId="3" borderId="12" xfId="3" applyNumberFormat="1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left" vertical="center"/>
    </xf>
    <xf numFmtId="0" fontId="16" fillId="4" borderId="8" xfId="0" applyFont="1" applyFill="1" applyBorder="1" applyAlignment="1">
      <alignment horizontal="left" vertical="center"/>
    </xf>
    <xf numFmtId="0" fontId="16" fillId="4" borderId="4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</cellXfs>
  <cellStyles count="15">
    <cellStyle name="Moeda" xfId="2" builtinId="4"/>
    <cellStyle name="Normal" xfId="0" builtinId="0"/>
    <cellStyle name="Normal 2" xfId="4" xr:uid="{00000000-0005-0000-0000-000002000000}"/>
    <cellStyle name="Normal 2 2 2 2" xfId="8" xr:uid="{26A06343-2AFA-43DE-8E79-C6E205D57E9C}"/>
    <cellStyle name="Normal 3" xfId="6" xr:uid="{00000000-0005-0000-0000-000003000000}"/>
    <cellStyle name="Normal 4" xfId="11" xr:uid="{1732E3E4-CCE5-48C0-B125-D197BED4EC01}"/>
    <cellStyle name="Normal 5" xfId="14" xr:uid="{1BDBC98E-F9C5-4DD8-B75F-94D0A1C88FEB}"/>
    <cellStyle name="Porcentagem" xfId="3" builtinId="5"/>
    <cellStyle name="Porcentagem 2" xfId="7" xr:uid="{00000000-0005-0000-0000-000005000000}"/>
    <cellStyle name="Porcentagem 3" xfId="9" xr:uid="{B5282DD0-FE38-41AA-90B3-EF6BFF257EDD}"/>
    <cellStyle name="Separador de milhares 2" xfId="5" xr:uid="{00000000-0005-0000-0000-000006000000}"/>
    <cellStyle name="Vírgula" xfId="1" builtinId="3"/>
    <cellStyle name="Vírgula 2" xfId="12" xr:uid="{A61B760A-2E72-451A-8CEF-FC2B8B2FA3C3}"/>
    <cellStyle name="Vírgula 2 2" xfId="13" xr:uid="{BDFAD721-879A-4A65-B30C-5CA6B3434D86}"/>
    <cellStyle name="Vírgula 3" xfId="10" xr:uid="{020FCBDC-51E3-4886-B310-96EB08A6CE95}"/>
  </cellStyles>
  <dxfs count="49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9267</xdr:colOff>
      <xdr:row>24</xdr:row>
      <xdr:rowOff>38100</xdr:rowOff>
    </xdr:from>
    <xdr:to>
      <xdr:col>3</xdr:col>
      <xdr:colOff>249051</xdr:colOff>
      <xdr:row>39</xdr:row>
      <xdr:rowOff>124612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E50102B2-C5CB-0800-ABB6-BFCE0968F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367" y="3743325"/>
          <a:ext cx="4478409" cy="2515387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95</xdr:row>
      <xdr:rowOff>47625</xdr:rowOff>
    </xdr:from>
    <xdr:to>
      <xdr:col>3</xdr:col>
      <xdr:colOff>306459</xdr:colOff>
      <xdr:row>110</xdr:row>
      <xdr:rowOff>134137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AAD30716-20D7-4CB8-80F5-DDDC5950E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5449550"/>
          <a:ext cx="4478409" cy="25153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45</xdr:row>
      <xdr:rowOff>28575</xdr:rowOff>
    </xdr:from>
    <xdr:to>
      <xdr:col>6</xdr:col>
      <xdr:colOff>110977</xdr:colOff>
      <xdr:row>49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8848725"/>
          <a:ext cx="6187927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46</xdr:row>
      <xdr:rowOff>28575</xdr:rowOff>
    </xdr:from>
    <xdr:to>
      <xdr:col>6</xdr:col>
      <xdr:colOff>110977</xdr:colOff>
      <xdr:row>50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9039225"/>
          <a:ext cx="6187927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indices%20caracterizado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Graficos\CARACT%20PAV%20EXISTEN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001\c\Meus%20documentos\Excel\DVOP\8_97%20-%20S&#227;o%20Vicente\Prod.%20Equip.%20Mec.1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alu\AppData\Local\Temp\b0b09fd2-5f33-4a3b-a2b8-cf450d6a7862_Reden&#231;&#227;o%20Sada%202%20Rural.zip.862\Reden&#231;&#227;o%20Sada%202%20Rural\Or&#231;amento\Reden&#231;&#227;o%20do%20Gurgueia%20Zona%20Rural.xlsm" TargetMode="External"/><Relationship Id="rId1" Type="http://schemas.openxmlformats.org/officeDocument/2006/relationships/externalLinkPath" Target="file:///C:\Users\analu\AppData\Local\Temp\b0b09fd2-5f33-4a3b-a2b8-cf450d6a7862_Reden&#231;&#227;o%20Sada%202%20Rural.zip.862\Reden&#231;&#227;o%20Sada%202%20Rural\Or&#231;amento\Reden&#231;&#227;o%20do%20Gurgueia%20Zona%20Rural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TACILIO\SharedDocs\Documents%20and%20Settings\OTACILIO_\Meus%20documentos\OR&#199;AMENTOS\SC-487\NATALINA\DNER\Br116_R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re\castellar%20engenharia%20ltda\Documents%20and%20Settings\Castelar\Meus%20documentos\Backup%20Uni&#227;o%204-5%20(D)\OBRA%20CANOINHAS\Castellar%20Engenharia%20Ltda%20-%20CANOINHAS\FINAN&#199;AS\Uniao\Medi&#231;&#227;o%20Castellar\61MCBMI.DNI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rah/Desktop/IDEPI/ABASTECIMENTO%20-%20BALNE&#193;RIO%20-%20MELHORIAS%20SANIT&#193;RIAS%20-%20BUEIRO/AGRICOLANDIA%20-%20BURACO%20DAGUA/AGRICOLANDIA%20-%20BURACO%20DAGUA/BDI%202016%20SEINFRA%20INSS%204,5%25%20ONERADO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Planilha"/>
      <sheetName val="Vínculo"/>
      <sheetName val="BRASIL"/>
      <sheetName val="aux"/>
    </sheetNames>
    <sheetDataSet>
      <sheetData sheetId="0">
        <row r="3">
          <cell r="B3" t="str">
            <v>ISP</v>
          </cell>
          <cell r="C3" t="str">
            <v>ICDS</v>
          </cell>
          <cell r="D3" t="str">
            <v>ICDP</v>
          </cell>
          <cell r="E3" t="str">
            <v>ICDE</v>
          </cell>
        </row>
        <row r="4">
          <cell r="A4" t="str">
            <v>EXCELENTE</v>
          </cell>
          <cell r="B4">
            <v>0</v>
          </cell>
          <cell r="C4">
            <v>2.52</v>
          </cell>
          <cell r="D4">
            <v>1.1200000000000001</v>
          </cell>
          <cell r="E4">
            <v>0</v>
          </cell>
        </row>
        <row r="5">
          <cell r="A5" t="str">
            <v>BOM</v>
          </cell>
          <cell r="B5">
            <v>9.86</v>
          </cell>
          <cell r="C5">
            <v>32.18</v>
          </cell>
          <cell r="D5">
            <v>39.72</v>
          </cell>
          <cell r="E5">
            <v>8.2799999999999994</v>
          </cell>
        </row>
        <row r="6">
          <cell r="A6" t="str">
            <v>REGULAR</v>
          </cell>
          <cell r="B6">
            <v>75.14</v>
          </cell>
          <cell r="C6">
            <v>12.9</v>
          </cell>
          <cell r="D6">
            <v>44.48</v>
          </cell>
          <cell r="E6">
            <v>52.96</v>
          </cell>
        </row>
        <row r="7">
          <cell r="A7" t="str">
            <v>MAU</v>
          </cell>
          <cell r="B7">
            <v>0.32</v>
          </cell>
          <cell r="C7">
            <v>37.72</v>
          </cell>
          <cell r="D7">
            <v>0</v>
          </cell>
          <cell r="E7">
            <v>24.08</v>
          </cell>
        </row>
        <row r="8">
          <cell r="A8" t="str">
            <v>PÉSSIMO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</row>
        <row r="9">
          <cell r="A9" t="str">
            <v>Total</v>
          </cell>
          <cell r="B9">
            <v>85.32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aux"/>
      <sheetName val="graficos"/>
      <sheetName val="graficos (2)"/>
    </sheetNames>
    <sheetDataSet>
      <sheetData sheetId="0"/>
      <sheetData sheetId="1">
        <row r="6">
          <cell r="B6">
            <v>11.439114391143912</v>
          </cell>
          <cell r="C6">
            <v>33.210332103321036</v>
          </cell>
          <cell r="D6">
            <v>9.9630996309963091</v>
          </cell>
          <cell r="E6">
            <v>37.269372693726936</v>
          </cell>
          <cell r="F6">
            <v>8.1180811808118083</v>
          </cell>
        </row>
        <row r="8">
          <cell r="B8">
            <v>36.531365313653133</v>
          </cell>
          <cell r="C8">
            <v>14.760147601476014</v>
          </cell>
          <cell r="D8">
            <v>4.7970479704797047</v>
          </cell>
          <cell r="E8">
            <v>36.531365313653133</v>
          </cell>
          <cell r="F8">
            <v>7.3800738007380069</v>
          </cell>
        </row>
        <row r="10">
          <cell r="B10">
            <v>11.439114391143912</v>
          </cell>
          <cell r="C10">
            <v>23.247232472324722</v>
          </cell>
          <cell r="D10">
            <v>9.9630996309963091</v>
          </cell>
          <cell r="E10">
            <v>3.3210332103321036</v>
          </cell>
          <cell r="F10">
            <v>52.02952029520295</v>
          </cell>
        </row>
        <row r="12">
          <cell r="B12">
            <v>0</v>
          </cell>
          <cell r="C12">
            <v>45.38745387453875</v>
          </cell>
          <cell r="D12">
            <v>1.107011070110701</v>
          </cell>
          <cell r="E12">
            <v>53.505535055350549</v>
          </cell>
          <cell r="F12">
            <v>0</v>
          </cell>
        </row>
        <row r="14">
          <cell r="B14">
            <v>0</v>
          </cell>
          <cell r="C14">
            <v>45.38745387453875</v>
          </cell>
          <cell r="D14">
            <v>1.107011070110701</v>
          </cell>
          <cell r="E14">
            <v>53.505535055350549</v>
          </cell>
          <cell r="F14">
            <v>0</v>
          </cell>
        </row>
        <row r="16">
          <cell r="B16">
            <v>100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22">
          <cell r="B22">
            <v>0</v>
          </cell>
          <cell r="C22">
            <v>46.494464944649444</v>
          </cell>
          <cell r="D22">
            <v>53.505535055350549</v>
          </cell>
          <cell r="E22">
            <v>0</v>
          </cell>
          <cell r="F22">
            <v>0</v>
          </cell>
          <cell r="I22">
            <v>0</v>
          </cell>
          <cell r="J22">
            <v>2.52</v>
          </cell>
          <cell r="K22">
            <v>2.9</v>
          </cell>
          <cell r="L22">
            <v>0</v>
          </cell>
          <cell r="M22">
            <v>0</v>
          </cell>
        </row>
        <row r="23">
          <cell r="B23" t="str">
            <v xml:space="preserve">  4 - 5</v>
          </cell>
          <cell r="C23" t="str">
            <v xml:space="preserve">  3 -   4</v>
          </cell>
          <cell r="D23" t="str">
            <v xml:space="preserve">  2 -   3</v>
          </cell>
          <cell r="E23" t="str">
            <v xml:space="preserve">  1 -   2</v>
          </cell>
          <cell r="F23" t="str">
            <v>0 -  1</v>
          </cell>
        </row>
        <row r="24">
          <cell r="B24">
            <v>46.494464944649444</v>
          </cell>
          <cell r="C24">
            <v>0</v>
          </cell>
          <cell r="D24">
            <v>4.7970479704797047</v>
          </cell>
          <cell r="E24">
            <v>48.708487084870846</v>
          </cell>
          <cell r="F24">
            <v>0</v>
          </cell>
          <cell r="I24">
            <v>2.52</v>
          </cell>
          <cell r="J24">
            <v>0</v>
          </cell>
          <cell r="K24">
            <v>0.26</v>
          </cell>
          <cell r="L24">
            <v>2.64</v>
          </cell>
          <cell r="M24">
            <v>0</v>
          </cell>
        </row>
        <row r="25">
          <cell r="B25" t="str">
            <v xml:space="preserve">  4 - 5</v>
          </cell>
          <cell r="C25" t="str">
            <v xml:space="preserve">  3 -   4</v>
          </cell>
          <cell r="D25" t="str">
            <v xml:space="preserve">  2 -   3</v>
          </cell>
          <cell r="E25" t="str">
            <v xml:space="preserve">  1 -   2</v>
          </cell>
          <cell r="F25" t="str">
            <v>0 -  1</v>
          </cell>
        </row>
        <row r="26">
          <cell r="B26">
            <v>54.243542435424352</v>
          </cell>
          <cell r="C26">
            <v>45.756457564575648</v>
          </cell>
          <cell r="D26">
            <v>0</v>
          </cell>
          <cell r="E26">
            <v>0</v>
          </cell>
          <cell r="F26">
            <v>0</v>
          </cell>
          <cell r="I26">
            <v>2.94</v>
          </cell>
          <cell r="J26">
            <v>2.48</v>
          </cell>
          <cell r="K26">
            <v>0</v>
          </cell>
          <cell r="L26">
            <v>0</v>
          </cell>
          <cell r="M26">
            <v>0</v>
          </cell>
        </row>
        <row r="27">
          <cell r="B27" t="str">
            <v xml:space="preserve">  4 - 5</v>
          </cell>
          <cell r="C27" t="str">
            <v xml:space="preserve">  3 -   4</v>
          </cell>
          <cell r="D27" t="str">
            <v xml:space="preserve">  2 -   3</v>
          </cell>
          <cell r="E27" t="str">
            <v xml:space="preserve">  1 -   2</v>
          </cell>
          <cell r="F27" t="str">
            <v>0 -  1</v>
          </cell>
        </row>
        <row r="28">
          <cell r="B28">
            <v>0</v>
          </cell>
          <cell r="C28">
            <v>0</v>
          </cell>
          <cell r="D28">
            <v>49.815498154981555</v>
          </cell>
          <cell r="E28">
            <v>50.184501845018445</v>
          </cell>
          <cell r="F28">
            <v>0</v>
          </cell>
          <cell r="I28">
            <v>0</v>
          </cell>
          <cell r="J28">
            <v>0</v>
          </cell>
          <cell r="K28">
            <v>2.7</v>
          </cell>
          <cell r="L28">
            <v>2.72</v>
          </cell>
          <cell r="M28">
            <v>0</v>
          </cell>
        </row>
        <row r="29">
          <cell r="B29" t="str">
            <v xml:space="preserve">  4 - 5</v>
          </cell>
          <cell r="C29" t="str">
            <v xml:space="preserve">  3 -   4</v>
          </cell>
          <cell r="D29" t="str">
            <v xml:space="preserve">  2 -   3</v>
          </cell>
          <cell r="E29" t="str">
            <v xml:space="preserve">  1 -   2</v>
          </cell>
          <cell r="F29" t="str">
            <v>0 -  1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"/>
      <sheetName val="1.2"/>
      <sheetName val="1.3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,13"/>
      <sheetName val="1,14"/>
      <sheetName val="1.15"/>
      <sheetName val="1,16"/>
      <sheetName val="1,17"/>
      <sheetName val="aux1"/>
      <sheetName val="1,19"/>
      <sheetName val="1,20"/>
      <sheetName val="1,21"/>
      <sheetName val="1,22"/>
      <sheetName val="1,23"/>
      <sheetName val="1.24"/>
      <sheetName val="1.25"/>
      <sheetName val="1.26"/>
      <sheetName val="1.28"/>
      <sheetName val="1.29"/>
      <sheetName val="3.4"/>
      <sheetName val="D"/>
      <sheetName val="2.1"/>
      <sheetName val="H"/>
      <sheetName val="I"/>
      <sheetName val="J"/>
      <sheetName val="K"/>
      <sheetName val="L"/>
      <sheetName val="M"/>
      <sheetName val="N"/>
      <sheetName val="O"/>
      <sheetName val="aux. 2"/>
      <sheetName val="Q"/>
      <sheetName val="R"/>
      <sheetName val="S"/>
      <sheetName val="T"/>
      <sheetName val="U"/>
      <sheetName val="B"/>
      <sheetName val="G"/>
      <sheetName val="P"/>
      <sheetName val="DMT modelo"/>
      <sheetName val="RESUMO"/>
      <sheetName val="REAJU"/>
      <sheetName val="Quadro Resumo"/>
      <sheetName val="TSD-FOG"/>
      <sheetName val="Sub e base"/>
      <sheetName val="AGREGADOS"/>
      <sheetName val="RELATÓRIO"/>
      <sheetName val="Página 16"/>
      <sheetName val="Recuperação da Pista"/>
      <sheetName val="Anual"/>
      <sheetName val="1. Cadastro da LM"/>
      <sheetName val="4. Orçamento FD"/>
      <sheetName val="estgg"/>
    </sheetNames>
    <sheetDataSet>
      <sheetData sheetId="0"/>
      <sheetData sheetId="1"/>
      <sheetData sheetId="2"/>
      <sheetData sheetId="3"/>
      <sheetData sheetId="4"/>
      <sheetData sheetId="5" refreshError="1">
        <row r="11">
          <cell r="A11" t="str">
            <v>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CPUAUX2"/>
      <sheetName val="CPUAUX3"/>
      <sheetName val="BDI"/>
      <sheetName val="LSINAPI"/>
      <sheetName val="ABC_S"/>
      <sheetName val="Plan1"/>
      <sheetName val="ABC_I"/>
      <sheetName val="COMPRAS"/>
      <sheetName val="CONTRATOS"/>
      <sheetName val="S"/>
      <sheetName val="I"/>
    </sheetNames>
    <sheetDataSet>
      <sheetData sheetId="0">
        <row r="7">
          <cell r="B7">
            <v>22.040000000000003</v>
          </cell>
        </row>
        <row r="8">
          <cell r="F8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Planilha"/>
      <sheetName val="Cpu"/>
      <sheetName val="CHE"/>
      <sheetName val="MObra"/>
      <sheetName val="Crono"/>
      <sheetName val="BDI"/>
      <sheetName val="EncSoc"/>
      <sheetName val="Cadastros"/>
      <sheetName val="QTR"/>
      <sheetName val="Dados"/>
      <sheetName val="TABELA"/>
      <sheetName val="QuQuant"/>
      <sheetName val="qorcamentodnerL1"/>
      <sheetName val="PROJETO"/>
      <sheetName val="A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1M-CBMI"/>
      <sheetName val="MAT-BET"/>
      <sheetName val="REL-AC"/>
      <sheetName val="PLUVIOM"/>
      <sheetName val="TAPA BURACO"/>
      <sheetName val="RECOMP REVESTIMENTO"/>
      <sheetName val="LIMP MEIO FIO"/>
      <sheetName val="LIMP VALETAS"/>
      <sheetName val="REMOCAO MEC BAR"/>
      <sheetName val="REMOCAO MEC BAR (2)"/>
      <sheetName val="M.OBRA MARCO"/>
      <sheetName val="RESUMO "/>
      <sheetName val="WILSON"/>
      <sheetName val="H-HORAS MARCO"/>
      <sheetName val="acertos"/>
      <sheetName val="CONT MAT BET"/>
      <sheetName val="QUADRO COMPARATIVO"/>
      <sheetName val="61M_CBMI"/>
      <sheetName val="MAT_BET"/>
      <sheetName val="PLANO TRAB"/>
      <sheetName val="MATERIAIS"/>
      <sheetName val="matbet"/>
      <sheetName val="quantidades"/>
      <sheetName val="adequação"/>
      <sheetName val="comparativo"/>
      <sheetName val="CROQUI"/>
      <sheetName val="PEM"/>
      <sheetName val="CADASTRO"/>
      <sheetName val="Ativos"/>
      <sheetName val="61MCBMI.DNIT"/>
      <sheetName val="TAPA_BURACO"/>
      <sheetName val="RECOMP_REVESTIMENTO"/>
      <sheetName val="LIMP_MEIO_FIO"/>
      <sheetName val="LIMP_VALETAS"/>
      <sheetName val="REMOCAO_MEC_BAR"/>
      <sheetName val="REMOCAO_MEC_BAR_(2)"/>
      <sheetName val="M_OBRA_MARCO"/>
      <sheetName val="RESUMO_"/>
      <sheetName val="H-HORAS_MARCO"/>
      <sheetName val="CONT_MAT_BET"/>
      <sheetName val="QUADRO_COMPARATIVO"/>
      <sheetName val="PLANO_TRAB"/>
      <sheetName val="61MCBMI_DNIT"/>
      <sheetName val="Solicitação Interna de Fab"/>
      <sheetName val="Serviços"/>
      <sheetName val="Mat"/>
      <sheetName val="Faturamento 2016 (Diferimento)"/>
      <sheetName val="aux"/>
      <sheetName val="COMPOS1"/>
      <sheetName val="Calendário"/>
    </sheetNames>
    <sheetDataSet>
      <sheetData sheetId="0">
        <row r="18">
          <cell r="H18">
            <v>0</v>
          </cell>
        </row>
      </sheetData>
      <sheetData sheetId="1">
        <row r="18">
          <cell r="H1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ências"/>
      <sheetName val="BDI"/>
      <sheetName val="INFORMATIVO LEI"/>
      <sheetName val="ACÓRDÃO TCU 2622-37 P DE 2013"/>
    </sheetNames>
    <sheetDataSet>
      <sheetData sheetId="0" refreshError="1">
        <row r="11">
          <cell r="A11">
            <v>0</v>
          </cell>
        </row>
        <row r="13">
          <cell r="A13">
            <v>2</v>
          </cell>
          <cell r="B13">
            <v>3.7999999999999999E-2</v>
          </cell>
          <cell r="C13">
            <v>4.0099999999999997E-2</v>
          </cell>
          <cell r="D13">
            <v>4.6699999999999998E-2</v>
          </cell>
        </row>
        <row r="14">
          <cell r="A14">
            <v>3</v>
          </cell>
          <cell r="B14">
            <v>3.4299999999999997E-2</v>
          </cell>
          <cell r="C14">
            <v>4.9299999999999997E-2</v>
          </cell>
          <cell r="D14">
            <v>6.7100000000000007E-2</v>
          </cell>
        </row>
        <row r="15">
          <cell r="A15">
            <v>4</v>
          </cell>
          <cell r="B15">
            <v>5.2900000000000003E-2</v>
          </cell>
          <cell r="C15">
            <v>5.9200000000000003E-2</v>
          </cell>
          <cell r="D15">
            <v>7.9299999999999995E-2</v>
          </cell>
        </row>
        <row r="16">
          <cell r="A16">
            <v>5</v>
          </cell>
          <cell r="B16">
            <v>0.04</v>
          </cell>
          <cell r="C16">
            <v>5.5199999999999999E-2</v>
          </cell>
          <cell r="D16">
            <v>7.85E-2</v>
          </cell>
        </row>
        <row r="17">
          <cell r="A17">
            <v>6</v>
          </cell>
          <cell r="B17">
            <v>1.4999999999999999E-2</v>
          </cell>
          <cell r="C17">
            <v>3.4500000000000003E-2</v>
          </cell>
          <cell r="D17">
            <v>4.4900000000000002E-2</v>
          </cell>
        </row>
        <row r="18">
          <cell r="A18">
            <v>0</v>
          </cell>
          <cell r="B18">
            <v>0</v>
          </cell>
          <cell r="C18">
            <v>0</v>
          </cell>
          <cell r="D18">
            <v>1</v>
          </cell>
        </row>
        <row r="22">
          <cell r="A22">
            <v>2</v>
          </cell>
          <cell r="B22">
            <v>3.2000000000000002E-3</v>
          </cell>
          <cell r="C22">
            <v>4.0000000000000001E-3</v>
          </cell>
          <cell r="D22">
            <v>7.4000000000000003E-3</v>
          </cell>
        </row>
        <row r="23">
          <cell r="A23">
            <v>3</v>
          </cell>
          <cell r="B23">
            <v>2.8E-3</v>
          </cell>
          <cell r="C23">
            <v>4.8999999999999998E-3</v>
          </cell>
          <cell r="D23">
            <v>7.4999999999999997E-3</v>
          </cell>
        </row>
        <row r="24">
          <cell r="A24">
            <v>4</v>
          </cell>
          <cell r="B24">
            <v>2.5000000000000001E-3</v>
          </cell>
          <cell r="C24">
            <v>5.1000000000000004E-3</v>
          </cell>
          <cell r="D24">
            <v>5.5999999999999999E-3</v>
          </cell>
        </row>
        <row r="25">
          <cell r="A25">
            <v>5</v>
          </cell>
          <cell r="B25">
            <v>8.0999999999999996E-3</v>
          </cell>
          <cell r="C25">
            <v>1.2200000000000001E-2</v>
          </cell>
          <cell r="D25">
            <v>1.9900000000000001E-2</v>
          </cell>
        </row>
        <row r="26">
          <cell r="A26">
            <v>6</v>
          </cell>
          <cell r="B26">
            <v>3.0000000000000001E-3</v>
          </cell>
          <cell r="C26">
            <v>4.7999999999999996E-3</v>
          </cell>
          <cell r="D26">
            <v>8.2000000000000007E-3</v>
          </cell>
        </row>
        <row r="27">
          <cell r="A27">
            <v>0</v>
          </cell>
          <cell r="B27">
            <v>0</v>
          </cell>
          <cell r="C27">
            <v>0</v>
          </cell>
          <cell r="D27">
            <v>1</v>
          </cell>
        </row>
        <row r="31">
          <cell r="A31">
            <v>2</v>
          </cell>
          <cell r="B31">
            <v>5.0000000000000001E-3</v>
          </cell>
          <cell r="C31">
            <v>5.5999999999999999E-3</v>
          </cell>
          <cell r="D31">
            <v>9.7000000000000003E-3</v>
          </cell>
        </row>
        <row r="32">
          <cell r="A32">
            <v>3</v>
          </cell>
          <cell r="B32">
            <v>0.01</v>
          </cell>
          <cell r="C32">
            <v>1.3899999999999999E-2</v>
          </cell>
          <cell r="D32">
            <v>1.7399999999999999E-2</v>
          </cell>
        </row>
        <row r="33">
          <cell r="A33">
            <v>4</v>
          </cell>
          <cell r="B33">
            <v>0.01</v>
          </cell>
          <cell r="C33">
            <v>1.4800000000000001E-2</v>
          </cell>
          <cell r="D33">
            <v>1.9699999999999999E-2</v>
          </cell>
        </row>
        <row r="34">
          <cell r="A34">
            <v>5</v>
          </cell>
          <cell r="B34">
            <v>1.46E-2</v>
          </cell>
          <cell r="C34">
            <v>2.3199999999999998E-2</v>
          </cell>
          <cell r="D34">
            <v>3.1600000000000003E-2</v>
          </cell>
        </row>
        <row r="35">
          <cell r="A35">
            <v>6</v>
          </cell>
          <cell r="B35">
            <v>5.5999999999999999E-3</v>
          </cell>
          <cell r="C35">
            <v>8.5000000000000006E-3</v>
          </cell>
          <cell r="D35">
            <v>8.8999999999999999E-3</v>
          </cell>
        </row>
        <row r="36">
          <cell r="A36">
            <v>0</v>
          </cell>
          <cell r="B36">
            <v>0</v>
          </cell>
          <cell r="C36">
            <v>0</v>
          </cell>
          <cell r="D36">
            <v>1</v>
          </cell>
        </row>
        <row r="40">
          <cell r="A40">
            <v>2</v>
          </cell>
          <cell r="B40">
            <v>1.0200000000000001E-2</v>
          </cell>
          <cell r="C40">
            <v>1.11E-2</v>
          </cell>
          <cell r="D40">
            <v>1.21E-2</v>
          </cell>
        </row>
        <row r="41">
          <cell r="A41">
            <v>3</v>
          </cell>
          <cell r="B41">
            <v>9.4000000000000004E-3</v>
          </cell>
          <cell r="C41">
            <v>9.9000000000000008E-3</v>
          </cell>
          <cell r="D41">
            <v>1.17E-2</v>
          </cell>
        </row>
        <row r="42">
          <cell r="A42">
            <v>4</v>
          </cell>
          <cell r="B42">
            <v>1.01E-2</v>
          </cell>
          <cell r="C42">
            <v>1.0699999999999999E-2</v>
          </cell>
          <cell r="D42">
            <v>1.11E-2</v>
          </cell>
        </row>
        <row r="43">
          <cell r="A43">
            <v>5</v>
          </cell>
          <cell r="B43">
            <v>9.4000000000000004E-3</v>
          </cell>
          <cell r="C43">
            <v>1.0200000000000001E-2</v>
          </cell>
          <cell r="D43">
            <v>1.3299999999999999E-2</v>
          </cell>
        </row>
        <row r="44">
          <cell r="A44">
            <v>6</v>
          </cell>
          <cell r="B44">
            <v>8.5000000000000006E-3</v>
          </cell>
          <cell r="C44">
            <v>8.5000000000000006E-3</v>
          </cell>
          <cell r="D44">
            <v>1.11E-2</v>
          </cell>
        </row>
        <row r="45">
          <cell r="A45">
            <v>0</v>
          </cell>
          <cell r="B45">
            <v>0</v>
          </cell>
          <cell r="C45">
            <v>0</v>
          </cell>
          <cell r="D45">
            <v>1</v>
          </cell>
        </row>
        <row r="49">
          <cell r="A49">
            <v>2</v>
          </cell>
          <cell r="B49">
            <v>6.6400000000000001E-2</v>
          </cell>
          <cell r="C49">
            <v>7.2999999999999995E-2</v>
          </cell>
          <cell r="D49">
            <v>8.6900000000000005E-2</v>
          </cell>
        </row>
        <row r="50">
          <cell r="A50">
            <v>3</v>
          </cell>
          <cell r="B50">
            <v>6.7400000000000002E-2</v>
          </cell>
          <cell r="C50">
            <v>8.0399999999999999E-2</v>
          </cell>
          <cell r="D50">
            <v>9.4E-2</v>
          </cell>
        </row>
        <row r="51">
          <cell r="A51">
            <v>4</v>
          </cell>
          <cell r="B51">
            <v>0.08</v>
          </cell>
          <cell r="C51">
            <v>8.3099999999999993E-2</v>
          </cell>
          <cell r="D51">
            <v>9.5100000000000004E-2</v>
          </cell>
        </row>
        <row r="52">
          <cell r="A52">
            <v>5</v>
          </cell>
          <cell r="B52">
            <v>7.1400000000000005E-2</v>
          </cell>
          <cell r="C52">
            <v>8.4000000000000005E-2</v>
          </cell>
          <cell r="D52">
            <v>0.1043</v>
          </cell>
        </row>
        <row r="53">
          <cell r="A53">
            <v>6</v>
          </cell>
          <cell r="B53">
            <v>3.5000000000000003E-2</v>
          </cell>
          <cell r="C53">
            <v>5.11E-2</v>
          </cell>
          <cell r="D53">
            <v>6.2199999999999998E-2</v>
          </cell>
        </row>
        <row r="54">
          <cell r="A54">
            <v>0</v>
          </cell>
          <cell r="B54">
            <v>0</v>
          </cell>
          <cell r="C54">
            <v>0</v>
          </cell>
          <cell r="D54">
            <v>1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  <pageSetUpPr fitToPage="1"/>
  </sheetPr>
  <dimension ref="A1:H24"/>
  <sheetViews>
    <sheetView workbookViewId="0">
      <selection activeCell="H3" sqref="H3"/>
    </sheetView>
  </sheetViews>
  <sheetFormatPr defaultRowHeight="15" x14ac:dyDescent="0.25"/>
  <cols>
    <col min="1" max="1" width="35.28515625" bestFit="1" customWidth="1"/>
    <col min="2" max="2" width="25.28515625" customWidth="1"/>
    <col min="3" max="3" width="16.7109375" bestFit="1" customWidth="1"/>
    <col min="4" max="4" width="15.42578125" customWidth="1"/>
    <col min="5" max="5" width="7.42578125" customWidth="1"/>
    <col min="6" max="6" width="8.140625" customWidth="1"/>
    <col min="7" max="7" width="22.42578125" bestFit="1" customWidth="1"/>
    <col min="8" max="8" width="6.5703125" bestFit="1" customWidth="1"/>
  </cols>
  <sheetData>
    <row r="1" spans="1:8" ht="15" customHeight="1" x14ac:dyDescent="0.25">
      <c r="A1" s="16" t="s">
        <v>0</v>
      </c>
      <c r="B1" s="337" t="s">
        <v>1</v>
      </c>
      <c r="C1" s="337"/>
      <c r="D1" s="345" t="s">
        <v>2</v>
      </c>
      <c r="E1" s="346"/>
      <c r="F1" s="335" t="s">
        <v>401</v>
      </c>
      <c r="G1" s="333" t="s">
        <v>3</v>
      </c>
      <c r="H1" s="335" t="s">
        <v>401</v>
      </c>
    </row>
    <row r="2" spans="1:8" x14ac:dyDescent="0.25">
      <c r="A2" s="16" t="s">
        <v>4</v>
      </c>
      <c r="B2" s="337" t="s">
        <v>368</v>
      </c>
      <c r="C2" s="337"/>
      <c r="D2" s="347"/>
      <c r="E2" s="348"/>
      <c r="F2" s="336"/>
      <c r="G2" s="334"/>
      <c r="H2" s="336"/>
    </row>
    <row r="3" spans="1:8" x14ac:dyDescent="0.25">
      <c r="A3" s="16" t="s">
        <v>5</v>
      </c>
      <c r="B3" s="343" t="s">
        <v>369</v>
      </c>
      <c r="C3" s="343"/>
      <c r="D3" s="344" t="s">
        <v>6</v>
      </c>
      <c r="E3" s="344"/>
      <c r="F3" s="1">
        <v>0.21959999999999999</v>
      </c>
      <c r="G3" s="11" t="s">
        <v>6</v>
      </c>
      <c r="H3" s="1">
        <v>0.28139999999999998</v>
      </c>
    </row>
    <row r="4" spans="1:8" x14ac:dyDescent="0.25">
      <c r="A4" s="16" t="s">
        <v>7</v>
      </c>
      <c r="B4" s="337" t="s">
        <v>370</v>
      </c>
      <c r="C4" s="337"/>
      <c r="D4" s="344" t="s">
        <v>8</v>
      </c>
      <c r="E4" s="344"/>
      <c r="F4" s="1">
        <f>ENCARGOS!E42</f>
        <v>1.1333</v>
      </c>
      <c r="G4" s="12" t="s">
        <v>8</v>
      </c>
      <c r="H4" s="1">
        <f>ENCARGOS!C42</f>
        <v>0.90659999999999985</v>
      </c>
    </row>
    <row r="5" spans="1:8" x14ac:dyDescent="0.25">
      <c r="A5" s="2"/>
      <c r="B5" s="3" t="s">
        <v>9</v>
      </c>
      <c r="C5" s="3" t="s">
        <v>10</v>
      </c>
      <c r="D5" s="4"/>
      <c r="E5" s="4"/>
      <c r="F5" s="4"/>
      <c r="G5" s="4"/>
      <c r="H5" s="23"/>
    </row>
    <row r="6" spans="1:8" x14ac:dyDescent="0.25">
      <c r="A6" s="9" t="s">
        <v>11</v>
      </c>
      <c r="B6" s="261">
        <f>'RESUMO SD '!F14</f>
        <v>855399.04999999993</v>
      </c>
      <c r="C6" s="22">
        <f>'RESUMO CD'!F14</f>
        <v>856376.35</v>
      </c>
      <c r="D6" s="4"/>
      <c r="E6" s="4"/>
      <c r="F6" s="4"/>
      <c r="G6" s="5"/>
    </row>
    <row r="7" spans="1:8" x14ac:dyDescent="0.25">
      <c r="A7" s="9" t="s">
        <v>12</v>
      </c>
      <c r="B7" s="22">
        <f>B6/B13</f>
        <v>133.73968886804252</v>
      </c>
      <c r="C7" s="22">
        <f>C6/B13</f>
        <v>133.89248749218262</v>
      </c>
      <c r="D7" s="4"/>
      <c r="E7" s="4"/>
      <c r="F7" s="4"/>
      <c r="G7" s="5"/>
    </row>
    <row r="8" spans="1:8" x14ac:dyDescent="0.25">
      <c r="A8" s="6"/>
      <c r="B8" s="5"/>
      <c r="C8" s="4"/>
      <c r="D8" s="4"/>
      <c r="E8" s="4"/>
      <c r="F8" s="4"/>
      <c r="G8" s="5"/>
    </row>
    <row r="9" spans="1:8" x14ac:dyDescent="0.25">
      <c r="A9" s="7" t="s">
        <v>13</v>
      </c>
      <c r="B9" s="338" t="s">
        <v>14</v>
      </c>
      <c r="C9" s="339"/>
      <c r="D9" s="340"/>
      <c r="E9" s="340"/>
      <c r="F9" s="4"/>
      <c r="G9" s="4"/>
    </row>
    <row r="10" spans="1:8" x14ac:dyDescent="0.25">
      <c r="A10" s="36" t="s">
        <v>372</v>
      </c>
      <c r="B10" s="13">
        <f>'ORÇAMENTO SD'!B7</f>
        <v>3726</v>
      </c>
      <c r="C10" s="14" t="s">
        <v>15</v>
      </c>
      <c r="D10" s="15"/>
      <c r="E10" s="15"/>
      <c r="F10" s="4"/>
      <c r="G10" s="5"/>
    </row>
    <row r="11" spans="1:8" x14ac:dyDescent="0.25">
      <c r="A11" s="36" t="s">
        <v>373</v>
      </c>
      <c r="B11" s="13">
        <f>'ORÇAMENTO SD'!B36</f>
        <v>2670</v>
      </c>
      <c r="C11" s="14" t="s">
        <v>15</v>
      </c>
      <c r="D11" s="15"/>
      <c r="E11" s="15"/>
      <c r="F11" s="4"/>
      <c r="G11" s="5"/>
    </row>
    <row r="12" spans="1:8" x14ac:dyDescent="0.25">
      <c r="A12" s="6"/>
      <c r="B12" s="8"/>
      <c r="C12" s="4"/>
      <c r="D12" s="4"/>
      <c r="E12" s="4"/>
      <c r="F12" s="5"/>
      <c r="G12" s="5"/>
    </row>
    <row r="13" spans="1:8" x14ac:dyDescent="0.25">
      <c r="A13" s="16" t="s">
        <v>16</v>
      </c>
      <c r="B13" s="17">
        <f>SUM(B10:B11)</f>
        <v>6396</v>
      </c>
      <c r="C13" s="18" t="str">
        <f>C10</f>
        <v>m²</v>
      </c>
      <c r="D13" s="19"/>
      <c r="E13" s="8"/>
      <c r="F13" s="4"/>
      <c r="G13" s="4"/>
    </row>
    <row r="14" spans="1:8" x14ac:dyDescent="0.25">
      <c r="A14" s="6"/>
      <c r="B14" s="4"/>
      <c r="C14" s="4"/>
      <c r="D14" s="4"/>
      <c r="E14" s="4"/>
      <c r="F14" s="4"/>
      <c r="G14" s="4"/>
    </row>
    <row r="15" spans="1:8" x14ac:dyDescent="0.25">
      <c r="A15" s="341"/>
      <c r="B15" s="342"/>
      <c r="C15" s="342"/>
      <c r="D15" s="342"/>
      <c r="E15" s="342"/>
      <c r="F15" s="342"/>
      <c r="G15" s="4"/>
    </row>
    <row r="16" spans="1:8" x14ac:dyDescent="0.25">
      <c r="A16" s="353" t="s">
        <v>17</v>
      </c>
      <c r="B16" s="354"/>
      <c r="C16" s="354"/>
      <c r="D16" s="354"/>
      <c r="E16" s="354"/>
      <c r="F16" s="339"/>
      <c r="G16" s="9" t="s">
        <v>18</v>
      </c>
    </row>
    <row r="17" spans="1:7" x14ac:dyDescent="0.25">
      <c r="A17" s="349" t="s">
        <v>19</v>
      </c>
      <c r="B17" s="350"/>
      <c r="C17" s="10" t="s">
        <v>20</v>
      </c>
      <c r="D17" s="351" t="s">
        <v>11</v>
      </c>
      <c r="E17" s="352"/>
      <c r="F17" s="10" t="s">
        <v>21</v>
      </c>
      <c r="G17" s="206">
        <v>0.5</v>
      </c>
    </row>
    <row r="18" spans="1:7" ht="24.75" customHeight="1" x14ac:dyDescent="0.25">
      <c r="A18" s="355" t="s">
        <v>275</v>
      </c>
      <c r="B18" s="356"/>
      <c r="C18" s="20">
        <f>'ORÇAMENTO CD'!E19+'ORÇAMENTO CD'!E43</f>
        <v>6396</v>
      </c>
      <c r="D18" s="357">
        <f>'ORÇAMENTO SD'!H19+'ORÇAMENTO SD'!H43</f>
        <v>547753.43999999994</v>
      </c>
      <c r="E18" s="358"/>
      <c r="F18" s="21">
        <f>D18/B6</f>
        <v>0.64034843153028986</v>
      </c>
      <c r="G18" s="20">
        <f>G17*C18</f>
        <v>3198</v>
      </c>
    </row>
    <row r="19" spans="1:7" ht="30.75" customHeight="1" x14ac:dyDescent="0.25">
      <c r="A19" s="355" t="s">
        <v>23</v>
      </c>
      <c r="B19" s="356"/>
      <c r="C19" s="20">
        <f>'ORÇAMENTO SD'!E23+'ORÇAMENTO SD'!E47</f>
        <v>2156</v>
      </c>
      <c r="D19" s="357">
        <f>'ORÇAMENTO SD'!H23+'ORÇAMENTO SD'!H47</f>
        <v>109115.16</v>
      </c>
      <c r="E19" s="358"/>
      <c r="F19" s="21">
        <f>D19/B6</f>
        <v>0.12756053446634061</v>
      </c>
      <c r="G19" s="20">
        <f>G17*C19</f>
        <v>1078</v>
      </c>
    </row>
    <row r="20" spans="1:7" x14ac:dyDescent="0.25">
      <c r="A20" s="6"/>
      <c r="B20" s="4"/>
      <c r="C20" s="4"/>
      <c r="D20" s="4"/>
      <c r="E20" s="4"/>
      <c r="F20" s="4"/>
      <c r="G20" s="4"/>
    </row>
    <row r="21" spans="1:7" x14ac:dyDescent="0.25">
      <c r="A21" s="353" t="s">
        <v>22</v>
      </c>
      <c r="B21" s="354"/>
      <c r="C21" s="354"/>
      <c r="D21" s="354"/>
      <c r="E21" s="354"/>
      <c r="F21" s="339"/>
      <c r="G21" s="9" t="s">
        <v>18</v>
      </c>
    </row>
    <row r="22" spans="1:7" ht="15.75" customHeight="1" x14ac:dyDescent="0.25">
      <c r="A22" s="349" t="s">
        <v>19</v>
      </c>
      <c r="B22" s="350"/>
      <c r="C22" s="10" t="s">
        <v>20</v>
      </c>
      <c r="D22" s="351" t="s">
        <v>11</v>
      </c>
      <c r="E22" s="352"/>
      <c r="F22" s="10" t="s">
        <v>21</v>
      </c>
      <c r="G22" s="206">
        <v>0.5</v>
      </c>
    </row>
    <row r="23" spans="1:7" ht="32.25" customHeight="1" x14ac:dyDescent="0.25">
      <c r="A23" s="355" t="s">
        <v>275</v>
      </c>
      <c r="B23" s="356"/>
      <c r="C23" s="20">
        <f>C18</f>
        <v>6396</v>
      </c>
      <c r="D23" s="357">
        <f>'ORÇAMENTO CD'!H19+'ORÇAMENTO CD'!H43</f>
        <v>545834.64</v>
      </c>
      <c r="E23" s="358"/>
      <c r="F23" s="21">
        <f>D23/C6</f>
        <v>0.63737705974715442</v>
      </c>
      <c r="G23" s="20">
        <f>G22*C23</f>
        <v>3198</v>
      </c>
    </row>
    <row r="24" spans="1:7" ht="33" customHeight="1" x14ac:dyDescent="0.25">
      <c r="A24" s="355" t="str">
        <f>A19</f>
        <v>Assentamento de guia (meio-fio), confeccionada em concreto pré-fabricado, dimensões 100x15x13x30 (comprimento x base inferiror x base superior x altura), para vias urbanas ( m )</v>
      </c>
      <c r="B24" s="356"/>
      <c r="C24" s="20">
        <f>C19</f>
        <v>2156</v>
      </c>
      <c r="D24" s="357">
        <f>'ORÇAMENTO CD'!H23+'ORÇAMENTO CD'!H47</f>
        <v>112155.12</v>
      </c>
      <c r="E24" s="358"/>
      <c r="F24" s="21">
        <f>D24/C6</f>
        <v>0.13096475632471635</v>
      </c>
      <c r="G24" s="20">
        <f>G22*C24</f>
        <v>1078</v>
      </c>
    </row>
  </sheetData>
  <sheetProtection algorithmName="SHA-512" hashValue="cRtxxzwDHRGzPTXUPkyQ6cttYYhhSGTCefVRFZRkTiotwskhpBS8tsiRSQtRSR+03fnVLqZ/mRvv5czVeBcIRQ==" saltValue="FZMDw5+3mTbSmJTwleMh9A==" spinCount="100000" sheet="1" objects="1" scenarios="1" selectLockedCells="1" selectUnlockedCells="1"/>
  <mergeCells count="27">
    <mergeCell ref="A17:B17"/>
    <mergeCell ref="D17:E17"/>
    <mergeCell ref="A16:F16"/>
    <mergeCell ref="A23:B23"/>
    <mergeCell ref="A24:B24"/>
    <mergeCell ref="A18:B18"/>
    <mergeCell ref="D23:E23"/>
    <mergeCell ref="A19:B19"/>
    <mergeCell ref="D24:E24"/>
    <mergeCell ref="A21:F21"/>
    <mergeCell ref="A22:B22"/>
    <mergeCell ref="D22:E22"/>
    <mergeCell ref="D18:E18"/>
    <mergeCell ref="D19:E19"/>
    <mergeCell ref="A15:F15"/>
    <mergeCell ref="B2:C2"/>
    <mergeCell ref="B3:C3"/>
    <mergeCell ref="D3:E3"/>
    <mergeCell ref="B4:C4"/>
    <mergeCell ref="D4:E4"/>
    <mergeCell ref="D1:E2"/>
    <mergeCell ref="G1:G2"/>
    <mergeCell ref="F1:F2"/>
    <mergeCell ref="H1:H2"/>
    <mergeCell ref="B1:C1"/>
    <mergeCell ref="B9:C9"/>
    <mergeCell ref="D9:E9"/>
  </mergeCells>
  <phoneticPr fontId="20" type="noConversion"/>
  <pageMargins left="0.51181102362204722" right="0.51181102362204722" top="1.7716535433070868" bottom="1.1811023622047245" header="0.51181102362204722" footer="0.51181102362204722"/>
  <pageSetup paperSize="9" scale="67" fitToHeight="0" orientation="portrait" r:id="rId1"/>
  <headerFooter>
    <oddHeader>&amp;C&amp;G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4.9989318521683403E-2"/>
    <pageSetUpPr fitToPage="1"/>
  </sheetPr>
  <dimension ref="A1:F42"/>
  <sheetViews>
    <sheetView workbookViewId="0">
      <selection sqref="A1:F1"/>
    </sheetView>
  </sheetViews>
  <sheetFormatPr defaultRowHeight="15" x14ac:dyDescent="0.25"/>
  <cols>
    <col min="1" max="1" width="15.7109375" style="108" customWidth="1"/>
    <col min="2" max="2" width="35.28515625" style="110" bestFit="1" customWidth="1"/>
    <col min="3" max="3" width="9.28515625" style="109" customWidth="1"/>
    <col min="4" max="4" width="12.28515625" style="110" customWidth="1"/>
    <col min="5" max="5" width="10.42578125" style="109" customWidth="1"/>
    <col min="6" max="6" width="11.42578125" style="109" customWidth="1"/>
  </cols>
  <sheetData>
    <row r="1" spans="1:6" x14ac:dyDescent="0.25">
      <c r="A1" s="468" t="s">
        <v>162</v>
      </c>
      <c r="B1" s="469"/>
      <c r="C1" s="469"/>
      <c r="D1" s="469"/>
      <c r="E1" s="469"/>
      <c r="F1" s="469"/>
    </row>
    <row r="2" spans="1:6" x14ac:dyDescent="0.25">
      <c r="A2" s="470" t="s">
        <v>391</v>
      </c>
      <c r="B2" s="470"/>
      <c r="C2" s="470"/>
      <c r="D2" s="470"/>
      <c r="E2" s="470"/>
      <c r="F2" s="470"/>
    </row>
    <row r="3" spans="1:6" x14ac:dyDescent="0.25">
      <c r="A3" s="470" t="s">
        <v>390</v>
      </c>
      <c r="B3" s="470"/>
      <c r="C3" s="470"/>
      <c r="D3" s="470"/>
      <c r="E3" s="470"/>
      <c r="F3" s="470"/>
    </row>
    <row r="5" spans="1:6" x14ac:dyDescent="0.25">
      <c r="A5" s="516" t="s">
        <v>91</v>
      </c>
      <c r="B5" s="516"/>
      <c r="C5" s="516"/>
      <c r="D5" s="516"/>
      <c r="E5" s="516"/>
      <c r="F5" s="516"/>
    </row>
    <row r="6" spans="1:6" x14ac:dyDescent="0.25">
      <c r="A6" s="517" t="s">
        <v>92</v>
      </c>
      <c r="B6" s="518" t="s">
        <v>93</v>
      </c>
      <c r="C6" s="516" t="s">
        <v>94</v>
      </c>
      <c r="D6" s="516"/>
      <c r="E6" s="516" t="s">
        <v>95</v>
      </c>
      <c r="F6" s="516"/>
    </row>
    <row r="7" spans="1:6" ht="22.5" x14ac:dyDescent="0.25">
      <c r="A7" s="517"/>
      <c r="B7" s="518"/>
      <c r="C7" s="111" t="s">
        <v>96</v>
      </c>
      <c r="D7" s="111" t="s">
        <v>97</v>
      </c>
      <c r="E7" s="111" t="s">
        <v>96</v>
      </c>
      <c r="F7" s="111" t="s">
        <v>97</v>
      </c>
    </row>
    <row r="8" spans="1:6" x14ac:dyDescent="0.25">
      <c r="A8" s="516" t="s">
        <v>98</v>
      </c>
      <c r="B8" s="516"/>
      <c r="C8" s="516"/>
      <c r="D8" s="516"/>
      <c r="E8" s="516"/>
      <c r="F8" s="516"/>
    </row>
    <row r="9" spans="1:6" x14ac:dyDescent="0.25">
      <c r="A9" s="111" t="s">
        <v>99</v>
      </c>
      <c r="B9" s="112" t="s">
        <v>100</v>
      </c>
      <c r="C9" s="113">
        <v>0.05</v>
      </c>
      <c r="D9" s="113">
        <v>0.05</v>
      </c>
      <c r="E9" s="113">
        <v>0.2</v>
      </c>
      <c r="F9" s="113">
        <v>0.2</v>
      </c>
    </row>
    <row r="10" spans="1:6" x14ac:dyDescent="0.25">
      <c r="A10" s="111" t="s">
        <v>101</v>
      </c>
      <c r="B10" s="112" t="s">
        <v>102</v>
      </c>
      <c r="C10" s="113">
        <v>1.4999999999999999E-2</v>
      </c>
      <c r="D10" s="113">
        <v>1.4999999999999999E-2</v>
      </c>
      <c r="E10" s="113">
        <v>1.4999999999999999E-2</v>
      </c>
      <c r="F10" s="113">
        <v>1.4999999999999999E-2</v>
      </c>
    </row>
    <row r="11" spans="1:6" x14ac:dyDescent="0.25">
      <c r="A11" s="111" t="s">
        <v>103</v>
      </c>
      <c r="B11" s="112" t="s">
        <v>104</v>
      </c>
      <c r="C11" s="113">
        <v>0.01</v>
      </c>
      <c r="D11" s="113">
        <v>0.01</v>
      </c>
      <c r="E11" s="113">
        <v>0.01</v>
      </c>
      <c r="F11" s="113">
        <v>0.01</v>
      </c>
    </row>
    <row r="12" spans="1:6" x14ac:dyDescent="0.25">
      <c r="A12" s="111" t="s">
        <v>105</v>
      </c>
      <c r="B12" s="112" t="s">
        <v>106</v>
      </c>
      <c r="C12" s="113">
        <v>2E-3</v>
      </c>
      <c r="D12" s="113">
        <v>2E-3</v>
      </c>
      <c r="E12" s="113">
        <v>2E-3</v>
      </c>
      <c r="F12" s="113">
        <v>2E-3</v>
      </c>
    </row>
    <row r="13" spans="1:6" x14ac:dyDescent="0.25">
      <c r="A13" s="111" t="s">
        <v>107</v>
      </c>
      <c r="B13" s="112" t="s">
        <v>108</v>
      </c>
      <c r="C13" s="113">
        <v>6.0000000000000001E-3</v>
      </c>
      <c r="D13" s="113">
        <v>6.0000000000000001E-3</v>
      </c>
      <c r="E13" s="113">
        <v>6.0000000000000001E-3</v>
      </c>
      <c r="F13" s="113">
        <v>6.0000000000000001E-3</v>
      </c>
    </row>
    <row r="14" spans="1:6" x14ac:dyDescent="0.25">
      <c r="A14" s="111" t="s">
        <v>109</v>
      </c>
      <c r="B14" s="112" t="s">
        <v>110</v>
      </c>
      <c r="C14" s="113">
        <v>2.5000000000000001E-2</v>
      </c>
      <c r="D14" s="113">
        <v>2.5000000000000001E-2</v>
      </c>
      <c r="E14" s="113">
        <v>2.5000000000000001E-2</v>
      </c>
      <c r="F14" s="113">
        <v>2.5000000000000001E-2</v>
      </c>
    </row>
    <row r="15" spans="1:6" x14ac:dyDescent="0.25">
      <c r="A15" s="111" t="s">
        <v>111</v>
      </c>
      <c r="B15" s="112" t="s">
        <v>112</v>
      </c>
      <c r="C15" s="113">
        <v>0.03</v>
      </c>
      <c r="D15" s="113">
        <v>0.03</v>
      </c>
      <c r="E15" s="113">
        <v>0.03</v>
      </c>
      <c r="F15" s="113">
        <v>0.03</v>
      </c>
    </row>
    <row r="16" spans="1:6" x14ac:dyDescent="0.25">
      <c r="A16" s="111" t="s">
        <v>113</v>
      </c>
      <c r="B16" s="112" t="s">
        <v>114</v>
      </c>
      <c r="C16" s="113">
        <v>0.08</v>
      </c>
      <c r="D16" s="113">
        <v>0.08</v>
      </c>
      <c r="E16" s="113">
        <v>0.08</v>
      </c>
      <c r="F16" s="113">
        <v>0.08</v>
      </c>
    </row>
    <row r="17" spans="1:6" x14ac:dyDescent="0.25">
      <c r="A17" s="111" t="s">
        <v>115</v>
      </c>
      <c r="B17" s="112" t="s">
        <v>116</v>
      </c>
      <c r="C17" s="113">
        <v>0</v>
      </c>
      <c r="D17" s="113">
        <v>0</v>
      </c>
      <c r="E17" s="113">
        <v>0</v>
      </c>
      <c r="F17" s="113">
        <v>0</v>
      </c>
    </row>
    <row r="18" spans="1:6" x14ac:dyDescent="0.25">
      <c r="A18" s="114" t="s">
        <v>117</v>
      </c>
      <c r="B18" s="115" t="s">
        <v>118</v>
      </c>
      <c r="C18" s="116">
        <f>SUM(C9:C17)</f>
        <v>0.21800000000000003</v>
      </c>
      <c r="D18" s="116">
        <f t="shared" ref="D18:F18" si="0">SUM(D9:D17)</f>
        <v>0.21800000000000003</v>
      </c>
      <c r="E18" s="116">
        <f t="shared" si="0"/>
        <v>0.36800000000000005</v>
      </c>
      <c r="F18" s="116">
        <f t="shared" si="0"/>
        <v>0.36800000000000005</v>
      </c>
    </row>
    <row r="19" spans="1:6" x14ac:dyDescent="0.25">
      <c r="A19" s="516" t="s">
        <v>119</v>
      </c>
      <c r="B19" s="516"/>
      <c r="C19" s="516"/>
      <c r="D19" s="516"/>
      <c r="E19" s="516"/>
      <c r="F19" s="516"/>
    </row>
    <row r="20" spans="1:6" x14ac:dyDescent="0.25">
      <c r="A20" s="111" t="s">
        <v>120</v>
      </c>
      <c r="B20" s="112" t="s">
        <v>121</v>
      </c>
      <c r="C20" s="113">
        <v>0.1782</v>
      </c>
      <c r="D20" s="111" t="s">
        <v>122</v>
      </c>
      <c r="E20" s="113">
        <v>0.1782</v>
      </c>
      <c r="F20" s="111" t="s">
        <v>122</v>
      </c>
    </row>
    <row r="21" spans="1:6" x14ac:dyDescent="0.25">
      <c r="A21" s="111" t="s">
        <v>123</v>
      </c>
      <c r="B21" s="112" t="s">
        <v>124</v>
      </c>
      <c r="C21" s="113">
        <v>3.95E-2</v>
      </c>
      <c r="D21" s="111" t="s">
        <v>122</v>
      </c>
      <c r="E21" s="113">
        <v>3.95E-2</v>
      </c>
      <c r="F21" s="111" t="s">
        <v>122</v>
      </c>
    </row>
    <row r="22" spans="1:6" x14ac:dyDescent="0.25">
      <c r="A22" s="111" t="s">
        <v>125</v>
      </c>
      <c r="B22" s="112" t="s">
        <v>126</v>
      </c>
      <c r="C22" s="113">
        <v>8.6E-3</v>
      </c>
      <c r="D22" s="113">
        <v>6.4999999999999997E-3</v>
      </c>
      <c r="E22" s="113">
        <v>8.6E-3</v>
      </c>
      <c r="F22" s="113">
        <v>6.4999999999999997E-3</v>
      </c>
    </row>
    <row r="23" spans="1:6" x14ac:dyDescent="0.25">
      <c r="A23" s="111" t="s">
        <v>127</v>
      </c>
      <c r="B23" s="112" t="s">
        <v>128</v>
      </c>
      <c r="C23" s="113">
        <v>0.1096</v>
      </c>
      <c r="D23" s="113">
        <v>8.3299999999999999E-2</v>
      </c>
      <c r="E23" s="113">
        <v>0.1096</v>
      </c>
      <c r="F23" s="113">
        <v>8.3299999999999999E-2</v>
      </c>
    </row>
    <row r="24" spans="1:6" x14ac:dyDescent="0.25">
      <c r="A24" s="111" t="s">
        <v>129</v>
      </c>
      <c r="B24" s="112" t="s">
        <v>130</v>
      </c>
      <c r="C24" s="113">
        <v>6.9999999999999999E-4</v>
      </c>
      <c r="D24" s="113">
        <v>5.0000000000000001E-4</v>
      </c>
      <c r="E24" s="113">
        <v>6.9999999999999999E-4</v>
      </c>
      <c r="F24" s="113">
        <v>5.0000000000000001E-4</v>
      </c>
    </row>
    <row r="25" spans="1:6" x14ac:dyDescent="0.25">
      <c r="A25" s="111" t="s">
        <v>131</v>
      </c>
      <c r="B25" s="112" t="s">
        <v>132</v>
      </c>
      <c r="C25" s="113">
        <v>7.3000000000000001E-3</v>
      </c>
      <c r="D25" s="113">
        <v>5.5999999999999999E-3</v>
      </c>
      <c r="E25" s="113">
        <v>7.3000000000000001E-3</v>
      </c>
      <c r="F25" s="113">
        <v>5.5999999999999999E-3</v>
      </c>
    </row>
    <row r="26" spans="1:6" x14ac:dyDescent="0.25">
      <c r="A26" s="111" t="s">
        <v>133</v>
      </c>
      <c r="B26" s="112" t="s">
        <v>134</v>
      </c>
      <c r="C26" s="113">
        <v>1.17E-2</v>
      </c>
      <c r="D26" s="111" t="s">
        <v>122</v>
      </c>
      <c r="E26" s="113">
        <v>1.17E-2</v>
      </c>
      <c r="F26" s="111" t="s">
        <v>122</v>
      </c>
    </row>
    <row r="27" spans="1:6" x14ac:dyDescent="0.25">
      <c r="A27" s="111" t="s">
        <v>135</v>
      </c>
      <c r="B27" s="112" t="s">
        <v>136</v>
      </c>
      <c r="C27" s="113">
        <v>1E-3</v>
      </c>
      <c r="D27" s="113">
        <v>6.9999999999999999E-4</v>
      </c>
      <c r="E27" s="113">
        <v>1E-3</v>
      </c>
      <c r="F27" s="113">
        <v>6.9999999999999999E-4</v>
      </c>
    </row>
    <row r="28" spans="1:6" x14ac:dyDescent="0.25">
      <c r="A28" s="111" t="s">
        <v>137</v>
      </c>
      <c r="B28" s="112" t="s">
        <v>138</v>
      </c>
      <c r="C28" s="113">
        <v>0.1171</v>
      </c>
      <c r="D28" s="113">
        <v>8.8999999999999996E-2</v>
      </c>
      <c r="E28" s="113">
        <v>0.1171</v>
      </c>
      <c r="F28" s="113">
        <v>8.8999999999999996E-2</v>
      </c>
    </row>
    <row r="29" spans="1:6" x14ac:dyDescent="0.25">
      <c r="A29" s="111" t="s">
        <v>139</v>
      </c>
      <c r="B29" s="112" t="s">
        <v>140</v>
      </c>
      <c r="C29" s="113">
        <v>2.9999999999999997E-4</v>
      </c>
      <c r="D29" s="113">
        <v>2.9999999999999997E-4</v>
      </c>
      <c r="E29" s="113">
        <v>2.9999999999999997E-4</v>
      </c>
      <c r="F29" s="113">
        <v>2.9999999999999997E-4</v>
      </c>
    </row>
    <row r="30" spans="1:6" x14ac:dyDescent="0.25">
      <c r="A30" s="114" t="s">
        <v>141</v>
      </c>
      <c r="B30" s="115" t="s">
        <v>118</v>
      </c>
      <c r="C30" s="116">
        <f>SUM(C20:C29)</f>
        <v>0.47399999999999992</v>
      </c>
      <c r="D30" s="116">
        <f t="shared" ref="D30:F30" si="1">SUM(D20:D29)</f>
        <v>0.18589999999999998</v>
      </c>
      <c r="E30" s="116">
        <f t="shared" si="1"/>
        <v>0.47399999999999992</v>
      </c>
      <c r="F30" s="116">
        <f t="shared" si="1"/>
        <v>0.18589999999999998</v>
      </c>
    </row>
    <row r="31" spans="1:6" x14ac:dyDescent="0.25">
      <c r="A31" s="516" t="s">
        <v>142</v>
      </c>
      <c r="B31" s="516"/>
      <c r="C31" s="516"/>
      <c r="D31" s="516"/>
      <c r="E31" s="516"/>
      <c r="F31" s="516"/>
    </row>
    <row r="32" spans="1:6" x14ac:dyDescent="0.25">
      <c r="A32" s="111" t="s">
        <v>143</v>
      </c>
      <c r="B32" s="112" t="s">
        <v>144</v>
      </c>
      <c r="C32" s="113">
        <v>5.2999999999999999E-2</v>
      </c>
      <c r="D32" s="113">
        <v>4.0300000000000002E-2</v>
      </c>
      <c r="E32" s="113">
        <v>5.2999999999999999E-2</v>
      </c>
      <c r="F32" s="113">
        <v>4.0300000000000002E-2</v>
      </c>
    </row>
    <row r="33" spans="1:6" x14ac:dyDescent="0.25">
      <c r="A33" s="111" t="s">
        <v>145</v>
      </c>
      <c r="B33" s="112" t="s">
        <v>146</v>
      </c>
      <c r="C33" s="113">
        <v>1.1999999999999999E-3</v>
      </c>
      <c r="D33" s="113">
        <v>8.9999999999999998E-4</v>
      </c>
      <c r="E33" s="113">
        <v>1.1999999999999999E-3</v>
      </c>
      <c r="F33" s="113">
        <v>8.9999999999999998E-4</v>
      </c>
    </row>
    <row r="34" spans="1:6" x14ac:dyDescent="0.25">
      <c r="A34" s="111" t="s">
        <v>147</v>
      </c>
      <c r="B34" s="112" t="s">
        <v>148</v>
      </c>
      <c r="C34" s="113">
        <v>2.46E-2</v>
      </c>
      <c r="D34" s="113">
        <v>1.8700000000000001E-2</v>
      </c>
      <c r="E34" s="113">
        <v>2.46E-2</v>
      </c>
      <c r="F34" s="113">
        <v>1.8700000000000001E-2</v>
      </c>
    </row>
    <row r="35" spans="1:6" x14ac:dyDescent="0.25">
      <c r="A35" s="111" t="s">
        <v>149</v>
      </c>
      <c r="B35" s="112" t="s">
        <v>150</v>
      </c>
      <c r="C35" s="113">
        <v>2.8899999999999999E-2</v>
      </c>
      <c r="D35" s="113">
        <v>2.1999999999999999E-2</v>
      </c>
      <c r="E35" s="113">
        <v>2.8899999999999999E-2</v>
      </c>
      <c r="F35" s="113">
        <v>2.1999999999999999E-2</v>
      </c>
    </row>
    <row r="36" spans="1:6" x14ac:dyDescent="0.25">
      <c r="A36" s="111" t="s">
        <v>151</v>
      </c>
      <c r="B36" s="112" t="s">
        <v>152</v>
      </c>
      <c r="C36" s="113">
        <v>4.4999999999999997E-3</v>
      </c>
      <c r="D36" s="113">
        <v>3.3999999999999998E-3</v>
      </c>
      <c r="E36" s="113">
        <v>4.4999999999999997E-3</v>
      </c>
      <c r="F36" s="113">
        <v>3.3999999999999998E-3</v>
      </c>
    </row>
    <row r="37" spans="1:6" x14ac:dyDescent="0.25">
      <c r="A37" s="114" t="s">
        <v>153</v>
      </c>
      <c r="B37" s="115" t="s">
        <v>118</v>
      </c>
      <c r="C37" s="116">
        <f>SUM(C32:C36)</f>
        <v>0.11219999999999999</v>
      </c>
      <c r="D37" s="116">
        <f t="shared" ref="D37:F37" si="2">SUM(D32:D36)</f>
        <v>8.5300000000000001E-2</v>
      </c>
      <c r="E37" s="116">
        <f t="shared" si="2"/>
        <v>0.11219999999999999</v>
      </c>
      <c r="F37" s="116">
        <f t="shared" si="2"/>
        <v>8.5300000000000001E-2</v>
      </c>
    </row>
    <row r="38" spans="1:6" x14ac:dyDescent="0.25">
      <c r="A38" s="516" t="s">
        <v>154</v>
      </c>
      <c r="B38" s="516"/>
      <c r="C38" s="516"/>
      <c r="D38" s="516"/>
      <c r="E38" s="516"/>
      <c r="F38" s="516"/>
    </row>
    <row r="39" spans="1:6" x14ac:dyDescent="0.25">
      <c r="A39" s="111" t="s">
        <v>155</v>
      </c>
      <c r="B39" s="112" t="s">
        <v>156</v>
      </c>
      <c r="C39" s="113">
        <v>9.7900000000000001E-2</v>
      </c>
      <c r="D39" s="113">
        <v>3.6400000000000002E-2</v>
      </c>
      <c r="E39" s="113">
        <v>0.1744</v>
      </c>
      <c r="F39" s="113">
        <v>6.8400000000000002E-2</v>
      </c>
    </row>
    <row r="40" spans="1:6" ht="33.75" x14ac:dyDescent="0.25">
      <c r="A40" s="111" t="s">
        <v>157</v>
      </c>
      <c r="B40" s="112" t="s">
        <v>158</v>
      </c>
      <c r="C40" s="113">
        <v>4.4999999999999997E-3</v>
      </c>
      <c r="D40" s="113">
        <v>3.3999999999999998E-3</v>
      </c>
      <c r="E40" s="113">
        <v>4.7000000000000002E-3</v>
      </c>
      <c r="F40" s="113">
        <v>3.5999999999999999E-3</v>
      </c>
    </row>
    <row r="41" spans="1:6" x14ac:dyDescent="0.25">
      <c r="A41" s="114" t="s">
        <v>159</v>
      </c>
      <c r="B41" s="115" t="s">
        <v>118</v>
      </c>
      <c r="C41" s="116">
        <f>SUM(C39:C40)</f>
        <v>0.1024</v>
      </c>
      <c r="D41" s="116">
        <f t="shared" ref="D41:F41" si="3">SUM(D39:D40)</f>
        <v>3.9800000000000002E-2</v>
      </c>
      <c r="E41" s="116">
        <f t="shared" si="3"/>
        <v>0.17910000000000001</v>
      </c>
      <c r="F41" s="116">
        <f t="shared" si="3"/>
        <v>7.2000000000000008E-2</v>
      </c>
    </row>
    <row r="42" spans="1:6" x14ac:dyDescent="0.25">
      <c r="A42" s="517" t="s">
        <v>160</v>
      </c>
      <c r="B42" s="517"/>
      <c r="C42" s="116">
        <f>SUM(C41,C37,C30,C18)</f>
        <v>0.90659999999999985</v>
      </c>
      <c r="D42" s="116">
        <f t="shared" ref="D42:F42" si="4">SUM(D41,D37,D30,D18)</f>
        <v>0.52899999999999991</v>
      </c>
      <c r="E42" s="116">
        <f t="shared" si="4"/>
        <v>1.1333</v>
      </c>
      <c r="F42" s="116">
        <f t="shared" si="4"/>
        <v>0.71120000000000005</v>
      </c>
    </row>
  </sheetData>
  <sheetProtection algorithmName="SHA-512" hashValue="WerWsmQoNcVkZoozk2H6HAqKBV4TGkmxxicDNtGjsyY10VBb8XXSrbFJKMTFjYfpcR0u/4b3OOiPB/rbqQWbrw==" saltValue="xuux8BgqN6DxShHzpIANdw==" spinCount="100000" sheet="1" objects="1" scenarios="1" selectLockedCells="1" selectUnlockedCells="1"/>
  <mergeCells count="13">
    <mergeCell ref="A1:F1"/>
    <mergeCell ref="A2:F2"/>
    <mergeCell ref="A3:F3"/>
    <mergeCell ref="A5:F5"/>
    <mergeCell ref="A6:A7"/>
    <mergeCell ref="B6:B7"/>
    <mergeCell ref="C6:D6"/>
    <mergeCell ref="E6:F6"/>
    <mergeCell ref="A8:F8"/>
    <mergeCell ref="A19:F19"/>
    <mergeCell ref="A31:F31"/>
    <mergeCell ref="A38:F38"/>
    <mergeCell ref="A42:B42"/>
  </mergeCells>
  <pageMargins left="0.51181102362204722" right="0.51181102362204722" top="1.7716535433070868" bottom="1.1811023622047245" header="0.51181102362204722" footer="0.51181102362204722"/>
  <pageSetup paperSize="9" scale="97" fitToHeight="0" orientation="portrait" r:id="rId1"/>
  <headerFooter>
    <oddHeader>&amp;C&amp;G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AA460-084C-418F-97B1-351276F8F89B}">
  <sheetPr>
    <tabColor theme="0" tint="-0.14999847407452621"/>
    <pageSetUpPr fitToPage="1"/>
  </sheetPr>
  <dimension ref="A1:F14"/>
  <sheetViews>
    <sheetView workbookViewId="0">
      <selection sqref="A1:F1"/>
    </sheetView>
  </sheetViews>
  <sheetFormatPr defaultRowHeight="15" x14ac:dyDescent="0.25"/>
  <cols>
    <col min="1" max="1" width="4.7109375" bestFit="1" customWidth="1"/>
    <col min="2" max="2" width="38.28515625" customWidth="1"/>
    <col min="3" max="3" width="4.85546875" bestFit="1" customWidth="1"/>
    <col min="4" max="4" width="7.85546875" bestFit="1" customWidth="1"/>
    <col min="5" max="5" width="16.28515625" bestFit="1" customWidth="1"/>
    <col min="6" max="6" width="14.7109375" bestFit="1" customWidth="1"/>
    <col min="7" max="7" width="22.42578125" bestFit="1" customWidth="1"/>
  </cols>
  <sheetData>
    <row r="1" spans="1:6" x14ac:dyDescent="0.25">
      <c r="A1" s="370" t="s">
        <v>42</v>
      </c>
      <c r="B1" s="370"/>
      <c r="C1" s="370"/>
      <c r="D1" s="370"/>
      <c r="E1" s="370"/>
      <c r="F1" s="370"/>
    </row>
    <row r="2" spans="1:6" ht="22.5" x14ac:dyDescent="0.25">
      <c r="A2" s="371" t="s">
        <v>386</v>
      </c>
      <c r="B2" s="372"/>
      <c r="C2" s="373" t="s">
        <v>387</v>
      </c>
      <c r="D2" s="373"/>
      <c r="E2" s="24" t="s">
        <v>392</v>
      </c>
      <c r="F2" s="25"/>
    </row>
    <row r="3" spans="1:6" x14ac:dyDescent="0.25">
      <c r="A3" s="374" t="s">
        <v>388</v>
      </c>
      <c r="B3" s="375"/>
      <c r="C3" s="375"/>
      <c r="D3" s="375"/>
      <c r="E3" s="26" t="s">
        <v>24</v>
      </c>
      <c r="F3" s="27">
        <f>'GERAL '!B13</f>
        <v>6396</v>
      </c>
    </row>
    <row r="4" spans="1:6" x14ac:dyDescent="0.25">
      <c r="A4" s="366" t="s">
        <v>25</v>
      </c>
      <c r="B4" s="366" t="s">
        <v>26</v>
      </c>
      <c r="C4" s="366" t="s">
        <v>27</v>
      </c>
      <c r="D4" s="368" t="s">
        <v>28</v>
      </c>
      <c r="E4" s="376" t="s">
        <v>29</v>
      </c>
      <c r="F4" s="377"/>
    </row>
    <row r="5" spans="1:6" x14ac:dyDescent="0.25">
      <c r="A5" s="367"/>
      <c r="B5" s="367"/>
      <c r="C5" s="367"/>
      <c r="D5" s="369"/>
      <c r="E5" s="378"/>
      <c r="F5" s="379"/>
    </row>
    <row r="6" spans="1:6" x14ac:dyDescent="0.25">
      <c r="A6" s="28" t="s">
        <v>30</v>
      </c>
      <c r="B6" s="362" t="s">
        <v>31</v>
      </c>
      <c r="C6" s="363"/>
      <c r="D6" s="363"/>
      <c r="E6" s="364">
        <f>SUM(E7:F9)</f>
        <v>46439.07</v>
      </c>
      <c r="F6" s="365"/>
    </row>
    <row r="7" spans="1:6" x14ac:dyDescent="0.25">
      <c r="A7" s="29" t="s">
        <v>32</v>
      </c>
      <c r="B7" s="36" t="s">
        <v>38</v>
      </c>
      <c r="C7" s="30" t="s">
        <v>15</v>
      </c>
      <c r="D7" s="37">
        <v>6</v>
      </c>
      <c r="E7" s="359">
        <f>'ORÇAMENTO CD'!H11</f>
        <v>3542.22</v>
      </c>
      <c r="F7" s="360"/>
    </row>
    <row r="8" spans="1:6" x14ac:dyDescent="0.25">
      <c r="A8" s="29" t="s">
        <v>172</v>
      </c>
      <c r="B8" s="36" t="s">
        <v>39</v>
      </c>
      <c r="C8" s="30" t="s">
        <v>40</v>
      </c>
      <c r="D8" s="37">
        <v>3</v>
      </c>
      <c r="E8" s="359">
        <f>'ORÇAMENTO CD'!H12</f>
        <v>19871.25</v>
      </c>
      <c r="F8" s="360"/>
    </row>
    <row r="9" spans="1:6" x14ac:dyDescent="0.25">
      <c r="A9" s="29" t="s">
        <v>361</v>
      </c>
      <c r="B9" s="36" t="s">
        <v>371</v>
      </c>
      <c r="C9" s="30" t="s">
        <v>15</v>
      </c>
      <c r="D9" s="37">
        <f>'ORÇAMENTO CD'!E13</f>
        <v>6396</v>
      </c>
      <c r="E9" s="359">
        <f>'ORÇAMENTO CD'!H13</f>
        <v>23025.599999999999</v>
      </c>
      <c r="F9" s="360"/>
    </row>
    <row r="10" spans="1:6" x14ac:dyDescent="0.25">
      <c r="A10" s="28" t="s">
        <v>33</v>
      </c>
      <c r="B10" s="362" t="s">
        <v>34</v>
      </c>
      <c r="C10" s="363"/>
      <c r="D10" s="363"/>
      <c r="E10" s="364">
        <f>SUM(E11:F12)</f>
        <v>809937.28</v>
      </c>
      <c r="F10" s="365"/>
    </row>
    <row r="11" spans="1:6" x14ac:dyDescent="0.25">
      <c r="A11" s="29" t="s">
        <v>35</v>
      </c>
      <c r="B11" s="36" t="str">
        <f>'GERAL '!A10</f>
        <v>RUA MAJOR APRÍGIO - LOC. SÃO JOÃO</v>
      </c>
      <c r="C11" s="30" t="s">
        <v>36</v>
      </c>
      <c r="D11" s="38">
        <v>1</v>
      </c>
      <c r="E11" s="359">
        <f>'ORÇAMENTO CD'!H33</f>
        <v>471145.14</v>
      </c>
      <c r="F11" s="360"/>
    </row>
    <row r="12" spans="1:6" x14ac:dyDescent="0.25">
      <c r="A12" s="29" t="s">
        <v>366</v>
      </c>
      <c r="B12" s="211" t="str">
        <f>'GERAL '!A11</f>
        <v>RUA JOSÉ MIGUEL - LOC. BARREIRO</v>
      </c>
      <c r="C12" s="30" t="s">
        <v>36</v>
      </c>
      <c r="D12" s="38">
        <v>1</v>
      </c>
      <c r="E12" s="359">
        <f>'ORÇAMENTO CD'!H54</f>
        <v>338792.14</v>
      </c>
      <c r="F12" s="360"/>
    </row>
    <row r="13" spans="1:6" x14ac:dyDescent="0.25">
      <c r="A13" s="31"/>
      <c r="B13" s="32"/>
      <c r="C13" s="32"/>
      <c r="D13" s="33"/>
      <c r="E13" s="33"/>
      <c r="F13" s="34"/>
    </row>
    <row r="14" spans="1:6" x14ac:dyDescent="0.25">
      <c r="A14" s="361" t="s">
        <v>37</v>
      </c>
      <c r="B14" s="361"/>
      <c r="C14" s="361"/>
      <c r="D14" s="361"/>
      <c r="E14" s="361"/>
      <c r="F14" s="35">
        <f>E6+E10</f>
        <v>856376.35</v>
      </c>
    </row>
  </sheetData>
  <sheetProtection algorithmName="SHA-512" hashValue="2xtUy9AIJtOecYRxj76x3bS+tV3hGmHC0z7gbfyHraRuuHMANY70OphCM08wNIwCIaOPAlExqDK9EiOddKvsRQ==" saltValue="Xntml8GVclTne1dvvZ8Ttw==" spinCount="100000" sheet="1" objects="1" scenarios="1" selectLockedCells="1" selectUnlockedCells="1"/>
  <mergeCells count="19">
    <mergeCell ref="E11:F11"/>
    <mergeCell ref="E12:F12"/>
    <mergeCell ref="A14:E14"/>
    <mergeCell ref="B6:D6"/>
    <mergeCell ref="E6:F6"/>
    <mergeCell ref="E7:F7"/>
    <mergeCell ref="E8:F8"/>
    <mergeCell ref="E9:F9"/>
    <mergeCell ref="B10:D10"/>
    <mergeCell ref="E10:F10"/>
    <mergeCell ref="A1:F1"/>
    <mergeCell ref="A2:B2"/>
    <mergeCell ref="C2:D2"/>
    <mergeCell ref="A3:D3"/>
    <mergeCell ref="A4:A5"/>
    <mergeCell ref="B4:B5"/>
    <mergeCell ref="C4:C5"/>
    <mergeCell ref="D4:D5"/>
    <mergeCell ref="E4:F5"/>
  </mergeCells>
  <pageMargins left="0.51181102362204722" right="0.51181102362204722" top="1.7716535433070868" bottom="1.1811023622047245" header="0.51181102362204722" footer="0.51181102362204722"/>
  <pageSetup paperSize="9" fitToHeight="0" orientation="portrait" r:id="rId1"/>
  <headerFooter>
    <oddHeader>&amp;C&amp;G</oddHeader>
    <oddFooter>&amp;C&amp;G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BB315-43BC-4106-B94C-232E9A906220}">
  <sheetPr>
    <tabColor theme="0" tint="-0.14999847407452621"/>
    <pageSetUpPr fitToPage="1"/>
  </sheetPr>
  <dimension ref="A1:G24"/>
  <sheetViews>
    <sheetView workbookViewId="0">
      <selection sqref="A1:G1"/>
    </sheetView>
  </sheetViews>
  <sheetFormatPr defaultRowHeight="15" x14ac:dyDescent="0.25"/>
  <cols>
    <col min="1" max="1" width="9.140625" style="23"/>
    <col min="2" max="2" width="32.42578125" bestFit="1" customWidth="1"/>
    <col min="3" max="3" width="7.28515625" customWidth="1"/>
    <col min="4" max="4" width="15.28515625" customWidth="1"/>
    <col min="5" max="6" width="14.42578125" bestFit="1" customWidth="1"/>
    <col min="7" max="7" width="14.42578125" customWidth="1"/>
  </cols>
  <sheetData>
    <row r="1" spans="1:7" x14ac:dyDescent="0.25">
      <c r="A1" s="397" t="s">
        <v>185</v>
      </c>
      <c r="B1" s="398"/>
      <c r="C1" s="398"/>
      <c r="D1" s="398"/>
      <c r="E1" s="398"/>
      <c r="F1" s="398"/>
      <c r="G1" s="398"/>
    </row>
    <row r="2" spans="1:7" ht="15" customHeight="1" x14ac:dyDescent="0.25">
      <c r="A2" s="399" t="s">
        <v>386</v>
      </c>
      <c r="B2" s="400"/>
      <c r="C2" s="400"/>
      <c r="D2" s="400"/>
      <c r="E2" s="400"/>
      <c r="F2" s="400"/>
      <c r="G2" s="400"/>
    </row>
    <row r="3" spans="1:7" x14ac:dyDescent="0.25">
      <c r="A3" s="401"/>
      <c r="B3" s="402"/>
      <c r="C3" s="402"/>
      <c r="D3" s="402"/>
      <c r="E3" s="402"/>
      <c r="F3" s="402"/>
      <c r="G3" s="402"/>
    </row>
    <row r="4" spans="1:7" ht="15.75" customHeight="1" x14ac:dyDescent="0.25">
      <c r="A4" s="403" t="s">
        <v>25</v>
      </c>
      <c r="B4" s="403" t="s">
        <v>186</v>
      </c>
      <c r="C4" s="404" t="s">
        <v>190</v>
      </c>
      <c r="D4" s="405" t="s">
        <v>235</v>
      </c>
      <c r="E4" s="406" t="s">
        <v>187</v>
      </c>
      <c r="F4" s="406"/>
      <c r="G4" s="406"/>
    </row>
    <row r="5" spans="1:7" ht="23.25" customHeight="1" x14ac:dyDescent="0.25">
      <c r="A5" s="403"/>
      <c r="B5" s="403"/>
      <c r="C5" s="404"/>
      <c r="D5" s="405"/>
      <c r="E5" s="276">
        <v>30</v>
      </c>
      <c r="F5" s="276">
        <v>60</v>
      </c>
      <c r="G5" s="276">
        <v>90</v>
      </c>
    </row>
    <row r="6" spans="1:7" x14ac:dyDescent="0.25">
      <c r="A6" s="275" t="s">
        <v>30</v>
      </c>
      <c r="B6" s="395" t="s">
        <v>31</v>
      </c>
      <c r="C6" s="396"/>
      <c r="D6" s="396"/>
      <c r="E6" s="396"/>
      <c r="F6" s="396"/>
      <c r="G6" s="396"/>
    </row>
    <row r="7" spans="1:7" x14ac:dyDescent="0.25">
      <c r="A7" s="380" t="s">
        <v>32</v>
      </c>
      <c r="B7" s="382" t="s">
        <v>38</v>
      </c>
      <c r="C7" s="383">
        <f>D7/$D$21</f>
        <v>4.1362889108275819E-3</v>
      </c>
      <c r="D7" s="381">
        <f>'ORÇAMENTO CD'!H11</f>
        <v>3542.22</v>
      </c>
      <c r="E7" s="133">
        <f>D7*E8</f>
        <v>3542.22</v>
      </c>
      <c r="F7" s="134"/>
      <c r="G7" s="134"/>
    </row>
    <row r="8" spans="1:7" x14ac:dyDescent="0.25">
      <c r="A8" s="380"/>
      <c r="B8" s="382"/>
      <c r="C8" s="383"/>
      <c r="D8" s="381"/>
      <c r="E8" s="135">
        <v>1</v>
      </c>
      <c r="F8" s="135"/>
      <c r="G8" s="135"/>
    </row>
    <row r="9" spans="1:7" x14ac:dyDescent="0.25">
      <c r="A9" s="380" t="s">
        <v>172</v>
      </c>
      <c r="B9" s="382" t="s">
        <v>39</v>
      </c>
      <c r="C9" s="383">
        <f>D9/$D$21</f>
        <v>2.3203875258815825E-2</v>
      </c>
      <c r="D9" s="381">
        <f>'ORÇAMENTO CD'!H12</f>
        <v>19871.25</v>
      </c>
      <c r="E9" s="133">
        <f>D9*E10</f>
        <v>6623.75</v>
      </c>
      <c r="F9" s="134">
        <f>F10*D9</f>
        <v>6623.75</v>
      </c>
      <c r="G9" s="134">
        <f>G10*D9</f>
        <v>6623.75</v>
      </c>
    </row>
    <row r="10" spans="1:7" x14ac:dyDescent="0.25">
      <c r="A10" s="380"/>
      <c r="B10" s="382"/>
      <c r="C10" s="383"/>
      <c r="D10" s="381"/>
      <c r="E10" s="135">
        <f>100%/3</f>
        <v>0.33333333333333331</v>
      </c>
      <c r="F10" s="135">
        <f t="shared" ref="F10:G10" si="0">100%/3</f>
        <v>0.33333333333333331</v>
      </c>
      <c r="G10" s="135">
        <f t="shared" si="0"/>
        <v>0.33333333333333331</v>
      </c>
    </row>
    <row r="11" spans="1:7" x14ac:dyDescent="0.25">
      <c r="A11" s="380" t="s">
        <v>361</v>
      </c>
      <c r="B11" s="382" t="s">
        <v>316</v>
      </c>
      <c r="C11" s="383">
        <f>D11/$D$21</f>
        <v>2.6887244142134472E-2</v>
      </c>
      <c r="D11" s="381">
        <f>'ORÇAMENTO CD'!H13</f>
        <v>23025.599999999999</v>
      </c>
      <c r="E11" s="133"/>
      <c r="F11" s="134"/>
      <c r="G11" s="134">
        <f>G12*D11</f>
        <v>23025.599999999999</v>
      </c>
    </row>
    <row r="12" spans="1:7" x14ac:dyDescent="0.25">
      <c r="A12" s="380"/>
      <c r="B12" s="382"/>
      <c r="C12" s="383"/>
      <c r="D12" s="381"/>
      <c r="E12" s="135"/>
      <c r="F12" s="135"/>
      <c r="G12" s="135">
        <v>1</v>
      </c>
    </row>
    <row r="13" spans="1:7" x14ac:dyDescent="0.25">
      <c r="A13" s="31"/>
      <c r="B13" s="136"/>
      <c r="C13" s="137"/>
      <c r="D13" s="33"/>
      <c r="E13" s="138"/>
      <c r="F13" s="138"/>
      <c r="G13" s="138"/>
    </row>
    <row r="14" spans="1:7" x14ac:dyDescent="0.25">
      <c r="A14" s="275" t="s">
        <v>33</v>
      </c>
      <c r="B14" s="395" t="s">
        <v>34</v>
      </c>
      <c r="C14" s="396"/>
      <c r="D14" s="396"/>
      <c r="E14" s="396"/>
      <c r="F14" s="396"/>
      <c r="G14" s="396"/>
    </row>
    <row r="15" spans="1:7" x14ac:dyDescent="0.25">
      <c r="A15" s="380" t="s">
        <v>35</v>
      </c>
      <c r="B15" s="382" t="str">
        <f>'RESUMO CD'!B11</f>
        <v>RUA MAJOR APRÍGIO - LOC. SÃO JOÃO</v>
      </c>
      <c r="C15" s="383">
        <f>D15/$D$21</f>
        <v>0.55016131634181631</v>
      </c>
      <c r="D15" s="381">
        <f>'ORÇAMENTO CD'!H33</f>
        <v>471145.14</v>
      </c>
      <c r="E15" s="133">
        <f>D15*E16</f>
        <v>235572.57</v>
      </c>
      <c r="F15" s="134">
        <f>F16*D15</f>
        <v>235572.57</v>
      </c>
      <c r="G15" s="134"/>
    </row>
    <row r="16" spans="1:7" x14ac:dyDescent="0.25">
      <c r="A16" s="380"/>
      <c r="B16" s="382"/>
      <c r="C16" s="383"/>
      <c r="D16" s="381"/>
      <c r="E16" s="135">
        <v>0.5</v>
      </c>
      <c r="F16" s="135">
        <v>0.5</v>
      </c>
      <c r="G16" s="135"/>
    </row>
    <row r="17" spans="1:7" x14ac:dyDescent="0.25">
      <c r="A17" s="259"/>
      <c r="B17" s="260"/>
      <c r="C17" s="260"/>
      <c r="D17" s="260"/>
      <c r="E17" s="260"/>
      <c r="F17" s="260"/>
      <c r="G17" s="260"/>
    </row>
    <row r="18" spans="1:7" x14ac:dyDescent="0.25">
      <c r="A18" s="380" t="s">
        <v>366</v>
      </c>
      <c r="B18" s="382" t="str">
        <f>'RESUMO CD'!B12</f>
        <v>RUA JOSÉ MIGUEL - LOC. BARREIRO</v>
      </c>
      <c r="C18" s="383">
        <f>D18/$D$21</f>
        <v>0.39561127534640583</v>
      </c>
      <c r="D18" s="381">
        <f>'ORÇAMENTO CD'!H54</f>
        <v>338792.14</v>
      </c>
      <c r="E18" s="134"/>
      <c r="F18" s="134">
        <f>F19*D18</f>
        <v>169396.07</v>
      </c>
      <c r="G18" s="134">
        <f>G19*D18</f>
        <v>169396.07</v>
      </c>
    </row>
    <row r="19" spans="1:7" x14ac:dyDescent="0.25">
      <c r="A19" s="380"/>
      <c r="B19" s="382"/>
      <c r="C19" s="383"/>
      <c r="D19" s="381"/>
      <c r="E19" s="135"/>
      <c r="F19" s="135">
        <v>0.5</v>
      </c>
      <c r="G19" s="135">
        <v>0.5</v>
      </c>
    </row>
    <row r="20" spans="1:7" x14ac:dyDescent="0.25">
      <c r="A20" s="139"/>
      <c r="B20" s="140"/>
      <c r="C20" s="140"/>
      <c r="D20" s="140"/>
      <c r="E20" s="140"/>
      <c r="F20" s="140"/>
      <c r="G20" s="140"/>
    </row>
    <row r="21" spans="1:7" x14ac:dyDescent="0.25">
      <c r="A21" s="384" t="s">
        <v>188</v>
      </c>
      <c r="B21" s="385"/>
      <c r="C21" s="390"/>
      <c r="D21" s="388">
        <f>SUM(D18,D15,D9,D7,D11)</f>
        <v>856376.35</v>
      </c>
      <c r="E21" s="273">
        <f>SUM(E7,E9,E15,E18,E11)</f>
        <v>245738.54</v>
      </c>
      <c r="F21" s="273">
        <f t="shared" ref="F21:G21" si="1">SUM(F7,F9,F15,F18,F11)</f>
        <v>411592.39</v>
      </c>
      <c r="G21" s="273">
        <f t="shared" si="1"/>
        <v>199045.42</v>
      </c>
    </row>
    <row r="22" spans="1:7" x14ac:dyDescent="0.25">
      <c r="A22" s="386"/>
      <c r="B22" s="387"/>
      <c r="C22" s="391"/>
      <c r="D22" s="389"/>
      <c r="E22" s="273">
        <f>E21</f>
        <v>245738.54</v>
      </c>
      <c r="F22" s="273">
        <f>E22+F21</f>
        <v>657330.93000000005</v>
      </c>
      <c r="G22" s="273">
        <f>F22+G21</f>
        <v>856376.35000000009</v>
      </c>
    </row>
    <row r="23" spans="1:7" x14ac:dyDescent="0.25">
      <c r="A23" s="384" t="s">
        <v>189</v>
      </c>
      <c r="B23" s="385"/>
      <c r="C23" s="391"/>
      <c r="D23" s="393">
        <f t="shared" ref="D23:G23" si="2">D21/$D$21</f>
        <v>1</v>
      </c>
      <c r="E23" s="274">
        <f t="shared" si="2"/>
        <v>0.28695157216800771</v>
      </c>
      <c r="F23" s="274">
        <f t="shared" si="2"/>
        <v>0.48062092093038306</v>
      </c>
      <c r="G23" s="274">
        <f t="shared" si="2"/>
        <v>0.23242750690160935</v>
      </c>
    </row>
    <row r="24" spans="1:7" x14ac:dyDescent="0.25">
      <c r="A24" s="386"/>
      <c r="B24" s="387"/>
      <c r="C24" s="392"/>
      <c r="D24" s="394"/>
      <c r="E24" s="274">
        <f>E22/$D$21</f>
        <v>0.28695157216800771</v>
      </c>
      <c r="F24" s="274">
        <f>F22/$D$21</f>
        <v>0.76757249309839071</v>
      </c>
      <c r="G24" s="274">
        <f>G22/$D$21</f>
        <v>1.0000000000000002</v>
      </c>
    </row>
  </sheetData>
  <sheetProtection algorithmName="SHA-512" hashValue="rJkaRMaX+8Kdu7MSoLDBYujsWJ86dD2rkci87ara5fYmLLmUy5R89SptZa/PG+ADadY3Qa+8cXZEFXa6dPUSeA==" saltValue="s+w69t7+GvmeZyOIM7lVKA==" spinCount="100000" sheet="1" objects="1" scenarios="1" selectLockedCells="1" selectUnlockedCells="1"/>
  <mergeCells count="35">
    <mergeCell ref="A21:B22"/>
    <mergeCell ref="C21:C24"/>
    <mergeCell ref="D21:D22"/>
    <mergeCell ref="A23:B24"/>
    <mergeCell ref="D23:D24"/>
    <mergeCell ref="B14:G14"/>
    <mergeCell ref="A18:A19"/>
    <mergeCell ref="B18:B19"/>
    <mergeCell ref="C18:C19"/>
    <mergeCell ref="D18:D19"/>
    <mergeCell ref="A15:A16"/>
    <mergeCell ref="B15:B16"/>
    <mergeCell ref="C15:C16"/>
    <mergeCell ref="D15:D16"/>
    <mergeCell ref="B6:G6"/>
    <mergeCell ref="A7:A8"/>
    <mergeCell ref="B7:B8"/>
    <mergeCell ref="C7:C8"/>
    <mergeCell ref="D7:D8"/>
    <mergeCell ref="A9:A10"/>
    <mergeCell ref="B9:B10"/>
    <mergeCell ref="C9:C10"/>
    <mergeCell ref="D9:D10"/>
    <mergeCell ref="A11:A12"/>
    <mergeCell ref="B11:B12"/>
    <mergeCell ref="C11:C12"/>
    <mergeCell ref="D11:D12"/>
    <mergeCell ref="A1:G1"/>
    <mergeCell ref="A2:G2"/>
    <mergeCell ref="A3:G3"/>
    <mergeCell ref="A4:A5"/>
    <mergeCell ref="B4:B5"/>
    <mergeCell ref="C4:C5"/>
    <mergeCell ref="D4:D5"/>
    <mergeCell ref="E4:G4"/>
  </mergeCells>
  <conditionalFormatting sqref="E17:G17 E20:G20">
    <cfRule type="expression" dxfId="23" priority="1" stopIfTrue="1">
      <formula>LEN(TRIM(E17))&gt;0</formula>
    </cfRule>
  </conditionalFormatting>
  <pageMargins left="0.51181102362204722" right="0.51181102362204722" top="1.7716535433070868" bottom="1.1811023622047245" header="0.51181102362204722" footer="0.51181102362204722"/>
  <pageSetup paperSize="9" fitToHeight="0" orientation="landscape" r:id="rId1"/>
  <headerFooter>
    <oddHeader>&amp;C&amp;G</oddHeader>
    <oddFooter>&amp;R]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5B74C-1408-400A-8DCC-D45EBA31C77F}">
  <sheetPr>
    <tabColor theme="0" tint="-0.14999847407452621"/>
    <pageSetUpPr fitToPage="1"/>
  </sheetPr>
  <dimension ref="A1:I56"/>
  <sheetViews>
    <sheetView workbookViewId="0">
      <selection sqref="A1:H2"/>
    </sheetView>
  </sheetViews>
  <sheetFormatPr defaultRowHeight="15" x14ac:dyDescent="0.25"/>
  <cols>
    <col min="1" max="1" width="9.28515625" style="108" bestFit="1" customWidth="1"/>
    <col min="2" max="2" width="17.5703125" style="109" customWidth="1"/>
    <col min="3" max="3" width="44.7109375" style="109" bestFit="1" customWidth="1"/>
    <col min="4" max="4" width="12.5703125" style="109" bestFit="1" customWidth="1"/>
    <col min="5" max="5" width="8.7109375" style="109" bestFit="1" customWidth="1"/>
    <col min="6" max="6" width="12" style="109" bestFit="1" customWidth="1"/>
    <col min="7" max="7" width="16.28515625" style="109" bestFit="1" customWidth="1"/>
    <col min="8" max="8" width="17.28515625" style="108" bestFit="1" customWidth="1"/>
  </cols>
  <sheetData>
    <row r="1" spans="1:8" ht="15" customHeight="1" x14ac:dyDescent="0.25">
      <c r="A1" s="370" t="s">
        <v>163</v>
      </c>
      <c r="B1" s="370"/>
      <c r="C1" s="370"/>
      <c r="D1" s="370"/>
      <c r="E1" s="370"/>
      <c r="F1" s="370"/>
      <c r="G1" s="370"/>
      <c r="H1" s="370"/>
    </row>
    <row r="2" spans="1:8" ht="15" customHeight="1" x14ac:dyDescent="0.25">
      <c r="A2" s="370"/>
      <c r="B2" s="370"/>
      <c r="C2" s="370"/>
      <c r="D2" s="370"/>
      <c r="E2" s="370"/>
      <c r="F2" s="370"/>
      <c r="G2" s="370"/>
      <c r="H2" s="370"/>
    </row>
    <row r="3" spans="1:8" ht="23.25" customHeight="1" x14ac:dyDescent="0.25">
      <c r="A3" s="399" t="str">
        <f>'RESUMO CD'!A2:B2</f>
        <v>OBJETO:  PAVIMENTAÇÃO DE VIAS PÚBLICAS NO MUNÍCIO DE ÁGUA BRANCA-PI</v>
      </c>
      <c r="B3" s="400"/>
      <c r="C3" s="400"/>
      <c r="D3" s="400"/>
      <c r="E3" s="400"/>
      <c r="F3" s="418" t="s">
        <v>387</v>
      </c>
      <c r="G3" s="418" t="str">
        <f>'RESUMO CD'!E2</f>
        <v>SEM DESONERAÇÃO
BDI: 28,14%</v>
      </c>
      <c r="H3" s="420" t="s">
        <v>393</v>
      </c>
    </row>
    <row r="4" spans="1:8" ht="15" customHeight="1" x14ac:dyDescent="0.25">
      <c r="A4" s="185" t="s">
        <v>388</v>
      </c>
      <c r="B4" s="117"/>
      <c r="C4" s="117"/>
      <c r="D4" s="410"/>
      <c r="E4" s="410"/>
      <c r="F4" s="419"/>
      <c r="G4" s="419"/>
      <c r="H4" s="421"/>
    </row>
    <row r="5" spans="1:8" x14ac:dyDescent="0.25">
      <c r="A5" s="131"/>
      <c r="B5" s="117"/>
      <c r="C5" s="117"/>
      <c r="D5" s="199"/>
      <c r="E5" s="199"/>
      <c r="F5" s="197"/>
      <c r="G5" s="197"/>
      <c r="H5" s="198"/>
    </row>
    <row r="6" spans="1:8" x14ac:dyDescent="0.25">
      <c r="A6" s="264" t="s">
        <v>164</v>
      </c>
      <c r="B6" s="265" t="str">
        <f>'RESUMO CD'!B11</f>
        <v>RUA MAJOR APRÍGIO - LOC. SÃO JOÃO</v>
      </c>
      <c r="C6" s="266"/>
      <c r="D6" s="263" t="s">
        <v>165</v>
      </c>
      <c r="E6" s="267">
        <v>6</v>
      </c>
      <c r="F6" s="268"/>
      <c r="G6" s="268"/>
      <c r="H6" s="262"/>
    </row>
    <row r="7" spans="1:8" x14ac:dyDescent="0.25">
      <c r="A7" s="132" t="s">
        <v>166</v>
      </c>
      <c r="B7" s="130">
        <f>E7*E6</f>
        <v>3726</v>
      </c>
      <c r="C7" s="120"/>
      <c r="D7" s="121" t="s">
        <v>167</v>
      </c>
      <c r="E7" s="122">
        <v>621</v>
      </c>
      <c r="F7" s="123"/>
      <c r="G7" s="123"/>
      <c r="H7" s="205"/>
    </row>
    <row r="8" spans="1:8" x14ac:dyDescent="0.25">
      <c r="A8" s="366" t="s">
        <v>25</v>
      </c>
      <c r="B8" s="366" t="s">
        <v>92</v>
      </c>
      <c r="C8" s="366" t="s">
        <v>26</v>
      </c>
      <c r="D8" s="366" t="s">
        <v>27</v>
      </c>
      <c r="E8" s="368" t="s">
        <v>28</v>
      </c>
      <c r="F8" s="411" t="s">
        <v>168</v>
      </c>
      <c r="G8" s="412"/>
      <c r="H8" s="413"/>
    </row>
    <row r="9" spans="1:8" x14ac:dyDescent="0.25">
      <c r="A9" s="367"/>
      <c r="B9" s="367"/>
      <c r="C9" s="367"/>
      <c r="D9" s="367"/>
      <c r="E9" s="369"/>
      <c r="F9" s="124" t="s">
        <v>169</v>
      </c>
      <c r="G9" s="124" t="s">
        <v>170</v>
      </c>
      <c r="H9" s="196" t="s">
        <v>171</v>
      </c>
    </row>
    <row r="10" spans="1:8" x14ac:dyDescent="0.25">
      <c r="A10" s="28" t="s">
        <v>30</v>
      </c>
      <c r="B10" s="362" t="s">
        <v>360</v>
      </c>
      <c r="C10" s="363"/>
      <c r="D10" s="363"/>
      <c r="E10" s="363"/>
      <c r="F10" s="363"/>
      <c r="G10" s="417"/>
      <c r="H10" s="125">
        <f>SUM(H11:H13)</f>
        <v>46439.07</v>
      </c>
    </row>
    <row r="11" spans="1:8" x14ac:dyDescent="0.25">
      <c r="A11" s="29" t="s">
        <v>32</v>
      </c>
      <c r="B11" s="111" t="s">
        <v>272</v>
      </c>
      <c r="C11" s="126" t="s">
        <v>38</v>
      </c>
      <c r="D11" s="111" t="s">
        <v>15</v>
      </c>
      <c r="E11" s="127">
        <f>'Memoria de Calculo '!C12</f>
        <v>6</v>
      </c>
      <c r="F11" s="127">
        <f>'COMPOSIÇÕES UNITÁRIAS CD'!G7</f>
        <v>460.72</v>
      </c>
      <c r="G11" s="129">
        <f>ROUND(F11*1.2814,2)</f>
        <v>590.37</v>
      </c>
      <c r="H11" s="129">
        <f>ROUND(E11*G11,2)</f>
        <v>3542.22</v>
      </c>
    </row>
    <row r="12" spans="1:8" x14ac:dyDescent="0.25">
      <c r="A12" s="29" t="s">
        <v>172</v>
      </c>
      <c r="B12" s="111" t="s">
        <v>273</v>
      </c>
      <c r="C12" s="126" t="s">
        <v>39</v>
      </c>
      <c r="D12" s="111" t="s">
        <v>40</v>
      </c>
      <c r="E12" s="127">
        <f>'Memoria de Calculo '!C16</f>
        <v>3</v>
      </c>
      <c r="F12" s="127">
        <f>'COMPOSIÇÕES UNITÁRIAS CD'!G20</f>
        <v>5169.1499999999996</v>
      </c>
      <c r="G12" s="129">
        <f t="shared" ref="G12:G13" si="0">ROUND(F12*1.2814,2)</f>
        <v>6623.75</v>
      </c>
      <c r="H12" s="129">
        <f>ROUND(E12*G12,2)</f>
        <v>19871.25</v>
      </c>
    </row>
    <row r="13" spans="1:8" x14ac:dyDescent="0.25">
      <c r="A13" s="29" t="s">
        <v>361</v>
      </c>
      <c r="B13" s="111" t="s">
        <v>362</v>
      </c>
      <c r="C13" s="126" t="s">
        <v>316</v>
      </c>
      <c r="D13" s="111" t="s">
        <v>15</v>
      </c>
      <c r="E13" s="127">
        <f>'Memoria de Calculo '!C19</f>
        <v>6396</v>
      </c>
      <c r="F13" s="127">
        <f>'COMPOSIÇÕES UNITÁRIAS CD'!G91</f>
        <v>2.81</v>
      </c>
      <c r="G13" s="129">
        <f t="shared" si="0"/>
        <v>3.6</v>
      </c>
      <c r="H13" s="129">
        <f>ROUND(E13*G13,2)</f>
        <v>23025.599999999999</v>
      </c>
    </row>
    <row r="14" spans="1:8" x14ac:dyDescent="0.25">
      <c r="A14" s="414"/>
      <c r="B14" s="415"/>
      <c r="C14" s="415"/>
      <c r="D14" s="415"/>
      <c r="E14" s="415"/>
      <c r="F14" s="415"/>
      <c r="G14" s="415"/>
      <c r="H14" s="416"/>
    </row>
    <row r="15" spans="1:8" x14ac:dyDescent="0.25">
      <c r="A15" s="28" t="s">
        <v>33</v>
      </c>
      <c r="B15" s="407" t="s">
        <v>173</v>
      </c>
      <c r="C15" s="407"/>
      <c r="D15" s="407"/>
      <c r="E15" s="407"/>
      <c r="F15" s="407"/>
      <c r="G15" s="407"/>
      <c r="H15" s="125">
        <f>H16</f>
        <v>2682.72</v>
      </c>
    </row>
    <row r="16" spans="1:8" x14ac:dyDescent="0.25">
      <c r="A16" s="29" t="s">
        <v>35</v>
      </c>
      <c r="B16" s="111">
        <v>100575</v>
      </c>
      <c r="C16" s="128" t="s">
        <v>174</v>
      </c>
      <c r="D16" s="30" t="s">
        <v>15</v>
      </c>
      <c r="E16" s="127">
        <f>'Memoria de Calculo '!C45</f>
        <v>3726</v>
      </c>
      <c r="F16" s="127">
        <f>'COMPOSIÇÕES UNITÁRIAS CD'!$G$25</f>
        <v>0.56000000000000005</v>
      </c>
      <c r="G16" s="129">
        <f>ROUND(F16*1.2814,2)</f>
        <v>0.72</v>
      </c>
      <c r="H16" s="129">
        <f>ROUND(E16*G16,2)</f>
        <v>2682.72</v>
      </c>
    </row>
    <row r="17" spans="1:9" x14ac:dyDescent="0.25">
      <c r="A17" s="380"/>
      <c r="B17" s="380"/>
      <c r="C17" s="380"/>
      <c r="D17" s="380"/>
      <c r="E17" s="380"/>
      <c r="F17" s="380"/>
      <c r="G17" s="380"/>
      <c r="H17" s="380"/>
    </row>
    <row r="18" spans="1:9" x14ac:dyDescent="0.25">
      <c r="A18" s="28" t="s">
        <v>175</v>
      </c>
      <c r="B18" s="407" t="s">
        <v>176</v>
      </c>
      <c r="C18" s="407"/>
      <c r="D18" s="407"/>
      <c r="E18" s="407"/>
      <c r="F18" s="407"/>
      <c r="G18" s="407"/>
      <c r="H18" s="125">
        <f>SUM(H19:H20)</f>
        <v>325391.58</v>
      </c>
    </row>
    <row r="19" spans="1:9" ht="22.5" x14ac:dyDescent="0.25">
      <c r="A19" s="29" t="s">
        <v>177</v>
      </c>
      <c r="B19" s="111" t="s">
        <v>274</v>
      </c>
      <c r="C19" s="128" t="s">
        <v>275</v>
      </c>
      <c r="D19" s="30" t="s">
        <v>15</v>
      </c>
      <c r="E19" s="127">
        <f>'Memoria de Calculo '!C51</f>
        <v>3726</v>
      </c>
      <c r="F19" s="127">
        <f>'COMPOSIÇÕES UNITÁRIAS CD'!$G$38</f>
        <v>66.599999999999994</v>
      </c>
      <c r="G19" s="129">
        <f t="shared" ref="G19:G20" si="1">ROUND(F19*1.2814,2)</f>
        <v>85.34</v>
      </c>
      <c r="H19" s="129">
        <f>ROUND(E19*G19,2)</f>
        <v>317976.84000000003</v>
      </c>
    </row>
    <row r="20" spans="1:9" x14ac:dyDescent="0.25">
      <c r="A20" s="29" t="s">
        <v>378</v>
      </c>
      <c r="B20" s="111" t="s">
        <v>379</v>
      </c>
      <c r="C20" s="128" t="s">
        <v>380</v>
      </c>
      <c r="D20" s="30" t="s">
        <v>15</v>
      </c>
      <c r="E20" s="127">
        <f>'Memoria de Calculo '!C56</f>
        <v>3726</v>
      </c>
      <c r="F20" s="127">
        <f>'COMPOSIÇÕES UNITÁRIAS CD'!$G$50</f>
        <v>1.55</v>
      </c>
      <c r="G20" s="129">
        <f t="shared" si="1"/>
        <v>1.99</v>
      </c>
      <c r="H20" s="129">
        <f>ROUND(E20*G20,2)</f>
        <v>7414.74</v>
      </c>
    </row>
    <row r="21" spans="1:9" x14ac:dyDescent="0.25">
      <c r="A21" s="380"/>
      <c r="B21" s="380"/>
      <c r="C21" s="380"/>
      <c r="D21" s="380"/>
      <c r="E21" s="380"/>
      <c r="F21" s="380"/>
      <c r="G21" s="380"/>
      <c r="H21" s="380"/>
    </row>
    <row r="22" spans="1:9" x14ac:dyDescent="0.25">
      <c r="A22" s="28" t="s">
        <v>178</v>
      </c>
      <c r="B22" s="407" t="s">
        <v>179</v>
      </c>
      <c r="C22" s="407"/>
      <c r="D22" s="407"/>
      <c r="E22" s="407"/>
      <c r="F22" s="407"/>
      <c r="G22" s="407"/>
      <c r="H22" s="125">
        <f>SUM(H23:H24)</f>
        <v>99673.74</v>
      </c>
    </row>
    <row r="23" spans="1:9" ht="33.75" x14ac:dyDescent="0.25">
      <c r="A23" s="29" t="s">
        <v>180</v>
      </c>
      <c r="B23" s="111">
        <v>94273</v>
      </c>
      <c r="C23" s="128" t="s">
        <v>181</v>
      </c>
      <c r="D23" s="30" t="s">
        <v>182</v>
      </c>
      <c r="E23" s="127">
        <f>'Memoria de Calculo '!C63</f>
        <v>1254</v>
      </c>
      <c r="F23" s="127">
        <f>'COMPOSIÇÕES UNITÁRIAS CD'!$G$55</f>
        <v>40.6</v>
      </c>
      <c r="G23" s="129">
        <f t="shared" ref="G23:G24" si="2">ROUND(F23*1.2814,2)</f>
        <v>52.02</v>
      </c>
      <c r="H23" s="129">
        <f>ROUND(E23*G23,2)</f>
        <v>65233.08</v>
      </c>
      <c r="I23" s="330"/>
    </row>
    <row r="24" spans="1:9" ht="22.5" x14ac:dyDescent="0.25">
      <c r="A24" s="29" t="s">
        <v>183</v>
      </c>
      <c r="B24" s="111" t="s">
        <v>279</v>
      </c>
      <c r="C24" s="128" t="s">
        <v>280</v>
      </c>
      <c r="D24" s="30" t="s">
        <v>182</v>
      </c>
      <c r="E24" s="127">
        <f>'Memoria de Calculo '!C68</f>
        <v>1242</v>
      </c>
      <c r="F24" s="127">
        <f>'COMPOSIÇÕES UNITÁRIAS CD'!$G$63</f>
        <v>21.64</v>
      </c>
      <c r="G24" s="129">
        <f t="shared" si="2"/>
        <v>27.73</v>
      </c>
      <c r="H24" s="129">
        <f>ROUND(E24*G24,2)</f>
        <v>34440.660000000003</v>
      </c>
      <c r="I24" s="330"/>
    </row>
    <row r="25" spans="1:9" x14ac:dyDescent="0.25">
      <c r="A25" s="380"/>
      <c r="B25" s="380"/>
      <c r="C25" s="380"/>
      <c r="D25" s="380"/>
      <c r="E25" s="380"/>
      <c r="F25" s="380"/>
      <c r="G25" s="380"/>
      <c r="H25" s="380"/>
      <c r="I25" s="330"/>
    </row>
    <row r="26" spans="1:9" x14ac:dyDescent="0.25">
      <c r="A26" s="28" t="s">
        <v>239</v>
      </c>
      <c r="B26" s="407" t="s">
        <v>237</v>
      </c>
      <c r="C26" s="407"/>
      <c r="D26" s="407"/>
      <c r="E26" s="407"/>
      <c r="F26" s="407"/>
      <c r="G26" s="407"/>
      <c r="H26" s="125">
        <f>SUM(H27:H28)</f>
        <v>42922.12</v>
      </c>
      <c r="I26" s="330"/>
    </row>
    <row r="27" spans="1:9" ht="33.75" x14ac:dyDescent="0.25">
      <c r="A27" s="29" t="s">
        <v>240</v>
      </c>
      <c r="B27" s="111">
        <v>95878</v>
      </c>
      <c r="C27" s="128" t="s">
        <v>298</v>
      </c>
      <c r="D27" s="30" t="s">
        <v>238</v>
      </c>
      <c r="E27" s="127">
        <f>'Memoria de Calculo '!C77</f>
        <v>17746.189999999999</v>
      </c>
      <c r="F27" s="127">
        <f>'COMPOSIÇÕES UNITÁRIAS CD'!$G$81</f>
        <v>1.6</v>
      </c>
      <c r="G27" s="129">
        <f t="shared" ref="G27:G28" si="3">ROUND(F27*1.2814,2)</f>
        <v>2.0499999999999998</v>
      </c>
      <c r="H27" s="129">
        <f>ROUND(E27*G27,2)</f>
        <v>36379.69</v>
      </c>
      <c r="I27" s="330"/>
    </row>
    <row r="28" spans="1:9" ht="33.75" x14ac:dyDescent="0.25">
      <c r="A28" s="29" t="s">
        <v>297</v>
      </c>
      <c r="B28" s="111">
        <v>93596</v>
      </c>
      <c r="C28" s="128" t="s">
        <v>299</v>
      </c>
      <c r="D28" s="30" t="s">
        <v>238</v>
      </c>
      <c r="E28" s="127">
        <f>'Memoria de Calculo '!C85</f>
        <v>8281.56</v>
      </c>
      <c r="F28" s="127">
        <f>'COMPOSIÇÕES UNITÁRIAS CD'!$G$86</f>
        <v>0.62</v>
      </c>
      <c r="G28" s="129">
        <f t="shared" si="3"/>
        <v>0.79</v>
      </c>
      <c r="H28" s="129">
        <f>ROUND(E28*G28,2)</f>
        <v>6542.43</v>
      </c>
      <c r="I28" s="330"/>
    </row>
    <row r="29" spans="1:9" x14ac:dyDescent="0.25">
      <c r="A29" s="380"/>
      <c r="B29" s="380"/>
      <c r="C29" s="380"/>
      <c r="D29" s="380"/>
      <c r="E29" s="380"/>
      <c r="F29" s="380"/>
      <c r="G29" s="380"/>
      <c r="H29" s="380"/>
      <c r="I29" s="330"/>
    </row>
    <row r="30" spans="1:9" x14ac:dyDescent="0.25">
      <c r="A30" s="28" t="s">
        <v>276</v>
      </c>
      <c r="B30" s="407" t="s">
        <v>277</v>
      </c>
      <c r="C30" s="407"/>
      <c r="D30" s="407"/>
      <c r="E30" s="407"/>
      <c r="F30" s="407"/>
      <c r="G30" s="407"/>
      <c r="H30" s="125">
        <f>SUM(H31:H31)</f>
        <v>474.98</v>
      </c>
      <c r="I30" s="330"/>
    </row>
    <row r="31" spans="1:9" ht="22.5" x14ac:dyDescent="0.25">
      <c r="A31" s="29" t="s">
        <v>278</v>
      </c>
      <c r="B31" s="111" t="s">
        <v>293</v>
      </c>
      <c r="C31" s="128" t="s">
        <v>354</v>
      </c>
      <c r="D31" s="30" t="s">
        <v>295</v>
      </c>
      <c r="E31" s="127">
        <f>'Memoria de Calculo '!C90</f>
        <v>1</v>
      </c>
      <c r="F31" s="127">
        <f>'COMPOSIÇÕES UNITÁRIAS CD'!$G$72</f>
        <v>370.67</v>
      </c>
      <c r="G31" s="129">
        <f>ROUND(F31*1.2814,2)</f>
        <v>474.98</v>
      </c>
      <c r="H31" s="129">
        <f>ROUND(E31*G31,2)</f>
        <v>474.98</v>
      </c>
      <c r="I31" s="330"/>
    </row>
    <row r="32" spans="1:9" x14ac:dyDescent="0.25">
      <c r="A32" s="380"/>
      <c r="B32" s="380"/>
      <c r="C32" s="380"/>
      <c r="D32" s="380"/>
      <c r="E32" s="380"/>
      <c r="F32" s="380"/>
      <c r="G32" s="380"/>
      <c r="H32" s="380"/>
    </row>
    <row r="33" spans="1:8" x14ac:dyDescent="0.25">
      <c r="A33" s="408" t="s">
        <v>236</v>
      </c>
      <c r="B33" s="408"/>
      <c r="C33" s="408"/>
      <c r="D33" s="408"/>
      <c r="E33" s="408"/>
      <c r="F33" s="408"/>
      <c r="G33" s="408"/>
      <c r="H33" s="204">
        <f>SUM(H30,H26,H22,H18,H15)</f>
        <v>471145.14</v>
      </c>
    </row>
    <row r="35" spans="1:8" x14ac:dyDescent="0.25">
      <c r="A35" s="264" t="s">
        <v>164</v>
      </c>
      <c r="B35" s="265" t="str">
        <f>'RESUMO CD'!B12</f>
        <v>RUA JOSÉ MIGUEL - LOC. BARREIRO</v>
      </c>
      <c r="C35" s="266"/>
      <c r="D35" s="263" t="s">
        <v>165</v>
      </c>
      <c r="E35" s="267">
        <v>6</v>
      </c>
      <c r="F35" s="268"/>
      <c r="G35" s="268"/>
      <c r="H35" s="262"/>
    </row>
    <row r="36" spans="1:8" x14ac:dyDescent="0.25">
      <c r="A36" s="132" t="s">
        <v>166</v>
      </c>
      <c r="B36" s="130">
        <f>E36*E35</f>
        <v>2670</v>
      </c>
      <c r="C36" s="120"/>
      <c r="D36" s="121" t="s">
        <v>167</v>
      </c>
      <c r="E36" s="122">
        <v>445</v>
      </c>
      <c r="F36" s="123"/>
      <c r="G36" s="123"/>
      <c r="H36" s="205"/>
    </row>
    <row r="37" spans="1:8" x14ac:dyDescent="0.25">
      <c r="A37" s="366" t="s">
        <v>25</v>
      </c>
      <c r="B37" s="366" t="s">
        <v>92</v>
      </c>
      <c r="C37" s="366" t="s">
        <v>26</v>
      </c>
      <c r="D37" s="366" t="s">
        <v>27</v>
      </c>
      <c r="E37" s="368" t="s">
        <v>28</v>
      </c>
      <c r="F37" s="411" t="s">
        <v>168</v>
      </c>
      <c r="G37" s="412"/>
      <c r="H37" s="413"/>
    </row>
    <row r="38" spans="1:8" x14ac:dyDescent="0.25">
      <c r="A38" s="367"/>
      <c r="B38" s="367"/>
      <c r="C38" s="367"/>
      <c r="D38" s="367"/>
      <c r="E38" s="369"/>
      <c r="F38" s="124" t="s">
        <v>169</v>
      </c>
      <c r="G38" s="124" t="s">
        <v>170</v>
      </c>
      <c r="H38" s="196" t="s">
        <v>171</v>
      </c>
    </row>
    <row r="39" spans="1:8" x14ac:dyDescent="0.25">
      <c r="A39" s="28" t="s">
        <v>33</v>
      </c>
      <c r="B39" s="407" t="s">
        <v>173</v>
      </c>
      <c r="C39" s="407"/>
      <c r="D39" s="407"/>
      <c r="E39" s="407"/>
      <c r="F39" s="407"/>
      <c r="G39" s="407"/>
      <c r="H39" s="125">
        <f>H40</f>
        <v>1922.4</v>
      </c>
    </row>
    <row r="40" spans="1:8" x14ac:dyDescent="0.25">
      <c r="A40" s="29" t="s">
        <v>35</v>
      </c>
      <c r="B40" s="111">
        <v>100575</v>
      </c>
      <c r="C40" s="128" t="s">
        <v>174</v>
      </c>
      <c r="D40" s="30" t="s">
        <v>15</v>
      </c>
      <c r="E40" s="127">
        <f>'Memoria de Calculo '!C116</f>
        <v>2670</v>
      </c>
      <c r="F40" s="127">
        <f>'COMPOSIÇÕES UNITÁRIAS CD'!$G$25</f>
        <v>0.56000000000000005</v>
      </c>
      <c r="G40" s="129">
        <f>ROUND(F40*1.2814,2)</f>
        <v>0.72</v>
      </c>
      <c r="H40" s="129">
        <f>ROUND(E40*G40,2)</f>
        <v>1922.4</v>
      </c>
    </row>
    <row r="41" spans="1:8" x14ac:dyDescent="0.25">
      <c r="A41" s="380"/>
      <c r="B41" s="380"/>
      <c r="C41" s="380"/>
      <c r="D41" s="380"/>
      <c r="E41" s="380"/>
      <c r="F41" s="380"/>
      <c r="G41" s="380"/>
      <c r="H41" s="380"/>
    </row>
    <row r="42" spans="1:8" x14ac:dyDescent="0.25">
      <c r="A42" s="28" t="s">
        <v>175</v>
      </c>
      <c r="B42" s="407" t="s">
        <v>176</v>
      </c>
      <c r="C42" s="407"/>
      <c r="D42" s="407"/>
      <c r="E42" s="407"/>
      <c r="F42" s="407"/>
      <c r="G42" s="407"/>
      <c r="H42" s="125">
        <f>SUM(H43:H44)</f>
        <v>233171.09999999998</v>
      </c>
    </row>
    <row r="43" spans="1:8" ht="22.5" x14ac:dyDescent="0.25">
      <c r="A43" s="29" t="s">
        <v>177</v>
      </c>
      <c r="B43" s="111" t="s">
        <v>274</v>
      </c>
      <c r="C43" s="128" t="s">
        <v>275</v>
      </c>
      <c r="D43" s="30" t="s">
        <v>15</v>
      </c>
      <c r="E43" s="127">
        <f>'Memoria de Calculo '!C122</f>
        <v>2670</v>
      </c>
      <c r="F43" s="127">
        <f>'COMPOSIÇÕES UNITÁRIAS CD'!$G$38</f>
        <v>66.599999999999994</v>
      </c>
      <c r="G43" s="129">
        <f>ROUND(F43*1.2814,2)</f>
        <v>85.34</v>
      </c>
      <c r="H43" s="129">
        <f>ROUND(E43*G43,2)</f>
        <v>227857.8</v>
      </c>
    </row>
    <row r="44" spans="1:8" x14ac:dyDescent="0.25">
      <c r="A44" s="29" t="s">
        <v>378</v>
      </c>
      <c r="B44" s="111" t="s">
        <v>379</v>
      </c>
      <c r="C44" s="128" t="s">
        <v>380</v>
      </c>
      <c r="D44" s="30" t="s">
        <v>15</v>
      </c>
      <c r="E44" s="127">
        <f>'Memoria de Calculo '!C127</f>
        <v>2670</v>
      </c>
      <c r="F44" s="127">
        <f>'COMPOSIÇÕES UNITÁRIAS CD'!$G$50</f>
        <v>1.55</v>
      </c>
      <c r="G44" s="129">
        <f>ROUND(F44*1.2814,2)</f>
        <v>1.99</v>
      </c>
      <c r="H44" s="129">
        <f>ROUND(E44*G44,2)</f>
        <v>5313.3</v>
      </c>
    </row>
    <row r="45" spans="1:8" x14ac:dyDescent="0.25">
      <c r="A45" s="380"/>
      <c r="B45" s="380"/>
      <c r="C45" s="380"/>
      <c r="D45" s="380"/>
      <c r="E45" s="380"/>
      <c r="F45" s="380"/>
      <c r="G45" s="380"/>
      <c r="H45" s="380"/>
    </row>
    <row r="46" spans="1:8" x14ac:dyDescent="0.25">
      <c r="A46" s="28" t="s">
        <v>178</v>
      </c>
      <c r="B46" s="407" t="s">
        <v>179</v>
      </c>
      <c r="C46" s="407"/>
      <c r="D46" s="407"/>
      <c r="E46" s="407"/>
      <c r="F46" s="407"/>
      <c r="G46" s="407"/>
      <c r="H46" s="125">
        <f>SUM(H47:H48)</f>
        <v>71601.740000000005</v>
      </c>
    </row>
    <row r="47" spans="1:8" ht="33.75" x14ac:dyDescent="0.25">
      <c r="A47" s="29" t="s">
        <v>180</v>
      </c>
      <c r="B47" s="111">
        <v>94273</v>
      </c>
      <c r="C47" s="128" t="s">
        <v>181</v>
      </c>
      <c r="D47" s="30" t="s">
        <v>182</v>
      </c>
      <c r="E47" s="127">
        <f>'Memoria de Calculo '!C134</f>
        <v>902</v>
      </c>
      <c r="F47" s="127">
        <f>'COMPOSIÇÕES UNITÁRIAS CD'!$G$55</f>
        <v>40.6</v>
      </c>
      <c r="G47" s="129">
        <f t="shared" ref="G47:G48" si="4">ROUND(F47*1.2814,2)</f>
        <v>52.02</v>
      </c>
      <c r="H47" s="129">
        <f>ROUND(E47*G47,2)</f>
        <v>46922.04</v>
      </c>
    </row>
    <row r="48" spans="1:8" ht="22.5" x14ac:dyDescent="0.25">
      <c r="A48" s="29" t="s">
        <v>183</v>
      </c>
      <c r="B48" s="111" t="s">
        <v>279</v>
      </c>
      <c r="C48" s="128" t="s">
        <v>280</v>
      </c>
      <c r="D48" s="30" t="s">
        <v>182</v>
      </c>
      <c r="E48" s="127">
        <f>'Memoria de Calculo '!C139</f>
        <v>890</v>
      </c>
      <c r="F48" s="127">
        <f>'COMPOSIÇÕES UNITÁRIAS CD'!$G$63</f>
        <v>21.64</v>
      </c>
      <c r="G48" s="129">
        <f t="shared" si="4"/>
        <v>27.73</v>
      </c>
      <c r="H48" s="129">
        <f>ROUND(E48*G48,2)</f>
        <v>24679.7</v>
      </c>
    </row>
    <row r="49" spans="1:8" x14ac:dyDescent="0.25">
      <c r="A49" s="380"/>
      <c r="B49" s="380"/>
      <c r="C49" s="380"/>
      <c r="D49" s="380"/>
      <c r="E49" s="380"/>
      <c r="F49" s="380"/>
      <c r="G49" s="380"/>
      <c r="H49" s="380"/>
    </row>
    <row r="50" spans="1:8" x14ac:dyDescent="0.25">
      <c r="A50" s="28" t="s">
        <v>239</v>
      </c>
      <c r="B50" s="407" t="s">
        <v>237</v>
      </c>
      <c r="C50" s="407"/>
      <c r="D50" s="407"/>
      <c r="E50" s="407"/>
      <c r="F50" s="407"/>
      <c r="G50" s="407"/>
      <c r="H50" s="125">
        <f>SUM(H51:H52)</f>
        <v>32096.899999999998</v>
      </c>
    </row>
    <row r="51" spans="1:8" ht="33.75" x14ac:dyDescent="0.25">
      <c r="A51" s="29" t="s">
        <v>240</v>
      </c>
      <c r="B51" s="111">
        <v>95878</v>
      </c>
      <c r="C51" s="128" t="s">
        <v>298</v>
      </c>
      <c r="D51" s="30" t="s">
        <v>238</v>
      </c>
      <c r="E51" s="127">
        <f>'Memoria de Calculo '!C148</f>
        <v>12716.68</v>
      </c>
      <c r="F51" s="127">
        <f>'COMPOSIÇÕES UNITÁRIAS CD'!$G$81</f>
        <v>1.6</v>
      </c>
      <c r="G51" s="129">
        <f t="shared" ref="G51:G52" si="5">ROUND(F51*1.2814,2)</f>
        <v>2.0499999999999998</v>
      </c>
      <c r="H51" s="129">
        <f>ROUND(E51*G51,2)</f>
        <v>26069.19</v>
      </c>
    </row>
    <row r="52" spans="1:8" ht="33.75" x14ac:dyDescent="0.25">
      <c r="A52" s="29" t="s">
        <v>297</v>
      </c>
      <c r="B52" s="111">
        <v>93596</v>
      </c>
      <c r="C52" s="128" t="s">
        <v>299</v>
      </c>
      <c r="D52" s="30" t="s">
        <v>238</v>
      </c>
      <c r="E52" s="127">
        <f>'Memoria de Calculo '!C156</f>
        <v>7630.01</v>
      </c>
      <c r="F52" s="127">
        <f>'COMPOSIÇÕES UNITÁRIAS CD'!$G$86</f>
        <v>0.62</v>
      </c>
      <c r="G52" s="129">
        <f t="shared" si="5"/>
        <v>0.79</v>
      </c>
      <c r="H52" s="129">
        <f>ROUND(E52*G52,2)</f>
        <v>6027.71</v>
      </c>
    </row>
    <row r="53" spans="1:8" x14ac:dyDescent="0.25">
      <c r="A53" s="380"/>
      <c r="B53" s="380"/>
      <c r="C53" s="380"/>
      <c r="D53" s="380"/>
      <c r="E53" s="380"/>
      <c r="F53" s="380"/>
      <c r="G53" s="380"/>
      <c r="H53" s="380"/>
    </row>
    <row r="54" spans="1:8" x14ac:dyDescent="0.25">
      <c r="A54" s="408" t="s">
        <v>236</v>
      </c>
      <c r="B54" s="408"/>
      <c r="C54" s="408"/>
      <c r="D54" s="408"/>
      <c r="E54" s="408"/>
      <c r="F54" s="408"/>
      <c r="G54" s="408"/>
      <c r="H54" s="204">
        <f>SUM(,H50,H46,H42,H39)</f>
        <v>338792.14</v>
      </c>
    </row>
    <row r="56" spans="1:8" x14ac:dyDescent="0.25">
      <c r="A56" s="409" t="s">
        <v>344</v>
      </c>
      <c r="B56" s="409"/>
      <c r="C56" s="409"/>
      <c r="D56" s="409"/>
      <c r="E56" s="409"/>
      <c r="F56" s="409"/>
      <c r="G56" s="409"/>
      <c r="H56" s="269">
        <f>SUM(H54,H33,H10)</f>
        <v>856376.35</v>
      </c>
    </row>
  </sheetData>
  <sheetProtection algorithmName="SHA-512" hashValue="ef5XRC1sgikOIyxryzadg/P91KbpCZMOb4daxsG7Xfcbw26qoyLWl5bR5h2TQtHkKMGGVco1Adb2VgowHf4iyg==" saltValue="jlKovx6Reok4yLyUth35WQ==" spinCount="100000" sheet="1" objects="1" scenarios="1" selectLockedCells="1" selectUnlockedCells="1"/>
  <mergeCells count="41">
    <mergeCell ref="B50:G50"/>
    <mergeCell ref="A53:H53"/>
    <mergeCell ref="A54:G54"/>
    <mergeCell ref="A56:G56"/>
    <mergeCell ref="B39:G39"/>
    <mergeCell ref="A41:H41"/>
    <mergeCell ref="B42:G42"/>
    <mergeCell ref="A45:H45"/>
    <mergeCell ref="B46:G46"/>
    <mergeCell ref="A49:H49"/>
    <mergeCell ref="A33:G33"/>
    <mergeCell ref="A37:A38"/>
    <mergeCell ref="B37:B38"/>
    <mergeCell ref="C37:C38"/>
    <mergeCell ref="D37:D38"/>
    <mergeCell ref="E37:E38"/>
    <mergeCell ref="F37:H37"/>
    <mergeCell ref="A32:H32"/>
    <mergeCell ref="B10:G10"/>
    <mergeCell ref="A14:H14"/>
    <mergeCell ref="B15:G15"/>
    <mergeCell ref="A17:H17"/>
    <mergeCell ref="B18:G18"/>
    <mergeCell ref="A21:H21"/>
    <mergeCell ref="B22:G22"/>
    <mergeCell ref="A25:H25"/>
    <mergeCell ref="B26:G26"/>
    <mergeCell ref="A29:H29"/>
    <mergeCell ref="B30:G30"/>
    <mergeCell ref="F8:H8"/>
    <mergeCell ref="A1:H2"/>
    <mergeCell ref="A3:E3"/>
    <mergeCell ref="F3:F4"/>
    <mergeCell ref="G3:G4"/>
    <mergeCell ref="H3:H4"/>
    <mergeCell ref="D4:E4"/>
    <mergeCell ref="A8:A9"/>
    <mergeCell ref="B8:B9"/>
    <mergeCell ref="C8:C9"/>
    <mergeCell ref="D8:D9"/>
    <mergeCell ref="E8:E9"/>
  </mergeCells>
  <pageMargins left="0.51181102362204722" right="0.51181102362204722" top="1.7716535433070868" bottom="1.5748031496062993" header="0.51181102362204722" footer="0.51181102362204722"/>
  <pageSetup paperSize="9" scale="66" fitToHeight="0" orientation="portrait" r:id="rId1"/>
  <headerFooter>
    <oddHeader>&amp;C&amp;G</oddHead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984BD-6A7D-4346-BB2C-E242451A9351}">
  <sheetPr>
    <tabColor theme="0" tint="-0.14999847407452621"/>
    <pageSetUpPr fitToPage="1"/>
  </sheetPr>
  <dimension ref="A1:J92"/>
  <sheetViews>
    <sheetView workbookViewId="0">
      <selection sqref="A1:G2"/>
    </sheetView>
  </sheetViews>
  <sheetFormatPr defaultRowHeight="15" x14ac:dyDescent="0.25"/>
  <cols>
    <col min="1" max="1" width="10.7109375" style="23" customWidth="1"/>
    <col min="2" max="2" width="13.140625" style="23" bestFit="1" customWidth="1"/>
    <col min="3" max="3" width="46.140625" customWidth="1"/>
    <col min="4" max="4" width="12" bestFit="1" customWidth="1"/>
    <col min="5" max="5" width="10" bestFit="1" customWidth="1"/>
    <col min="6" max="6" width="18.5703125" customWidth="1"/>
    <col min="7" max="7" width="19.28515625" customWidth="1"/>
    <col min="8" max="8" width="17.28515625" bestFit="1" customWidth="1"/>
    <col min="9" max="9" width="0" hidden="1" customWidth="1"/>
  </cols>
  <sheetData>
    <row r="1" spans="1:8" x14ac:dyDescent="0.25">
      <c r="A1" s="439" t="s">
        <v>192</v>
      </c>
      <c r="B1" s="440"/>
      <c r="C1" s="440"/>
      <c r="D1" s="440"/>
      <c r="E1" s="440"/>
      <c r="F1" s="440"/>
      <c r="G1" s="441"/>
    </row>
    <row r="2" spans="1:8" x14ac:dyDescent="0.25">
      <c r="A2" s="442"/>
      <c r="B2" s="443"/>
      <c r="C2" s="443"/>
      <c r="D2" s="443"/>
      <c r="E2" s="443"/>
      <c r="F2" s="443"/>
      <c r="G2" s="444"/>
    </row>
    <row r="3" spans="1:8" x14ac:dyDescent="0.25">
      <c r="A3" s="399" t="str">
        <f>'ORÇAMENTO CD'!A3:E3</f>
        <v>OBJETO:  PAVIMENTAÇÃO DE VIAS PÚBLICAS NO MUNÍCIO DE ÁGUA BRANCA-PI</v>
      </c>
      <c r="B3" s="400"/>
      <c r="C3" s="400"/>
      <c r="D3" s="119" t="s">
        <v>193</v>
      </c>
      <c r="E3" s="141">
        <v>0.28139999999999998</v>
      </c>
      <c r="F3" s="419" t="str">
        <f>'ORÇAMENTO CD'!F3:F4</f>
        <v>FONTE:  
SINAPI 06/2025</v>
      </c>
      <c r="G3" s="421" t="str">
        <f>'ORÇAMENTO CD'!H3:H4</f>
        <v>Horista: 90,66% Mensalista : 52,90%</v>
      </c>
    </row>
    <row r="4" spans="1:8" ht="25.5" customHeight="1" x14ac:dyDescent="0.25">
      <c r="A4" s="142" t="str">
        <f>'ORÇAMENTO CD'!A4</f>
        <v>LOCAL: SÃO JOÃO E BARREIRO</v>
      </c>
      <c r="B4" s="143"/>
      <c r="C4" s="143"/>
      <c r="D4" s="447" t="s">
        <v>10</v>
      </c>
      <c r="E4" s="447"/>
      <c r="F4" s="445"/>
      <c r="G4" s="446"/>
    </row>
    <row r="5" spans="1:8" x14ac:dyDescent="0.25">
      <c r="A5" s="414"/>
      <c r="B5" s="415"/>
      <c r="C5" s="415"/>
      <c r="D5" s="415"/>
      <c r="E5" s="415"/>
      <c r="F5" s="415"/>
      <c r="G5" s="416"/>
    </row>
    <row r="6" spans="1:8" x14ac:dyDescent="0.25">
      <c r="A6" s="293" t="s">
        <v>195</v>
      </c>
      <c r="B6" s="294" t="s">
        <v>250</v>
      </c>
      <c r="C6" s="294" t="s">
        <v>196</v>
      </c>
      <c r="D6" s="295" t="s">
        <v>251</v>
      </c>
      <c r="E6" s="293" t="s">
        <v>252</v>
      </c>
      <c r="F6" s="293" t="s">
        <v>253</v>
      </c>
      <c r="G6" s="293" t="s">
        <v>118</v>
      </c>
    </row>
    <row r="7" spans="1:8" s="157" customFormat="1" ht="22.5" x14ac:dyDescent="0.25">
      <c r="A7" s="296" t="s">
        <v>282</v>
      </c>
      <c r="B7" s="297" t="s">
        <v>200</v>
      </c>
      <c r="C7" s="297" t="s">
        <v>302</v>
      </c>
      <c r="D7" s="298" t="s">
        <v>15</v>
      </c>
      <c r="E7" s="299">
        <v>1</v>
      </c>
      <c r="F7" s="300">
        <v>460.72</v>
      </c>
      <c r="G7" s="300">
        <v>460.72</v>
      </c>
      <c r="H7"/>
    </row>
    <row r="8" spans="1:8" x14ac:dyDescent="0.25">
      <c r="A8" s="200" t="s">
        <v>283</v>
      </c>
      <c r="B8" s="201" t="s">
        <v>200</v>
      </c>
      <c r="C8" s="201" t="s">
        <v>303</v>
      </c>
      <c r="D8" s="202" t="s">
        <v>15</v>
      </c>
      <c r="E8" s="203">
        <v>0.5</v>
      </c>
      <c r="F8" s="207">
        <v>23.91</v>
      </c>
      <c r="G8" s="207">
        <v>11.95</v>
      </c>
    </row>
    <row r="9" spans="1:8" x14ac:dyDescent="0.25">
      <c r="A9" s="200" t="s">
        <v>201</v>
      </c>
      <c r="B9" s="201" t="s">
        <v>200</v>
      </c>
      <c r="C9" s="201" t="s">
        <v>304</v>
      </c>
      <c r="D9" s="202" t="s">
        <v>202</v>
      </c>
      <c r="E9" s="203">
        <v>0.37290000000000001</v>
      </c>
      <c r="F9" s="207">
        <v>24.77</v>
      </c>
      <c r="G9" s="207">
        <v>9.23</v>
      </c>
    </row>
    <row r="10" spans="1:8" x14ac:dyDescent="0.25">
      <c r="A10" s="200" t="s">
        <v>203</v>
      </c>
      <c r="B10" s="201" t="s">
        <v>200</v>
      </c>
      <c r="C10" s="201" t="s">
        <v>215</v>
      </c>
      <c r="D10" s="202" t="s">
        <v>202</v>
      </c>
      <c r="E10" s="203">
        <v>1.1186</v>
      </c>
      <c r="F10" s="207">
        <v>20.100000000000001</v>
      </c>
      <c r="G10" s="207">
        <v>22.48</v>
      </c>
    </row>
    <row r="11" spans="1:8" ht="22.5" x14ac:dyDescent="0.25">
      <c r="A11" s="200" t="s">
        <v>284</v>
      </c>
      <c r="B11" s="201" t="s">
        <v>200</v>
      </c>
      <c r="C11" s="201" t="s">
        <v>305</v>
      </c>
      <c r="D11" s="202" t="s">
        <v>205</v>
      </c>
      <c r="E11" s="203">
        <v>3.2082999999999999</v>
      </c>
      <c r="F11" s="207">
        <v>5.0999999999999996</v>
      </c>
      <c r="G11" s="207">
        <v>16.36</v>
      </c>
    </row>
    <row r="12" spans="1:8" ht="22.5" x14ac:dyDescent="0.25">
      <c r="A12" s="200" t="s">
        <v>206</v>
      </c>
      <c r="B12" s="201" t="s">
        <v>200</v>
      </c>
      <c r="C12" s="201" t="s">
        <v>306</v>
      </c>
      <c r="D12" s="202" t="s">
        <v>15</v>
      </c>
      <c r="E12" s="203">
        <v>1</v>
      </c>
      <c r="F12" s="207">
        <v>400</v>
      </c>
      <c r="G12" s="207">
        <v>400</v>
      </c>
    </row>
    <row r="13" spans="1:8" x14ac:dyDescent="0.25">
      <c r="A13" s="200" t="s">
        <v>285</v>
      </c>
      <c r="B13" s="201" t="s">
        <v>200</v>
      </c>
      <c r="C13" s="201" t="s">
        <v>307</v>
      </c>
      <c r="D13" s="202" t="s">
        <v>207</v>
      </c>
      <c r="E13" s="203">
        <v>1.1299999999999999E-2</v>
      </c>
      <c r="F13" s="207">
        <v>38.700000000000003</v>
      </c>
      <c r="G13" s="207">
        <v>0.43</v>
      </c>
    </row>
    <row r="14" spans="1:8" x14ac:dyDescent="0.25">
      <c r="A14" s="200" t="s">
        <v>286</v>
      </c>
      <c r="B14" s="201" t="s">
        <v>200</v>
      </c>
      <c r="C14" s="201" t="s">
        <v>308</v>
      </c>
      <c r="D14" s="202" t="s">
        <v>207</v>
      </c>
      <c r="E14" s="203">
        <v>1.32E-2</v>
      </c>
      <c r="F14" s="207">
        <v>20.74</v>
      </c>
      <c r="G14" s="207">
        <v>0.27</v>
      </c>
    </row>
    <row r="16" spans="1:8" s="305" customFormat="1" x14ac:dyDescent="0.25">
      <c r="A16" s="449" t="s">
        <v>281</v>
      </c>
      <c r="B16" s="449"/>
      <c r="C16" s="449"/>
      <c r="D16" s="449"/>
      <c r="E16" s="449"/>
      <c r="F16" s="449"/>
      <c r="G16" s="329" t="s">
        <v>211</v>
      </c>
    </row>
    <row r="17" spans="1:10" x14ac:dyDescent="0.25">
      <c r="A17" s="448" t="s">
        <v>195</v>
      </c>
      <c r="B17" s="448"/>
      <c r="C17" s="144" t="s">
        <v>196</v>
      </c>
      <c r="D17" s="144" t="s">
        <v>197</v>
      </c>
      <c r="E17" s="144" t="s">
        <v>198</v>
      </c>
      <c r="F17" s="144" t="s">
        <v>199</v>
      </c>
      <c r="G17" s="144" t="s">
        <v>118</v>
      </c>
    </row>
    <row r="18" spans="1:10" x14ac:dyDescent="0.25">
      <c r="A18" s="145" t="s">
        <v>200</v>
      </c>
      <c r="B18" s="145">
        <v>90777</v>
      </c>
      <c r="C18" s="146" t="s">
        <v>212</v>
      </c>
      <c r="D18" s="145" t="s">
        <v>213</v>
      </c>
      <c r="E18" s="147">
        <v>35</v>
      </c>
      <c r="F18" s="148">
        <v>115.76</v>
      </c>
      <c r="G18" s="148">
        <v>4051.6</v>
      </c>
    </row>
    <row r="19" spans="1:10" x14ac:dyDescent="0.25">
      <c r="A19" s="145" t="s">
        <v>200</v>
      </c>
      <c r="B19" s="145">
        <v>90776</v>
      </c>
      <c r="C19" s="146" t="s">
        <v>214</v>
      </c>
      <c r="D19" s="145" t="s">
        <v>213</v>
      </c>
      <c r="E19" s="147">
        <v>35</v>
      </c>
      <c r="F19" s="148">
        <v>31.93</v>
      </c>
      <c r="G19" s="148">
        <v>1117.55</v>
      </c>
    </row>
    <row r="20" spans="1:10" x14ac:dyDescent="0.25">
      <c r="A20" s="118"/>
      <c r="B20" s="118"/>
      <c r="C20" s="149"/>
      <c r="D20" s="150"/>
      <c r="E20" s="429" t="s">
        <v>208</v>
      </c>
      <c r="F20" s="430"/>
      <c r="G20" s="151">
        <f>SUM(G18:G19)</f>
        <v>5169.1499999999996</v>
      </c>
    </row>
    <row r="21" spans="1:10" x14ac:dyDescent="0.25">
      <c r="A21" s="118"/>
      <c r="B21" s="118"/>
      <c r="C21" s="152"/>
      <c r="D21" s="152"/>
      <c r="E21" s="435" t="s">
        <v>209</v>
      </c>
      <c r="F21" s="436"/>
      <c r="G21" s="154">
        <f>ROUND(G20*21.96%,2)</f>
        <v>1135.1500000000001</v>
      </c>
    </row>
    <row r="22" spans="1:10" x14ac:dyDescent="0.25">
      <c r="A22" s="118"/>
      <c r="B22" s="118"/>
      <c r="C22" s="153"/>
      <c r="D22" s="153"/>
      <c r="E22" s="429" t="s">
        <v>210</v>
      </c>
      <c r="F22" s="430"/>
      <c r="G22" s="154">
        <f>SUM(G20:G21)</f>
        <v>6304.2999999999993</v>
      </c>
    </row>
    <row r="23" spans="1:10" x14ac:dyDescent="0.25">
      <c r="A23" s="434"/>
      <c r="B23" s="434"/>
      <c r="C23" s="434"/>
      <c r="D23" s="434"/>
      <c r="E23" s="434"/>
      <c r="F23" s="434"/>
      <c r="G23" s="434"/>
    </row>
    <row r="24" spans="1:10" s="305" customFormat="1" x14ac:dyDescent="0.25">
      <c r="A24" s="295" t="s">
        <v>195</v>
      </c>
      <c r="B24" s="295" t="s">
        <v>250</v>
      </c>
      <c r="C24" s="294" t="s">
        <v>196</v>
      </c>
      <c r="D24" s="295" t="s">
        <v>251</v>
      </c>
      <c r="E24" s="295" t="s">
        <v>252</v>
      </c>
      <c r="F24" s="295" t="s">
        <v>253</v>
      </c>
      <c r="G24" s="295" t="s">
        <v>118</v>
      </c>
    </row>
    <row r="25" spans="1:10" s="305" customFormat="1" ht="22.5" x14ac:dyDescent="0.25">
      <c r="A25" s="298" t="s">
        <v>287</v>
      </c>
      <c r="B25" s="298" t="s">
        <v>200</v>
      </c>
      <c r="C25" s="297" t="s">
        <v>309</v>
      </c>
      <c r="D25" s="298" t="s">
        <v>15</v>
      </c>
      <c r="E25" s="303">
        <v>1</v>
      </c>
      <c r="F25" s="304">
        <f>SUM(G26:G29)</f>
        <v>0.56000000000000005</v>
      </c>
      <c r="G25" s="304">
        <f>F25*E25</f>
        <v>0.56000000000000005</v>
      </c>
      <c r="I25" s="306"/>
    </row>
    <row r="26" spans="1:10" ht="33.75" x14ac:dyDescent="0.25">
      <c r="A26" s="202" t="s">
        <v>288</v>
      </c>
      <c r="B26" s="202" t="s">
        <v>200</v>
      </c>
      <c r="C26" s="201" t="s">
        <v>310</v>
      </c>
      <c r="D26" s="202" t="s">
        <v>256</v>
      </c>
      <c r="E26" s="208">
        <v>3.0249999999999998E-4</v>
      </c>
      <c r="F26" s="209">
        <v>260.05</v>
      </c>
      <c r="G26" s="209">
        <v>7.0000000000000007E-2</v>
      </c>
    </row>
    <row r="27" spans="1:10" ht="45" customHeight="1" x14ac:dyDescent="0.25">
      <c r="A27" s="202" t="s">
        <v>289</v>
      </c>
      <c r="B27" s="202" t="s">
        <v>200</v>
      </c>
      <c r="C27" s="201" t="s">
        <v>311</v>
      </c>
      <c r="D27" s="202" t="s">
        <v>258</v>
      </c>
      <c r="E27" s="208">
        <v>7.3180000000000001E-4</v>
      </c>
      <c r="F27" s="209">
        <v>103.99</v>
      </c>
      <c r="G27" s="209">
        <v>7.0000000000000007E-2</v>
      </c>
    </row>
    <row r="28" spans="1:10" x14ac:dyDescent="0.25">
      <c r="A28" s="202" t="s">
        <v>203</v>
      </c>
      <c r="B28" s="202" t="s">
        <v>200</v>
      </c>
      <c r="C28" s="201" t="s">
        <v>215</v>
      </c>
      <c r="D28" s="202" t="s">
        <v>202</v>
      </c>
      <c r="E28" s="208">
        <v>1.0342999999999999E-3</v>
      </c>
      <c r="F28" s="209">
        <v>20.100000000000001</v>
      </c>
      <c r="G28" s="209">
        <v>0.02</v>
      </c>
    </row>
    <row r="29" spans="1:10" ht="33.75" x14ac:dyDescent="0.25">
      <c r="A29" s="202" t="s">
        <v>290</v>
      </c>
      <c r="B29" s="202" t="s">
        <v>200</v>
      </c>
      <c r="C29" s="201" t="s">
        <v>312</v>
      </c>
      <c r="D29" s="202" t="s">
        <v>258</v>
      </c>
      <c r="E29" s="208">
        <v>6.0956999999999999E-3</v>
      </c>
      <c r="F29" s="209">
        <v>66.349999999999994</v>
      </c>
      <c r="G29" s="209">
        <v>0.4</v>
      </c>
    </row>
    <row r="31" spans="1:10" s="306" customFormat="1" ht="25.5" customHeight="1" x14ac:dyDescent="0.25">
      <c r="A31" s="431" t="s">
        <v>296</v>
      </c>
      <c r="B31" s="432"/>
      <c r="C31" s="432"/>
      <c r="D31" s="432"/>
      <c r="E31" s="432"/>
      <c r="F31" s="433"/>
      <c r="G31" s="302" t="s">
        <v>194</v>
      </c>
      <c r="H31" s="305"/>
      <c r="I31" s="305"/>
      <c r="J31" s="305"/>
    </row>
    <row r="32" spans="1:10" x14ac:dyDescent="0.25">
      <c r="A32" s="431" t="s">
        <v>195</v>
      </c>
      <c r="B32" s="433"/>
      <c r="C32" s="301" t="s">
        <v>196</v>
      </c>
      <c r="D32" s="301" t="s">
        <v>197</v>
      </c>
      <c r="E32" s="301" t="s">
        <v>198</v>
      </c>
      <c r="F32" s="301" t="s">
        <v>199</v>
      </c>
      <c r="G32" s="301" t="s">
        <v>118</v>
      </c>
    </row>
    <row r="33" spans="1:10" x14ac:dyDescent="0.25">
      <c r="A33" s="145" t="s">
        <v>200</v>
      </c>
      <c r="B33" s="145">
        <v>88260</v>
      </c>
      <c r="C33" s="146" t="s">
        <v>216</v>
      </c>
      <c r="D33" s="145" t="s">
        <v>213</v>
      </c>
      <c r="E33" s="147">
        <v>0.40210000000000001</v>
      </c>
      <c r="F33" s="158">
        <v>24.99</v>
      </c>
      <c r="G33" s="148">
        <v>10.039999999999999</v>
      </c>
    </row>
    <row r="34" spans="1:10" x14ac:dyDescent="0.25">
      <c r="A34" s="145" t="s">
        <v>200</v>
      </c>
      <c r="B34" s="145">
        <v>88316</v>
      </c>
      <c r="C34" s="146" t="s">
        <v>215</v>
      </c>
      <c r="D34" s="145" t="s">
        <v>213</v>
      </c>
      <c r="E34" s="147">
        <v>0.40210000000000001</v>
      </c>
      <c r="F34" s="158">
        <v>20.100000000000001</v>
      </c>
      <c r="G34" s="148">
        <v>8.08</v>
      </c>
    </row>
    <row r="35" spans="1:10" ht="22.5" x14ac:dyDescent="0.25">
      <c r="A35" s="145" t="s">
        <v>200</v>
      </c>
      <c r="B35" s="145">
        <v>88628</v>
      </c>
      <c r="C35" s="155" t="s">
        <v>313</v>
      </c>
      <c r="D35" s="145" t="s">
        <v>204</v>
      </c>
      <c r="E35" s="147">
        <v>2.0400000000000001E-2</v>
      </c>
      <c r="F35" s="158">
        <v>673.25</v>
      </c>
      <c r="G35" s="148">
        <v>13.73</v>
      </c>
    </row>
    <row r="36" spans="1:10" ht="22.5" x14ac:dyDescent="0.25">
      <c r="A36" s="145" t="s">
        <v>200</v>
      </c>
      <c r="B36" s="145">
        <v>367</v>
      </c>
      <c r="C36" s="155" t="s">
        <v>217</v>
      </c>
      <c r="D36" s="145" t="s">
        <v>204</v>
      </c>
      <c r="E36" s="147">
        <v>0.114</v>
      </c>
      <c r="F36" s="158">
        <v>96.24</v>
      </c>
      <c r="G36" s="148">
        <v>10.97</v>
      </c>
    </row>
    <row r="37" spans="1:10" x14ac:dyDescent="0.25">
      <c r="A37" s="307" t="s">
        <v>259</v>
      </c>
      <c r="B37" s="307" t="s">
        <v>260</v>
      </c>
      <c r="C37" s="308" t="s">
        <v>261</v>
      </c>
      <c r="D37" s="307" t="s">
        <v>218</v>
      </c>
      <c r="E37" s="309">
        <v>4.2000000000000003E-2</v>
      </c>
      <c r="F37" s="310">
        <f>G47</f>
        <v>566.24</v>
      </c>
      <c r="G37" s="310">
        <f t="shared" ref="G37" si="0">TRUNC((E37*F37),2)</f>
        <v>23.78</v>
      </c>
    </row>
    <row r="38" spans="1:10" x14ac:dyDescent="0.25">
      <c r="A38" s="118"/>
      <c r="B38" s="118"/>
      <c r="C38" s="149"/>
      <c r="D38" s="429" t="s">
        <v>208</v>
      </c>
      <c r="E38" s="430"/>
      <c r="F38" s="430"/>
      <c r="G38" s="151">
        <f>SUM(G33:G37)</f>
        <v>66.599999999999994</v>
      </c>
    </row>
    <row r="39" spans="1:10" s="157" customFormat="1" x14ac:dyDescent="0.25">
      <c r="A39" s="118"/>
      <c r="B39" s="118"/>
      <c r="C39" s="152"/>
      <c r="D39" s="435" t="s">
        <v>209</v>
      </c>
      <c r="E39" s="436"/>
      <c r="F39" s="436"/>
      <c r="G39" s="154">
        <f>ROUND(G38*21.96%,2)</f>
        <v>14.63</v>
      </c>
      <c r="H39"/>
      <c r="I39" s="159">
        <v>0.111</v>
      </c>
      <c r="J39"/>
    </row>
    <row r="40" spans="1:10" x14ac:dyDescent="0.25">
      <c r="A40" s="8"/>
      <c r="B40" s="8"/>
      <c r="C40" s="8"/>
      <c r="D40" s="437" t="s">
        <v>219</v>
      </c>
      <c r="E40" s="438"/>
      <c r="F40" s="438"/>
      <c r="G40" s="156">
        <f>SUM(G38:G39)</f>
        <v>81.22999999999999</v>
      </c>
    </row>
    <row r="41" spans="1:10" x14ac:dyDescent="0.25">
      <c r="A41" s="434"/>
      <c r="B41" s="434"/>
      <c r="C41" s="434"/>
      <c r="D41" s="434"/>
      <c r="E41" s="434"/>
      <c r="F41" s="434"/>
      <c r="G41" s="434"/>
    </row>
    <row r="42" spans="1:10" x14ac:dyDescent="0.25">
      <c r="A42" s="422" t="s">
        <v>262</v>
      </c>
      <c r="B42" s="423"/>
      <c r="C42" s="423"/>
      <c r="D42" s="423"/>
      <c r="E42" s="423"/>
      <c r="F42" s="424"/>
      <c r="G42" s="311" t="s">
        <v>263</v>
      </c>
      <c r="J42" s="157"/>
    </row>
    <row r="43" spans="1:10" x14ac:dyDescent="0.25">
      <c r="A43" s="425" t="s">
        <v>195</v>
      </c>
      <c r="B43" s="426"/>
      <c r="C43" s="144" t="s">
        <v>196</v>
      </c>
      <c r="D43" s="144" t="s">
        <v>197</v>
      </c>
      <c r="E43" s="144" t="s">
        <v>198</v>
      </c>
      <c r="F43" s="144" t="s">
        <v>199</v>
      </c>
      <c r="G43" s="144" t="s">
        <v>118</v>
      </c>
    </row>
    <row r="44" spans="1:10" x14ac:dyDescent="0.25">
      <c r="A44" s="145" t="s">
        <v>200</v>
      </c>
      <c r="B44" s="145">
        <v>88309</v>
      </c>
      <c r="C44" s="146" t="s">
        <v>264</v>
      </c>
      <c r="D44" s="145" t="s">
        <v>213</v>
      </c>
      <c r="E44" s="147">
        <v>12</v>
      </c>
      <c r="F44" s="158">
        <v>25.17</v>
      </c>
      <c r="G44" s="148">
        <f t="shared" ref="G44:G46" si="1">TRUNC(F44*E44,2)</f>
        <v>302.04000000000002</v>
      </c>
    </row>
    <row r="45" spans="1:10" x14ac:dyDescent="0.25">
      <c r="A45" s="145" t="s">
        <v>200</v>
      </c>
      <c r="B45" s="145">
        <v>88316</v>
      </c>
      <c r="C45" s="146" t="s">
        <v>215</v>
      </c>
      <c r="D45" s="145" t="s">
        <v>213</v>
      </c>
      <c r="E45" s="147">
        <v>12</v>
      </c>
      <c r="F45" s="158">
        <v>20.100000000000001</v>
      </c>
      <c r="G45" s="148">
        <f t="shared" si="1"/>
        <v>241.2</v>
      </c>
    </row>
    <row r="46" spans="1:10" x14ac:dyDescent="0.25">
      <c r="A46" s="427" t="s">
        <v>265</v>
      </c>
      <c r="B46" s="428"/>
      <c r="C46" s="146" t="s">
        <v>266</v>
      </c>
      <c r="D46" s="145" t="s">
        <v>267</v>
      </c>
      <c r="E46" s="147">
        <v>1</v>
      </c>
      <c r="F46" s="158">
        <v>23</v>
      </c>
      <c r="G46" s="148">
        <f t="shared" si="1"/>
        <v>23</v>
      </c>
    </row>
    <row r="47" spans="1:10" s="157" customFormat="1" x14ac:dyDescent="0.25">
      <c r="A47" s="118"/>
      <c r="B47" s="118"/>
      <c r="C47" s="149"/>
      <c r="D47" s="150"/>
      <c r="E47" s="429" t="s">
        <v>208</v>
      </c>
      <c r="F47" s="430"/>
      <c r="G47" s="151">
        <f>SUM(G44:G46)</f>
        <v>566.24</v>
      </c>
      <c r="H47"/>
      <c r="I47"/>
      <c r="J47"/>
    </row>
    <row r="48" spans="1:10" x14ac:dyDescent="0.25">
      <c r="A48" s="186"/>
      <c r="B48" s="186"/>
      <c r="C48" s="186"/>
      <c r="D48" s="186"/>
      <c r="E48" s="186"/>
      <c r="F48" s="186"/>
      <c r="G48" s="186"/>
    </row>
    <row r="49" spans="1:10" x14ac:dyDescent="0.25">
      <c r="A49" s="295" t="s">
        <v>195</v>
      </c>
      <c r="B49" s="295" t="s">
        <v>250</v>
      </c>
      <c r="C49" s="294" t="s">
        <v>196</v>
      </c>
      <c r="D49" s="295" t="s">
        <v>251</v>
      </c>
      <c r="E49" s="295" t="s">
        <v>252</v>
      </c>
      <c r="F49" s="312" t="s">
        <v>253</v>
      </c>
      <c r="G49" s="312" t="s">
        <v>118</v>
      </c>
    </row>
    <row r="50" spans="1:10" x14ac:dyDescent="0.25">
      <c r="A50" s="298" t="s">
        <v>381</v>
      </c>
      <c r="B50" s="298" t="s">
        <v>346</v>
      </c>
      <c r="C50" s="297" t="s">
        <v>382</v>
      </c>
      <c r="D50" s="298" t="s">
        <v>15</v>
      </c>
      <c r="E50" s="303">
        <v>1</v>
      </c>
      <c r="F50" s="313">
        <f>SUM(G51:G52)</f>
        <v>1.55</v>
      </c>
      <c r="G50" s="313">
        <f>F50*E50</f>
        <v>1.55</v>
      </c>
      <c r="I50" s="157"/>
      <c r="J50" s="157"/>
    </row>
    <row r="51" spans="1:10" x14ac:dyDescent="0.25">
      <c r="A51" s="145" t="s">
        <v>200</v>
      </c>
      <c r="B51" s="145">
        <v>88316</v>
      </c>
      <c r="C51" s="146" t="s">
        <v>215</v>
      </c>
      <c r="D51" s="145" t="s">
        <v>213</v>
      </c>
      <c r="E51" s="147">
        <v>2E-3</v>
      </c>
      <c r="F51" s="328">
        <v>20.100000000000001</v>
      </c>
      <c r="G51" s="331">
        <v>0.04</v>
      </c>
    </row>
    <row r="52" spans="1:10" ht="45" x14ac:dyDescent="0.25">
      <c r="A52" s="145" t="s">
        <v>200</v>
      </c>
      <c r="B52" s="202">
        <v>1442</v>
      </c>
      <c r="C52" s="201" t="s">
        <v>383</v>
      </c>
      <c r="D52" s="202" t="s">
        <v>184</v>
      </c>
      <c r="E52" s="208">
        <v>1.4999999999999999E-4</v>
      </c>
      <c r="F52" s="210">
        <v>10129.23</v>
      </c>
      <c r="G52" s="331">
        <v>1.51</v>
      </c>
    </row>
    <row r="53" spans="1:10" x14ac:dyDescent="0.25">
      <c r="A53"/>
      <c r="B53"/>
    </row>
    <row r="54" spans="1:10" x14ac:dyDescent="0.25">
      <c r="A54" s="295" t="s">
        <v>195</v>
      </c>
      <c r="B54" s="295" t="s">
        <v>250</v>
      </c>
      <c r="C54" s="294" t="s">
        <v>196</v>
      </c>
      <c r="D54" s="295" t="s">
        <v>251</v>
      </c>
      <c r="E54" s="295" t="s">
        <v>252</v>
      </c>
      <c r="F54" s="312" t="s">
        <v>253</v>
      </c>
      <c r="G54" s="312" t="s">
        <v>118</v>
      </c>
    </row>
    <row r="55" spans="1:10" ht="45" x14ac:dyDescent="0.25">
      <c r="A55" s="298" t="s">
        <v>291</v>
      </c>
      <c r="B55" s="298" t="s">
        <v>200</v>
      </c>
      <c r="C55" s="297" t="s">
        <v>314</v>
      </c>
      <c r="D55" s="298" t="s">
        <v>205</v>
      </c>
      <c r="E55" s="303">
        <v>1</v>
      </c>
      <c r="F55" s="313">
        <v>40.6</v>
      </c>
      <c r="G55" s="313">
        <v>40.6</v>
      </c>
      <c r="I55" s="157"/>
      <c r="J55" s="157"/>
    </row>
    <row r="56" spans="1:10" x14ac:dyDescent="0.25">
      <c r="A56" s="202" t="s">
        <v>221</v>
      </c>
      <c r="B56" s="202" t="s">
        <v>200</v>
      </c>
      <c r="C56" s="201" t="s">
        <v>220</v>
      </c>
      <c r="D56" s="202" t="s">
        <v>202</v>
      </c>
      <c r="E56" s="208">
        <v>0.2296</v>
      </c>
      <c r="F56" s="210">
        <v>25.17</v>
      </c>
      <c r="G56" s="210">
        <v>5.77</v>
      </c>
    </row>
    <row r="57" spans="1:10" x14ac:dyDescent="0.25">
      <c r="A57" s="202" t="s">
        <v>203</v>
      </c>
      <c r="B57" s="202" t="s">
        <v>200</v>
      </c>
      <c r="C57" s="201" t="s">
        <v>215</v>
      </c>
      <c r="D57" s="202" t="s">
        <v>202</v>
      </c>
      <c r="E57" s="208">
        <v>0.2296</v>
      </c>
      <c r="F57" s="210">
        <v>20.100000000000001</v>
      </c>
      <c r="G57" s="210">
        <v>4.6100000000000003</v>
      </c>
    </row>
    <row r="58" spans="1:10" ht="22.5" x14ac:dyDescent="0.25">
      <c r="A58" s="202" t="s">
        <v>225</v>
      </c>
      <c r="B58" s="202" t="s">
        <v>200</v>
      </c>
      <c r="C58" s="201" t="s">
        <v>227</v>
      </c>
      <c r="D58" s="202" t="s">
        <v>204</v>
      </c>
      <c r="E58" s="208">
        <v>1.8E-3</v>
      </c>
      <c r="F58" s="210">
        <v>756.86</v>
      </c>
      <c r="G58" s="210">
        <v>1.36</v>
      </c>
    </row>
    <row r="59" spans="1:10" ht="22.5" x14ac:dyDescent="0.25">
      <c r="A59" s="202" t="s">
        <v>222</v>
      </c>
      <c r="B59" s="202" t="s">
        <v>200</v>
      </c>
      <c r="C59" s="201" t="s">
        <v>228</v>
      </c>
      <c r="D59" s="202" t="s">
        <v>204</v>
      </c>
      <c r="E59" s="208">
        <v>6.6E-3</v>
      </c>
      <c r="F59" s="210">
        <v>95</v>
      </c>
      <c r="G59" s="210">
        <v>0.62</v>
      </c>
    </row>
    <row r="60" spans="1:10" ht="22.5" x14ac:dyDescent="0.25">
      <c r="A60" s="202" t="s">
        <v>226</v>
      </c>
      <c r="B60" s="202" t="s">
        <v>200</v>
      </c>
      <c r="C60" s="201" t="s">
        <v>229</v>
      </c>
      <c r="D60" s="202" t="s">
        <v>205</v>
      </c>
      <c r="E60" s="208">
        <v>1.0049999999999999</v>
      </c>
      <c r="F60" s="210">
        <v>28.1</v>
      </c>
      <c r="G60" s="210">
        <v>28.24</v>
      </c>
    </row>
    <row r="62" spans="1:10" x14ac:dyDescent="0.25">
      <c r="A62" s="295" t="s">
        <v>195</v>
      </c>
      <c r="B62" s="295" t="s">
        <v>250</v>
      </c>
      <c r="C62" s="294" t="s">
        <v>196</v>
      </c>
      <c r="D62" s="295" t="s">
        <v>251</v>
      </c>
      <c r="E62" s="295" t="s">
        <v>252</v>
      </c>
      <c r="F62" s="312" t="s">
        <v>253</v>
      </c>
      <c r="G62" s="312" t="s">
        <v>118</v>
      </c>
    </row>
    <row r="63" spans="1:10" ht="33.75" x14ac:dyDescent="0.25">
      <c r="A63" s="298" t="s">
        <v>274</v>
      </c>
      <c r="B63" s="298" t="s">
        <v>292</v>
      </c>
      <c r="C63" s="297" t="s">
        <v>315</v>
      </c>
      <c r="D63" s="298" t="s">
        <v>205</v>
      </c>
      <c r="E63" s="303">
        <v>1</v>
      </c>
      <c r="F63" s="313">
        <f>SUM(G64:G69)</f>
        <v>21.64</v>
      </c>
      <c r="G63" s="313">
        <f>F63*E63</f>
        <v>21.64</v>
      </c>
      <c r="I63" s="157"/>
    </row>
    <row r="64" spans="1:10" x14ac:dyDescent="0.25">
      <c r="A64" s="202" t="s">
        <v>221</v>
      </c>
      <c r="B64" s="202" t="s">
        <v>200</v>
      </c>
      <c r="C64" s="201" t="s">
        <v>220</v>
      </c>
      <c r="D64" s="202" t="s">
        <v>202</v>
      </c>
      <c r="E64" s="208">
        <v>0.2326</v>
      </c>
      <c r="F64" s="210">
        <v>25.17</v>
      </c>
      <c r="G64" s="210">
        <v>5.85</v>
      </c>
      <c r="J64" s="157"/>
    </row>
    <row r="65" spans="1:8" x14ac:dyDescent="0.25">
      <c r="A65" s="202" t="s">
        <v>203</v>
      </c>
      <c r="B65" s="202" t="s">
        <v>200</v>
      </c>
      <c r="C65" s="201" t="s">
        <v>215</v>
      </c>
      <c r="D65" s="202" t="s">
        <v>202</v>
      </c>
      <c r="E65" s="208">
        <v>0.2326</v>
      </c>
      <c r="F65" s="210">
        <v>20.100000000000001</v>
      </c>
      <c r="G65" s="210">
        <v>4.67</v>
      </c>
    </row>
    <row r="66" spans="1:8" ht="22.5" x14ac:dyDescent="0.25">
      <c r="A66" s="202" t="s">
        <v>222</v>
      </c>
      <c r="B66" s="202" t="s">
        <v>200</v>
      </c>
      <c r="C66" s="201" t="s">
        <v>228</v>
      </c>
      <c r="D66" s="202" t="s">
        <v>204</v>
      </c>
      <c r="E66" s="208">
        <v>9.9000000000000008E-3</v>
      </c>
      <c r="F66" s="210">
        <v>95</v>
      </c>
      <c r="G66" s="210">
        <v>0.94</v>
      </c>
    </row>
    <row r="67" spans="1:8" ht="22.5" x14ac:dyDescent="0.25">
      <c r="A67" s="202" t="s">
        <v>223</v>
      </c>
      <c r="B67" s="202" t="s">
        <v>200</v>
      </c>
      <c r="C67" s="201" t="s">
        <v>231</v>
      </c>
      <c r="D67" s="202" t="s">
        <v>205</v>
      </c>
      <c r="E67" s="208">
        <v>0.2</v>
      </c>
      <c r="F67" s="210">
        <v>3.52</v>
      </c>
      <c r="G67" s="210">
        <v>0.7</v>
      </c>
    </row>
    <row r="68" spans="1:8" ht="22.5" x14ac:dyDescent="0.25">
      <c r="A68" s="202" t="s">
        <v>230</v>
      </c>
      <c r="B68" s="202" t="s">
        <v>200</v>
      </c>
      <c r="C68" s="201" t="s">
        <v>232</v>
      </c>
      <c r="D68" s="202" t="s">
        <v>205</v>
      </c>
      <c r="E68" s="208">
        <v>8.3299999999999999E-2</v>
      </c>
      <c r="F68" s="210">
        <v>16.670000000000002</v>
      </c>
      <c r="G68" s="210">
        <v>1.38</v>
      </c>
    </row>
    <row r="69" spans="1:8" ht="33.75" x14ac:dyDescent="0.25">
      <c r="A69" s="202" t="s">
        <v>224</v>
      </c>
      <c r="B69" s="202" t="s">
        <v>200</v>
      </c>
      <c r="C69" s="201" t="s">
        <v>233</v>
      </c>
      <c r="D69" s="202" t="s">
        <v>204</v>
      </c>
      <c r="E69" s="208">
        <v>1.4999999999999999E-2</v>
      </c>
      <c r="F69" s="210">
        <v>540</v>
      </c>
      <c r="G69" s="210">
        <v>8.1</v>
      </c>
    </row>
    <row r="71" spans="1:8" s="277" customFormat="1" x14ac:dyDescent="0.25">
      <c r="A71" s="314" t="s">
        <v>195</v>
      </c>
      <c r="B71" s="315" t="s">
        <v>250</v>
      </c>
      <c r="C71" s="315" t="s">
        <v>196</v>
      </c>
      <c r="D71" s="316" t="s">
        <v>251</v>
      </c>
      <c r="E71" s="314" t="s">
        <v>252</v>
      </c>
      <c r="F71" s="314" t="s">
        <v>253</v>
      </c>
      <c r="G71" s="314" t="s">
        <v>118</v>
      </c>
    </row>
    <row r="72" spans="1:8" s="288" customFormat="1" ht="22.5" x14ac:dyDescent="0.25">
      <c r="A72" s="317" t="s">
        <v>353</v>
      </c>
      <c r="B72" s="318" t="s">
        <v>346</v>
      </c>
      <c r="C72" s="318" t="s">
        <v>354</v>
      </c>
      <c r="D72" s="319" t="s">
        <v>295</v>
      </c>
      <c r="E72" s="320">
        <v>1</v>
      </c>
      <c r="F72" s="321">
        <v>370.67</v>
      </c>
      <c r="G72" s="321">
        <v>370.67</v>
      </c>
    </row>
    <row r="73" spans="1:8" s="277" customFormat="1" x14ac:dyDescent="0.25">
      <c r="A73" s="278" t="s">
        <v>203</v>
      </c>
      <c r="B73" s="279" t="s">
        <v>200</v>
      </c>
      <c r="C73" s="279" t="s">
        <v>215</v>
      </c>
      <c r="D73" s="280" t="s">
        <v>202</v>
      </c>
      <c r="E73" s="281">
        <v>0.2</v>
      </c>
      <c r="F73" s="282">
        <v>20.100000000000001</v>
      </c>
      <c r="G73" s="282">
        <v>4.0199999999999996</v>
      </c>
      <c r="H73" s="288"/>
    </row>
    <row r="74" spans="1:8" s="277" customFormat="1" ht="33.75" x14ac:dyDescent="0.25">
      <c r="A74" s="278" t="s">
        <v>347</v>
      </c>
      <c r="B74" s="279" t="s">
        <v>200</v>
      </c>
      <c r="C74" s="279" t="s">
        <v>355</v>
      </c>
      <c r="D74" s="280" t="s">
        <v>204</v>
      </c>
      <c r="E74" s="281">
        <v>8.8000000000000005E-3</v>
      </c>
      <c r="F74" s="282">
        <v>573.59</v>
      </c>
      <c r="G74" s="282">
        <v>5.04</v>
      </c>
      <c r="H74" s="288"/>
    </row>
    <row r="75" spans="1:8" s="277" customFormat="1" ht="22.5" x14ac:dyDescent="0.25">
      <c r="A75" s="283" t="s">
        <v>348</v>
      </c>
      <c r="B75" s="284" t="s">
        <v>200</v>
      </c>
      <c r="C75" s="284" t="s">
        <v>356</v>
      </c>
      <c r="D75" s="285" t="s">
        <v>294</v>
      </c>
      <c r="E75" s="286">
        <v>2</v>
      </c>
      <c r="F75" s="287">
        <v>12.06</v>
      </c>
      <c r="G75" s="287">
        <v>24.12</v>
      </c>
      <c r="H75" s="288"/>
    </row>
    <row r="76" spans="1:8" s="277" customFormat="1" ht="22.5" x14ac:dyDescent="0.25">
      <c r="A76" s="283" t="s">
        <v>349</v>
      </c>
      <c r="B76" s="284" t="s">
        <v>200</v>
      </c>
      <c r="C76" s="284" t="s">
        <v>357</v>
      </c>
      <c r="D76" s="285" t="s">
        <v>205</v>
      </c>
      <c r="E76" s="286">
        <v>2.7</v>
      </c>
      <c r="F76" s="287">
        <v>74.33</v>
      </c>
      <c r="G76" s="287">
        <v>200.69</v>
      </c>
      <c r="H76" s="288"/>
    </row>
    <row r="77" spans="1:8" s="277" customFormat="1" x14ac:dyDescent="0.25">
      <c r="A77" s="283" t="s">
        <v>350</v>
      </c>
      <c r="B77" s="284" t="s">
        <v>351</v>
      </c>
      <c r="C77" s="284" t="s">
        <v>358</v>
      </c>
      <c r="D77" s="285" t="s">
        <v>294</v>
      </c>
      <c r="E77" s="286">
        <v>8</v>
      </c>
      <c r="F77" s="287">
        <v>0.6</v>
      </c>
      <c r="G77" s="287">
        <v>4.8</v>
      </c>
      <c r="H77" s="288"/>
    </row>
    <row r="78" spans="1:8" s="277" customFormat="1" ht="22.5" x14ac:dyDescent="0.25">
      <c r="A78" s="283" t="s">
        <v>352</v>
      </c>
      <c r="B78" s="284" t="s">
        <v>200</v>
      </c>
      <c r="C78" s="284" t="s">
        <v>359</v>
      </c>
      <c r="D78" s="285" t="s">
        <v>294</v>
      </c>
      <c r="E78" s="286">
        <v>1</v>
      </c>
      <c r="F78" s="287">
        <v>132</v>
      </c>
      <c r="G78" s="287">
        <v>132</v>
      </c>
      <c r="H78" s="288"/>
    </row>
    <row r="80" spans="1:8" x14ac:dyDescent="0.25">
      <c r="A80" s="293" t="s">
        <v>195</v>
      </c>
      <c r="B80" s="294" t="s">
        <v>250</v>
      </c>
      <c r="C80" s="294" t="s">
        <v>196</v>
      </c>
      <c r="D80" s="295" t="s">
        <v>251</v>
      </c>
      <c r="E80" s="293" t="s">
        <v>252</v>
      </c>
      <c r="F80" s="293" t="s">
        <v>253</v>
      </c>
      <c r="G80" s="293" t="s">
        <v>118</v>
      </c>
    </row>
    <row r="81" spans="1:8" ht="33.75" x14ac:dyDescent="0.25">
      <c r="A81" s="298" t="s">
        <v>300</v>
      </c>
      <c r="B81" s="298" t="s">
        <v>200</v>
      </c>
      <c r="C81" s="297" t="s">
        <v>298</v>
      </c>
      <c r="D81" s="298" t="s">
        <v>254</v>
      </c>
      <c r="E81" s="299">
        <v>1</v>
      </c>
      <c r="F81" s="300">
        <v>1.6</v>
      </c>
      <c r="G81" s="300">
        <v>1.6</v>
      </c>
    </row>
    <row r="82" spans="1:8" ht="45" x14ac:dyDescent="0.25">
      <c r="A82" s="202" t="s">
        <v>255</v>
      </c>
      <c r="B82" s="202" t="s">
        <v>200</v>
      </c>
      <c r="C82" s="201" t="s">
        <v>317</v>
      </c>
      <c r="D82" s="202" t="s">
        <v>256</v>
      </c>
      <c r="E82" s="203">
        <v>5.5999999999999999E-3</v>
      </c>
      <c r="F82" s="207">
        <v>258.42</v>
      </c>
      <c r="G82" s="207">
        <v>1.44</v>
      </c>
    </row>
    <row r="83" spans="1:8" ht="45" x14ac:dyDescent="0.25">
      <c r="A83" s="202" t="s">
        <v>257</v>
      </c>
      <c r="B83" s="202" t="s">
        <v>200</v>
      </c>
      <c r="C83" s="201" t="s">
        <v>318</v>
      </c>
      <c r="D83" s="202" t="s">
        <v>258</v>
      </c>
      <c r="E83" s="203">
        <v>2.3999999999999998E-3</v>
      </c>
      <c r="F83" s="207">
        <v>68.069999999999993</v>
      </c>
      <c r="G83" s="207">
        <v>0.16</v>
      </c>
    </row>
    <row r="85" spans="1:8" x14ac:dyDescent="0.25">
      <c r="A85" s="293" t="s">
        <v>195</v>
      </c>
      <c r="B85" s="294" t="s">
        <v>250</v>
      </c>
      <c r="C85" s="294" t="s">
        <v>196</v>
      </c>
      <c r="D85" s="295" t="s">
        <v>251</v>
      </c>
      <c r="E85" s="293" t="s">
        <v>252</v>
      </c>
      <c r="F85" s="293" t="s">
        <v>253</v>
      </c>
      <c r="G85" s="293" t="s">
        <v>118</v>
      </c>
    </row>
    <row r="86" spans="1:8" ht="33.75" x14ac:dyDescent="0.25">
      <c r="A86" s="298" t="s">
        <v>301</v>
      </c>
      <c r="B86" s="298" t="s">
        <v>200</v>
      </c>
      <c r="C86" s="297" t="s">
        <v>299</v>
      </c>
      <c r="D86" s="298" t="s">
        <v>254</v>
      </c>
      <c r="E86" s="299">
        <v>1</v>
      </c>
      <c r="F86" s="300">
        <v>0.62</v>
      </c>
      <c r="G86" s="300">
        <v>0.62</v>
      </c>
    </row>
    <row r="87" spans="1:8" ht="45" x14ac:dyDescent="0.25">
      <c r="A87" s="202" t="s">
        <v>255</v>
      </c>
      <c r="B87" s="202" t="s">
        <v>200</v>
      </c>
      <c r="C87" s="201" t="s">
        <v>317</v>
      </c>
      <c r="D87" s="202" t="s">
        <v>256</v>
      </c>
      <c r="E87" s="203">
        <v>2.2000000000000001E-3</v>
      </c>
      <c r="F87" s="207">
        <v>258.42</v>
      </c>
      <c r="G87" s="207">
        <v>0.56000000000000005</v>
      </c>
    </row>
    <row r="88" spans="1:8" ht="45" x14ac:dyDescent="0.25">
      <c r="A88" s="202" t="s">
        <v>257</v>
      </c>
      <c r="B88" s="202" t="s">
        <v>200</v>
      </c>
      <c r="C88" s="201" t="s">
        <v>318</v>
      </c>
      <c r="D88" s="202" t="s">
        <v>258</v>
      </c>
      <c r="E88" s="203">
        <v>1E-3</v>
      </c>
      <c r="F88" s="207">
        <v>68.069999999999993</v>
      </c>
      <c r="G88" s="207">
        <v>0.06</v>
      </c>
    </row>
    <row r="90" spans="1:8" x14ac:dyDescent="0.25">
      <c r="A90" s="293" t="s">
        <v>195</v>
      </c>
      <c r="B90" s="294" t="s">
        <v>250</v>
      </c>
      <c r="C90" s="294" t="s">
        <v>196</v>
      </c>
      <c r="D90" s="295" t="s">
        <v>251</v>
      </c>
      <c r="E90" s="293" t="s">
        <v>252</v>
      </c>
      <c r="F90" s="293" t="s">
        <v>253</v>
      </c>
      <c r="G90" s="293" t="s">
        <v>118</v>
      </c>
    </row>
    <row r="91" spans="1:8" x14ac:dyDescent="0.25">
      <c r="A91" s="298" t="s">
        <v>385</v>
      </c>
      <c r="B91" s="298" t="s">
        <v>200</v>
      </c>
      <c r="C91" s="297" t="s">
        <v>316</v>
      </c>
      <c r="D91" s="298" t="s">
        <v>15</v>
      </c>
      <c r="E91" s="299">
        <v>1</v>
      </c>
      <c r="F91" s="300">
        <f>SUM(G92:G92)</f>
        <v>2.81</v>
      </c>
      <c r="G91" s="300">
        <f>F91*E91</f>
        <v>2.81</v>
      </c>
      <c r="H91" s="288"/>
    </row>
    <row r="92" spans="1:8" x14ac:dyDescent="0.25">
      <c r="A92" s="289">
        <v>88316</v>
      </c>
      <c r="B92" s="202" t="s">
        <v>200</v>
      </c>
      <c r="C92" s="290" t="s">
        <v>215</v>
      </c>
      <c r="D92" s="289" t="s">
        <v>202</v>
      </c>
      <c r="E92" s="291">
        <v>0.14000000000000001</v>
      </c>
      <c r="F92" s="292">
        <v>20.100000000000001</v>
      </c>
      <c r="G92" s="292">
        <v>2.81</v>
      </c>
      <c r="H92" s="288"/>
    </row>
  </sheetData>
  <sheetProtection algorithmName="SHA-512" hashValue="UkEbL8HJAmIvro5ytpGmz6/U0NHSK2dLNqd7joOoChHwGDRQGBz0/Un7DOmpRHTYQeIKlSPu2E0atoIgMw3Jig==" saltValue="sVfT44bwtDSrux/u4YrZqw==" spinCount="100000" sheet="1" objects="1" scenarios="1" selectLockedCells="1" selectUnlockedCells="1"/>
  <mergeCells count="22">
    <mergeCell ref="A42:F42"/>
    <mergeCell ref="A43:B43"/>
    <mergeCell ref="A46:B46"/>
    <mergeCell ref="E47:F47"/>
    <mergeCell ref="A31:F31"/>
    <mergeCell ref="A32:B32"/>
    <mergeCell ref="D38:F38"/>
    <mergeCell ref="D39:F39"/>
    <mergeCell ref="D40:F40"/>
    <mergeCell ref="A41:G41"/>
    <mergeCell ref="A23:G23"/>
    <mergeCell ref="A1:G2"/>
    <mergeCell ref="A3:C3"/>
    <mergeCell ref="F3:F4"/>
    <mergeCell ref="G3:G4"/>
    <mergeCell ref="D4:E4"/>
    <mergeCell ref="A5:G5"/>
    <mergeCell ref="A16:F16"/>
    <mergeCell ref="A17:B17"/>
    <mergeCell ref="E20:F20"/>
    <mergeCell ref="E21:F21"/>
    <mergeCell ref="E22:F22"/>
  </mergeCells>
  <pageMargins left="0.51181102362204722" right="0.51181102362204722" top="1.7716535433070868" bottom="1.5748031496062993" header="0.51181102362204722" footer="0.51181102362204722"/>
  <pageSetup paperSize="9" scale="71" fitToHeight="0" orientation="portrait" r:id="rId1"/>
  <headerFooter>
    <oddHeader>&amp;C&amp;G</oddHead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79998168889431442"/>
    <pageSetUpPr fitToPage="1"/>
  </sheetPr>
  <dimension ref="A1:K73"/>
  <sheetViews>
    <sheetView topLeftCell="A10" workbookViewId="0">
      <selection sqref="A1:H1"/>
    </sheetView>
  </sheetViews>
  <sheetFormatPr defaultRowHeight="15" x14ac:dyDescent="0.25"/>
  <cols>
    <col min="1" max="1" width="15.7109375" style="108" customWidth="1"/>
    <col min="2" max="2" width="36.28515625" style="108" bestFit="1" customWidth="1"/>
    <col min="3" max="3" width="7.140625" style="109" bestFit="1" customWidth="1"/>
    <col min="4" max="4" width="13.42578125" style="110" bestFit="1" customWidth="1"/>
    <col min="5" max="5" width="15.7109375" style="109" customWidth="1"/>
    <col min="6" max="6" width="19.28515625" style="109" customWidth="1"/>
    <col min="7" max="7" width="13.5703125" style="110" bestFit="1" customWidth="1"/>
    <col min="8" max="8" width="9.140625" style="110"/>
    <col min="9" max="11" width="0" hidden="1" customWidth="1"/>
  </cols>
  <sheetData>
    <row r="1" spans="1:11" x14ac:dyDescent="0.25">
      <c r="A1" s="468" t="s">
        <v>234</v>
      </c>
      <c r="B1" s="469"/>
      <c r="C1" s="469"/>
      <c r="D1" s="469"/>
      <c r="E1" s="469"/>
      <c r="F1" s="469"/>
      <c r="G1" s="469"/>
      <c r="H1" s="469"/>
    </row>
    <row r="2" spans="1:11" x14ac:dyDescent="0.25">
      <c r="A2" s="470" t="s">
        <v>345</v>
      </c>
      <c r="B2" s="470"/>
      <c r="C2" s="470"/>
      <c r="D2" s="470"/>
      <c r="E2" s="470"/>
      <c r="F2" s="470"/>
      <c r="G2" s="470"/>
      <c r="H2" s="470"/>
    </row>
    <row r="3" spans="1:11" x14ac:dyDescent="0.25">
      <c r="A3" s="470" t="s">
        <v>398</v>
      </c>
      <c r="B3" s="470"/>
      <c r="C3" s="470"/>
      <c r="D3" s="470"/>
      <c r="E3" s="470"/>
      <c r="F3" s="470"/>
      <c r="G3" s="470"/>
      <c r="H3" s="470"/>
    </row>
    <row r="5" spans="1:11" x14ac:dyDescent="0.25">
      <c r="A5" s="471" t="s">
        <v>43</v>
      </c>
      <c r="B5" s="472"/>
      <c r="C5" s="472"/>
      <c r="D5" s="472"/>
      <c r="E5" s="472"/>
      <c r="F5" s="472"/>
      <c r="G5" s="472"/>
      <c r="H5" s="473"/>
    </row>
    <row r="6" spans="1:11" x14ac:dyDescent="0.25">
      <c r="A6" s="165"/>
      <c r="B6" s="474"/>
      <c r="C6" s="474"/>
      <c r="D6" s="474"/>
      <c r="E6" s="474"/>
      <c r="F6" s="166"/>
      <c r="G6" s="166"/>
      <c r="H6" s="167"/>
    </row>
    <row r="7" spans="1:11" x14ac:dyDescent="0.25">
      <c r="A7" s="168"/>
      <c r="B7" s="169"/>
      <c r="C7" s="169"/>
      <c r="D7" s="169"/>
      <c r="E7" s="169"/>
      <c r="F7" s="169"/>
      <c r="G7" s="169"/>
      <c r="H7" s="170"/>
      <c r="I7" s="39"/>
      <c r="J7" s="40"/>
      <c r="K7" s="40"/>
    </row>
    <row r="8" spans="1:11" x14ac:dyDescent="0.25">
      <c r="A8" s="475" t="s">
        <v>44</v>
      </c>
      <c r="B8" s="476"/>
      <c r="C8" s="41"/>
      <c r="D8" s="41"/>
      <c r="E8" s="41"/>
      <c r="F8" s="41"/>
      <c r="G8" s="41"/>
      <c r="H8" s="42"/>
      <c r="I8" s="39"/>
      <c r="J8" s="40"/>
      <c r="K8" s="40"/>
    </row>
    <row r="9" spans="1:11" x14ac:dyDescent="0.25">
      <c r="A9" s="161"/>
      <c r="B9" s="43"/>
      <c r="C9" s="41"/>
      <c r="D9" s="41"/>
      <c r="E9" s="41"/>
      <c r="F9" s="41"/>
      <c r="G9" s="41"/>
      <c r="H9" s="42"/>
      <c r="I9" s="39"/>
      <c r="J9" s="40"/>
      <c r="K9" s="40"/>
    </row>
    <row r="10" spans="1:11" x14ac:dyDescent="0.25">
      <c r="A10" s="44"/>
      <c r="B10" s="45" t="s">
        <v>10</v>
      </c>
      <c r="C10" s="46"/>
      <c r="D10" s="47">
        <f>IF(C10="x",1,0)</f>
        <v>0</v>
      </c>
      <c r="E10" s="48"/>
      <c r="F10" s="49"/>
      <c r="G10" s="50"/>
      <c r="H10" s="51">
        <f>IF(F10="x",1,0)</f>
        <v>0</v>
      </c>
      <c r="I10" s="39"/>
      <c r="J10" s="40"/>
      <c r="K10" s="40"/>
    </row>
    <row r="11" spans="1:11" x14ac:dyDescent="0.25">
      <c r="A11" s="44"/>
      <c r="B11" s="45" t="s">
        <v>9</v>
      </c>
      <c r="C11" s="46" t="s">
        <v>45</v>
      </c>
      <c r="D11" s="47">
        <f>IF(C11="x",1,0)</f>
        <v>1</v>
      </c>
      <c r="E11" s="52"/>
      <c r="F11" s="49"/>
      <c r="G11" s="50"/>
      <c r="H11" s="51">
        <f>IF(F11="x",1,0)</f>
        <v>0</v>
      </c>
      <c r="I11" s="39"/>
      <c r="J11" s="40"/>
      <c r="K11" s="40"/>
    </row>
    <row r="12" spans="1:11" ht="15.75" thickBot="1" x14ac:dyDescent="0.3">
      <c r="A12" s="53"/>
      <c r="B12" s="477" t="str">
        <f>IF(D12&gt;1,"SELECIONE SOMENTE UM TIPO DE BDI",IF(D12=0,"SELECIONE UM TIPO DE BDI",""))</f>
        <v/>
      </c>
      <c r="C12" s="477"/>
      <c r="D12" s="54">
        <f>SUM(D10:D11)</f>
        <v>1</v>
      </c>
      <c r="E12" s="478"/>
      <c r="F12" s="478"/>
      <c r="G12" s="478"/>
      <c r="H12" s="55">
        <f>SUM(H10:H11)</f>
        <v>0</v>
      </c>
      <c r="I12" s="39"/>
      <c r="J12" s="40"/>
      <c r="K12" s="40"/>
    </row>
    <row r="13" spans="1:11" ht="15.75" thickBot="1" x14ac:dyDescent="0.3">
      <c r="A13" s="41"/>
      <c r="B13" s="41"/>
      <c r="C13" s="41"/>
      <c r="D13" s="41"/>
      <c r="E13" s="41"/>
      <c r="F13" s="41"/>
      <c r="G13" s="57"/>
      <c r="H13" s="57"/>
      <c r="I13" s="39"/>
      <c r="J13" s="40"/>
      <c r="K13" s="40"/>
    </row>
    <row r="14" spans="1:11" x14ac:dyDescent="0.25">
      <c r="A14" s="462" t="s">
        <v>46</v>
      </c>
      <c r="B14" s="463"/>
      <c r="C14" s="163"/>
      <c r="D14" s="163"/>
      <c r="E14" s="163"/>
      <c r="F14" s="163"/>
      <c r="G14" s="56"/>
      <c r="H14" s="171"/>
      <c r="I14" s="39">
        <f>IF(H22&lt;&gt;0,VLOOKUP("x",G16:I21,3,FALSE),0)</f>
        <v>2</v>
      </c>
      <c r="J14" s="40"/>
      <c r="K14" s="40"/>
    </row>
    <row r="15" spans="1:11" x14ac:dyDescent="0.25">
      <c r="A15" s="161"/>
      <c r="B15" s="43"/>
      <c r="C15" s="41"/>
      <c r="D15" s="41"/>
      <c r="E15" s="41"/>
      <c r="F15" s="41"/>
      <c r="G15" s="57"/>
      <c r="H15" s="172"/>
      <c r="I15" s="39"/>
      <c r="J15" s="40"/>
      <c r="K15" s="40"/>
    </row>
    <row r="16" spans="1:11" x14ac:dyDescent="0.25">
      <c r="A16" s="58"/>
      <c r="B16" s="41"/>
      <c r="C16" s="41"/>
      <c r="D16" s="41"/>
      <c r="E16" s="41"/>
      <c r="F16" s="59" t="s">
        <v>47</v>
      </c>
      <c r="G16" s="46"/>
      <c r="H16" s="51">
        <f t="shared" ref="H16:H21" si="0">IF(G16="x",1,0)</f>
        <v>0</v>
      </c>
      <c r="I16" s="39">
        <v>1</v>
      </c>
      <c r="J16" s="40"/>
      <c r="K16" s="40"/>
    </row>
    <row r="17" spans="1:11" x14ac:dyDescent="0.25">
      <c r="A17" s="58"/>
      <c r="B17" s="41"/>
      <c r="C17" s="41"/>
      <c r="D17" s="41"/>
      <c r="E17" s="41"/>
      <c r="F17" s="59" t="s">
        <v>48</v>
      </c>
      <c r="G17" s="46" t="s">
        <v>45</v>
      </c>
      <c r="H17" s="51">
        <f t="shared" si="0"/>
        <v>1</v>
      </c>
      <c r="I17" s="39">
        <v>2</v>
      </c>
      <c r="J17" s="40"/>
      <c r="K17" s="40"/>
    </row>
    <row r="18" spans="1:11" x14ac:dyDescent="0.25">
      <c r="A18" s="58"/>
      <c r="B18" s="41"/>
      <c r="C18" s="41"/>
      <c r="D18" s="41"/>
      <c r="E18" s="41"/>
      <c r="F18" s="59" t="s">
        <v>49</v>
      </c>
      <c r="G18" s="46"/>
      <c r="H18" s="51">
        <f t="shared" si="0"/>
        <v>0</v>
      </c>
      <c r="I18" s="39">
        <v>3</v>
      </c>
      <c r="J18" s="40"/>
      <c r="K18" s="40"/>
    </row>
    <row r="19" spans="1:11" x14ac:dyDescent="0.25">
      <c r="A19" s="58"/>
      <c r="B19" s="41"/>
      <c r="C19" s="41"/>
      <c r="D19" s="41"/>
      <c r="E19" s="41"/>
      <c r="F19" s="59" t="s">
        <v>50</v>
      </c>
      <c r="G19" s="46"/>
      <c r="H19" s="51">
        <f t="shared" si="0"/>
        <v>0</v>
      </c>
      <c r="I19" s="39">
        <v>4</v>
      </c>
      <c r="J19" s="40"/>
      <c r="K19" s="40"/>
    </row>
    <row r="20" spans="1:11" x14ac:dyDescent="0.25">
      <c r="A20" s="58"/>
      <c r="B20" s="41"/>
      <c r="C20" s="41"/>
      <c r="D20" s="41"/>
      <c r="E20" s="41"/>
      <c r="F20" s="59" t="s">
        <v>51</v>
      </c>
      <c r="G20" s="46"/>
      <c r="H20" s="51">
        <f t="shared" si="0"/>
        <v>0</v>
      </c>
      <c r="I20" s="39">
        <v>5</v>
      </c>
      <c r="J20" s="40"/>
      <c r="K20" s="40"/>
    </row>
    <row r="21" spans="1:11" x14ac:dyDescent="0.25">
      <c r="A21" s="58"/>
      <c r="B21" s="466" t="str">
        <f>IF(AND(C10="x",G21="x"),"NÃO HÁ DESONERAÇÃO PARA FORNECIMENTO DE MATERIAIS","")</f>
        <v/>
      </c>
      <c r="C21" s="466"/>
      <c r="D21" s="466"/>
      <c r="E21" s="41"/>
      <c r="F21" s="59" t="s">
        <v>52</v>
      </c>
      <c r="G21" s="46"/>
      <c r="H21" s="51">
        <f t="shared" si="0"/>
        <v>0</v>
      </c>
      <c r="I21" s="39">
        <v>6</v>
      </c>
      <c r="J21" s="40"/>
      <c r="K21" s="40"/>
    </row>
    <row r="22" spans="1:11" ht="15.75" thickBot="1" x14ac:dyDescent="0.3">
      <c r="A22" s="53"/>
      <c r="B22" s="467" t="str">
        <f>IF(H22&gt;1,"SELECIONE SOMENTE UM TIPO DE SERVIÇO",IF(H22=0,"SELECIONE UM TIPO DE SERVIÇO",""))</f>
        <v/>
      </c>
      <c r="C22" s="467"/>
      <c r="D22" s="160"/>
      <c r="E22" s="160"/>
      <c r="F22" s="60"/>
      <c r="G22" s="61"/>
      <c r="H22" s="55">
        <f>SUM(H16:H21)</f>
        <v>1</v>
      </c>
      <c r="I22" s="39"/>
      <c r="J22" s="40"/>
      <c r="K22" s="40"/>
    </row>
    <row r="23" spans="1:11" ht="15.75" thickBot="1" x14ac:dyDescent="0.3">
      <c r="A23" s="41"/>
      <c r="B23" s="41"/>
      <c r="C23" s="41"/>
      <c r="D23" s="41"/>
      <c r="E23" s="162"/>
      <c r="F23" s="162"/>
      <c r="G23" s="50"/>
      <c r="H23" s="50"/>
      <c r="I23" s="39"/>
      <c r="J23" s="40"/>
      <c r="K23" s="40"/>
    </row>
    <row r="24" spans="1:11" x14ac:dyDescent="0.25">
      <c r="A24" s="462" t="s">
        <v>53</v>
      </c>
      <c r="B24" s="463"/>
      <c r="C24" s="163"/>
      <c r="D24" s="163"/>
      <c r="E24" s="464"/>
      <c r="F24" s="464"/>
      <c r="G24" s="63" t="s">
        <v>21</v>
      </c>
      <c r="H24" s="64"/>
      <c r="I24" s="39"/>
      <c r="J24" s="40"/>
      <c r="K24" s="40"/>
    </row>
    <row r="25" spans="1:11" x14ac:dyDescent="0.25">
      <c r="A25" s="65"/>
      <c r="B25" s="162"/>
      <c r="C25" s="162"/>
      <c r="D25" s="162"/>
      <c r="E25" s="162"/>
      <c r="F25" s="162"/>
      <c r="G25" s="50"/>
      <c r="H25" s="66"/>
      <c r="I25" s="39"/>
      <c r="J25" s="40" t="s">
        <v>54</v>
      </c>
      <c r="K25" s="40" t="s">
        <v>55</v>
      </c>
    </row>
    <row r="26" spans="1:11" x14ac:dyDescent="0.25">
      <c r="A26" s="65"/>
      <c r="B26" s="67" t="s">
        <v>56</v>
      </c>
      <c r="C26" s="68"/>
      <c r="D26" s="68" t="str">
        <f>IF(AND(G26&gt;=J26,G26&lt;=K26),"","FORA DO LIMITE")</f>
        <v/>
      </c>
      <c r="E26" s="68"/>
      <c r="F26" s="69" t="s">
        <v>57</v>
      </c>
      <c r="G26" s="70">
        <v>3.7999999999999999E-2</v>
      </c>
      <c r="H26" s="66"/>
      <c r="I26" s="39"/>
      <c r="J26" s="40">
        <f>VLOOKUP($I$13,[7]Referências!A13:D19,2,FALSE)</f>
        <v>0</v>
      </c>
      <c r="K26" s="40">
        <f>VLOOKUP($I$13,[7]Referências!A13:D19,4,FALSE)</f>
        <v>1</v>
      </c>
    </row>
    <row r="27" spans="1:11" x14ac:dyDescent="0.25">
      <c r="A27" s="65"/>
      <c r="B27" s="71"/>
      <c r="C27" s="162"/>
      <c r="D27" s="162"/>
      <c r="E27" s="162"/>
      <c r="F27" s="59"/>
      <c r="G27" s="72"/>
      <c r="H27" s="66"/>
      <c r="I27" s="39"/>
      <c r="J27" s="40"/>
      <c r="K27" s="40"/>
    </row>
    <row r="28" spans="1:11" x14ac:dyDescent="0.25">
      <c r="A28" s="65"/>
      <c r="B28" s="67" t="s">
        <v>58</v>
      </c>
      <c r="C28" s="68"/>
      <c r="D28" s="68" t="str">
        <f>IF(AND(G28&gt;=J28,G28&lt;=K28),"","FORA DO LIMITE")</f>
        <v/>
      </c>
      <c r="E28" s="68"/>
      <c r="F28" s="69" t="s">
        <v>59</v>
      </c>
      <c r="G28" s="73">
        <v>1.0200000000000001E-2</v>
      </c>
      <c r="H28" s="74"/>
      <c r="I28" s="39"/>
      <c r="J28" s="40">
        <f>VLOOKUP($I$13,[7]Referências!A40:D46,2,FALSE)</f>
        <v>0</v>
      </c>
      <c r="K28" s="40">
        <f>VLOOKUP($I$13,[7]Referências!A40:D46,4,FALSE)</f>
        <v>1</v>
      </c>
    </row>
    <row r="29" spans="1:11" x14ac:dyDescent="0.25">
      <c r="A29" s="65"/>
      <c r="B29" s="71"/>
      <c r="C29" s="162"/>
      <c r="D29" s="162"/>
      <c r="E29" s="162"/>
      <c r="F29" s="59"/>
      <c r="G29" s="75"/>
      <c r="H29" s="74"/>
      <c r="I29" s="39"/>
      <c r="J29" s="40"/>
      <c r="K29" s="40"/>
    </row>
    <row r="30" spans="1:11" x14ac:dyDescent="0.25">
      <c r="A30" s="65"/>
      <c r="B30" s="76" t="s">
        <v>60</v>
      </c>
      <c r="C30" s="77"/>
      <c r="D30" s="77"/>
      <c r="E30" s="77"/>
      <c r="F30" s="78"/>
      <c r="G30" s="79"/>
      <c r="H30" s="80"/>
      <c r="I30" s="39"/>
      <c r="J30" s="40"/>
      <c r="K30" s="40"/>
    </row>
    <row r="31" spans="1:11" x14ac:dyDescent="0.25">
      <c r="A31" s="65"/>
      <c r="B31" s="164"/>
      <c r="C31" s="162"/>
      <c r="D31" s="162" t="str">
        <f>IF(AND(G31&gt;=J31,G31&lt;=K31),"","FORA DO LIMITE")</f>
        <v/>
      </c>
      <c r="E31" s="162"/>
      <c r="F31" s="59" t="s">
        <v>61</v>
      </c>
      <c r="G31" s="81">
        <v>3.2000000000000002E-3</v>
      </c>
      <c r="H31" s="82"/>
      <c r="I31" s="39"/>
      <c r="J31" s="40">
        <f>VLOOKUP($I$13,[7]Referências!A22:D28,2,FALSE)</f>
        <v>0</v>
      </c>
      <c r="K31" s="40">
        <f>VLOOKUP($I$13,[7]Referências!A22:D28,4,FALSE)</f>
        <v>1</v>
      </c>
    </row>
    <row r="32" spans="1:11" x14ac:dyDescent="0.25">
      <c r="A32" s="65"/>
      <c r="B32" s="83"/>
      <c r="C32" s="84"/>
      <c r="D32" s="84" t="str">
        <f>IF(AND(G32&gt;=J32,G32&lt;=K32),"","FORA DO LIMITE")</f>
        <v/>
      </c>
      <c r="E32" s="84"/>
      <c r="F32" s="85" t="s">
        <v>62</v>
      </c>
      <c r="G32" s="86">
        <v>7.1999999999999998E-3</v>
      </c>
      <c r="H32" s="66"/>
      <c r="I32" s="39"/>
      <c r="J32" s="40">
        <f>VLOOKUP($I$13,[7]Referências!A31:D37,2,FALSE)</f>
        <v>0</v>
      </c>
      <c r="K32" s="40">
        <f>VLOOKUP($I$13,[7]Referências!A31:D37,4,FALSE)</f>
        <v>1</v>
      </c>
    </row>
    <row r="33" spans="1:11" x14ac:dyDescent="0.25">
      <c r="A33" s="65"/>
      <c r="B33" s="162"/>
      <c r="C33" s="162"/>
      <c r="D33" s="162"/>
      <c r="E33" s="162"/>
      <c r="F33" s="59"/>
      <c r="G33" s="75"/>
      <c r="H33" s="82"/>
      <c r="I33" s="39"/>
      <c r="J33" s="40"/>
      <c r="K33" s="40"/>
    </row>
    <row r="34" spans="1:11" x14ac:dyDescent="0.25">
      <c r="A34" s="65"/>
      <c r="B34" s="45" t="s">
        <v>63</v>
      </c>
      <c r="C34" s="68"/>
      <c r="D34" s="68" t="str">
        <f t="shared" ref="D34" si="1">IF(AND(G34&gt;=J34,G34&lt;=K34),"","FORA DO LIMITE")</f>
        <v/>
      </c>
      <c r="E34" s="68"/>
      <c r="F34" s="69" t="s">
        <v>64</v>
      </c>
      <c r="G34" s="73">
        <v>7.4999999999999997E-2</v>
      </c>
      <c r="H34" s="82"/>
      <c r="I34" s="39"/>
      <c r="J34" s="40">
        <f>VLOOKUP($I$13,[7]Referências!A49:D55,2,FALSE)</f>
        <v>0</v>
      </c>
      <c r="K34" s="40">
        <f>VLOOKUP($I$13,[7]Referências!A49:D55,4,FALSE)</f>
        <v>1</v>
      </c>
    </row>
    <row r="35" spans="1:11" x14ac:dyDescent="0.25">
      <c r="A35" s="65"/>
      <c r="B35" s="162"/>
      <c r="C35" s="162"/>
      <c r="D35" s="162"/>
      <c r="E35" s="162"/>
      <c r="F35" s="59"/>
      <c r="G35" s="75"/>
      <c r="H35" s="82"/>
      <c r="I35" s="39"/>
      <c r="J35" s="40"/>
      <c r="K35" s="40"/>
    </row>
    <row r="36" spans="1:11" x14ac:dyDescent="0.25">
      <c r="A36" s="65"/>
      <c r="B36" s="76" t="s">
        <v>65</v>
      </c>
      <c r="C36" s="77"/>
      <c r="D36" s="77"/>
      <c r="E36" s="77"/>
      <c r="F36" s="78"/>
      <c r="G36" s="79"/>
      <c r="H36" s="82"/>
      <c r="I36" s="39"/>
      <c r="J36" s="40"/>
      <c r="K36" s="40"/>
    </row>
    <row r="37" spans="1:11" x14ac:dyDescent="0.25">
      <c r="A37" s="65"/>
      <c r="B37" s="87"/>
      <c r="C37" s="162"/>
      <c r="D37" s="162"/>
      <c r="E37" s="162"/>
      <c r="F37" s="59" t="str">
        <f>IF(AND(C10="X",C10&lt;&gt;C11,I14&lt;&gt;6,F11&lt;&gt;"X"),"INSS =","")</f>
        <v/>
      </c>
      <c r="G37" s="88" t="str">
        <f>IF(AND(C10="x",I14&lt;&gt;6,B12&lt;&gt;"SELECIONE SOMENTE UM TIPO DE BDI"),K37,"")</f>
        <v/>
      </c>
      <c r="H37" s="89"/>
      <c r="I37" s="39"/>
      <c r="J37" s="40">
        <v>0</v>
      </c>
      <c r="K37" s="40">
        <v>4.4999999999999998E-2</v>
      </c>
    </row>
    <row r="38" spans="1:11" x14ac:dyDescent="0.25">
      <c r="A38" s="65"/>
      <c r="B38" s="465" t="str">
        <f>IF(AND(G38&lt;&gt;"",I14=6),"APAGUE O PERCENTUAL DESTA LINHA","")</f>
        <v/>
      </c>
      <c r="C38" s="466"/>
      <c r="D38" s="162" t="str">
        <f>IF(B38="APAGUE O PERCENTUAL DESTA LINHA","",IF(AND(G38&gt;=J38,G38&lt;=K38),"","FORA DO LIMITE"))</f>
        <v/>
      </c>
      <c r="E38" s="162"/>
      <c r="F38" s="59" t="str">
        <f>IF(I14=6,"","ISSQN =")</f>
        <v>ISSQN =</v>
      </c>
      <c r="G38" s="81">
        <v>0.03</v>
      </c>
      <c r="H38" s="89"/>
      <c r="I38" s="39"/>
      <c r="J38" s="40">
        <v>1.2E-2</v>
      </c>
      <c r="K38" s="40">
        <v>0.03</v>
      </c>
    </row>
    <row r="39" spans="1:11" x14ac:dyDescent="0.25">
      <c r="A39" s="65"/>
      <c r="B39" s="164"/>
      <c r="C39" s="162"/>
      <c r="D39" s="162" t="str">
        <f>IF(AND(G39&gt;=J39,G39&lt;=K39),"","FORA DO LIMITE")</f>
        <v/>
      </c>
      <c r="E39" s="162"/>
      <c r="F39" s="59" t="s">
        <v>66</v>
      </c>
      <c r="G39" s="90">
        <v>6.4999999999999997E-3</v>
      </c>
      <c r="H39" s="89"/>
      <c r="I39" s="39"/>
      <c r="J39" s="40">
        <v>6.4999999999999997E-3</v>
      </c>
      <c r="K39" s="40">
        <v>6.4999999999999997E-3</v>
      </c>
    </row>
    <row r="40" spans="1:11" x14ac:dyDescent="0.25">
      <c r="A40" s="65"/>
      <c r="B40" s="164"/>
      <c r="C40" s="162"/>
      <c r="D40" s="162" t="str">
        <f t="shared" ref="D40" si="2">IF(AND(G40&gt;=J40,G40&lt;=K40),"","FORA DO LIMITE")</f>
        <v/>
      </c>
      <c r="E40" s="162"/>
      <c r="F40" s="59" t="s">
        <v>67</v>
      </c>
      <c r="G40" s="90">
        <v>0.03</v>
      </c>
      <c r="H40" s="89"/>
      <c r="I40" s="39"/>
      <c r="J40" s="40">
        <v>0.03</v>
      </c>
      <c r="K40" s="40">
        <v>0.03</v>
      </c>
    </row>
    <row r="41" spans="1:11" x14ac:dyDescent="0.25">
      <c r="A41" s="65"/>
      <c r="B41" s="164"/>
      <c r="C41" s="162"/>
      <c r="D41" s="162"/>
      <c r="E41" s="162"/>
      <c r="F41" s="59" t="s">
        <v>161</v>
      </c>
      <c r="G41" s="90">
        <v>4.4999999999999998E-2</v>
      </c>
      <c r="H41" s="89"/>
      <c r="I41" s="39"/>
      <c r="J41" s="40"/>
      <c r="K41" s="40"/>
    </row>
    <row r="42" spans="1:11" x14ac:dyDescent="0.25">
      <c r="A42" s="65"/>
      <c r="B42" s="83"/>
      <c r="C42" s="84"/>
      <c r="D42" s="84"/>
      <c r="E42" s="84"/>
      <c r="F42" s="85" t="s">
        <v>68</v>
      </c>
      <c r="G42" s="91">
        <f>SUM(G38:G41)</f>
        <v>0.1115</v>
      </c>
      <c r="H42" s="82"/>
      <c r="I42" s="39"/>
      <c r="J42" s="40"/>
      <c r="K42" s="40"/>
    </row>
    <row r="43" spans="1:11" ht="15.75" thickBot="1" x14ac:dyDescent="0.3">
      <c r="A43" s="92"/>
      <c r="B43" s="60"/>
      <c r="C43" s="60"/>
      <c r="D43" s="60"/>
      <c r="E43" s="60"/>
      <c r="F43" s="93"/>
      <c r="G43" s="94"/>
      <c r="H43" s="95"/>
      <c r="I43" s="39"/>
      <c r="J43" s="40"/>
      <c r="K43" s="40"/>
    </row>
    <row r="44" spans="1:11" ht="15.75" thickBot="1" x14ac:dyDescent="0.3">
      <c r="A44" s="162"/>
      <c r="B44" s="162"/>
      <c r="C44" s="162"/>
      <c r="D44" s="162"/>
      <c r="E44" s="162"/>
      <c r="F44" s="173"/>
      <c r="G44" s="174"/>
      <c r="H44" s="175"/>
      <c r="I44" s="39"/>
      <c r="J44" s="40"/>
      <c r="K44" s="40"/>
    </row>
    <row r="45" spans="1:11" x14ac:dyDescent="0.25">
      <c r="A45" s="462" t="s">
        <v>69</v>
      </c>
      <c r="B45" s="463"/>
      <c r="C45" s="163"/>
      <c r="D45" s="163"/>
      <c r="E45" s="163"/>
      <c r="F45" s="163"/>
      <c r="G45" s="63"/>
      <c r="H45" s="64"/>
      <c r="I45" s="39"/>
      <c r="J45" s="40" t="s">
        <v>70</v>
      </c>
      <c r="K45" s="40"/>
    </row>
    <row r="46" spans="1:11" x14ac:dyDescent="0.25">
      <c r="A46" s="65"/>
      <c r="B46" s="162"/>
      <c r="C46" s="162"/>
      <c r="D46" s="162"/>
      <c r="E46" s="162"/>
      <c r="F46" s="162"/>
      <c r="G46" s="50"/>
      <c r="H46" s="66"/>
      <c r="I46" s="39"/>
      <c r="J46" s="96">
        <v>1</v>
      </c>
      <c r="K46" s="40" t="str">
        <f>IF(OR(B12="SELECIONE UM TIPO DE BDI",B12="SELECIONE SOMENTE UM TIPO DE BDI"),"VER TIPO DE BDI","OK")</f>
        <v>OK</v>
      </c>
    </row>
    <row r="47" spans="1:11" x14ac:dyDescent="0.25">
      <c r="A47" s="65"/>
      <c r="B47" s="162"/>
      <c r="C47" s="162"/>
      <c r="D47" s="162"/>
      <c r="E47" s="162"/>
      <c r="F47" s="162"/>
      <c r="G47" s="50"/>
      <c r="H47" s="66"/>
      <c r="I47" s="39"/>
      <c r="J47" s="96">
        <v>2</v>
      </c>
      <c r="K47" s="40" t="str">
        <f>IF(OR(B22="SELECIONE SOMENTE UM TIPO DE SERVIÇO",B22="SELECIONE UM TIPO DE SERVIÇO",B21="NÃO HÁ DESONERAÇÃO PARA FORNECIMENTO DE MATERIAIS"),"VER TIPO DE SERVIÇO","OK")</f>
        <v>OK</v>
      </c>
    </row>
    <row r="48" spans="1:11" x14ac:dyDescent="0.25">
      <c r="A48" s="65"/>
      <c r="B48" s="162"/>
      <c r="C48" s="162"/>
      <c r="D48" s="162"/>
      <c r="E48" s="162"/>
      <c r="F48" s="162"/>
      <c r="G48" s="50"/>
      <c r="H48" s="66"/>
      <c r="I48" s="39"/>
      <c r="J48" s="96">
        <v>3</v>
      </c>
      <c r="K48" s="40" t="str">
        <f t="shared" ref="K48:K49" si="3">IF(OR(B23="SELECIONE SOMENTE UM TIPO DE SERVIÇO",B23="SELECIONE UM TIPO DE SERVIÇO",B22="NÃO HÁ DESONERAÇÃO PARA FORNECIMENTO DE MATERIAIS"),"VER TIPO DE SERVIÇO","OK")</f>
        <v>OK</v>
      </c>
    </row>
    <row r="49" spans="1:11" x14ac:dyDescent="0.25">
      <c r="A49" s="65"/>
      <c r="B49" s="162"/>
      <c r="C49" s="162"/>
      <c r="D49" s="162"/>
      <c r="E49" s="162"/>
      <c r="F49" s="162"/>
      <c r="G49" s="50"/>
      <c r="H49" s="66"/>
      <c r="I49" s="39"/>
      <c r="J49" s="96">
        <v>4</v>
      </c>
      <c r="K49" s="40" t="str">
        <f t="shared" si="3"/>
        <v>OK</v>
      </c>
    </row>
    <row r="50" spans="1:11" x14ac:dyDescent="0.25">
      <c r="A50" s="65"/>
      <c r="B50" s="162"/>
      <c r="C50" s="162"/>
      <c r="D50" s="162"/>
      <c r="E50" s="162"/>
      <c r="F50" s="162"/>
      <c r="G50" s="50"/>
      <c r="H50" s="66"/>
      <c r="I50" s="39"/>
      <c r="J50" s="96"/>
      <c r="K50" s="40"/>
    </row>
    <row r="51" spans="1:11" x14ac:dyDescent="0.25">
      <c r="A51" s="65"/>
      <c r="B51" s="162"/>
      <c r="C51" s="162"/>
      <c r="D51" s="162"/>
      <c r="E51" s="162"/>
      <c r="F51" s="162"/>
      <c r="G51" s="50"/>
      <c r="H51" s="66"/>
      <c r="I51" s="39"/>
      <c r="J51" s="40"/>
      <c r="K51" s="40"/>
    </row>
    <row r="52" spans="1:11" x14ac:dyDescent="0.25">
      <c r="A52" s="65"/>
      <c r="B52" s="162"/>
      <c r="C52" s="162"/>
      <c r="D52" s="162"/>
      <c r="E52" s="162"/>
      <c r="F52" s="162"/>
      <c r="G52" s="50"/>
      <c r="H52" s="66"/>
      <c r="I52" s="39"/>
      <c r="J52" s="40"/>
      <c r="K52" s="40"/>
    </row>
    <row r="53" spans="1:11" x14ac:dyDescent="0.25">
      <c r="A53" s="65" t="s">
        <v>71</v>
      </c>
      <c r="B53" s="48" t="s">
        <v>72</v>
      </c>
      <c r="C53" s="162"/>
      <c r="D53" s="162"/>
      <c r="E53" s="162"/>
      <c r="F53" s="162"/>
      <c r="G53" s="50"/>
      <c r="H53" s="66"/>
      <c r="I53" s="39"/>
      <c r="J53" s="40"/>
      <c r="K53" s="40"/>
    </row>
    <row r="54" spans="1:11" x14ac:dyDescent="0.25">
      <c r="A54" s="65" t="s">
        <v>73</v>
      </c>
      <c r="B54" s="48" t="s">
        <v>74</v>
      </c>
      <c r="C54" s="162"/>
      <c r="D54" s="162"/>
      <c r="E54" s="162"/>
      <c r="F54" s="162"/>
      <c r="G54" s="50"/>
      <c r="H54" s="66"/>
      <c r="I54" s="39"/>
      <c r="J54" s="40"/>
      <c r="K54" s="40"/>
    </row>
    <row r="55" spans="1:11" x14ac:dyDescent="0.25">
      <c r="A55" s="65" t="s">
        <v>75</v>
      </c>
      <c r="B55" s="48" t="s">
        <v>76</v>
      </c>
      <c r="C55" s="162"/>
      <c r="D55" s="162"/>
      <c r="E55" s="162"/>
      <c r="F55" s="162"/>
      <c r="G55" s="50"/>
      <c r="H55" s="66"/>
      <c r="I55" s="39"/>
      <c r="J55" s="40"/>
      <c r="K55" s="40"/>
    </row>
    <row r="56" spans="1:11" x14ac:dyDescent="0.25">
      <c r="A56" s="65" t="s">
        <v>59</v>
      </c>
      <c r="B56" s="48" t="s">
        <v>77</v>
      </c>
      <c r="C56" s="162"/>
      <c r="D56" s="162"/>
      <c r="E56" s="162"/>
      <c r="F56" s="162"/>
      <c r="G56" s="50"/>
      <c r="H56" s="66"/>
      <c r="I56" s="39"/>
      <c r="J56" s="40"/>
      <c r="K56" s="40"/>
    </row>
    <row r="57" spans="1:11" x14ac:dyDescent="0.25">
      <c r="A57" s="65" t="s">
        <v>64</v>
      </c>
      <c r="B57" s="48" t="s">
        <v>78</v>
      </c>
      <c r="C57" s="162"/>
      <c r="D57" s="162"/>
      <c r="E57" s="162"/>
      <c r="F57" s="162"/>
      <c r="G57" s="50"/>
      <c r="H57" s="66"/>
      <c r="I57" s="39"/>
      <c r="J57" s="40"/>
      <c r="K57" s="40"/>
    </row>
    <row r="58" spans="1:11" x14ac:dyDescent="0.25">
      <c r="A58" s="65" t="s">
        <v>79</v>
      </c>
      <c r="B58" s="48" t="s">
        <v>80</v>
      </c>
      <c r="C58" s="162"/>
      <c r="D58" s="162"/>
      <c r="E58" s="162"/>
      <c r="F58" s="162"/>
      <c r="G58" s="50"/>
      <c r="H58" s="66"/>
      <c r="I58" s="39"/>
      <c r="J58" s="40"/>
      <c r="K58" s="40"/>
    </row>
    <row r="59" spans="1:11" ht="15.75" thickBot="1" x14ac:dyDescent="0.3">
      <c r="A59" s="92"/>
      <c r="B59" s="97"/>
      <c r="C59" s="60"/>
      <c r="D59" s="60"/>
      <c r="E59" s="60"/>
      <c r="F59" s="60"/>
      <c r="G59" s="98"/>
      <c r="H59" s="99"/>
      <c r="I59" s="39"/>
      <c r="J59" s="40"/>
      <c r="K59" s="40"/>
    </row>
    <row r="60" spans="1:11" ht="15.75" thickBot="1" x14ac:dyDescent="0.3">
      <c r="A60" s="162"/>
      <c r="B60" s="48"/>
      <c r="C60" s="162"/>
      <c r="D60" s="162"/>
      <c r="E60" s="162"/>
      <c r="F60" s="162"/>
      <c r="G60" s="50"/>
      <c r="H60" s="50"/>
      <c r="I60" s="39"/>
      <c r="J60" s="40"/>
      <c r="K60" s="40"/>
    </row>
    <row r="61" spans="1:11" x14ac:dyDescent="0.25">
      <c r="A61" s="462" t="s">
        <v>81</v>
      </c>
      <c r="B61" s="463"/>
      <c r="C61" s="100"/>
      <c r="D61" s="100"/>
      <c r="E61" s="463" t="s">
        <v>82</v>
      </c>
      <c r="F61" s="463"/>
      <c r="G61" s="63"/>
      <c r="H61" s="64"/>
      <c r="I61" s="101">
        <f>SUM(1+G26,G31,G32)</f>
        <v>1.0484000000000002</v>
      </c>
      <c r="J61" s="40"/>
      <c r="K61" s="40"/>
    </row>
    <row r="62" spans="1:11" x14ac:dyDescent="0.25">
      <c r="A62" s="161"/>
      <c r="B62" s="43"/>
      <c r="C62" s="162"/>
      <c r="D62" s="162"/>
      <c r="E62" s="162"/>
      <c r="F62" s="162"/>
      <c r="G62" s="50"/>
      <c r="H62" s="66"/>
      <c r="I62" s="39">
        <f>1+G28</f>
        <v>1.0102</v>
      </c>
      <c r="J62" s="40"/>
      <c r="K62" s="40"/>
    </row>
    <row r="63" spans="1:11" x14ac:dyDescent="0.25">
      <c r="A63" s="65"/>
      <c r="B63" s="102" t="s">
        <v>83</v>
      </c>
      <c r="C63" s="103">
        <v>0.19600000000000001</v>
      </c>
      <c r="D63" s="71" t="str">
        <f>IF(AND(C63&gt;I66,C11="X"),"BDI ABAIXO","")</f>
        <v/>
      </c>
      <c r="E63" s="102" t="s">
        <v>83</v>
      </c>
      <c r="F63" s="103">
        <v>0.25600000000000001</v>
      </c>
      <c r="G63" s="71" t="str">
        <f>IF(AND(F63&gt;I66,C10="X"),"BDI ABAIXO","")</f>
        <v/>
      </c>
      <c r="H63" s="66"/>
      <c r="I63" s="39">
        <f>1+G34</f>
        <v>1.075</v>
      </c>
      <c r="J63" s="40"/>
      <c r="K63" s="40"/>
    </row>
    <row r="64" spans="1:11" x14ac:dyDescent="0.25">
      <c r="A64" s="65"/>
      <c r="B64" s="102" t="s">
        <v>84</v>
      </c>
      <c r="C64" s="103">
        <v>0.24229999999999999</v>
      </c>
      <c r="D64" s="162"/>
      <c r="E64" s="102" t="s">
        <v>84</v>
      </c>
      <c r="F64" s="103">
        <v>0.30520000000000003</v>
      </c>
      <c r="G64" s="71" t="str">
        <f>IF(AND(F64&lt;I66,C10="X"),"BDI ACIMA","")</f>
        <v/>
      </c>
      <c r="H64" s="66"/>
      <c r="I64" s="39">
        <f>1-G42</f>
        <v>0.88849999999999996</v>
      </c>
      <c r="J64" s="40"/>
      <c r="K64" s="40"/>
    </row>
    <row r="65" spans="1:11" ht="15.75" thickBot="1" x14ac:dyDescent="0.3">
      <c r="A65" s="92"/>
      <c r="B65" s="97"/>
      <c r="C65" s="60"/>
      <c r="D65" s="104"/>
      <c r="E65" s="60"/>
      <c r="F65" s="104"/>
      <c r="G65" s="98"/>
      <c r="H65" s="99"/>
      <c r="I65" s="39">
        <f>I61*I62*I63/I64</f>
        <v>1.2814020326392799</v>
      </c>
      <c r="J65" s="40"/>
      <c r="K65" s="40"/>
    </row>
    <row r="66" spans="1:11" ht="15.75" thickBot="1" x14ac:dyDescent="0.3">
      <c r="A66" s="162"/>
      <c r="B66" s="162"/>
      <c r="C66" s="162"/>
      <c r="D66" s="162"/>
      <c r="E66" s="162"/>
      <c r="F66" s="162"/>
      <c r="G66" s="50"/>
      <c r="H66" s="50"/>
      <c r="I66" s="39">
        <f>ROUND(I65-1,4)</f>
        <v>0.28139999999999998</v>
      </c>
      <c r="J66" s="40"/>
      <c r="K66" s="40"/>
    </row>
    <row r="67" spans="1:11" ht="15.75" thickBot="1" x14ac:dyDescent="0.3">
      <c r="A67" s="162"/>
      <c r="B67" s="162"/>
      <c r="C67" s="162"/>
      <c r="D67" s="176"/>
      <c r="E67" s="456" t="s">
        <v>85</v>
      </c>
      <c r="F67" s="457"/>
      <c r="G67" s="177">
        <f>IF(AND(K46="OK",K47="OK",K48="OK",K49="OK"),I66,IF(K46="VER TIPO DE BDI","VER TIPO DE BDI",IF(K47="VER TIPO DE SERVIÇO","VER TIPO DE SERVIÇO",IF(K48="VER PERCENTUAIS","VER PERCENTUAIS",IF(K49="BDI FORA DO LIMITE","BDI FORA DO LIMITE","VÁRIOS ERROS")))))</f>
        <v>0.28139999999999998</v>
      </c>
      <c r="H67" s="178" t="str">
        <f>IF(AND(M67&gt;=P67,M67&lt;=Q67),"","FORA DO LIMITE")</f>
        <v/>
      </c>
      <c r="I67" s="105">
        <f>G73</f>
        <v>0.28139999999999998</v>
      </c>
      <c r="J67" s="40"/>
      <c r="K67" s="40"/>
    </row>
    <row r="68" spans="1:11" x14ac:dyDescent="0.25">
      <c r="A68" s="162"/>
      <c r="B68" s="162"/>
      <c r="C68" s="162"/>
      <c r="D68" s="162"/>
      <c r="E68" s="41"/>
      <c r="F68" s="41"/>
      <c r="G68" s="179"/>
      <c r="H68" s="179"/>
      <c r="I68" s="106"/>
      <c r="J68" s="40"/>
      <c r="K68" s="40"/>
    </row>
    <row r="69" spans="1:11" x14ac:dyDescent="0.25">
      <c r="A69" s="41"/>
      <c r="B69" s="43" t="s">
        <v>86</v>
      </c>
      <c r="C69" s="41"/>
      <c r="D69" s="41"/>
      <c r="E69" s="162"/>
      <c r="F69" s="162"/>
      <c r="G69" s="162"/>
      <c r="H69" s="162"/>
      <c r="I69" s="106"/>
      <c r="J69" s="40"/>
      <c r="K69" s="40"/>
    </row>
    <row r="70" spans="1:11" x14ac:dyDescent="0.25">
      <c r="A70" s="48"/>
      <c r="B70" s="8" t="s">
        <v>87</v>
      </c>
      <c r="C70" s="8"/>
      <c r="D70" s="8"/>
      <c r="E70" s="162"/>
      <c r="F70" s="162"/>
      <c r="G70" s="458"/>
      <c r="H70" s="458"/>
      <c r="I70" s="39"/>
      <c r="J70" s="40"/>
      <c r="K70" s="40"/>
    </row>
    <row r="71" spans="1:11" x14ac:dyDescent="0.25">
      <c r="A71" s="162"/>
      <c r="B71" s="8" t="s">
        <v>88</v>
      </c>
      <c r="C71" s="180"/>
      <c r="D71" s="162"/>
      <c r="E71" s="162"/>
      <c r="F71" s="162"/>
      <c r="G71" s="459"/>
      <c r="H71" s="459"/>
      <c r="I71" s="39"/>
      <c r="J71" s="40"/>
      <c r="K71" s="40"/>
    </row>
    <row r="72" spans="1:11" x14ac:dyDescent="0.25">
      <c r="A72" s="162"/>
      <c r="B72" s="8" t="s">
        <v>89</v>
      </c>
      <c r="C72" s="162"/>
      <c r="D72" s="162"/>
      <c r="E72" s="162"/>
      <c r="F72" s="181"/>
      <c r="G72" s="50"/>
      <c r="H72" s="50"/>
      <c r="I72" s="39"/>
      <c r="J72" s="40"/>
      <c r="K72" s="40"/>
    </row>
    <row r="73" spans="1:11" x14ac:dyDescent="0.25">
      <c r="A73" s="62"/>
      <c r="B73" s="62"/>
      <c r="C73" s="62"/>
      <c r="D73" s="62"/>
      <c r="E73" s="62"/>
      <c r="F73" s="107" t="s">
        <v>90</v>
      </c>
      <c r="G73" s="460">
        <f>I66</f>
        <v>0.28139999999999998</v>
      </c>
      <c r="H73" s="461"/>
      <c r="I73" s="39"/>
      <c r="J73" s="40"/>
      <c r="K73" s="40"/>
    </row>
  </sheetData>
  <sheetProtection algorithmName="SHA-512" hashValue="O1tvrK/MrXShL6mUUZvK0HC+RVJrqkd/8AL8oKAI6gCmvygdzw5jIiKgh+F2/LuNaksO82IK68mg0VchTm/l/Q==" saltValue="UUdTF/kIHlFziLHjxf38wA==" spinCount="100000" sheet="1" objects="1" scenarios="1" selectLockedCells="1" selectUnlockedCells="1"/>
  <mergeCells count="21">
    <mergeCell ref="B22:C22"/>
    <mergeCell ref="A1:H1"/>
    <mergeCell ref="A2:H2"/>
    <mergeCell ref="A3:H3"/>
    <mergeCell ref="A5:H5"/>
    <mergeCell ref="B6:E6"/>
    <mergeCell ref="A8:B8"/>
    <mergeCell ref="B12:C12"/>
    <mergeCell ref="E12:G12"/>
    <mergeCell ref="A14:B14"/>
    <mergeCell ref="B21:D21"/>
    <mergeCell ref="E67:F67"/>
    <mergeCell ref="G70:H70"/>
    <mergeCell ref="G71:H71"/>
    <mergeCell ref="G73:H73"/>
    <mergeCell ref="A24:B24"/>
    <mergeCell ref="E24:F24"/>
    <mergeCell ref="B38:C38"/>
    <mergeCell ref="A45:B45"/>
    <mergeCell ref="A61:B61"/>
    <mergeCell ref="E61:F61"/>
  </mergeCells>
  <conditionalFormatting sqref="B12">
    <cfRule type="cellIs" dxfId="22" priority="18" operator="equal">
      <formula>"SELECIONE SOMENTE UM TIPO DE BDI"</formula>
    </cfRule>
  </conditionalFormatting>
  <conditionalFormatting sqref="B21">
    <cfRule type="cellIs" dxfId="21" priority="5" operator="equal">
      <formula>"NÃO HÁ DESONERAÇÃO PARA FORNECIMENTO DE MATERIAIS"</formula>
    </cfRule>
  </conditionalFormatting>
  <conditionalFormatting sqref="B22">
    <cfRule type="cellIs" dxfId="20" priority="24" operator="equal">
      <formula>"SELECIONE SOMENTE UM TIPO DE SERVIÇO"</formula>
    </cfRule>
  </conditionalFormatting>
  <conditionalFormatting sqref="B12:C12 E12:G12">
    <cfRule type="cellIs" dxfId="19" priority="8" operator="equal">
      <formula>"SELECIONE UM TIPO DE BDI"</formula>
    </cfRule>
  </conditionalFormatting>
  <conditionalFormatting sqref="B22:C22">
    <cfRule type="cellIs" dxfId="18" priority="7" operator="equal">
      <formula>"SELECIONE UM TIPO DE SERVIÇO"</formula>
    </cfRule>
  </conditionalFormatting>
  <conditionalFormatting sqref="B38:C38">
    <cfRule type="cellIs" dxfId="17" priority="17" operator="equal">
      <formula>"APAGUE O PERCENTUAL DESTA LINHA"</formula>
    </cfRule>
  </conditionalFormatting>
  <conditionalFormatting sqref="C10:C11 G16:G21 G26 G28 G31:G32 G34">
    <cfRule type="cellIs" dxfId="16" priority="15" operator="equal">
      <formula>0</formula>
    </cfRule>
  </conditionalFormatting>
  <conditionalFormatting sqref="D26 D38:D41">
    <cfRule type="cellIs" dxfId="15" priority="23" operator="equal">
      <formula>"FORA DO LIMITE"</formula>
    </cfRule>
  </conditionalFormatting>
  <conditionalFormatting sqref="D28">
    <cfRule type="cellIs" dxfId="14" priority="22" operator="equal">
      <formula>"FORA DO LIMITE"</formula>
    </cfRule>
  </conditionalFormatting>
  <conditionalFormatting sqref="D31:D32">
    <cfRule type="cellIs" dxfId="13" priority="20" operator="equal">
      <formula>"FORA DO LIMITE"</formula>
    </cfRule>
  </conditionalFormatting>
  <conditionalFormatting sqref="D34">
    <cfRule type="cellIs" dxfId="12" priority="19" operator="equal">
      <formula>"FORA DO LIMITE"</formula>
    </cfRule>
  </conditionalFormatting>
  <conditionalFormatting sqref="D63">
    <cfRule type="cellIs" dxfId="11" priority="4" operator="equal">
      <formula>"BDI ABAIXO"</formula>
    </cfRule>
  </conditionalFormatting>
  <conditionalFormatting sqref="E12">
    <cfRule type="cellIs" dxfId="10" priority="11" operator="equal">
      <formula>"SELECIONE SOMENTE UM TIPO DE BDI"</formula>
    </cfRule>
  </conditionalFormatting>
  <conditionalFormatting sqref="E12:G12">
    <cfRule type="cellIs" dxfId="9" priority="6" operator="equal">
      <formula>"SOMENTE HÁ DESONERAÇÃO PARA OBRAS"</formula>
    </cfRule>
    <cfRule type="cellIs" dxfId="8" priority="10" operator="equal">
      <formula>"NÃO HÁ PROJETO PARA FORNECIMENTO"</formula>
    </cfRule>
  </conditionalFormatting>
  <conditionalFormatting sqref="G38:G41">
    <cfRule type="cellIs" dxfId="7" priority="9" operator="equal">
      <formula>0</formula>
    </cfRule>
  </conditionalFormatting>
  <conditionalFormatting sqref="G63">
    <cfRule type="cellIs" dxfId="6" priority="3" operator="equal">
      <formula>"BDI ABAIXO"</formula>
    </cfRule>
  </conditionalFormatting>
  <conditionalFormatting sqref="G64">
    <cfRule type="cellIs" dxfId="5" priority="2" operator="equal">
      <formula>"BDI ACIMA"</formula>
    </cfRule>
  </conditionalFormatting>
  <conditionalFormatting sqref="G67:H68">
    <cfRule type="cellIs" dxfId="4" priority="1" operator="equal">
      <formula>"VER PERCENTUAIS"</formula>
    </cfRule>
    <cfRule type="cellIs" dxfId="3" priority="12" operator="equal">
      <formula>"VÁRIOS ERROS"</formula>
    </cfRule>
    <cfRule type="cellIs" dxfId="2" priority="13" operator="equal">
      <formula>"BDI FORA DO LIMITE"</formula>
    </cfRule>
    <cfRule type="cellIs" dxfId="1" priority="14" operator="equal">
      <formula>"VER TIPO DE BDI"</formula>
    </cfRule>
    <cfRule type="cellIs" dxfId="0" priority="16" operator="equal">
      <formula>"VER TIPO DE SERVIÇO"</formula>
    </cfRule>
  </conditionalFormatting>
  <dataValidations count="3">
    <dataValidation allowBlank="1" promptTitle="Alerta" prompt="Digite somente 'X'" sqref="F10:F11" xr:uid="{00000000-0002-0000-0B00-000000000000}"/>
    <dataValidation type="decimal" allowBlank="1" showInputMessage="1" showErrorMessage="1" sqref="G38:G42 G26:G36" xr:uid="{00000000-0002-0000-0B00-000001000000}">
      <formula1>0</formula1>
      <formula2>100</formula2>
    </dataValidation>
    <dataValidation type="list" allowBlank="1" showInputMessage="1" showErrorMessage="1" promptTitle="Alerta" prompt="Digite somente 'X'" sqref="G16:G21 C10:C11" xr:uid="{00000000-0002-0000-0B00-000002000000}">
      <formula1>"x,X"</formula1>
    </dataValidation>
  </dataValidations>
  <pageMargins left="0.51181102362204722" right="0.51181102362204722" top="1.7716535433070868" bottom="1.5748031496062993" header="0.51181102362204722" footer="0.51181102362204722"/>
  <pageSetup paperSize="9" scale="70" fitToHeight="0" orientation="portrait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9FA82-6430-45E9-AF4A-AA9B268941BB}">
  <dimension ref="A1:F7"/>
  <sheetViews>
    <sheetView workbookViewId="0">
      <selection activeCell="L4" sqref="L4"/>
    </sheetView>
  </sheetViews>
  <sheetFormatPr defaultRowHeight="15" x14ac:dyDescent="0.25"/>
  <cols>
    <col min="1" max="1" width="37.42578125" bestFit="1" customWidth="1"/>
    <col min="2" max="2" width="13.140625" bestFit="1" customWidth="1"/>
    <col min="3" max="3" width="12.5703125" bestFit="1" customWidth="1"/>
    <col min="4" max="4" width="8.42578125" bestFit="1" customWidth="1"/>
    <col min="5" max="5" width="11" bestFit="1" customWidth="1"/>
  </cols>
  <sheetData>
    <row r="1" spans="1:6" x14ac:dyDescent="0.25">
      <c r="A1" s="109"/>
      <c r="B1" s="109"/>
      <c r="C1" s="109"/>
      <c r="D1" s="109"/>
      <c r="E1" s="109"/>
      <c r="F1" s="109"/>
    </row>
    <row r="2" spans="1:6" x14ac:dyDescent="0.25">
      <c r="A2" s="109"/>
      <c r="B2" s="109"/>
      <c r="C2" s="109"/>
      <c r="D2" s="109"/>
      <c r="E2" s="109"/>
      <c r="F2" s="109"/>
    </row>
    <row r="3" spans="1:6" x14ac:dyDescent="0.25">
      <c r="A3" s="7" t="s">
        <v>13</v>
      </c>
      <c r="B3" s="9" t="s">
        <v>367</v>
      </c>
      <c r="C3" s="323" t="s">
        <v>399</v>
      </c>
      <c r="D3" s="9" t="s">
        <v>400</v>
      </c>
      <c r="E3" s="338" t="s">
        <v>14</v>
      </c>
      <c r="F3" s="339"/>
    </row>
    <row r="4" spans="1:6" ht="22.5" x14ac:dyDescent="0.25">
      <c r="A4" s="36" t="str">
        <f>'GERAL '!A10</f>
        <v>RUA MAJOR APRÍGIO - LOC. SÃO JOÃO</v>
      </c>
      <c r="B4" s="324" t="s">
        <v>376</v>
      </c>
      <c r="C4" s="332">
        <f>'ORÇAMENTO SD'!E7</f>
        <v>621</v>
      </c>
      <c r="D4" s="332">
        <f>'ORÇAMENTO SD'!E6</f>
        <v>6</v>
      </c>
      <c r="E4" s="13">
        <f>'GERAL '!B10</f>
        <v>3726</v>
      </c>
      <c r="F4" s="14" t="s">
        <v>15</v>
      </c>
    </row>
    <row r="5" spans="1:6" ht="22.5" x14ac:dyDescent="0.25">
      <c r="A5" s="211" t="str">
        <f>'GERAL '!A11</f>
        <v>RUA JOSÉ MIGUEL - LOC. BARREIRO</v>
      </c>
      <c r="B5" s="324" t="s">
        <v>377</v>
      </c>
      <c r="C5" s="332">
        <f>'ORÇAMENTO SD'!E36</f>
        <v>445</v>
      </c>
      <c r="D5" s="332">
        <f>'ORÇAMENTO SD'!E35</f>
        <v>6</v>
      </c>
      <c r="E5" s="13">
        <f>'GERAL '!B11</f>
        <v>2670</v>
      </c>
      <c r="F5" s="14" t="s">
        <v>15</v>
      </c>
    </row>
    <row r="6" spans="1:6" x14ac:dyDescent="0.25">
      <c r="A6" s="6"/>
      <c r="B6" s="4"/>
      <c r="C6" s="4"/>
      <c r="D6" s="4"/>
      <c r="E6" s="8"/>
      <c r="F6" s="4"/>
    </row>
    <row r="7" spans="1:6" x14ac:dyDescent="0.25">
      <c r="A7" s="338" t="s">
        <v>16</v>
      </c>
      <c r="B7" s="339"/>
      <c r="C7" s="323"/>
      <c r="D7" s="323"/>
      <c r="E7" s="17">
        <f>SUM(E4:E5)</f>
        <v>6396</v>
      </c>
      <c r="F7" s="18" t="str">
        <f>F4</f>
        <v>m²</v>
      </c>
    </row>
  </sheetData>
  <mergeCells count="2">
    <mergeCell ref="E3:F3"/>
    <mergeCell ref="A7:B7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F14"/>
  <sheetViews>
    <sheetView workbookViewId="0">
      <selection sqref="A1:F1"/>
    </sheetView>
  </sheetViews>
  <sheetFormatPr defaultRowHeight="15" x14ac:dyDescent="0.25"/>
  <cols>
    <col min="1" max="1" width="4.7109375" bestFit="1" customWidth="1"/>
    <col min="2" max="2" width="38.28515625" customWidth="1"/>
    <col min="3" max="3" width="4.85546875" bestFit="1" customWidth="1"/>
    <col min="4" max="4" width="7.85546875" bestFit="1" customWidth="1"/>
    <col min="5" max="5" width="16.28515625" bestFit="1" customWidth="1"/>
    <col min="6" max="6" width="14.7109375" bestFit="1" customWidth="1"/>
    <col min="7" max="7" width="22.42578125" bestFit="1" customWidth="1"/>
  </cols>
  <sheetData>
    <row r="1" spans="1:6" x14ac:dyDescent="0.25">
      <c r="A1" s="370" t="s">
        <v>42</v>
      </c>
      <c r="B1" s="370"/>
      <c r="C1" s="370"/>
      <c r="D1" s="370"/>
      <c r="E1" s="370"/>
      <c r="F1" s="370"/>
    </row>
    <row r="2" spans="1:6" ht="33.75" x14ac:dyDescent="0.25">
      <c r="A2" s="371" t="s">
        <v>386</v>
      </c>
      <c r="B2" s="372"/>
      <c r="C2" s="373" t="s">
        <v>387</v>
      </c>
      <c r="D2" s="373"/>
      <c r="E2" s="24" t="s">
        <v>41</v>
      </c>
      <c r="F2" s="25" t="s">
        <v>343</v>
      </c>
    </row>
    <row r="3" spans="1:6" x14ac:dyDescent="0.25">
      <c r="A3" s="374" t="s">
        <v>388</v>
      </c>
      <c r="B3" s="375"/>
      <c r="C3" s="375"/>
      <c r="D3" s="375"/>
      <c r="E3" s="26" t="s">
        <v>24</v>
      </c>
      <c r="F3" s="27">
        <f>'GERAL '!B13</f>
        <v>6396</v>
      </c>
    </row>
    <row r="4" spans="1:6" x14ac:dyDescent="0.25">
      <c r="A4" s="366" t="s">
        <v>25</v>
      </c>
      <c r="B4" s="366" t="s">
        <v>26</v>
      </c>
      <c r="C4" s="366" t="s">
        <v>27</v>
      </c>
      <c r="D4" s="368" t="s">
        <v>28</v>
      </c>
      <c r="E4" s="376" t="s">
        <v>29</v>
      </c>
      <c r="F4" s="377"/>
    </row>
    <row r="5" spans="1:6" x14ac:dyDescent="0.25">
      <c r="A5" s="367"/>
      <c r="B5" s="367"/>
      <c r="C5" s="367"/>
      <c r="D5" s="369"/>
      <c r="E5" s="378"/>
      <c r="F5" s="379"/>
    </row>
    <row r="6" spans="1:6" x14ac:dyDescent="0.25">
      <c r="A6" s="28" t="s">
        <v>30</v>
      </c>
      <c r="B6" s="362" t="s">
        <v>31</v>
      </c>
      <c r="C6" s="363"/>
      <c r="D6" s="363"/>
      <c r="E6" s="364">
        <f>SUM(E7:F9)</f>
        <v>48141.600000000006</v>
      </c>
      <c r="F6" s="365"/>
    </row>
    <row r="7" spans="1:6" x14ac:dyDescent="0.25">
      <c r="A7" s="29" t="s">
        <v>32</v>
      </c>
      <c r="B7" s="36" t="s">
        <v>38</v>
      </c>
      <c r="C7" s="30" t="s">
        <v>15</v>
      </c>
      <c r="D7" s="37">
        <v>6</v>
      </c>
      <c r="E7" s="359">
        <f>'ORÇAMENTO SD'!H11</f>
        <v>3394.2</v>
      </c>
      <c r="F7" s="360"/>
    </row>
    <row r="8" spans="1:6" x14ac:dyDescent="0.25">
      <c r="A8" s="29" t="s">
        <v>172</v>
      </c>
      <c r="B8" s="36" t="s">
        <v>39</v>
      </c>
      <c r="C8" s="30" t="s">
        <v>40</v>
      </c>
      <c r="D8" s="37">
        <v>3</v>
      </c>
      <c r="E8" s="359">
        <f>'ORÇAMENTO SD'!H12</f>
        <v>21082.2</v>
      </c>
      <c r="F8" s="360"/>
    </row>
    <row r="9" spans="1:6" x14ac:dyDescent="0.25">
      <c r="A9" s="29" t="s">
        <v>361</v>
      </c>
      <c r="B9" s="36" t="s">
        <v>371</v>
      </c>
      <c r="C9" s="30" t="s">
        <v>15</v>
      </c>
      <c r="D9" s="37">
        <f>'ORÇAMENTO SD'!E13</f>
        <v>6396</v>
      </c>
      <c r="E9" s="359">
        <f>'ORÇAMENTO SD'!H13</f>
        <v>23665.200000000001</v>
      </c>
      <c r="F9" s="360"/>
    </row>
    <row r="10" spans="1:6" x14ac:dyDescent="0.25">
      <c r="A10" s="28" t="s">
        <v>33</v>
      </c>
      <c r="B10" s="362" t="s">
        <v>34</v>
      </c>
      <c r="C10" s="363"/>
      <c r="D10" s="363"/>
      <c r="E10" s="364">
        <f>SUM(E11:F12)</f>
        <v>807257.45</v>
      </c>
      <c r="F10" s="365"/>
    </row>
    <row r="11" spans="1:6" x14ac:dyDescent="0.25">
      <c r="A11" s="29" t="s">
        <v>35</v>
      </c>
      <c r="B11" s="36" t="str">
        <f>'GERAL '!A10</f>
        <v>RUA MAJOR APRÍGIO - LOC. SÃO JOÃO</v>
      </c>
      <c r="C11" s="30" t="s">
        <v>36</v>
      </c>
      <c r="D11" s="38">
        <v>1</v>
      </c>
      <c r="E11" s="359">
        <f>'ORÇAMENTO SD'!H33</f>
        <v>469569.26000000007</v>
      </c>
      <c r="F11" s="360"/>
    </row>
    <row r="12" spans="1:6" x14ac:dyDescent="0.25">
      <c r="A12" s="29" t="s">
        <v>366</v>
      </c>
      <c r="B12" s="211" t="str">
        <f>'GERAL '!A11</f>
        <v>RUA JOSÉ MIGUEL - LOC. BARREIRO</v>
      </c>
      <c r="C12" s="30" t="s">
        <v>36</v>
      </c>
      <c r="D12" s="38">
        <v>1</v>
      </c>
      <c r="E12" s="359">
        <f>'ORÇAMENTO SD'!H54</f>
        <v>337688.18999999994</v>
      </c>
      <c r="F12" s="360"/>
    </row>
    <row r="13" spans="1:6" x14ac:dyDescent="0.25">
      <c r="A13" s="31"/>
      <c r="B13" s="32"/>
      <c r="C13" s="32"/>
      <c r="D13" s="33"/>
      <c r="E13" s="33"/>
      <c r="F13" s="34"/>
    </row>
    <row r="14" spans="1:6" x14ac:dyDescent="0.25">
      <c r="A14" s="361" t="s">
        <v>37</v>
      </c>
      <c r="B14" s="361"/>
      <c r="C14" s="361"/>
      <c r="D14" s="361"/>
      <c r="E14" s="361"/>
      <c r="F14" s="35">
        <f>E6+E10</f>
        <v>855399.04999999993</v>
      </c>
    </row>
  </sheetData>
  <sheetProtection algorithmName="SHA-512" hashValue="94MiFhom6jq+Z+G6gg6dwYkSbUcDbujUF4v5s7sNJeb5/8hptIFDM9qnS6Cl286WC/8Qrbq6qTWSLXJ0Jq2yww==" saltValue="w1ZCCUC6y6NgtO1f/7eI2g==" spinCount="100000" sheet="1" objects="1" scenarios="1" selectLockedCells="1" selectUnlockedCells="1"/>
  <mergeCells count="19">
    <mergeCell ref="A4:A5"/>
    <mergeCell ref="B4:B5"/>
    <mergeCell ref="C4:C5"/>
    <mergeCell ref="D4:D5"/>
    <mergeCell ref="A1:F1"/>
    <mergeCell ref="A2:B2"/>
    <mergeCell ref="C2:D2"/>
    <mergeCell ref="A3:D3"/>
    <mergeCell ref="E4:F5"/>
    <mergeCell ref="E11:F11"/>
    <mergeCell ref="A14:E14"/>
    <mergeCell ref="B6:D6"/>
    <mergeCell ref="E6:F6"/>
    <mergeCell ref="E8:F8"/>
    <mergeCell ref="B10:D10"/>
    <mergeCell ref="E10:F10"/>
    <mergeCell ref="E7:F7"/>
    <mergeCell ref="E12:F12"/>
    <mergeCell ref="E9:F9"/>
  </mergeCells>
  <phoneticPr fontId="20" type="noConversion"/>
  <pageMargins left="0.51181102362204722" right="0.51181102362204722" top="1.7716535433070868" bottom="1.1811023622047245" header="0.51181102362204722" footer="0.51181102362204722"/>
  <pageSetup paperSize="9" fitToHeight="0" orientation="portrait" r:id="rId1"/>
  <headerFooter>
    <oddHeader>&amp;C&amp;G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  <pageSetUpPr fitToPage="1"/>
  </sheetPr>
  <dimension ref="A1:G24"/>
  <sheetViews>
    <sheetView workbookViewId="0">
      <selection sqref="A1:G1"/>
    </sheetView>
  </sheetViews>
  <sheetFormatPr defaultRowHeight="15" x14ac:dyDescent="0.25"/>
  <cols>
    <col min="1" max="1" width="9.140625" style="23"/>
    <col min="2" max="2" width="32.42578125" bestFit="1" customWidth="1"/>
    <col min="3" max="3" width="7.28515625" customWidth="1"/>
    <col min="4" max="4" width="15.28515625" customWidth="1"/>
    <col min="5" max="6" width="14.42578125" bestFit="1" customWidth="1"/>
    <col min="7" max="7" width="14.42578125" customWidth="1"/>
  </cols>
  <sheetData>
    <row r="1" spans="1:7" x14ac:dyDescent="0.25">
      <c r="A1" s="397" t="s">
        <v>185</v>
      </c>
      <c r="B1" s="398"/>
      <c r="C1" s="398"/>
      <c r="D1" s="398"/>
      <c r="E1" s="398"/>
      <c r="F1" s="398"/>
      <c r="G1" s="398"/>
    </row>
    <row r="2" spans="1:7" ht="15" customHeight="1" x14ac:dyDescent="0.25">
      <c r="A2" s="399" t="s">
        <v>386</v>
      </c>
      <c r="B2" s="400"/>
      <c r="C2" s="400"/>
      <c r="D2" s="400"/>
      <c r="E2" s="400"/>
      <c r="F2" s="400"/>
      <c r="G2" s="400"/>
    </row>
    <row r="3" spans="1:7" x14ac:dyDescent="0.25">
      <c r="A3" s="401"/>
      <c r="B3" s="402"/>
      <c r="C3" s="402"/>
      <c r="D3" s="402"/>
      <c r="E3" s="402"/>
      <c r="F3" s="402"/>
      <c r="G3" s="402"/>
    </row>
    <row r="4" spans="1:7" ht="15.75" customHeight="1" x14ac:dyDescent="0.25">
      <c r="A4" s="403" t="s">
        <v>25</v>
      </c>
      <c r="B4" s="403" t="s">
        <v>186</v>
      </c>
      <c r="C4" s="404" t="s">
        <v>190</v>
      </c>
      <c r="D4" s="405" t="s">
        <v>235</v>
      </c>
      <c r="E4" s="406" t="s">
        <v>187</v>
      </c>
      <c r="F4" s="406"/>
      <c r="G4" s="406"/>
    </row>
    <row r="5" spans="1:7" ht="23.25" customHeight="1" x14ac:dyDescent="0.25">
      <c r="A5" s="403"/>
      <c r="B5" s="403"/>
      <c r="C5" s="404"/>
      <c r="D5" s="405"/>
      <c r="E5" s="276">
        <v>30</v>
      </c>
      <c r="F5" s="276">
        <v>60</v>
      </c>
      <c r="G5" s="276">
        <v>90</v>
      </c>
    </row>
    <row r="6" spans="1:7" x14ac:dyDescent="0.25">
      <c r="A6" s="275" t="s">
        <v>30</v>
      </c>
      <c r="B6" s="395" t="s">
        <v>31</v>
      </c>
      <c r="C6" s="396"/>
      <c r="D6" s="396"/>
      <c r="E6" s="396"/>
      <c r="F6" s="396"/>
      <c r="G6" s="396"/>
    </row>
    <row r="7" spans="1:7" x14ac:dyDescent="0.25">
      <c r="A7" s="380" t="s">
        <v>32</v>
      </c>
      <c r="B7" s="382" t="s">
        <v>38</v>
      </c>
      <c r="C7" s="383">
        <f>D7/$D$21</f>
        <v>3.9679726088075505E-3</v>
      </c>
      <c r="D7" s="381">
        <f>'ORÇAMENTO SD'!H11</f>
        <v>3394.2</v>
      </c>
      <c r="E7" s="133">
        <f>D7*E8</f>
        <v>3394.2</v>
      </c>
      <c r="F7" s="134"/>
      <c r="G7" s="134"/>
    </row>
    <row r="8" spans="1:7" x14ac:dyDescent="0.25">
      <c r="A8" s="380"/>
      <c r="B8" s="382"/>
      <c r="C8" s="383"/>
      <c r="D8" s="381"/>
      <c r="E8" s="135">
        <v>1</v>
      </c>
      <c r="F8" s="135"/>
      <c r="G8" s="135"/>
    </row>
    <row r="9" spans="1:7" x14ac:dyDescent="0.25">
      <c r="A9" s="380" t="s">
        <v>172</v>
      </c>
      <c r="B9" s="382" t="s">
        <v>39</v>
      </c>
      <c r="C9" s="383">
        <f>D9/$D$21</f>
        <v>2.4646040932591644E-2</v>
      </c>
      <c r="D9" s="381">
        <f>'ORÇAMENTO SD'!H12</f>
        <v>21082.2</v>
      </c>
      <c r="E9" s="133">
        <f>D9*E10</f>
        <v>7027.4</v>
      </c>
      <c r="F9" s="134">
        <f>F10*D9</f>
        <v>7027.4</v>
      </c>
      <c r="G9" s="134">
        <f>G10*D9</f>
        <v>7027.4</v>
      </c>
    </row>
    <row r="10" spans="1:7" x14ac:dyDescent="0.25">
      <c r="A10" s="380"/>
      <c r="B10" s="382"/>
      <c r="C10" s="383"/>
      <c r="D10" s="381"/>
      <c r="E10" s="135">
        <f>100%/3</f>
        <v>0.33333333333333331</v>
      </c>
      <c r="F10" s="135">
        <f t="shared" ref="F10:G10" si="0">100%/3</f>
        <v>0.33333333333333331</v>
      </c>
      <c r="G10" s="135">
        <f t="shared" si="0"/>
        <v>0.33333333333333331</v>
      </c>
    </row>
    <row r="11" spans="1:7" x14ac:dyDescent="0.25">
      <c r="A11" s="380" t="s">
        <v>361</v>
      </c>
      <c r="B11" s="382" t="s">
        <v>316</v>
      </c>
      <c r="C11" s="383">
        <f>D11/$D$21</f>
        <v>2.7665684220715473E-2</v>
      </c>
      <c r="D11" s="381">
        <f>'ORÇAMENTO SD'!H13</f>
        <v>23665.200000000001</v>
      </c>
      <c r="E11" s="133"/>
      <c r="F11" s="134"/>
      <c r="G11" s="134">
        <f>G12*D11</f>
        <v>23665.200000000001</v>
      </c>
    </row>
    <row r="12" spans="1:7" x14ac:dyDescent="0.25">
      <c r="A12" s="380"/>
      <c r="B12" s="382"/>
      <c r="C12" s="383"/>
      <c r="D12" s="381"/>
      <c r="E12" s="135"/>
      <c r="F12" s="135"/>
      <c r="G12" s="135">
        <v>1</v>
      </c>
    </row>
    <row r="13" spans="1:7" x14ac:dyDescent="0.25">
      <c r="A13" s="31"/>
      <c r="B13" s="136"/>
      <c r="C13" s="137"/>
      <c r="D13" s="33"/>
      <c r="E13" s="138"/>
      <c r="F13" s="138"/>
      <c r="G13" s="138"/>
    </row>
    <row r="14" spans="1:7" x14ac:dyDescent="0.25">
      <c r="A14" s="275" t="s">
        <v>33</v>
      </c>
      <c r="B14" s="395" t="s">
        <v>34</v>
      </c>
      <c r="C14" s="396"/>
      <c r="D14" s="396"/>
      <c r="E14" s="396"/>
      <c r="F14" s="396"/>
      <c r="G14" s="396"/>
    </row>
    <row r="15" spans="1:7" x14ac:dyDescent="0.25">
      <c r="A15" s="380" t="s">
        <v>35</v>
      </c>
      <c r="B15" s="382" t="str">
        <f>'RESUMO SD '!B11</f>
        <v>RUA MAJOR APRÍGIO - LOC. SÃO JOÃO</v>
      </c>
      <c r="C15" s="383">
        <f>D15/$D$21</f>
        <v>0.54894760521419816</v>
      </c>
      <c r="D15" s="381">
        <f>'ORÇAMENTO SD'!H33</f>
        <v>469569.26000000007</v>
      </c>
      <c r="E15" s="133">
        <f>D15*E16</f>
        <v>234784.63000000003</v>
      </c>
      <c r="F15" s="134">
        <f>F16*D15</f>
        <v>234784.63000000003</v>
      </c>
      <c r="G15" s="134"/>
    </row>
    <row r="16" spans="1:7" x14ac:dyDescent="0.25">
      <c r="A16" s="380"/>
      <c r="B16" s="382"/>
      <c r="C16" s="383"/>
      <c r="D16" s="381"/>
      <c r="E16" s="135">
        <v>0.5</v>
      </c>
      <c r="F16" s="135">
        <v>0.5</v>
      </c>
      <c r="G16" s="135"/>
    </row>
    <row r="17" spans="1:7" x14ac:dyDescent="0.25">
      <c r="A17" s="259"/>
      <c r="B17" s="260"/>
      <c r="C17" s="260"/>
      <c r="D17" s="260"/>
      <c r="E17" s="260"/>
      <c r="F17" s="260"/>
      <c r="G17" s="260"/>
    </row>
    <row r="18" spans="1:7" x14ac:dyDescent="0.25">
      <c r="A18" s="380" t="s">
        <v>366</v>
      </c>
      <c r="B18" s="382" t="str">
        <f>'RESUMO SD '!B12</f>
        <v>RUA JOSÉ MIGUEL - LOC. BARREIRO</v>
      </c>
      <c r="C18" s="383">
        <f>D18/$D$21</f>
        <v>0.39477269702368739</v>
      </c>
      <c r="D18" s="381">
        <f>'ORÇAMENTO SD'!H54</f>
        <v>337688.18999999994</v>
      </c>
      <c r="E18" s="134"/>
      <c r="F18" s="134">
        <f>F19*D18</f>
        <v>168844.09499999997</v>
      </c>
      <c r="G18" s="134">
        <f>G19*D18</f>
        <v>168844.09499999997</v>
      </c>
    </row>
    <row r="19" spans="1:7" x14ac:dyDescent="0.25">
      <c r="A19" s="380"/>
      <c r="B19" s="382"/>
      <c r="C19" s="383"/>
      <c r="D19" s="381"/>
      <c r="E19" s="135"/>
      <c r="F19" s="135">
        <v>0.5</v>
      </c>
      <c r="G19" s="135">
        <v>0.5</v>
      </c>
    </row>
    <row r="20" spans="1:7" x14ac:dyDescent="0.25">
      <c r="A20" s="139"/>
      <c r="B20" s="140"/>
      <c r="C20" s="140"/>
      <c r="D20" s="140"/>
      <c r="E20" s="140"/>
      <c r="F20" s="140"/>
      <c r="G20" s="140"/>
    </row>
    <row r="21" spans="1:7" x14ac:dyDescent="0.25">
      <c r="A21" s="384" t="s">
        <v>188</v>
      </c>
      <c r="B21" s="385"/>
      <c r="C21" s="390"/>
      <c r="D21" s="388">
        <f>SUM(D18,D15,D9,D7,D11)</f>
        <v>855399.04999999981</v>
      </c>
      <c r="E21" s="273">
        <f>SUM(E7,E9,E15,E18,E11)</f>
        <v>245206.23000000004</v>
      </c>
      <c r="F21" s="273">
        <f t="shared" ref="F21:G21" si="1">SUM(F7,F9,F15,F18,F11)</f>
        <v>410656.125</v>
      </c>
      <c r="G21" s="273">
        <f t="shared" si="1"/>
        <v>199536.69499999998</v>
      </c>
    </row>
    <row r="22" spans="1:7" x14ac:dyDescent="0.25">
      <c r="A22" s="386"/>
      <c r="B22" s="387"/>
      <c r="C22" s="391"/>
      <c r="D22" s="389"/>
      <c r="E22" s="273">
        <f>E21</f>
        <v>245206.23000000004</v>
      </c>
      <c r="F22" s="273">
        <f>E22+F21</f>
        <v>655862.35499999998</v>
      </c>
      <c r="G22" s="273">
        <f>F22+G21</f>
        <v>855399.04999999993</v>
      </c>
    </row>
    <row r="23" spans="1:7" x14ac:dyDescent="0.25">
      <c r="A23" s="384" t="s">
        <v>189</v>
      </c>
      <c r="B23" s="385"/>
      <c r="C23" s="391"/>
      <c r="D23" s="393">
        <f t="shared" ref="D23:G23" si="2">D21/$D$21</f>
        <v>1</v>
      </c>
      <c r="E23" s="274">
        <f t="shared" si="2"/>
        <v>0.2866571221934372</v>
      </c>
      <c r="F23" s="274">
        <f t="shared" si="2"/>
        <v>0.48007549809647332</v>
      </c>
      <c r="G23" s="274">
        <f t="shared" si="2"/>
        <v>0.23326737971008971</v>
      </c>
    </row>
    <row r="24" spans="1:7" x14ac:dyDescent="0.25">
      <c r="A24" s="386"/>
      <c r="B24" s="387"/>
      <c r="C24" s="392"/>
      <c r="D24" s="394"/>
      <c r="E24" s="274">
        <f>E22/$D$21</f>
        <v>0.2866571221934372</v>
      </c>
      <c r="F24" s="274">
        <f>F22/$D$21</f>
        <v>0.7667326202899104</v>
      </c>
      <c r="G24" s="274">
        <f>G22/$D$21</f>
        <v>1.0000000000000002</v>
      </c>
    </row>
  </sheetData>
  <sheetProtection algorithmName="SHA-512" hashValue="OL2f7VNJtmIThQBRqIl0erE9DvNVQ24bj0MoRpsntRRXbYgmQZay6qzXLFwampxmWWjY+ipA+lI8UwVSpgXJ9g==" saltValue="zUplbojXiKjNdfvKOgVovw==" spinCount="100000" sheet="1" objects="1" scenarios="1" selectLockedCells="1" selectUnlockedCells="1"/>
  <mergeCells count="35">
    <mergeCell ref="D9:D10"/>
    <mergeCell ref="D15:D16"/>
    <mergeCell ref="A11:A12"/>
    <mergeCell ref="B11:B12"/>
    <mergeCell ref="C11:C12"/>
    <mergeCell ref="B15:B16"/>
    <mergeCell ref="C15:C16"/>
    <mergeCell ref="A9:A10"/>
    <mergeCell ref="B9:B10"/>
    <mergeCell ref="C9:C10"/>
    <mergeCell ref="D11:D12"/>
    <mergeCell ref="A15:A16"/>
    <mergeCell ref="B14:G14"/>
    <mergeCell ref="A1:G1"/>
    <mergeCell ref="A2:G2"/>
    <mergeCell ref="A3:G3"/>
    <mergeCell ref="A4:A5"/>
    <mergeCell ref="B4:B5"/>
    <mergeCell ref="C4:C5"/>
    <mergeCell ref="D4:D5"/>
    <mergeCell ref="E4:G4"/>
    <mergeCell ref="B6:G6"/>
    <mergeCell ref="A7:A8"/>
    <mergeCell ref="B7:B8"/>
    <mergeCell ref="C7:C8"/>
    <mergeCell ref="D7:D8"/>
    <mergeCell ref="A18:A19"/>
    <mergeCell ref="D18:D19"/>
    <mergeCell ref="B18:B19"/>
    <mergeCell ref="C18:C19"/>
    <mergeCell ref="A23:B24"/>
    <mergeCell ref="D21:D22"/>
    <mergeCell ref="C21:C24"/>
    <mergeCell ref="D23:D24"/>
    <mergeCell ref="A21:B22"/>
  </mergeCells>
  <conditionalFormatting sqref="E17:G17 E20:G20">
    <cfRule type="expression" dxfId="48" priority="26" stopIfTrue="1">
      <formula>LEN(TRIM(E17))&gt;0</formula>
    </cfRule>
  </conditionalFormatting>
  <pageMargins left="0.51181102362204722" right="0.51181102362204722" top="1.7716535433070868" bottom="1.1811023622047245" header="0.51181102362204722" footer="0.51181102362204722"/>
  <pageSetup paperSize="9" fitToHeight="0" orientation="landscape" r:id="rId1"/>
  <headerFooter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I56"/>
  <sheetViews>
    <sheetView tabSelected="1" workbookViewId="0">
      <selection activeCell="C6" sqref="C6"/>
    </sheetView>
  </sheetViews>
  <sheetFormatPr defaultRowHeight="15" x14ac:dyDescent="0.25"/>
  <cols>
    <col min="1" max="1" width="9.28515625" style="108" bestFit="1" customWidth="1"/>
    <col min="2" max="2" width="17.5703125" style="109" customWidth="1"/>
    <col min="3" max="3" width="44.7109375" style="109" bestFit="1" customWidth="1"/>
    <col min="4" max="4" width="12.5703125" style="109" bestFit="1" customWidth="1"/>
    <col min="5" max="5" width="8.7109375" style="109" bestFit="1" customWidth="1"/>
    <col min="6" max="6" width="12" style="109" bestFit="1" customWidth="1"/>
    <col min="7" max="7" width="16.28515625" style="109" bestFit="1" customWidth="1"/>
    <col min="8" max="8" width="17.28515625" style="108" bestFit="1" customWidth="1"/>
  </cols>
  <sheetData>
    <row r="1" spans="1:8" ht="15" customHeight="1" x14ac:dyDescent="0.25">
      <c r="A1" s="370" t="s">
        <v>163</v>
      </c>
      <c r="B1" s="370"/>
      <c r="C1" s="370"/>
      <c r="D1" s="370"/>
      <c r="E1" s="370"/>
      <c r="F1" s="370"/>
      <c r="G1" s="370"/>
      <c r="H1" s="370"/>
    </row>
    <row r="2" spans="1:8" ht="15" customHeight="1" x14ac:dyDescent="0.25">
      <c r="A2" s="370"/>
      <c r="B2" s="370"/>
      <c r="C2" s="370"/>
      <c r="D2" s="370"/>
      <c r="E2" s="370"/>
      <c r="F2" s="370"/>
      <c r="G2" s="370"/>
      <c r="H2" s="370"/>
    </row>
    <row r="3" spans="1:8" ht="23.25" customHeight="1" x14ac:dyDescent="0.25">
      <c r="A3" s="399" t="str">
        <f>'RESUMO SD '!A2:B2</f>
        <v>OBJETO:  PAVIMENTAÇÃO DE VIAS PÚBLICAS NO MUNÍCIO DE ÁGUA BRANCA-PI</v>
      </c>
      <c r="B3" s="400"/>
      <c r="C3" s="400"/>
      <c r="D3" s="400"/>
      <c r="E3" s="400"/>
      <c r="F3" s="418" t="s">
        <v>363</v>
      </c>
      <c r="G3" s="418" t="str">
        <f>'RESUMO SD '!E2</f>
        <v>SEM DESONERAÇÃO
BDI: 21,96%</v>
      </c>
      <c r="H3" s="420" t="str">
        <f>'RESUMO SD '!F2</f>
        <v>HORISTA: 113,33%
MENSALISTA: 71,12%</v>
      </c>
    </row>
    <row r="4" spans="1:8" ht="15" customHeight="1" x14ac:dyDescent="0.25">
      <c r="A4" s="185" t="s">
        <v>388</v>
      </c>
      <c r="B4" s="117"/>
      <c r="C4" s="117"/>
      <c r="D4" s="410"/>
      <c r="E4" s="410"/>
      <c r="F4" s="419"/>
      <c r="G4" s="419"/>
      <c r="H4" s="421"/>
    </row>
    <row r="5" spans="1:8" x14ac:dyDescent="0.25">
      <c r="A5" s="131"/>
      <c r="B5" s="117"/>
      <c r="C5" s="117"/>
      <c r="D5" s="199"/>
      <c r="E5" s="199"/>
      <c r="F5" s="197"/>
      <c r="G5" s="197"/>
      <c r="H5" s="198"/>
    </row>
    <row r="6" spans="1:8" x14ac:dyDescent="0.25">
      <c r="A6" s="264" t="s">
        <v>164</v>
      </c>
      <c r="B6" s="265" t="str">
        <f>'RESUMO SD '!B11</f>
        <v>RUA MAJOR APRÍGIO - LOC. SÃO JOÃO</v>
      </c>
      <c r="C6" s="266"/>
      <c r="D6" s="263" t="s">
        <v>165</v>
      </c>
      <c r="E6" s="267">
        <v>6</v>
      </c>
      <c r="F6" s="268"/>
      <c r="G6" s="268"/>
      <c r="H6" s="262"/>
    </row>
    <row r="7" spans="1:8" x14ac:dyDescent="0.25">
      <c r="A7" s="132" t="s">
        <v>166</v>
      </c>
      <c r="B7" s="130">
        <f>E7*E6</f>
        <v>3726</v>
      </c>
      <c r="C7" s="120"/>
      <c r="D7" s="121" t="s">
        <v>167</v>
      </c>
      <c r="E7" s="122">
        <v>621</v>
      </c>
      <c r="F7" s="123"/>
      <c r="G7" s="123"/>
      <c r="H7" s="205"/>
    </row>
    <row r="8" spans="1:8" x14ac:dyDescent="0.25">
      <c r="A8" s="366" t="s">
        <v>25</v>
      </c>
      <c r="B8" s="366" t="s">
        <v>92</v>
      </c>
      <c r="C8" s="366" t="s">
        <v>26</v>
      </c>
      <c r="D8" s="366" t="s">
        <v>27</v>
      </c>
      <c r="E8" s="368" t="s">
        <v>28</v>
      </c>
      <c r="F8" s="411" t="s">
        <v>168</v>
      </c>
      <c r="G8" s="412"/>
      <c r="H8" s="413"/>
    </row>
    <row r="9" spans="1:8" x14ac:dyDescent="0.25">
      <c r="A9" s="367"/>
      <c r="B9" s="367"/>
      <c r="C9" s="367"/>
      <c r="D9" s="367"/>
      <c r="E9" s="369"/>
      <c r="F9" s="124" t="s">
        <v>169</v>
      </c>
      <c r="G9" s="124" t="s">
        <v>170</v>
      </c>
      <c r="H9" s="196" t="s">
        <v>171</v>
      </c>
    </row>
    <row r="10" spans="1:8" x14ac:dyDescent="0.25">
      <c r="A10" s="28" t="s">
        <v>30</v>
      </c>
      <c r="B10" s="362" t="s">
        <v>360</v>
      </c>
      <c r="C10" s="363"/>
      <c r="D10" s="363"/>
      <c r="E10" s="363"/>
      <c r="F10" s="363"/>
      <c r="G10" s="417"/>
      <c r="H10" s="125">
        <f>SUM(H11:H13)</f>
        <v>48141.600000000006</v>
      </c>
    </row>
    <row r="11" spans="1:8" x14ac:dyDescent="0.25">
      <c r="A11" s="29" t="s">
        <v>32</v>
      </c>
      <c r="B11" s="111" t="s">
        <v>272</v>
      </c>
      <c r="C11" s="126" t="s">
        <v>38</v>
      </c>
      <c r="D11" s="111" t="s">
        <v>15</v>
      </c>
      <c r="E11" s="127">
        <f>'Memoria de Calculo '!C12</f>
        <v>6</v>
      </c>
      <c r="F11" s="127">
        <f>'COMPOSIÇÕES UNITÁRIAS SD'!G7</f>
        <v>463.84</v>
      </c>
      <c r="G11" s="129">
        <f>ROUND(F11*1.2196,2)</f>
        <v>565.70000000000005</v>
      </c>
      <c r="H11" s="129">
        <f>ROUND(E11*G11,2)</f>
        <v>3394.2</v>
      </c>
    </row>
    <row r="12" spans="1:8" x14ac:dyDescent="0.25">
      <c r="A12" s="29" t="s">
        <v>172</v>
      </c>
      <c r="B12" s="111" t="s">
        <v>273</v>
      </c>
      <c r="C12" s="126" t="s">
        <v>39</v>
      </c>
      <c r="D12" s="111" t="s">
        <v>40</v>
      </c>
      <c r="E12" s="127">
        <f>'Memoria de Calculo '!C16</f>
        <v>3</v>
      </c>
      <c r="F12" s="127">
        <f>'COMPOSIÇÕES UNITÁRIAS SD'!G20</f>
        <v>5762.0499999999993</v>
      </c>
      <c r="G12" s="129">
        <f>ROUND(F12*1.2196,2)</f>
        <v>7027.4</v>
      </c>
      <c r="H12" s="129">
        <f>ROUND(E12*G12,2)</f>
        <v>21082.2</v>
      </c>
    </row>
    <row r="13" spans="1:8" x14ac:dyDescent="0.25">
      <c r="A13" s="29" t="s">
        <v>361</v>
      </c>
      <c r="B13" s="111" t="s">
        <v>362</v>
      </c>
      <c r="C13" s="126" t="s">
        <v>316</v>
      </c>
      <c r="D13" s="111" t="s">
        <v>15</v>
      </c>
      <c r="E13" s="127">
        <f>'Memoria de Calculo '!C19</f>
        <v>6396</v>
      </c>
      <c r="F13" s="127">
        <f>'COMPOSIÇÕES UNITÁRIAS SD'!G91</f>
        <v>3.03</v>
      </c>
      <c r="G13" s="129">
        <f>ROUND(F13*1.2196,2)</f>
        <v>3.7</v>
      </c>
      <c r="H13" s="129">
        <f>ROUND(E13*G13,2)</f>
        <v>23665.200000000001</v>
      </c>
    </row>
    <row r="14" spans="1:8" x14ac:dyDescent="0.25">
      <c r="A14" s="414"/>
      <c r="B14" s="415"/>
      <c r="C14" s="415"/>
      <c r="D14" s="415"/>
      <c r="E14" s="415"/>
      <c r="F14" s="415"/>
      <c r="G14" s="415"/>
      <c r="H14" s="416"/>
    </row>
    <row r="15" spans="1:8" x14ac:dyDescent="0.25">
      <c r="A15" s="28" t="s">
        <v>33</v>
      </c>
      <c r="B15" s="407" t="s">
        <v>173</v>
      </c>
      <c r="C15" s="407"/>
      <c r="D15" s="407"/>
      <c r="E15" s="407"/>
      <c r="F15" s="407"/>
      <c r="G15" s="407"/>
      <c r="H15" s="125">
        <f>H16</f>
        <v>2608.1999999999998</v>
      </c>
    </row>
    <row r="16" spans="1:8" x14ac:dyDescent="0.25">
      <c r="A16" s="29" t="s">
        <v>35</v>
      </c>
      <c r="B16" s="111">
        <v>100575</v>
      </c>
      <c r="C16" s="128" t="s">
        <v>174</v>
      </c>
      <c r="D16" s="30" t="s">
        <v>15</v>
      </c>
      <c r="E16" s="127">
        <f>'Memoria de Calculo '!C45</f>
        <v>3726</v>
      </c>
      <c r="F16" s="127">
        <f>'COMPOSIÇÕES UNITÁRIAS SD'!$G$25</f>
        <v>0.56999999999999995</v>
      </c>
      <c r="G16" s="129">
        <f>ROUND(F16*1.2196,2)</f>
        <v>0.7</v>
      </c>
      <c r="H16" s="129">
        <f>ROUND(E16*G16,2)</f>
        <v>2608.1999999999998</v>
      </c>
    </row>
    <row r="17" spans="1:9" x14ac:dyDescent="0.25">
      <c r="A17" s="380"/>
      <c r="B17" s="380"/>
      <c r="C17" s="380"/>
      <c r="D17" s="380"/>
      <c r="E17" s="380"/>
      <c r="F17" s="380"/>
      <c r="G17" s="380"/>
      <c r="H17" s="380"/>
    </row>
    <row r="18" spans="1:9" x14ac:dyDescent="0.25">
      <c r="A18" s="28" t="s">
        <v>175</v>
      </c>
      <c r="B18" s="407" t="s">
        <v>176</v>
      </c>
      <c r="C18" s="407"/>
      <c r="D18" s="407"/>
      <c r="E18" s="407"/>
      <c r="F18" s="407"/>
      <c r="G18" s="407"/>
      <c r="H18" s="125">
        <f>SUM(H19:H20)</f>
        <v>326136.78000000003</v>
      </c>
    </row>
    <row r="19" spans="1:9" ht="22.5" x14ac:dyDescent="0.25">
      <c r="A19" s="29" t="s">
        <v>177</v>
      </c>
      <c r="B19" s="111" t="s">
        <v>274</v>
      </c>
      <c r="C19" s="128" t="s">
        <v>275</v>
      </c>
      <c r="D19" s="30" t="s">
        <v>15</v>
      </c>
      <c r="E19" s="127">
        <f>'Memoria de Calculo '!C51</f>
        <v>3726</v>
      </c>
      <c r="F19" s="127">
        <f>'COMPOSIÇÕES UNITÁRIAS SD'!$G$38</f>
        <v>70.22</v>
      </c>
      <c r="G19" s="129">
        <f>ROUND(F19*1.2196,2)</f>
        <v>85.64</v>
      </c>
      <c r="H19" s="129">
        <f>ROUND(E19*G19,2)</f>
        <v>319094.64</v>
      </c>
    </row>
    <row r="20" spans="1:9" x14ac:dyDescent="0.25">
      <c r="A20" s="29" t="s">
        <v>378</v>
      </c>
      <c r="B20" s="111" t="s">
        <v>379</v>
      </c>
      <c r="C20" s="128" t="s">
        <v>380</v>
      </c>
      <c r="D20" s="30" t="s">
        <v>15</v>
      </c>
      <c r="E20" s="127">
        <f>'Memoria de Calculo '!C56</f>
        <v>3726</v>
      </c>
      <c r="F20" s="127">
        <f>'COMPOSIÇÕES UNITÁRIAS SD'!$G$50</f>
        <v>1.55</v>
      </c>
      <c r="G20" s="129">
        <f>ROUND(F20*1.2196,2)</f>
        <v>1.89</v>
      </c>
      <c r="H20" s="129">
        <f>ROUND(E20*G20,2)</f>
        <v>7042.14</v>
      </c>
    </row>
    <row r="21" spans="1:9" x14ac:dyDescent="0.25">
      <c r="A21" s="380"/>
      <c r="B21" s="380"/>
      <c r="C21" s="380"/>
      <c r="D21" s="380"/>
      <c r="E21" s="380"/>
      <c r="F21" s="380"/>
      <c r="G21" s="380"/>
      <c r="H21" s="380"/>
    </row>
    <row r="22" spans="1:9" x14ac:dyDescent="0.25">
      <c r="A22" s="28" t="s">
        <v>178</v>
      </c>
      <c r="B22" s="407" t="s">
        <v>179</v>
      </c>
      <c r="C22" s="407"/>
      <c r="D22" s="407"/>
      <c r="E22" s="407"/>
      <c r="F22" s="407"/>
      <c r="G22" s="407"/>
      <c r="H22" s="125">
        <f>SUM(H23:H24)</f>
        <v>97185.24</v>
      </c>
    </row>
    <row r="23" spans="1:9" ht="33.75" x14ac:dyDescent="0.25">
      <c r="A23" s="29" t="s">
        <v>180</v>
      </c>
      <c r="B23" s="111">
        <v>94273</v>
      </c>
      <c r="C23" s="128" t="s">
        <v>181</v>
      </c>
      <c r="D23" s="30" t="s">
        <v>182</v>
      </c>
      <c r="E23" s="127">
        <f>'Memoria de Calculo '!C63</f>
        <v>1254</v>
      </c>
      <c r="F23" s="127">
        <f>'COMPOSIÇÕES UNITÁRIAS SD'!$G$55</f>
        <v>41.5</v>
      </c>
      <c r="G23" s="129">
        <f>ROUND(F23*1.2196,2)</f>
        <v>50.61</v>
      </c>
      <c r="H23" s="129">
        <f>ROUND(E23*G23,2)</f>
        <v>63464.94</v>
      </c>
      <c r="I23" s="330"/>
    </row>
    <row r="24" spans="1:9" ht="22.5" x14ac:dyDescent="0.25">
      <c r="A24" s="29" t="s">
        <v>183</v>
      </c>
      <c r="B24" s="111" t="s">
        <v>279</v>
      </c>
      <c r="C24" s="128" t="s">
        <v>280</v>
      </c>
      <c r="D24" s="30" t="s">
        <v>182</v>
      </c>
      <c r="E24" s="127">
        <f>'Memoria de Calculo '!C68</f>
        <v>1242</v>
      </c>
      <c r="F24" s="127">
        <f>'COMPOSIÇÕES UNITÁRIAS SD'!$G$63</f>
        <v>22.259999999999998</v>
      </c>
      <c r="G24" s="129">
        <f>ROUND(F24*1.2196,2)</f>
        <v>27.15</v>
      </c>
      <c r="H24" s="129">
        <f>ROUND(E24*G24,2)</f>
        <v>33720.300000000003</v>
      </c>
      <c r="I24" s="330"/>
    </row>
    <row r="25" spans="1:9" x14ac:dyDescent="0.25">
      <c r="A25" s="380"/>
      <c r="B25" s="380"/>
      <c r="C25" s="380"/>
      <c r="D25" s="380"/>
      <c r="E25" s="380"/>
      <c r="F25" s="380"/>
      <c r="G25" s="380"/>
      <c r="H25" s="380"/>
      <c r="I25" s="330"/>
    </row>
    <row r="26" spans="1:9" x14ac:dyDescent="0.25">
      <c r="A26" s="28" t="s">
        <v>239</v>
      </c>
      <c r="B26" s="407" t="s">
        <v>237</v>
      </c>
      <c r="C26" s="407"/>
      <c r="D26" s="407"/>
      <c r="E26" s="407"/>
      <c r="F26" s="407"/>
      <c r="G26" s="407"/>
      <c r="H26" s="125">
        <f>SUM(H27:H28)</f>
        <v>43182.400000000001</v>
      </c>
      <c r="I26" s="330"/>
    </row>
    <row r="27" spans="1:9" ht="33.75" x14ac:dyDescent="0.25">
      <c r="A27" s="29" t="s">
        <v>240</v>
      </c>
      <c r="B27" s="111">
        <v>95878</v>
      </c>
      <c r="C27" s="128" t="s">
        <v>298</v>
      </c>
      <c r="D27" s="30" t="s">
        <v>238</v>
      </c>
      <c r="E27" s="127">
        <f>'Memoria de Calculo '!C77</f>
        <v>17746.189999999999</v>
      </c>
      <c r="F27" s="127">
        <f>'COMPOSIÇÕES UNITÁRIAS SD'!$G$81</f>
        <v>1.69</v>
      </c>
      <c r="G27" s="129">
        <f>ROUND(F27*1.2196,2)</f>
        <v>2.06</v>
      </c>
      <c r="H27" s="129">
        <f>ROUND(E27*G27,2)</f>
        <v>36557.15</v>
      </c>
      <c r="I27" s="330"/>
    </row>
    <row r="28" spans="1:9" ht="33.75" x14ac:dyDescent="0.25">
      <c r="A28" s="29" t="s">
        <v>297</v>
      </c>
      <c r="B28" s="111">
        <v>93596</v>
      </c>
      <c r="C28" s="128" t="s">
        <v>299</v>
      </c>
      <c r="D28" s="30" t="s">
        <v>238</v>
      </c>
      <c r="E28" s="127">
        <f>'Memoria de Calculo '!C85</f>
        <v>8281.56</v>
      </c>
      <c r="F28" s="127">
        <f>'COMPOSIÇÕES UNITÁRIAS SD'!$G$86</f>
        <v>0.66</v>
      </c>
      <c r="G28" s="129">
        <f>ROUND(F28*1.2196,2)</f>
        <v>0.8</v>
      </c>
      <c r="H28" s="129">
        <f>ROUND(E28*G28,2)</f>
        <v>6625.25</v>
      </c>
      <c r="I28" s="330"/>
    </row>
    <row r="29" spans="1:9" x14ac:dyDescent="0.25">
      <c r="A29" s="380"/>
      <c r="B29" s="380"/>
      <c r="C29" s="380"/>
      <c r="D29" s="380"/>
      <c r="E29" s="380"/>
      <c r="F29" s="380"/>
      <c r="G29" s="380"/>
      <c r="H29" s="380"/>
      <c r="I29" s="330"/>
    </row>
    <row r="30" spans="1:9" x14ac:dyDescent="0.25">
      <c r="A30" s="28" t="s">
        <v>276</v>
      </c>
      <c r="B30" s="407" t="s">
        <v>277</v>
      </c>
      <c r="C30" s="407"/>
      <c r="D30" s="407"/>
      <c r="E30" s="407"/>
      <c r="F30" s="407"/>
      <c r="G30" s="407"/>
      <c r="H30" s="125">
        <f>SUM(H31:H31)</f>
        <v>456.64</v>
      </c>
      <c r="I30" s="330"/>
    </row>
    <row r="31" spans="1:9" ht="22.5" x14ac:dyDescent="0.25">
      <c r="A31" s="29" t="s">
        <v>278</v>
      </c>
      <c r="B31" s="111" t="s">
        <v>293</v>
      </c>
      <c r="C31" s="128" t="s">
        <v>354</v>
      </c>
      <c r="D31" s="30" t="s">
        <v>295</v>
      </c>
      <c r="E31" s="127">
        <f>'Memoria de Calculo '!C90</f>
        <v>1</v>
      </c>
      <c r="F31" s="127">
        <f>'COMPOSIÇÕES UNITÁRIAS SD'!$G$72</f>
        <v>374.42</v>
      </c>
      <c r="G31" s="129">
        <f>ROUND(F31*1.2196,2)</f>
        <v>456.64</v>
      </c>
      <c r="H31" s="129">
        <f>ROUND(E31*G31,2)</f>
        <v>456.64</v>
      </c>
      <c r="I31" s="330"/>
    </row>
    <row r="32" spans="1:9" x14ac:dyDescent="0.25">
      <c r="A32" s="380"/>
      <c r="B32" s="380"/>
      <c r="C32" s="380"/>
      <c r="D32" s="380"/>
      <c r="E32" s="380"/>
      <c r="F32" s="380"/>
      <c r="G32" s="380"/>
      <c r="H32" s="380"/>
    </row>
    <row r="33" spans="1:8" x14ac:dyDescent="0.25">
      <c r="A33" s="408" t="s">
        <v>236</v>
      </c>
      <c r="B33" s="408"/>
      <c r="C33" s="408"/>
      <c r="D33" s="408"/>
      <c r="E33" s="408"/>
      <c r="F33" s="408"/>
      <c r="G33" s="408"/>
      <c r="H33" s="204">
        <f>SUM(H30,H26,H22,H18,H15)</f>
        <v>469569.26000000007</v>
      </c>
    </row>
    <row r="35" spans="1:8" x14ac:dyDescent="0.25">
      <c r="A35" s="264" t="s">
        <v>164</v>
      </c>
      <c r="B35" s="265" t="str">
        <f>'RESUMO SD '!B12</f>
        <v>RUA JOSÉ MIGUEL - LOC. BARREIRO</v>
      </c>
      <c r="C35" s="266"/>
      <c r="D35" s="263" t="s">
        <v>165</v>
      </c>
      <c r="E35" s="267">
        <v>6</v>
      </c>
      <c r="F35" s="268"/>
      <c r="G35" s="268"/>
      <c r="H35" s="262"/>
    </row>
    <row r="36" spans="1:8" x14ac:dyDescent="0.25">
      <c r="A36" s="132" t="s">
        <v>166</v>
      </c>
      <c r="B36" s="130">
        <f>E36*E35</f>
        <v>2670</v>
      </c>
      <c r="C36" s="120"/>
      <c r="D36" s="121" t="s">
        <v>167</v>
      </c>
      <c r="E36" s="122">
        <v>445</v>
      </c>
      <c r="F36" s="123"/>
      <c r="G36" s="123"/>
      <c r="H36" s="205"/>
    </row>
    <row r="37" spans="1:8" x14ac:dyDescent="0.25">
      <c r="A37" s="366" t="s">
        <v>25</v>
      </c>
      <c r="B37" s="366" t="s">
        <v>92</v>
      </c>
      <c r="C37" s="366" t="s">
        <v>26</v>
      </c>
      <c r="D37" s="366" t="s">
        <v>27</v>
      </c>
      <c r="E37" s="368" t="s">
        <v>28</v>
      </c>
      <c r="F37" s="411" t="s">
        <v>168</v>
      </c>
      <c r="G37" s="412"/>
      <c r="H37" s="413"/>
    </row>
    <row r="38" spans="1:8" x14ac:dyDescent="0.25">
      <c r="A38" s="367"/>
      <c r="B38" s="367"/>
      <c r="C38" s="367"/>
      <c r="D38" s="367"/>
      <c r="E38" s="369"/>
      <c r="F38" s="124" t="s">
        <v>169</v>
      </c>
      <c r="G38" s="124" t="s">
        <v>170</v>
      </c>
      <c r="H38" s="196" t="s">
        <v>171</v>
      </c>
    </row>
    <row r="39" spans="1:8" x14ac:dyDescent="0.25">
      <c r="A39" s="28" t="s">
        <v>33</v>
      </c>
      <c r="B39" s="407" t="s">
        <v>173</v>
      </c>
      <c r="C39" s="407"/>
      <c r="D39" s="407"/>
      <c r="E39" s="407"/>
      <c r="F39" s="407"/>
      <c r="G39" s="407"/>
      <c r="H39" s="125">
        <f>H40</f>
        <v>1869</v>
      </c>
    </row>
    <row r="40" spans="1:8" x14ac:dyDescent="0.25">
      <c r="A40" s="29" t="s">
        <v>35</v>
      </c>
      <c r="B40" s="111">
        <v>100575</v>
      </c>
      <c r="C40" s="128" t="s">
        <v>174</v>
      </c>
      <c r="D40" s="30" t="s">
        <v>15</v>
      </c>
      <c r="E40" s="127">
        <f>'Memoria de Calculo '!C116</f>
        <v>2670</v>
      </c>
      <c r="F40" s="127">
        <f>'COMPOSIÇÕES UNITÁRIAS SD'!$G$25</f>
        <v>0.56999999999999995</v>
      </c>
      <c r="G40" s="129">
        <f>ROUND(F40*1.2196,2)</f>
        <v>0.7</v>
      </c>
      <c r="H40" s="129">
        <f>ROUND(E40*G40,2)</f>
        <v>1869</v>
      </c>
    </row>
    <row r="41" spans="1:8" x14ac:dyDescent="0.25">
      <c r="A41" s="380"/>
      <c r="B41" s="380"/>
      <c r="C41" s="380"/>
      <c r="D41" s="380"/>
      <c r="E41" s="380"/>
      <c r="F41" s="380"/>
      <c r="G41" s="380"/>
      <c r="H41" s="380"/>
    </row>
    <row r="42" spans="1:8" x14ac:dyDescent="0.25">
      <c r="A42" s="28" t="s">
        <v>175</v>
      </c>
      <c r="B42" s="407" t="s">
        <v>176</v>
      </c>
      <c r="C42" s="407"/>
      <c r="D42" s="407"/>
      <c r="E42" s="407"/>
      <c r="F42" s="407"/>
      <c r="G42" s="407"/>
      <c r="H42" s="125">
        <f>SUM(H43:H44)</f>
        <v>233705.09999999998</v>
      </c>
    </row>
    <row r="43" spans="1:8" ht="22.5" x14ac:dyDescent="0.25">
      <c r="A43" s="29" t="s">
        <v>177</v>
      </c>
      <c r="B43" s="111" t="s">
        <v>274</v>
      </c>
      <c r="C43" s="128" t="s">
        <v>275</v>
      </c>
      <c r="D43" s="30" t="s">
        <v>15</v>
      </c>
      <c r="E43" s="127">
        <f>'Memoria de Calculo '!C122</f>
        <v>2670</v>
      </c>
      <c r="F43" s="127">
        <f>'COMPOSIÇÕES UNITÁRIAS SD'!$G$38</f>
        <v>70.22</v>
      </c>
      <c r="G43" s="129">
        <f>ROUND(F43*1.2196,2)</f>
        <v>85.64</v>
      </c>
      <c r="H43" s="129">
        <f>ROUND(E43*G43,2)</f>
        <v>228658.8</v>
      </c>
    </row>
    <row r="44" spans="1:8" x14ac:dyDescent="0.25">
      <c r="A44" s="29" t="s">
        <v>378</v>
      </c>
      <c r="B44" s="111" t="s">
        <v>379</v>
      </c>
      <c r="C44" s="128" t="s">
        <v>380</v>
      </c>
      <c r="D44" s="30" t="s">
        <v>15</v>
      </c>
      <c r="E44" s="127">
        <f>'Memoria de Calculo '!C127</f>
        <v>2670</v>
      </c>
      <c r="F44" s="127">
        <f>'COMPOSIÇÕES UNITÁRIAS SD'!$G$50</f>
        <v>1.55</v>
      </c>
      <c r="G44" s="129">
        <f>ROUND(F44*1.2196,2)</f>
        <v>1.89</v>
      </c>
      <c r="H44" s="129">
        <f>ROUND(E44*G44,2)</f>
        <v>5046.3</v>
      </c>
    </row>
    <row r="45" spans="1:8" x14ac:dyDescent="0.25">
      <c r="A45" s="380"/>
      <c r="B45" s="380"/>
      <c r="C45" s="380"/>
      <c r="D45" s="380"/>
      <c r="E45" s="380"/>
      <c r="F45" s="380"/>
      <c r="G45" s="380"/>
      <c r="H45" s="380"/>
    </row>
    <row r="46" spans="1:8" x14ac:dyDescent="0.25">
      <c r="A46" s="28" t="s">
        <v>178</v>
      </c>
      <c r="B46" s="407" t="s">
        <v>179</v>
      </c>
      <c r="C46" s="407"/>
      <c r="D46" s="407"/>
      <c r="E46" s="407"/>
      <c r="F46" s="407"/>
      <c r="G46" s="407"/>
      <c r="H46" s="125">
        <f>SUM(H47:H48)</f>
        <v>69813.72</v>
      </c>
    </row>
    <row r="47" spans="1:8" ht="33.75" x14ac:dyDescent="0.25">
      <c r="A47" s="29" t="s">
        <v>180</v>
      </c>
      <c r="B47" s="111">
        <v>94273</v>
      </c>
      <c r="C47" s="128" t="s">
        <v>181</v>
      </c>
      <c r="D47" s="30" t="s">
        <v>182</v>
      </c>
      <c r="E47" s="127">
        <f>'Memoria de Calculo '!C134</f>
        <v>902</v>
      </c>
      <c r="F47" s="127">
        <f>'COMPOSIÇÕES UNITÁRIAS SD'!$G$55</f>
        <v>41.5</v>
      </c>
      <c r="G47" s="129">
        <f>ROUND(F47*1.2196,2)</f>
        <v>50.61</v>
      </c>
      <c r="H47" s="129">
        <f>ROUND(E47*G47,2)</f>
        <v>45650.22</v>
      </c>
    </row>
    <row r="48" spans="1:8" ht="22.5" x14ac:dyDescent="0.25">
      <c r="A48" s="29" t="s">
        <v>183</v>
      </c>
      <c r="B48" s="111" t="s">
        <v>279</v>
      </c>
      <c r="C48" s="128" t="s">
        <v>280</v>
      </c>
      <c r="D48" s="30" t="s">
        <v>182</v>
      </c>
      <c r="E48" s="127">
        <f>'Memoria de Calculo '!C139</f>
        <v>890</v>
      </c>
      <c r="F48" s="127">
        <f>'COMPOSIÇÕES UNITÁRIAS SD'!$G$63</f>
        <v>22.259999999999998</v>
      </c>
      <c r="G48" s="129">
        <f>ROUND(F48*1.2196,2)</f>
        <v>27.15</v>
      </c>
      <c r="H48" s="129">
        <f>ROUND(E48*G48,2)</f>
        <v>24163.5</v>
      </c>
    </row>
    <row r="49" spans="1:8" x14ac:dyDescent="0.25">
      <c r="A49" s="380"/>
      <c r="B49" s="380"/>
      <c r="C49" s="380"/>
      <c r="D49" s="380"/>
      <c r="E49" s="380"/>
      <c r="F49" s="380"/>
      <c r="G49" s="380"/>
      <c r="H49" s="380"/>
    </row>
    <row r="50" spans="1:8" x14ac:dyDescent="0.25">
      <c r="A50" s="28" t="s">
        <v>239</v>
      </c>
      <c r="B50" s="407" t="s">
        <v>237</v>
      </c>
      <c r="C50" s="407"/>
      <c r="D50" s="407"/>
      <c r="E50" s="407"/>
      <c r="F50" s="407"/>
      <c r="G50" s="407"/>
      <c r="H50" s="125">
        <f>SUM(H51:H52)</f>
        <v>32300.370000000003</v>
      </c>
    </row>
    <row r="51" spans="1:8" ht="33.75" x14ac:dyDescent="0.25">
      <c r="A51" s="29" t="s">
        <v>240</v>
      </c>
      <c r="B51" s="111">
        <v>95878</v>
      </c>
      <c r="C51" s="128" t="s">
        <v>298</v>
      </c>
      <c r="D51" s="30" t="s">
        <v>238</v>
      </c>
      <c r="E51" s="127">
        <f>'Memoria de Calculo '!C148</f>
        <v>12716.68</v>
      </c>
      <c r="F51" s="127">
        <f>'COMPOSIÇÕES UNITÁRIAS SD'!$G$81</f>
        <v>1.69</v>
      </c>
      <c r="G51" s="129">
        <f>ROUND(F51*1.2196,2)</f>
        <v>2.06</v>
      </c>
      <c r="H51" s="129">
        <f>ROUND(E51*G51,2)</f>
        <v>26196.36</v>
      </c>
    </row>
    <row r="52" spans="1:8" ht="33.75" x14ac:dyDescent="0.25">
      <c r="A52" s="29" t="s">
        <v>297</v>
      </c>
      <c r="B52" s="111">
        <v>93596</v>
      </c>
      <c r="C52" s="128" t="s">
        <v>299</v>
      </c>
      <c r="D52" s="30" t="s">
        <v>238</v>
      </c>
      <c r="E52" s="127">
        <f>'Memoria de Calculo '!C156</f>
        <v>7630.01</v>
      </c>
      <c r="F52" s="127">
        <f>'COMPOSIÇÕES UNITÁRIAS SD'!$G$86</f>
        <v>0.66</v>
      </c>
      <c r="G52" s="129">
        <f>ROUND(F52*1.2196,2)</f>
        <v>0.8</v>
      </c>
      <c r="H52" s="129">
        <f>ROUND(E52*G52,2)</f>
        <v>6104.01</v>
      </c>
    </row>
    <row r="53" spans="1:8" x14ac:dyDescent="0.25">
      <c r="A53" s="380"/>
      <c r="B53" s="380"/>
      <c r="C53" s="380"/>
      <c r="D53" s="380"/>
      <c r="E53" s="380"/>
      <c r="F53" s="380"/>
      <c r="G53" s="380"/>
      <c r="H53" s="380"/>
    </row>
    <row r="54" spans="1:8" x14ac:dyDescent="0.25">
      <c r="A54" s="408" t="s">
        <v>236</v>
      </c>
      <c r="B54" s="408"/>
      <c r="C54" s="408"/>
      <c r="D54" s="408"/>
      <c r="E54" s="408"/>
      <c r="F54" s="408"/>
      <c r="G54" s="408"/>
      <c r="H54" s="204">
        <f>SUM(,H50,H46,H42,H39)</f>
        <v>337688.18999999994</v>
      </c>
    </row>
    <row r="56" spans="1:8" x14ac:dyDescent="0.25">
      <c r="A56" s="409" t="s">
        <v>344</v>
      </c>
      <c r="B56" s="409"/>
      <c r="C56" s="409"/>
      <c r="D56" s="409"/>
      <c r="E56" s="409"/>
      <c r="F56" s="409"/>
      <c r="G56" s="409"/>
      <c r="H56" s="269">
        <f>SUM(H54,H33,H10)</f>
        <v>855399.04999999993</v>
      </c>
    </row>
  </sheetData>
  <sheetProtection algorithmName="SHA-512" hashValue="8kxjRXGGOFLtm/ttPNkX94BRtnR2WnRYjviUS83GXU5nLc7rxr2HChrFRd4he+gC+T2iAD0amyykzpfmD4TLGw==" saltValue="ZP7O2ttobgbV17guXLU3wA==" spinCount="100000" sheet="1" objects="1" scenarios="1" selectLockedCells="1" selectUnlockedCells="1"/>
  <mergeCells count="41">
    <mergeCell ref="A1:H2"/>
    <mergeCell ref="A14:H14"/>
    <mergeCell ref="B15:G15"/>
    <mergeCell ref="A17:H17"/>
    <mergeCell ref="B18:G18"/>
    <mergeCell ref="F8:H8"/>
    <mergeCell ref="B10:G10"/>
    <mergeCell ref="A8:A9"/>
    <mergeCell ref="B8:B9"/>
    <mergeCell ref="C8:C9"/>
    <mergeCell ref="D8:D9"/>
    <mergeCell ref="E8:E9"/>
    <mergeCell ref="A3:E3"/>
    <mergeCell ref="F3:F4"/>
    <mergeCell ref="G3:G4"/>
    <mergeCell ref="H3:H4"/>
    <mergeCell ref="D4:E4"/>
    <mergeCell ref="A21:H21"/>
    <mergeCell ref="A37:A38"/>
    <mergeCell ref="B37:B38"/>
    <mergeCell ref="C37:C38"/>
    <mergeCell ref="D37:D38"/>
    <mergeCell ref="E37:E38"/>
    <mergeCell ref="F37:H37"/>
    <mergeCell ref="B22:G22"/>
    <mergeCell ref="A29:H29"/>
    <mergeCell ref="A25:H25"/>
    <mergeCell ref="B26:G26"/>
    <mergeCell ref="A33:G33"/>
    <mergeCell ref="B30:G30"/>
    <mergeCell ref="A32:H32"/>
    <mergeCell ref="A54:G54"/>
    <mergeCell ref="A56:G56"/>
    <mergeCell ref="A49:H49"/>
    <mergeCell ref="B50:G50"/>
    <mergeCell ref="A53:H53"/>
    <mergeCell ref="B39:G39"/>
    <mergeCell ref="A41:H41"/>
    <mergeCell ref="B42:G42"/>
    <mergeCell ref="A45:H45"/>
    <mergeCell ref="B46:G46"/>
  </mergeCells>
  <phoneticPr fontId="20" type="noConversion"/>
  <pageMargins left="0.51181102362204722" right="0.51181102362204722" top="1.7716535433070868" bottom="1.5748031496062993" header="0.51181102362204722" footer="0.51181102362204722"/>
  <pageSetup paperSize="9" scale="66" fitToHeight="0" orientation="portrait" r:id="rId1"/>
  <headerFooter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  <pageSetUpPr fitToPage="1"/>
  </sheetPr>
  <dimension ref="A1:J92"/>
  <sheetViews>
    <sheetView topLeftCell="A69" workbookViewId="0">
      <selection sqref="A1:G2"/>
    </sheetView>
  </sheetViews>
  <sheetFormatPr defaultRowHeight="15" x14ac:dyDescent="0.25"/>
  <cols>
    <col min="1" max="1" width="10.7109375" style="23" customWidth="1"/>
    <col min="2" max="2" width="13.140625" style="23" bestFit="1" customWidth="1"/>
    <col min="3" max="3" width="46.140625" customWidth="1"/>
    <col min="4" max="4" width="12" bestFit="1" customWidth="1"/>
    <col min="5" max="5" width="10" bestFit="1" customWidth="1"/>
    <col min="6" max="6" width="18.5703125" customWidth="1"/>
    <col min="7" max="7" width="19.28515625" customWidth="1"/>
    <col min="8" max="8" width="17.28515625" bestFit="1" customWidth="1"/>
    <col min="9" max="9" width="0" hidden="1" customWidth="1"/>
  </cols>
  <sheetData>
    <row r="1" spans="1:8" x14ac:dyDescent="0.25">
      <c r="A1" s="439" t="s">
        <v>192</v>
      </c>
      <c r="B1" s="440"/>
      <c r="C1" s="440"/>
      <c r="D1" s="440"/>
      <c r="E1" s="440"/>
      <c r="F1" s="440"/>
      <c r="G1" s="441"/>
    </row>
    <row r="2" spans="1:8" x14ac:dyDescent="0.25">
      <c r="A2" s="442"/>
      <c r="B2" s="443"/>
      <c r="C2" s="443"/>
      <c r="D2" s="443"/>
      <c r="E2" s="443"/>
      <c r="F2" s="443"/>
      <c r="G2" s="444"/>
    </row>
    <row r="3" spans="1:8" x14ac:dyDescent="0.25">
      <c r="A3" s="399" t="str">
        <f>'ORÇAMENTO SD'!A3:E3</f>
        <v>OBJETO:  PAVIMENTAÇÃO DE VIAS PÚBLICAS NO MUNÍCIO DE ÁGUA BRANCA-PI</v>
      </c>
      <c r="B3" s="400"/>
      <c r="C3" s="400"/>
      <c r="D3" s="119" t="s">
        <v>193</v>
      </c>
      <c r="E3" s="141">
        <v>0.21959999999999999</v>
      </c>
      <c r="F3" s="419" t="str">
        <f>'ORÇAMENTO SD'!F3:F4</f>
        <v>FONTE:  
SINAPI 04/2025</v>
      </c>
      <c r="G3" s="421" t="str">
        <f>'ORÇAMENTO SD'!H3:H4</f>
        <v>HORISTA: 113,33%
MENSALISTA: 71,12%</v>
      </c>
    </row>
    <row r="4" spans="1:8" ht="25.5" customHeight="1" x14ac:dyDescent="0.25">
      <c r="A4" s="142" t="str">
        <f>'ORÇAMENTO SD'!A4</f>
        <v>LOCAL: SÃO JOÃO E BARREIRO</v>
      </c>
      <c r="B4" s="143"/>
      <c r="C4" s="143"/>
      <c r="D4" s="447" t="s">
        <v>9</v>
      </c>
      <c r="E4" s="447"/>
      <c r="F4" s="445"/>
      <c r="G4" s="446"/>
    </row>
    <row r="5" spans="1:8" x14ac:dyDescent="0.25">
      <c r="A5" s="414"/>
      <c r="B5" s="415"/>
      <c r="C5" s="415"/>
      <c r="D5" s="415"/>
      <c r="E5" s="415"/>
      <c r="F5" s="415"/>
      <c r="G5" s="416"/>
    </row>
    <row r="6" spans="1:8" x14ac:dyDescent="0.25">
      <c r="A6" s="293" t="s">
        <v>195</v>
      </c>
      <c r="B6" s="294" t="s">
        <v>250</v>
      </c>
      <c r="C6" s="294" t="s">
        <v>196</v>
      </c>
      <c r="D6" s="295" t="s">
        <v>251</v>
      </c>
      <c r="E6" s="293" t="s">
        <v>252</v>
      </c>
      <c r="F6" s="293" t="s">
        <v>253</v>
      </c>
      <c r="G6" s="293" t="s">
        <v>118</v>
      </c>
    </row>
    <row r="7" spans="1:8" s="157" customFormat="1" ht="22.5" x14ac:dyDescent="0.25">
      <c r="A7" s="296" t="s">
        <v>282</v>
      </c>
      <c r="B7" s="297" t="s">
        <v>200</v>
      </c>
      <c r="C7" s="297" t="s">
        <v>302</v>
      </c>
      <c r="D7" s="298" t="s">
        <v>15</v>
      </c>
      <c r="E7" s="299">
        <v>1</v>
      </c>
      <c r="F7" s="300">
        <v>463.84</v>
      </c>
      <c r="G7" s="300">
        <v>463.84</v>
      </c>
      <c r="H7"/>
    </row>
    <row r="8" spans="1:8" x14ac:dyDescent="0.25">
      <c r="A8" s="200" t="s">
        <v>283</v>
      </c>
      <c r="B8" s="201" t="s">
        <v>200</v>
      </c>
      <c r="C8" s="201" t="s">
        <v>303</v>
      </c>
      <c r="D8" s="202" t="s">
        <v>15</v>
      </c>
      <c r="E8" s="203">
        <v>0.5</v>
      </c>
      <c r="F8" s="207">
        <v>24.91</v>
      </c>
      <c r="G8" s="207">
        <v>12.45</v>
      </c>
    </row>
    <row r="9" spans="1:8" x14ac:dyDescent="0.25">
      <c r="A9" s="200" t="s">
        <v>201</v>
      </c>
      <c r="B9" s="201" t="s">
        <v>200</v>
      </c>
      <c r="C9" s="201" t="s">
        <v>304</v>
      </c>
      <c r="D9" s="202" t="s">
        <v>202</v>
      </c>
      <c r="E9" s="203">
        <v>0.37290000000000001</v>
      </c>
      <c r="F9" s="207">
        <v>26.97</v>
      </c>
      <c r="G9" s="207">
        <v>10.050000000000001</v>
      </c>
    </row>
    <row r="10" spans="1:8" x14ac:dyDescent="0.25">
      <c r="A10" s="200" t="s">
        <v>203</v>
      </c>
      <c r="B10" s="201" t="s">
        <v>200</v>
      </c>
      <c r="C10" s="201" t="s">
        <v>215</v>
      </c>
      <c r="D10" s="202" t="s">
        <v>202</v>
      </c>
      <c r="E10" s="203">
        <v>1.1186</v>
      </c>
      <c r="F10" s="207">
        <v>21.71</v>
      </c>
      <c r="G10" s="207">
        <v>24.28</v>
      </c>
    </row>
    <row r="11" spans="1:8" ht="22.5" x14ac:dyDescent="0.25">
      <c r="A11" s="200" t="s">
        <v>284</v>
      </c>
      <c r="B11" s="201" t="s">
        <v>200</v>
      </c>
      <c r="C11" s="201" t="s">
        <v>305</v>
      </c>
      <c r="D11" s="202" t="s">
        <v>205</v>
      </c>
      <c r="E11" s="203">
        <v>3.2082999999999999</v>
      </c>
      <c r="F11" s="207">
        <v>5.0999999999999996</v>
      </c>
      <c r="G11" s="207">
        <v>16.36</v>
      </c>
    </row>
    <row r="12" spans="1:8" ht="22.5" x14ac:dyDescent="0.25">
      <c r="A12" s="200" t="s">
        <v>206</v>
      </c>
      <c r="B12" s="201" t="s">
        <v>200</v>
      </c>
      <c r="C12" s="201" t="s">
        <v>306</v>
      </c>
      <c r="D12" s="202" t="s">
        <v>15</v>
      </c>
      <c r="E12" s="203">
        <v>1</v>
      </c>
      <c r="F12" s="207">
        <v>400</v>
      </c>
      <c r="G12" s="207">
        <v>400</v>
      </c>
    </row>
    <row r="13" spans="1:8" x14ac:dyDescent="0.25">
      <c r="A13" s="200" t="s">
        <v>285</v>
      </c>
      <c r="B13" s="201" t="s">
        <v>200</v>
      </c>
      <c r="C13" s="201" t="s">
        <v>307</v>
      </c>
      <c r="D13" s="202" t="s">
        <v>207</v>
      </c>
      <c r="E13" s="203">
        <v>1.1299999999999999E-2</v>
      </c>
      <c r="F13" s="207">
        <v>38.700000000000003</v>
      </c>
      <c r="G13" s="207">
        <v>0.43</v>
      </c>
    </row>
    <row r="14" spans="1:8" x14ac:dyDescent="0.25">
      <c r="A14" s="200" t="s">
        <v>286</v>
      </c>
      <c r="B14" s="201" t="s">
        <v>200</v>
      </c>
      <c r="C14" s="201" t="s">
        <v>308</v>
      </c>
      <c r="D14" s="202" t="s">
        <v>207</v>
      </c>
      <c r="E14" s="203">
        <v>1.32E-2</v>
      </c>
      <c r="F14" s="207">
        <v>20.74</v>
      </c>
      <c r="G14" s="207">
        <v>0.27</v>
      </c>
    </row>
    <row r="16" spans="1:8" s="305" customFormat="1" x14ac:dyDescent="0.25">
      <c r="A16" s="449" t="s">
        <v>281</v>
      </c>
      <c r="B16" s="449"/>
      <c r="C16" s="449"/>
      <c r="D16" s="449"/>
      <c r="E16" s="449"/>
      <c r="F16" s="449"/>
      <c r="G16" s="329" t="s">
        <v>211</v>
      </c>
    </row>
    <row r="17" spans="1:10" x14ac:dyDescent="0.25">
      <c r="A17" s="448" t="s">
        <v>195</v>
      </c>
      <c r="B17" s="448"/>
      <c r="C17" s="144" t="s">
        <v>196</v>
      </c>
      <c r="D17" s="144" t="s">
        <v>197</v>
      </c>
      <c r="E17" s="144" t="s">
        <v>198</v>
      </c>
      <c r="F17" s="144" t="s">
        <v>199</v>
      </c>
      <c r="G17" s="144" t="s">
        <v>118</v>
      </c>
    </row>
    <row r="18" spans="1:10" x14ac:dyDescent="0.25">
      <c r="A18" s="145" t="s">
        <v>200</v>
      </c>
      <c r="B18" s="145">
        <v>90777</v>
      </c>
      <c r="C18" s="146" t="s">
        <v>212</v>
      </c>
      <c r="D18" s="145" t="s">
        <v>213</v>
      </c>
      <c r="E18" s="147">
        <v>35</v>
      </c>
      <c r="F18" s="148">
        <v>129.24</v>
      </c>
      <c r="G18" s="148">
        <v>4523.3999999999996</v>
      </c>
    </row>
    <row r="19" spans="1:10" x14ac:dyDescent="0.25">
      <c r="A19" s="145" t="s">
        <v>200</v>
      </c>
      <c r="B19" s="145">
        <v>90776</v>
      </c>
      <c r="C19" s="146" t="s">
        <v>214</v>
      </c>
      <c r="D19" s="145" t="s">
        <v>213</v>
      </c>
      <c r="E19" s="147">
        <v>35</v>
      </c>
      <c r="F19" s="148">
        <v>35.39</v>
      </c>
      <c r="G19" s="148">
        <v>1238.6500000000001</v>
      </c>
    </row>
    <row r="20" spans="1:10" x14ac:dyDescent="0.25">
      <c r="A20" s="118"/>
      <c r="B20" s="118"/>
      <c r="C20" s="149"/>
      <c r="D20" s="150"/>
      <c r="E20" s="429" t="s">
        <v>208</v>
      </c>
      <c r="F20" s="430"/>
      <c r="G20" s="151">
        <f>SUM(G18:G19)</f>
        <v>5762.0499999999993</v>
      </c>
    </row>
    <row r="21" spans="1:10" x14ac:dyDescent="0.25">
      <c r="A21" s="118"/>
      <c r="B21" s="118"/>
      <c r="C21" s="152"/>
      <c r="D21" s="152"/>
      <c r="E21" s="435" t="s">
        <v>209</v>
      </c>
      <c r="F21" s="436"/>
      <c r="G21" s="154">
        <f>ROUND(G20*21.96%,2)</f>
        <v>1265.3499999999999</v>
      </c>
    </row>
    <row r="22" spans="1:10" x14ac:dyDescent="0.25">
      <c r="A22" s="118"/>
      <c r="B22" s="118"/>
      <c r="C22" s="153"/>
      <c r="D22" s="153"/>
      <c r="E22" s="429" t="s">
        <v>210</v>
      </c>
      <c r="F22" s="430"/>
      <c r="G22" s="154">
        <f>SUM(G20:G21)</f>
        <v>7027.4</v>
      </c>
    </row>
    <row r="23" spans="1:10" x14ac:dyDescent="0.25">
      <c r="A23" s="434"/>
      <c r="B23" s="434"/>
      <c r="C23" s="434"/>
      <c r="D23" s="434"/>
      <c r="E23" s="434"/>
      <c r="F23" s="434"/>
      <c r="G23" s="434"/>
    </row>
    <row r="24" spans="1:10" s="305" customFormat="1" x14ac:dyDescent="0.25">
      <c r="A24" s="295" t="s">
        <v>195</v>
      </c>
      <c r="B24" s="295" t="s">
        <v>250</v>
      </c>
      <c r="C24" s="294" t="s">
        <v>196</v>
      </c>
      <c r="D24" s="295" t="s">
        <v>251</v>
      </c>
      <c r="E24" s="295" t="s">
        <v>252</v>
      </c>
      <c r="F24" s="295" t="s">
        <v>253</v>
      </c>
      <c r="G24" s="295" t="s">
        <v>118</v>
      </c>
    </row>
    <row r="25" spans="1:10" s="305" customFormat="1" ht="22.5" x14ac:dyDescent="0.25">
      <c r="A25" s="298" t="s">
        <v>287</v>
      </c>
      <c r="B25" s="298" t="s">
        <v>200</v>
      </c>
      <c r="C25" s="297" t="s">
        <v>309</v>
      </c>
      <c r="D25" s="298" t="s">
        <v>15</v>
      </c>
      <c r="E25" s="303">
        <v>1</v>
      </c>
      <c r="F25" s="304">
        <f>SUM(G26:G29)</f>
        <v>0.56999999999999995</v>
      </c>
      <c r="G25" s="304">
        <f>F25*E25</f>
        <v>0.56999999999999995</v>
      </c>
      <c r="I25" s="306"/>
    </row>
    <row r="26" spans="1:10" ht="33.75" x14ac:dyDescent="0.25">
      <c r="A26" s="202" t="s">
        <v>288</v>
      </c>
      <c r="B26" s="202" t="s">
        <v>200</v>
      </c>
      <c r="C26" s="201" t="s">
        <v>310</v>
      </c>
      <c r="D26" s="202" t="s">
        <v>256</v>
      </c>
      <c r="E26" s="208">
        <v>3.0249999999999998E-4</v>
      </c>
      <c r="F26" s="209">
        <v>264.38</v>
      </c>
      <c r="G26" s="209">
        <f>ROUNDDOWN(F26*E26,2)</f>
        <v>7.0000000000000007E-2</v>
      </c>
    </row>
    <row r="27" spans="1:10" ht="45" customHeight="1" x14ac:dyDescent="0.25">
      <c r="A27" s="202" t="s">
        <v>289</v>
      </c>
      <c r="B27" s="202" t="s">
        <v>200</v>
      </c>
      <c r="C27" s="201" t="s">
        <v>311</v>
      </c>
      <c r="D27" s="202" t="s">
        <v>258</v>
      </c>
      <c r="E27" s="208">
        <v>7.3180000000000001E-4</v>
      </c>
      <c r="F27" s="209">
        <v>108.32</v>
      </c>
      <c r="G27" s="209">
        <f t="shared" ref="G27:G29" si="0">ROUNDDOWN(F27*E27,2)</f>
        <v>7.0000000000000007E-2</v>
      </c>
    </row>
    <row r="28" spans="1:10" x14ac:dyDescent="0.25">
      <c r="A28" s="202" t="s">
        <v>203</v>
      </c>
      <c r="B28" s="202" t="s">
        <v>200</v>
      </c>
      <c r="C28" s="201" t="s">
        <v>215</v>
      </c>
      <c r="D28" s="202" t="s">
        <v>202</v>
      </c>
      <c r="E28" s="208">
        <v>1.0342999999999999E-3</v>
      </c>
      <c r="F28" s="209">
        <v>21.71</v>
      </c>
      <c r="G28" s="209">
        <f t="shared" si="0"/>
        <v>0.02</v>
      </c>
    </row>
    <row r="29" spans="1:10" ht="33.75" x14ac:dyDescent="0.25">
      <c r="A29" s="202" t="s">
        <v>290</v>
      </c>
      <c r="B29" s="202" t="s">
        <v>200</v>
      </c>
      <c r="C29" s="201" t="s">
        <v>312</v>
      </c>
      <c r="D29" s="202" t="s">
        <v>258</v>
      </c>
      <c r="E29" s="208">
        <v>6.0956999999999999E-3</v>
      </c>
      <c r="F29" s="209">
        <v>68.56</v>
      </c>
      <c r="G29" s="209">
        <f t="shared" si="0"/>
        <v>0.41</v>
      </c>
    </row>
    <row r="31" spans="1:10" s="306" customFormat="1" ht="25.5" customHeight="1" x14ac:dyDescent="0.25">
      <c r="A31" s="431" t="s">
        <v>296</v>
      </c>
      <c r="B31" s="432"/>
      <c r="C31" s="432"/>
      <c r="D31" s="432"/>
      <c r="E31" s="432"/>
      <c r="F31" s="433"/>
      <c r="G31" s="302" t="s">
        <v>194</v>
      </c>
      <c r="H31" s="305"/>
      <c r="I31" s="305"/>
      <c r="J31" s="305"/>
    </row>
    <row r="32" spans="1:10" x14ac:dyDescent="0.25">
      <c r="A32" s="431" t="s">
        <v>195</v>
      </c>
      <c r="B32" s="433"/>
      <c r="C32" s="301" t="s">
        <v>196</v>
      </c>
      <c r="D32" s="301" t="s">
        <v>197</v>
      </c>
      <c r="E32" s="301" t="s">
        <v>198</v>
      </c>
      <c r="F32" s="301" t="s">
        <v>199</v>
      </c>
      <c r="G32" s="301" t="s">
        <v>118</v>
      </c>
    </row>
    <row r="33" spans="1:10" x14ac:dyDescent="0.25">
      <c r="A33" s="145" t="s">
        <v>200</v>
      </c>
      <c r="B33" s="145">
        <v>88260</v>
      </c>
      <c r="C33" s="146" t="s">
        <v>216</v>
      </c>
      <c r="D33" s="145" t="s">
        <v>213</v>
      </c>
      <c r="E33" s="147">
        <v>0.40210000000000001</v>
      </c>
      <c r="F33" s="158">
        <v>27.19</v>
      </c>
      <c r="G33" s="148">
        <v>10.93</v>
      </c>
    </row>
    <row r="34" spans="1:10" x14ac:dyDescent="0.25">
      <c r="A34" s="145" t="s">
        <v>200</v>
      </c>
      <c r="B34" s="145">
        <v>88316</v>
      </c>
      <c r="C34" s="146" t="s">
        <v>215</v>
      </c>
      <c r="D34" s="145" t="s">
        <v>213</v>
      </c>
      <c r="E34" s="147">
        <v>0.40210000000000001</v>
      </c>
      <c r="F34" s="158">
        <v>21.71</v>
      </c>
      <c r="G34" s="148">
        <v>8.7200000000000006</v>
      </c>
    </row>
    <row r="35" spans="1:10" ht="22.5" x14ac:dyDescent="0.25">
      <c r="A35" s="145" t="s">
        <v>200</v>
      </c>
      <c r="B35" s="145">
        <v>88628</v>
      </c>
      <c r="C35" s="155" t="s">
        <v>313</v>
      </c>
      <c r="D35" s="145" t="s">
        <v>204</v>
      </c>
      <c r="E35" s="147">
        <v>2.0400000000000001E-2</v>
      </c>
      <c r="F35" s="158">
        <v>681.15</v>
      </c>
      <c r="G35" s="148">
        <v>13.89</v>
      </c>
    </row>
    <row r="36" spans="1:10" ht="22.5" x14ac:dyDescent="0.25">
      <c r="A36" s="145" t="s">
        <v>200</v>
      </c>
      <c r="B36" s="145">
        <v>367</v>
      </c>
      <c r="C36" s="155" t="s">
        <v>217</v>
      </c>
      <c r="D36" s="145" t="s">
        <v>204</v>
      </c>
      <c r="E36" s="147">
        <v>0.114</v>
      </c>
      <c r="F36" s="158">
        <v>96.24</v>
      </c>
      <c r="G36" s="148">
        <v>10.97</v>
      </c>
    </row>
    <row r="37" spans="1:10" x14ac:dyDescent="0.25">
      <c r="A37" s="307" t="s">
        <v>259</v>
      </c>
      <c r="B37" s="307" t="s">
        <v>260</v>
      </c>
      <c r="C37" s="308" t="s">
        <v>261</v>
      </c>
      <c r="D37" s="307" t="s">
        <v>218</v>
      </c>
      <c r="E37" s="309">
        <v>4.2000000000000003E-2</v>
      </c>
      <c r="F37" s="310">
        <f>G47</f>
        <v>612.20000000000005</v>
      </c>
      <c r="G37" s="310">
        <f t="shared" ref="G37" si="1">TRUNC((E37*F37),2)</f>
        <v>25.71</v>
      </c>
    </row>
    <row r="38" spans="1:10" x14ac:dyDescent="0.25">
      <c r="A38" s="118"/>
      <c r="B38" s="118"/>
      <c r="C38" s="149"/>
      <c r="D38" s="429" t="s">
        <v>208</v>
      </c>
      <c r="E38" s="430"/>
      <c r="F38" s="430"/>
      <c r="G38" s="151">
        <f>SUM(G33:G37)</f>
        <v>70.22</v>
      </c>
    </row>
    <row r="39" spans="1:10" s="157" customFormat="1" x14ac:dyDescent="0.25">
      <c r="A39" s="118"/>
      <c r="B39" s="118"/>
      <c r="C39" s="152"/>
      <c r="D39" s="435" t="s">
        <v>209</v>
      </c>
      <c r="E39" s="436"/>
      <c r="F39" s="436"/>
      <c r="G39" s="154">
        <f>ROUND(G38*21.96%,2)</f>
        <v>15.42</v>
      </c>
      <c r="H39"/>
      <c r="I39" s="159">
        <v>0.111</v>
      </c>
      <c r="J39"/>
    </row>
    <row r="40" spans="1:10" x14ac:dyDescent="0.25">
      <c r="A40" s="8"/>
      <c r="B40" s="8"/>
      <c r="C40" s="8"/>
      <c r="D40" s="437" t="s">
        <v>219</v>
      </c>
      <c r="E40" s="438"/>
      <c r="F40" s="438"/>
      <c r="G40" s="156">
        <f>SUM(G38:G39)</f>
        <v>85.64</v>
      </c>
    </row>
    <row r="41" spans="1:10" x14ac:dyDescent="0.25">
      <c r="A41" s="434"/>
      <c r="B41" s="434"/>
      <c r="C41" s="434"/>
      <c r="D41" s="434"/>
      <c r="E41" s="434"/>
      <c r="F41" s="434"/>
      <c r="G41" s="434"/>
    </row>
    <row r="42" spans="1:10" x14ac:dyDescent="0.25">
      <c r="A42" s="422" t="s">
        <v>262</v>
      </c>
      <c r="B42" s="423"/>
      <c r="C42" s="423"/>
      <c r="D42" s="423"/>
      <c r="E42" s="423"/>
      <c r="F42" s="424"/>
      <c r="G42" s="311" t="s">
        <v>263</v>
      </c>
      <c r="J42" s="157"/>
    </row>
    <row r="43" spans="1:10" x14ac:dyDescent="0.25">
      <c r="A43" s="425" t="s">
        <v>195</v>
      </c>
      <c r="B43" s="426"/>
      <c r="C43" s="144" t="s">
        <v>196</v>
      </c>
      <c r="D43" s="144" t="s">
        <v>197</v>
      </c>
      <c r="E43" s="144" t="s">
        <v>198</v>
      </c>
      <c r="F43" s="144" t="s">
        <v>199</v>
      </c>
      <c r="G43" s="144" t="s">
        <v>118</v>
      </c>
    </row>
    <row r="44" spans="1:10" x14ac:dyDescent="0.25">
      <c r="A44" s="145" t="s">
        <v>200</v>
      </c>
      <c r="B44" s="145">
        <v>88309</v>
      </c>
      <c r="C44" s="146" t="s">
        <v>264</v>
      </c>
      <c r="D44" s="145" t="s">
        <v>213</v>
      </c>
      <c r="E44" s="147">
        <v>12</v>
      </c>
      <c r="F44" s="158">
        <v>27.39</v>
      </c>
      <c r="G44" s="148">
        <f t="shared" ref="G44:G46" si="2">TRUNC(F44*E44,2)</f>
        <v>328.68</v>
      </c>
    </row>
    <row r="45" spans="1:10" x14ac:dyDescent="0.25">
      <c r="A45" s="145" t="s">
        <v>200</v>
      </c>
      <c r="B45" s="145">
        <v>88316</v>
      </c>
      <c r="C45" s="146" t="s">
        <v>215</v>
      </c>
      <c r="D45" s="145" t="s">
        <v>213</v>
      </c>
      <c r="E45" s="147">
        <v>12</v>
      </c>
      <c r="F45" s="158">
        <v>21.71</v>
      </c>
      <c r="G45" s="148">
        <f t="shared" si="2"/>
        <v>260.52</v>
      </c>
    </row>
    <row r="46" spans="1:10" x14ac:dyDescent="0.25">
      <c r="A46" s="427" t="s">
        <v>265</v>
      </c>
      <c r="B46" s="428"/>
      <c r="C46" s="146" t="s">
        <v>266</v>
      </c>
      <c r="D46" s="145" t="s">
        <v>267</v>
      </c>
      <c r="E46" s="147">
        <v>1</v>
      </c>
      <c r="F46" s="158">
        <v>23</v>
      </c>
      <c r="G46" s="148">
        <f t="shared" si="2"/>
        <v>23</v>
      </c>
    </row>
    <row r="47" spans="1:10" s="157" customFormat="1" x14ac:dyDescent="0.25">
      <c r="A47" s="118"/>
      <c r="B47" s="118"/>
      <c r="C47" s="149"/>
      <c r="D47" s="150"/>
      <c r="E47" s="429" t="s">
        <v>208</v>
      </c>
      <c r="F47" s="430"/>
      <c r="G47" s="151">
        <f>SUM(G44:G46)</f>
        <v>612.20000000000005</v>
      </c>
      <c r="H47"/>
      <c r="I47"/>
      <c r="J47"/>
    </row>
    <row r="48" spans="1:10" x14ac:dyDescent="0.25">
      <c r="A48" s="186"/>
      <c r="B48" s="186"/>
      <c r="C48" s="186"/>
      <c r="D48" s="186"/>
      <c r="E48" s="186"/>
      <c r="F48" s="186"/>
      <c r="G48" s="186"/>
    </row>
    <row r="49" spans="1:10" x14ac:dyDescent="0.25">
      <c r="A49" s="295" t="s">
        <v>195</v>
      </c>
      <c r="B49" s="295" t="s">
        <v>250</v>
      </c>
      <c r="C49" s="294" t="s">
        <v>196</v>
      </c>
      <c r="D49" s="295" t="s">
        <v>251</v>
      </c>
      <c r="E49" s="295" t="s">
        <v>252</v>
      </c>
      <c r="F49" s="312" t="s">
        <v>253</v>
      </c>
      <c r="G49" s="312" t="s">
        <v>118</v>
      </c>
    </row>
    <row r="50" spans="1:10" x14ac:dyDescent="0.25">
      <c r="A50" s="298" t="s">
        <v>381</v>
      </c>
      <c r="B50" s="298" t="s">
        <v>346</v>
      </c>
      <c r="C50" s="297" t="s">
        <v>382</v>
      </c>
      <c r="D50" s="298" t="s">
        <v>15</v>
      </c>
      <c r="E50" s="303">
        <v>1</v>
      </c>
      <c r="F50" s="313">
        <f>SUM(G51:G52)</f>
        <v>1.55</v>
      </c>
      <c r="G50" s="313">
        <f>F50*E50</f>
        <v>1.55</v>
      </c>
      <c r="I50" s="157"/>
      <c r="J50" s="157"/>
    </row>
    <row r="51" spans="1:10" x14ac:dyDescent="0.25">
      <c r="A51" s="145" t="s">
        <v>200</v>
      </c>
      <c r="B51" s="145">
        <v>88316</v>
      </c>
      <c r="C51" s="146" t="s">
        <v>215</v>
      </c>
      <c r="D51" s="145" t="s">
        <v>213</v>
      </c>
      <c r="E51" s="147">
        <v>2E-3</v>
      </c>
      <c r="F51" s="328">
        <v>21.71</v>
      </c>
      <c r="G51" s="331">
        <v>0.04</v>
      </c>
    </row>
    <row r="52" spans="1:10" ht="45" x14ac:dyDescent="0.25">
      <c r="A52" s="145" t="s">
        <v>200</v>
      </c>
      <c r="B52" s="202">
        <v>1442</v>
      </c>
      <c r="C52" s="201" t="s">
        <v>383</v>
      </c>
      <c r="D52" s="202" t="s">
        <v>184</v>
      </c>
      <c r="E52" s="208">
        <v>1.4999999999999999E-4</v>
      </c>
      <c r="F52" s="210">
        <v>10129.23</v>
      </c>
      <c r="G52" s="331">
        <v>1.51</v>
      </c>
    </row>
    <row r="53" spans="1:10" x14ac:dyDescent="0.25">
      <c r="A53"/>
      <c r="B53"/>
    </row>
    <row r="54" spans="1:10" x14ac:dyDescent="0.25">
      <c r="A54" s="295" t="s">
        <v>195</v>
      </c>
      <c r="B54" s="295" t="s">
        <v>250</v>
      </c>
      <c r="C54" s="294" t="s">
        <v>196</v>
      </c>
      <c r="D54" s="295" t="s">
        <v>251</v>
      </c>
      <c r="E54" s="295" t="s">
        <v>252</v>
      </c>
      <c r="F54" s="312" t="s">
        <v>253</v>
      </c>
      <c r="G54" s="312" t="s">
        <v>118</v>
      </c>
    </row>
    <row r="55" spans="1:10" ht="45" x14ac:dyDescent="0.25">
      <c r="A55" s="298" t="s">
        <v>291</v>
      </c>
      <c r="B55" s="298" t="s">
        <v>200</v>
      </c>
      <c r="C55" s="297" t="s">
        <v>314</v>
      </c>
      <c r="D55" s="298" t="s">
        <v>205</v>
      </c>
      <c r="E55" s="303">
        <v>1</v>
      </c>
      <c r="F55" s="313">
        <v>41.5</v>
      </c>
      <c r="G55" s="313">
        <v>41.5</v>
      </c>
      <c r="I55" s="157"/>
      <c r="J55" s="157"/>
    </row>
    <row r="56" spans="1:10" x14ac:dyDescent="0.25">
      <c r="A56" s="202" t="s">
        <v>221</v>
      </c>
      <c r="B56" s="202" t="s">
        <v>200</v>
      </c>
      <c r="C56" s="201" t="s">
        <v>220</v>
      </c>
      <c r="D56" s="202" t="s">
        <v>202</v>
      </c>
      <c r="E56" s="208">
        <v>0.2296</v>
      </c>
      <c r="F56" s="210">
        <v>27.39</v>
      </c>
      <c r="G56" s="210">
        <v>6.28</v>
      </c>
    </row>
    <row r="57" spans="1:10" x14ac:dyDescent="0.25">
      <c r="A57" s="202" t="s">
        <v>203</v>
      </c>
      <c r="B57" s="202" t="s">
        <v>200</v>
      </c>
      <c r="C57" s="201" t="s">
        <v>215</v>
      </c>
      <c r="D57" s="202" t="s">
        <v>202</v>
      </c>
      <c r="E57" s="208">
        <v>0.2296</v>
      </c>
      <c r="F57" s="210">
        <v>21.71</v>
      </c>
      <c r="G57" s="210">
        <v>4.9800000000000004</v>
      </c>
    </row>
    <row r="58" spans="1:10" ht="22.5" x14ac:dyDescent="0.25">
      <c r="A58" s="202" t="s">
        <v>225</v>
      </c>
      <c r="B58" s="202" t="s">
        <v>200</v>
      </c>
      <c r="C58" s="201" t="s">
        <v>227</v>
      </c>
      <c r="D58" s="202" t="s">
        <v>204</v>
      </c>
      <c r="E58" s="208">
        <v>1.8E-3</v>
      </c>
      <c r="F58" s="210">
        <v>770.66</v>
      </c>
      <c r="G58" s="210">
        <v>1.38</v>
      </c>
    </row>
    <row r="59" spans="1:10" ht="22.5" x14ac:dyDescent="0.25">
      <c r="A59" s="202" t="s">
        <v>222</v>
      </c>
      <c r="B59" s="202" t="s">
        <v>200</v>
      </c>
      <c r="C59" s="201" t="s">
        <v>228</v>
      </c>
      <c r="D59" s="202" t="s">
        <v>204</v>
      </c>
      <c r="E59" s="208">
        <v>6.6E-3</v>
      </c>
      <c r="F59" s="210">
        <v>95</v>
      </c>
      <c r="G59" s="210">
        <v>0.62</v>
      </c>
    </row>
    <row r="60" spans="1:10" ht="22.5" x14ac:dyDescent="0.25">
      <c r="A60" s="202" t="s">
        <v>226</v>
      </c>
      <c r="B60" s="202" t="s">
        <v>200</v>
      </c>
      <c r="C60" s="201" t="s">
        <v>229</v>
      </c>
      <c r="D60" s="202" t="s">
        <v>205</v>
      </c>
      <c r="E60" s="208">
        <v>1.0049999999999999</v>
      </c>
      <c r="F60" s="210">
        <v>28.1</v>
      </c>
      <c r="G60" s="210">
        <v>28.24</v>
      </c>
    </row>
    <row r="62" spans="1:10" x14ac:dyDescent="0.25">
      <c r="A62" s="295" t="s">
        <v>195</v>
      </c>
      <c r="B62" s="295" t="s">
        <v>250</v>
      </c>
      <c r="C62" s="294" t="s">
        <v>196</v>
      </c>
      <c r="D62" s="295" t="s">
        <v>251</v>
      </c>
      <c r="E62" s="295" t="s">
        <v>252</v>
      </c>
      <c r="F62" s="312" t="s">
        <v>253</v>
      </c>
      <c r="G62" s="312" t="s">
        <v>118</v>
      </c>
    </row>
    <row r="63" spans="1:10" ht="33.75" x14ac:dyDescent="0.25">
      <c r="A63" s="298" t="s">
        <v>274</v>
      </c>
      <c r="B63" s="298" t="s">
        <v>292</v>
      </c>
      <c r="C63" s="297" t="s">
        <v>315</v>
      </c>
      <c r="D63" s="298" t="s">
        <v>205</v>
      </c>
      <c r="E63" s="303">
        <v>1</v>
      </c>
      <c r="F63" s="313">
        <f>SUM(G64:G69)</f>
        <v>22.259999999999998</v>
      </c>
      <c r="G63" s="313">
        <f>F63*E63</f>
        <v>22.259999999999998</v>
      </c>
      <c r="I63" s="157"/>
    </row>
    <row r="64" spans="1:10" x14ac:dyDescent="0.25">
      <c r="A64" s="202" t="s">
        <v>221</v>
      </c>
      <c r="B64" s="202" t="s">
        <v>200</v>
      </c>
      <c r="C64" s="201" t="s">
        <v>220</v>
      </c>
      <c r="D64" s="202" t="s">
        <v>202</v>
      </c>
      <c r="E64" s="208">
        <v>0.2326</v>
      </c>
      <c r="F64" s="210">
        <v>27.39</v>
      </c>
      <c r="G64" s="210">
        <v>6.37</v>
      </c>
      <c r="J64" s="157"/>
    </row>
    <row r="65" spans="1:8" x14ac:dyDescent="0.25">
      <c r="A65" s="202" t="s">
        <v>203</v>
      </c>
      <c r="B65" s="202" t="s">
        <v>200</v>
      </c>
      <c r="C65" s="201" t="s">
        <v>215</v>
      </c>
      <c r="D65" s="202" t="s">
        <v>202</v>
      </c>
      <c r="E65" s="208">
        <v>0.2326</v>
      </c>
      <c r="F65" s="210">
        <v>21.71</v>
      </c>
      <c r="G65" s="210">
        <v>5.04</v>
      </c>
    </row>
    <row r="66" spans="1:8" ht="22.5" x14ac:dyDescent="0.25">
      <c r="A66" s="202" t="s">
        <v>222</v>
      </c>
      <c r="B66" s="202" t="s">
        <v>200</v>
      </c>
      <c r="C66" s="201" t="s">
        <v>228</v>
      </c>
      <c r="D66" s="202" t="s">
        <v>204</v>
      </c>
      <c r="E66" s="208">
        <v>9.9000000000000008E-3</v>
      </c>
      <c r="F66" s="210">
        <v>95</v>
      </c>
      <c r="G66" s="210">
        <v>0.89</v>
      </c>
    </row>
    <row r="67" spans="1:8" ht="22.5" x14ac:dyDescent="0.25">
      <c r="A67" s="202" t="s">
        <v>223</v>
      </c>
      <c r="B67" s="202" t="s">
        <v>200</v>
      </c>
      <c r="C67" s="201" t="s">
        <v>231</v>
      </c>
      <c r="D67" s="202" t="s">
        <v>205</v>
      </c>
      <c r="E67" s="208">
        <v>0.2</v>
      </c>
      <c r="F67" s="210">
        <v>3.52</v>
      </c>
      <c r="G67" s="210">
        <v>0.7</v>
      </c>
    </row>
    <row r="68" spans="1:8" ht="22.5" x14ac:dyDescent="0.25">
      <c r="A68" s="202" t="s">
        <v>230</v>
      </c>
      <c r="B68" s="202" t="s">
        <v>200</v>
      </c>
      <c r="C68" s="201" t="s">
        <v>232</v>
      </c>
      <c r="D68" s="202" t="s">
        <v>205</v>
      </c>
      <c r="E68" s="208">
        <v>8.3299999999999999E-2</v>
      </c>
      <c r="F68" s="210">
        <v>16.670000000000002</v>
      </c>
      <c r="G68" s="210">
        <v>1.38</v>
      </c>
    </row>
    <row r="69" spans="1:8" ht="33.75" x14ac:dyDescent="0.25">
      <c r="A69" s="202" t="s">
        <v>224</v>
      </c>
      <c r="B69" s="202" t="s">
        <v>200</v>
      </c>
      <c r="C69" s="201" t="s">
        <v>233</v>
      </c>
      <c r="D69" s="202" t="s">
        <v>204</v>
      </c>
      <c r="E69" s="208">
        <v>1.4999999999999999E-2</v>
      </c>
      <c r="F69" s="210">
        <v>525</v>
      </c>
      <c r="G69" s="210">
        <f t="shared" ref="G69" si="3">ROUND(F69*E69,2)</f>
        <v>7.88</v>
      </c>
    </row>
    <row r="71" spans="1:8" s="277" customFormat="1" x14ac:dyDescent="0.25">
      <c r="A71" s="314" t="s">
        <v>195</v>
      </c>
      <c r="B71" s="315" t="s">
        <v>250</v>
      </c>
      <c r="C71" s="315" t="s">
        <v>196</v>
      </c>
      <c r="D71" s="316" t="s">
        <v>251</v>
      </c>
      <c r="E71" s="314" t="s">
        <v>252</v>
      </c>
      <c r="F71" s="314" t="s">
        <v>253</v>
      </c>
      <c r="G71" s="314" t="s">
        <v>118</v>
      </c>
    </row>
    <row r="72" spans="1:8" s="288" customFormat="1" ht="22.5" x14ac:dyDescent="0.25">
      <c r="A72" s="317" t="s">
        <v>353</v>
      </c>
      <c r="B72" s="318" t="s">
        <v>346</v>
      </c>
      <c r="C72" s="318" t="s">
        <v>354</v>
      </c>
      <c r="D72" s="319" t="s">
        <v>295</v>
      </c>
      <c r="E72" s="320">
        <v>1</v>
      </c>
      <c r="F72" s="321">
        <v>374.42</v>
      </c>
      <c r="G72" s="321">
        <v>374.42</v>
      </c>
    </row>
    <row r="73" spans="1:8" s="277" customFormat="1" x14ac:dyDescent="0.25">
      <c r="A73" s="278" t="s">
        <v>203</v>
      </c>
      <c r="B73" s="279" t="s">
        <v>200</v>
      </c>
      <c r="C73" s="279" t="s">
        <v>215</v>
      </c>
      <c r="D73" s="280" t="s">
        <v>202</v>
      </c>
      <c r="E73" s="281">
        <v>0.2</v>
      </c>
      <c r="F73" s="282">
        <v>21.71</v>
      </c>
      <c r="G73" s="282">
        <v>4.34</v>
      </c>
      <c r="H73" s="288"/>
    </row>
    <row r="74" spans="1:8" s="277" customFormat="1" ht="33.75" x14ac:dyDescent="0.25">
      <c r="A74" s="278" t="s">
        <v>347</v>
      </c>
      <c r="B74" s="279" t="s">
        <v>200</v>
      </c>
      <c r="C74" s="279" t="s">
        <v>355</v>
      </c>
      <c r="D74" s="280" t="s">
        <v>204</v>
      </c>
      <c r="E74" s="281">
        <v>8.8000000000000005E-3</v>
      </c>
      <c r="F74" s="282">
        <v>579.75</v>
      </c>
      <c r="G74" s="282">
        <v>5.0999999999999996</v>
      </c>
      <c r="H74" s="288"/>
    </row>
    <row r="75" spans="1:8" s="277" customFormat="1" ht="22.5" x14ac:dyDescent="0.25">
      <c r="A75" s="283" t="s">
        <v>348</v>
      </c>
      <c r="B75" s="284" t="s">
        <v>200</v>
      </c>
      <c r="C75" s="284" t="s">
        <v>356</v>
      </c>
      <c r="D75" s="285" t="s">
        <v>294</v>
      </c>
      <c r="E75" s="286">
        <v>2</v>
      </c>
      <c r="F75" s="287">
        <v>12.06</v>
      </c>
      <c r="G75" s="287">
        <v>24.12</v>
      </c>
      <c r="H75" s="288"/>
    </row>
    <row r="76" spans="1:8" s="277" customFormat="1" ht="22.5" x14ac:dyDescent="0.25">
      <c r="A76" s="283" t="s">
        <v>349</v>
      </c>
      <c r="B76" s="284" t="s">
        <v>200</v>
      </c>
      <c r="C76" s="284" t="s">
        <v>357</v>
      </c>
      <c r="D76" s="285" t="s">
        <v>205</v>
      </c>
      <c r="E76" s="286">
        <v>2.7</v>
      </c>
      <c r="F76" s="287">
        <v>75.58</v>
      </c>
      <c r="G76" s="287">
        <v>204.06</v>
      </c>
      <c r="H76" s="288"/>
    </row>
    <row r="77" spans="1:8" s="277" customFormat="1" x14ac:dyDescent="0.25">
      <c r="A77" s="283" t="s">
        <v>350</v>
      </c>
      <c r="B77" s="284" t="s">
        <v>351</v>
      </c>
      <c r="C77" s="284" t="s">
        <v>358</v>
      </c>
      <c r="D77" s="285" t="s">
        <v>294</v>
      </c>
      <c r="E77" s="286">
        <v>8</v>
      </c>
      <c r="F77" s="287">
        <v>0.6</v>
      </c>
      <c r="G77" s="287">
        <v>4.8</v>
      </c>
      <c r="H77" s="288"/>
    </row>
    <row r="78" spans="1:8" s="277" customFormat="1" ht="22.5" x14ac:dyDescent="0.25">
      <c r="A78" s="283" t="s">
        <v>352</v>
      </c>
      <c r="B78" s="284" t="s">
        <v>200</v>
      </c>
      <c r="C78" s="284" t="s">
        <v>359</v>
      </c>
      <c r="D78" s="285" t="s">
        <v>294</v>
      </c>
      <c r="E78" s="286">
        <v>1</v>
      </c>
      <c r="F78" s="287">
        <v>132</v>
      </c>
      <c r="G78" s="287">
        <v>132</v>
      </c>
      <c r="H78" s="288"/>
    </row>
    <row r="80" spans="1:8" x14ac:dyDescent="0.25">
      <c r="A80" s="293" t="s">
        <v>195</v>
      </c>
      <c r="B80" s="294" t="s">
        <v>250</v>
      </c>
      <c r="C80" s="294" t="s">
        <v>196</v>
      </c>
      <c r="D80" s="295" t="s">
        <v>251</v>
      </c>
      <c r="E80" s="293" t="s">
        <v>252</v>
      </c>
      <c r="F80" s="293" t="s">
        <v>253</v>
      </c>
      <c r="G80" s="293" t="s">
        <v>118</v>
      </c>
    </row>
    <row r="81" spans="1:8" ht="33.75" x14ac:dyDescent="0.25">
      <c r="A81" s="298" t="s">
        <v>300</v>
      </c>
      <c r="B81" s="298" t="s">
        <v>200</v>
      </c>
      <c r="C81" s="297" t="s">
        <v>298</v>
      </c>
      <c r="D81" s="298" t="s">
        <v>254</v>
      </c>
      <c r="E81" s="299">
        <v>1</v>
      </c>
      <c r="F81" s="300">
        <v>1.69</v>
      </c>
      <c r="G81" s="300">
        <v>1.69</v>
      </c>
    </row>
    <row r="82" spans="1:8" ht="45" x14ac:dyDescent="0.25">
      <c r="A82" s="202" t="s">
        <v>255</v>
      </c>
      <c r="B82" s="202" t="s">
        <v>200</v>
      </c>
      <c r="C82" s="201" t="s">
        <v>317</v>
      </c>
      <c r="D82" s="202" t="s">
        <v>256</v>
      </c>
      <c r="E82" s="203">
        <v>5.5999999999999999E-3</v>
      </c>
      <c r="F82" s="207">
        <v>271.5</v>
      </c>
      <c r="G82" s="207">
        <v>1.52</v>
      </c>
    </row>
    <row r="83" spans="1:8" ht="45" x14ac:dyDescent="0.25">
      <c r="A83" s="202" t="s">
        <v>257</v>
      </c>
      <c r="B83" s="202" t="s">
        <v>200</v>
      </c>
      <c r="C83" s="201" t="s">
        <v>318</v>
      </c>
      <c r="D83" s="202" t="s">
        <v>258</v>
      </c>
      <c r="E83" s="203">
        <v>2.3999999999999998E-3</v>
      </c>
      <c r="F83" s="207">
        <v>72.2</v>
      </c>
      <c r="G83" s="207">
        <v>0.17</v>
      </c>
    </row>
    <row r="85" spans="1:8" x14ac:dyDescent="0.25">
      <c r="A85" s="293" t="s">
        <v>195</v>
      </c>
      <c r="B85" s="294" t="s">
        <v>250</v>
      </c>
      <c r="C85" s="294" t="s">
        <v>196</v>
      </c>
      <c r="D85" s="295" t="s">
        <v>251</v>
      </c>
      <c r="E85" s="293" t="s">
        <v>252</v>
      </c>
      <c r="F85" s="293" t="s">
        <v>253</v>
      </c>
      <c r="G85" s="293" t="s">
        <v>118</v>
      </c>
    </row>
    <row r="86" spans="1:8" ht="33.75" x14ac:dyDescent="0.25">
      <c r="A86" s="298" t="s">
        <v>301</v>
      </c>
      <c r="B86" s="298" t="s">
        <v>200</v>
      </c>
      <c r="C86" s="297" t="s">
        <v>299</v>
      </c>
      <c r="D86" s="298" t="s">
        <v>254</v>
      </c>
      <c r="E86" s="299">
        <v>1</v>
      </c>
      <c r="F86" s="300">
        <v>0.66</v>
      </c>
      <c r="G86" s="300">
        <v>0.66</v>
      </c>
    </row>
    <row r="87" spans="1:8" ht="45" x14ac:dyDescent="0.25">
      <c r="A87" s="202" t="s">
        <v>255</v>
      </c>
      <c r="B87" s="202" t="s">
        <v>200</v>
      </c>
      <c r="C87" s="201" t="s">
        <v>317</v>
      </c>
      <c r="D87" s="202" t="s">
        <v>256</v>
      </c>
      <c r="E87" s="203">
        <v>2.2000000000000001E-3</v>
      </c>
      <c r="F87" s="207">
        <v>271.5</v>
      </c>
      <c r="G87" s="207">
        <v>0.59</v>
      </c>
    </row>
    <row r="88" spans="1:8" ht="45" x14ac:dyDescent="0.25">
      <c r="A88" s="202" t="s">
        <v>257</v>
      </c>
      <c r="B88" s="202" t="s">
        <v>200</v>
      </c>
      <c r="C88" s="201" t="s">
        <v>318</v>
      </c>
      <c r="D88" s="202" t="s">
        <v>258</v>
      </c>
      <c r="E88" s="203">
        <v>1E-3</v>
      </c>
      <c r="F88" s="207">
        <v>72.2</v>
      </c>
      <c r="G88" s="207">
        <v>7.0000000000000007E-2</v>
      </c>
    </row>
    <row r="90" spans="1:8" x14ac:dyDescent="0.25">
      <c r="A90" s="293" t="s">
        <v>195</v>
      </c>
      <c r="B90" s="294" t="s">
        <v>250</v>
      </c>
      <c r="C90" s="294" t="s">
        <v>196</v>
      </c>
      <c r="D90" s="295" t="s">
        <v>251</v>
      </c>
      <c r="E90" s="293" t="s">
        <v>252</v>
      </c>
      <c r="F90" s="293" t="s">
        <v>253</v>
      </c>
      <c r="G90" s="293" t="s">
        <v>118</v>
      </c>
    </row>
    <row r="91" spans="1:8" x14ac:dyDescent="0.25">
      <c r="A91" s="298" t="s">
        <v>385</v>
      </c>
      <c r="B91" s="298" t="s">
        <v>200</v>
      </c>
      <c r="C91" s="297" t="s">
        <v>316</v>
      </c>
      <c r="D91" s="298" t="s">
        <v>15</v>
      </c>
      <c r="E91" s="299">
        <v>1</v>
      </c>
      <c r="F91" s="300">
        <f>SUM(G92:G92)</f>
        <v>3.03</v>
      </c>
      <c r="G91" s="300">
        <f>F91*E91</f>
        <v>3.03</v>
      </c>
      <c r="H91" s="288"/>
    </row>
    <row r="92" spans="1:8" x14ac:dyDescent="0.25">
      <c r="A92" s="289">
        <v>88316</v>
      </c>
      <c r="B92" s="202" t="s">
        <v>200</v>
      </c>
      <c r="C92" s="290" t="s">
        <v>215</v>
      </c>
      <c r="D92" s="289" t="s">
        <v>202</v>
      </c>
      <c r="E92" s="291">
        <v>0.14000000000000001</v>
      </c>
      <c r="F92" s="292">
        <v>21.71</v>
      </c>
      <c r="G92" s="292">
        <v>3.03</v>
      </c>
      <c r="H92" s="288"/>
    </row>
  </sheetData>
  <sheetProtection algorithmName="SHA-512" hashValue="/LABH7+H5IVOjOkm9Wk5f2DCmDZteiDonbkLgNapHqryRQEwElOL6i7gMtcV33ta4khOyf+k/6QV5Xa+y7wUQw==" saltValue="Rf3ujnCJfS5c8kD6nCfrCw==" spinCount="100000" sheet="1" objects="1" scenarios="1" selectLockedCells="1" selectUnlockedCells="1"/>
  <mergeCells count="22">
    <mergeCell ref="A23:G23"/>
    <mergeCell ref="A17:B17"/>
    <mergeCell ref="A16:F16"/>
    <mergeCell ref="E20:F20"/>
    <mergeCell ref="E21:F21"/>
    <mergeCell ref="E22:F22"/>
    <mergeCell ref="A1:G2"/>
    <mergeCell ref="A3:C3"/>
    <mergeCell ref="F3:F4"/>
    <mergeCell ref="G3:G4"/>
    <mergeCell ref="A5:G5"/>
    <mergeCell ref="D4:E4"/>
    <mergeCell ref="A42:F42"/>
    <mergeCell ref="A43:B43"/>
    <mergeCell ref="A46:B46"/>
    <mergeCell ref="E47:F47"/>
    <mergeCell ref="A31:F31"/>
    <mergeCell ref="A32:B32"/>
    <mergeCell ref="A41:G41"/>
    <mergeCell ref="D38:F38"/>
    <mergeCell ref="D39:F39"/>
    <mergeCell ref="D40:F40"/>
  </mergeCells>
  <pageMargins left="0.51181102362204722" right="0.51181102362204722" top="1.7716535433070868" bottom="1.5748031496062993" header="0.51181102362204722" footer="0.51181102362204722"/>
  <pageSetup paperSize="9" scale="71" fitToHeight="0" orientation="portrait" r:id="rId1"/>
  <headerFooter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38D2F-43BE-4C91-9E51-B07ECF426F73}">
  <sheetPr>
    <pageSetUpPr fitToPage="1"/>
  </sheetPr>
  <dimension ref="A1:Q157"/>
  <sheetViews>
    <sheetView workbookViewId="0"/>
  </sheetViews>
  <sheetFormatPr defaultRowHeight="12.75" x14ac:dyDescent="0.25"/>
  <cols>
    <col min="1" max="1" width="6.28515625" style="214" bestFit="1" customWidth="1"/>
    <col min="2" max="2" width="52.28515625" style="214" bestFit="1" customWidth="1"/>
    <col min="3" max="3" width="11.28515625" style="214" bestFit="1" customWidth="1"/>
    <col min="4" max="4" width="20.5703125" style="214" customWidth="1"/>
    <col min="5" max="5" width="32.140625" style="214" bestFit="1" customWidth="1"/>
    <col min="6" max="16384" width="9.140625" style="214"/>
  </cols>
  <sheetData>
    <row r="1" spans="1:17" ht="29.25" customHeight="1" x14ac:dyDescent="0.25">
      <c r="A1" s="212" t="s">
        <v>389</v>
      </c>
      <c r="B1" s="213"/>
      <c r="C1" s="254"/>
      <c r="D1" s="254"/>
      <c r="E1" s="257"/>
    </row>
    <row r="2" spans="1:17" x14ac:dyDescent="0.25">
      <c r="A2" s="215" t="s">
        <v>388</v>
      </c>
      <c r="B2" s="256"/>
      <c r="C2" s="255"/>
      <c r="D2" s="255"/>
      <c r="E2" s="258"/>
    </row>
    <row r="3" spans="1:17" ht="12.75" customHeight="1" x14ac:dyDescent="0.25">
      <c r="E3" s="217"/>
      <c r="O3" s="216"/>
      <c r="P3" s="216"/>
      <c r="Q3" s="216"/>
    </row>
    <row r="5" spans="1:17" x14ac:dyDescent="0.25">
      <c r="A5" s="454" t="s">
        <v>319</v>
      </c>
      <c r="B5" s="454"/>
      <c r="C5" s="454"/>
      <c r="D5" s="454"/>
      <c r="E5" s="454"/>
    </row>
    <row r="6" spans="1:17" ht="20.25" customHeight="1" x14ac:dyDescent="0.25">
      <c r="A6" s="455" t="s">
        <v>191</v>
      </c>
      <c r="B6" s="455"/>
      <c r="C6" s="455"/>
      <c r="D6" s="455"/>
      <c r="E6" s="455"/>
    </row>
    <row r="7" spans="1:17" x14ac:dyDescent="0.2">
      <c r="A7" s="218" t="s">
        <v>30</v>
      </c>
      <c r="B7" s="219" t="s">
        <v>31</v>
      </c>
      <c r="C7" s="220"/>
      <c r="D7" s="221"/>
      <c r="E7" s="222"/>
    </row>
    <row r="8" spans="1:17" x14ac:dyDescent="0.2">
      <c r="A8" s="223" t="s">
        <v>32</v>
      </c>
      <c r="B8" s="224" t="s">
        <v>38</v>
      </c>
      <c r="C8" s="225"/>
      <c r="D8" s="226"/>
      <c r="E8" s="227"/>
    </row>
    <row r="9" spans="1:17" x14ac:dyDescent="0.2">
      <c r="A9" s="228"/>
      <c r="B9" s="229" t="s">
        <v>320</v>
      </c>
      <c r="C9" s="230">
        <v>3</v>
      </c>
      <c r="D9" s="231" t="s">
        <v>182</v>
      </c>
      <c r="E9" s="228"/>
    </row>
    <row r="10" spans="1:17" x14ac:dyDescent="0.2">
      <c r="A10" s="228"/>
      <c r="B10" s="229" t="s">
        <v>321</v>
      </c>
      <c r="C10" s="230">
        <v>2</v>
      </c>
      <c r="D10" s="231" t="s">
        <v>182</v>
      </c>
      <c r="E10" s="222"/>
    </row>
    <row r="11" spans="1:17" x14ac:dyDescent="0.2">
      <c r="A11" s="228"/>
      <c r="B11" s="229" t="s">
        <v>268</v>
      </c>
      <c r="C11" s="230">
        <v>1</v>
      </c>
      <c r="D11" s="231" t="s">
        <v>322</v>
      </c>
      <c r="E11" s="222"/>
    </row>
    <row r="12" spans="1:17" x14ac:dyDescent="0.2">
      <c r="A12" s="228"/>
      <c r="B12" s="229" t="s">
        <v>337</v>
      </c>
      <c r="C12" s="232">
        <f>ROUND(C11*C10*C9,2)</f>
        <v>6</v>
      </c>
      <c r="D12" s="233" t="s">
        <v>15</v>
      </c>
      <c r="E12" s="222"/>
    </row>
    <row r="13" spans="1:17" x14ac:dyDescent="0.2">
      <c r="A13" s="228"/>
      <c r="B13" s="229"/>
      <c r="C13" s="234"/>
      <c r="D13" s="235"/>
      <c r="E13" s="222"/>
    </row>
    <row r="14" spans="1:17" x14ac:dyDescent="0.2">
      <c r="A14" s="223" t="s">
        <v>172</v>
      </c>
      <c r="B14" s="224" t="s">
        <v>39</v>
      </c>
      <c r="C14" s="225"/>
      <c r="D14" s="226"/>
      <c r="E14" s="227"/>
    </row>
    <row r="15" spans="1:17" x14ac:dyDescent="0.2">
      <c r="A15" s="228"/>
      <c r="B15" s="229" t="s">
        <v>324</v>
      </c>
      <c r="C15" s="230">
        <v>3</v>
      </c>
      <c r="D15" s="231" t="s">
        <v>40</v>
      </c>
      <c r="E15" s="228"/>
    </row>
    <row r="16" spans="1:17" x14ac:dyDescent="0.2">
      <c r="A16" s="228"/>
      <c r="B16" s="229" t="s">
        <v>384</v>
      </c>
      <c r="C16" s="232">
        <f>C15</f>
        <v>3</v>
      </c>
      <c r="D16" s="233" t="s">
        <v>40</v>
      </c>
      <c r="E16" s="222"/>
    </row>
    <row r="17" spans="1:5" x14ac:dyDescent="0.2">
      <c r="A17" s="228"/>
      <c r="B17" s="229"/>
      <c r="C17" s="234"/>
      <c r="D17" s="235"/>
      <c r="E17" s="222"/>
    </row>
    <row r="18" spans="1:5" x14ac:dyDescent="0.2">
      <c r="A18" s="223" t="s">
        <v>361</v>
      </c>
      <c r="B18" s="224" t="s">
        <v>371</v>
      </c>
      <c r="C18" s="225"/>
      <c r="D18" s="226"/>
      <c r="E18" s="227"/>
    </row>
    <row r="19" spans="1:5" x14ac:dyDescent="0.2">
      <c r="A19" s="228"/>
      <c r="B19" s="229" t="s">
        <v>337</v>
      </c>
      <c r="C19" s="232">
        <f>'GERAL '!B13</f>
        <v>6396</v>
      </c>
      <c r="D19" s="233" t="s">
        <v>15</v>
      </c>
      <c r="E19" s="222"/>
    </row>
    <row r="20" spans="1:5" x14ac:dyDescent="0.2">
      <c r="A20" s="228"/>
      <c r="B20" s="229"/>
      <c r="C20" s="234"/>
      <c r="D20" s="235"/>
      <c r="E20" s="222"/>
    </row>
    <row r="21" spans="1:5" x14ac:dyDescent="0.25">
      <c r="A21" s="236"/>
      <c r="B21" s="237" t="s">
        <v>374</v>
      </c>
      <c r="C21" s="452"/>
      <c r="D21" s="453"/>
      <c r="E21" s="453"/>
    </row>
    <row r="22" spans="1:5" x14ac:dyDescent="0.2">
      <c r="A22" s="238"/>
      <c r="B22" s="239" t="s">
        <v>325</v>
      </c>
      <c r="C22" s="240">
        <v>621</v>
      </c>
      <c r="D22" s="221" t="s">
        <v>182</v>
      </c>
      <c r="E22" s="222"/>
    </row>
    <row r="23" spans="1:5" x14ac:dyDescent="0.2">
      <c r="A23" s="238"/>
      <c r="B23" s="239" t="s">
        <v>326</v>
      </c>
      <c r="C23" s="240">
        <v>6</v>
      </c>
      <c r="D23" s="221" t="s">
        <v>182</v>
      </c>
      <c r="E23" s="222"/>
    </row>
    <row r="24" spans="1:5" x14ac:dyDescent="0.2">
      <c r="A24" s="238"/>
      <c r="B24" s="239" t="s">
        <v>338</v>
      </c>
      <c r="C24" s="240">
        <v>44</v>
      </c>
      <c r="D24" s="221" t="s">
        <v>339</v>
      </c>
      <c r="E24" s="222"/>
    </row>
    <row r="25" spans="1:5" x14ac:dyDescent="0.2">
      <c r="A25" s="238"/>
      <c r="B25" s="239"/>
      <c r="C25" s="240"/>
      <c r="D25" s="221"/>
      <c r="E25" s="222"/>
    </row>
    <row r="26" spans="1:5" x14ac:dyDescent="0.2">
      <c r="A26" s="238"/>
      <c r="B26" s="239"/>
      <c r="C26" s="240"/>
      <c r="D26" s="221"/>
      <c r="E26" s="222"/>
    </row>
    <row r="27" spans="1:5" x14ac:dyDescent="0.2">
      <c r="A27" s="238"/>
      <c r="B27" s="239"/>
      <c r="C27" s="240"/>
      <c r="D27" s="221"/>
      <c r="E27" s="222"/>
    </row>
    <row r="28" spans="1:5" x14ac:dyDescent="0.2">
      <c r="A28" s="238"/>
      <c r="B28" s="239"/>
      <c r="C28" s="240"/>
      <c r="D28" s="221"/>
      <c r="E28" s="222"/>
    </row>
    <row r="29" spans="1:5" x14ac:dyDescent="0.2">
      <c r="A29" s="238"/>
      <c r="B29" s="239"/>
      <c r="C29" s="240"/>
      <c r="D29" s="221"/>
      <c r="E29" s="222"/>
    </row>
    <row r="30" spans="1:5" x14ac:dyDescent="0.2">
      <c r="A30" s="238"/>
      <c r="B30" s="239"/>
      <c r="C30" s="240"/>
      <c r="D30" s="221"/>
      <c r="E30" s="222"/>
    </row>
    <row r="31" spans="1:5" x14ac:dyDescent="0.2">
      <c r="A31" s="238"/>
      <c r="B31" s="239"/>
      <c r="C31" s="240"/>
      <c r="D31" s="221"/>
      <c r="E31" s="222"/>
    </row>
    <row r="32" spans="1:5" x14ac:dyDescent="0.2">
      <c r="A32" s="238"/>
      <c r="B32" s="239"/>
      <c r="C32" s="240"/>
      <c r="D32" s="221"/>
      <c r="E32" s="222"/>
    </row>
    <row r="33" spans="1:5" x14ac:dyDescent="0.2">
      <c r="A33" s="238"/>
      <c r="B33" s="239"/>
      <c r="C33" s="240"/>
      <c r="D33" s="221"/>
      <c r="E33" s="222"/>
    </row>
    <row r="34" spans="1:5" x14ac:dyDescent="0.2">
      <c r="A34" s="238"/>
      <c r="B34" s="239"/>
      <c r="C34" s="240"/>
      <c r="D34" s="221"/>
      <c r="E34" s="222"/>
    </row>
    <row r="35" spans="1:5" x14ac:dyDescent="0.2">
      <c r="A35" s="238"/>
      <c r="B35" s="239"/>
      <c r="C35" s="240"/>
      <c r="D35" s="221"/>
      <c r="E35" s="222"/>
    </row>
    <row r="36" spans="1:5" x14ac:dyDescent="0.2">
      <c r="A36" s="238"/>
      <c r="B36" s="239"/>
      <c r="C36" s="240"/>
      <c r="D36" s="221"/>
      <c r="E36" s="222"/>
    </row>
    <row r="37" spans="1:5" x14ac:dyDescent="0.2">
      <c r="A37" s="238"/>
      <c r="B37" s="239"/>
      <c r="C37" s="240"/>
      <c r="D37" s="221"/>
      <c r="E37" s="222"/>
    </row>
    <row r="38" spans="1:5" x14ac:dyDescent="0.2">
      <c r="A38" s="238"/>
      <c r="B38" s="239"/>
      <c r="C38" s="240"/>
      <c r="D38" s="221"/>
      <c r="E38" s="222"/>
    </row>
    <row r="39" spans="1:5" x14ac:dyDescent="0.2">
      <c r="A39" s="238"/>
      <c r="B39" s="239"/>
      <c r="C39" s="240"/>
      <c r="D39" s="221"/>
      <c r="E39" s="222"/>
    </row>
    <row r="40" spans="1:5" x14ac:dyDescent="0.2">
      <c r="A40" s="218"/>
      <c r="B40" s="241"/>
      <c r="C40" s="220"/>
      <c r="D40" s="242"/>
      <c r="E40" s="222"/>
    </row>
    <row r="41" spans="1:5" x14ac:dyDescent="0.2">
      <c r="A41" s="218" t="s">
        <v>33</v>
      </c>
      <c r="B41" s="219" t="s">
        <v>173</v>
      </c>
      <c r="C41" s="220"/>
      <c r="D41" s="221"/>
      <c r="E41" s="222"/>
    </row>
    <row r="42" spans="1:5" x14ac:dyDescent="0.2">
      <c r="A42" s="223" t="s">
        <v>35</v>
      </c>
      <c r="B42" s="224" t="s">
        <v>174</v>
      </c>
      <c r="C42" s="225"/>
      <c r="D42" s="226"/>
      <c r="E42" s="227"/>
    </row>
    <row r="43" spans="1:5" x14ac:dyDescent="0.2">
      <c r="A43" s="228"/>
      <c r="B43" s="229" t="s">
        <v>320</v>
      </c>
      <c r="C43" s="230">
        <f>$C$22</f>
        <v>621</v>
      </c>
      <c r="D43" s="231" t="s">
        <v>182</v>
      </c>
      <c r="E43" s="228"/>
    </row>
    <row r="44" spans="1:5" x14ac:dyDescent="0.2">
      <c r="A44" s="228"/>
      <c r="B44" s="229" t="s">
        <v>321</v>
      </c>
      <c r="C44" s="230">
        <f>$C$23</f>
        <v>6</v>
      </c>
      <c r="D44" s="231" t="s">
        <v>182</v>
      </c>
      <c r="E44" s="222"/>
    </row>
    <row r="45" spans="1:5" x14ac:dyDescent="0.2">
      <c r="A45" s="228"/>
      <c r="B45" s="229" t="s">
        <v>323</v>
      </c>
      <c r="C45" s="232">
        <f>ROUND(C43*C44,2)</f>
        <v>3726</v>
      </c>
      <c r="D45" s="233" t="s">
        <v>15</v>
      </c>
      <c r="E45" s="222"/>
    </row>
    <row r="46" spans="1:5" x14ac:dyDescent="0.2">
      <c r="A46" s="244"/>
      <c r="B46" s="245"/>
      <c r="C46" s="235"/>
      <c r="D46" s="246"/>
      <c r="E46" s="247"/>
    </row>
    <row r="47" spans="1:5" x14ac:dyDescent="0.2">
      <c r="A47" s="218" t="s">
        <v>175</v>
      </c>
      <c r="B47" s="219" t="s">
        <v>176</v>
      </c>
      <c r="C47" s="220"/>
      <c r="D47" s="221"/>
      <c r="E47" s="222"/>
    </row>
    <row r="48" spans="1:5" ht="30" customHeight="1" x14ac:dyDescent="0.25">
      <c r="A48" s="248" t="s">
        <v>177</v>
      </c>
      <c r="B48" s="450" t="s">
        <v>275</v>
      </c>
      <c r="C48" s="450"/>
      <c r="D48" s="450"/>
      <c r="E48" s="451"/>
    </row>
    <row r="49" spans="1:5" x14ac:dyDescent="0.2">
      <c r="A49" s="228"/>
      <c r="B49" s="229" t="s">
        <v>320</v>
      </c>
      <c r="C49" s="230">
        <f>$C$22</f>
        <v>621</v>
      </c>
      <c r="D49" s="231" t="s">
        <v>182</v>
      </c>
      <c r="E49" s="228"/>
    </row>
    <row r="50" spans="1:5" x14ac:dyDescent="0.2">
      <c r="A50" s="228"/>
      <c r="B50" s="229" t="s">
        <v>321</v>
      </c>
      <c r="C50" s="230">
        <f>$C$23</f>
        <v>6</v>
      </c>
      <c r="D50" s="231" t="s">
        <v>182</v>
      </c>
      <c r="E50" s="222"/>
    </row>
    <row r="51" spans="1:5" x14ac:dyDescent="0.2">
      <c r="A51" s="228"/>
      <c r="B51" s="229" t="s">
        <v>323</v>
      </c>
      <c r="C51" s="232">
        <f>ROUND(C49*C50,2)</f>
        <v>3726</v>
      </c>
      <c r="D51" s="233" t="s">
        <v>15</v>
      </c>
      <c r="E51" s="222"/>
    </row>
    <row r="52" spans="1:5" x14ac:dyDescent="0.2">
      <c r="A52" s="228"/>
      <c r="B52" s="229"/>
      <c r="C52" s="222"/>
      <c r="D52" s="222"/>
      <c r="E52" s="222"/>
    </row>
    <row r="53" spans="1:5" ht="30" customHeight="1" x14ac:dyDescent="0.25">
      <c r="A53" s="248" t="s">
        <v>378</v>
      </c>
      <c r="B53" s="450" t="s">
        <v>380</v>
      </c>
      <c r="C53" s="450"/>
      <c r="D53" s="450"/>
      <c r="E53" s="451"/>
    </row>
    <row r="54" spans="1:5" x14ac:dyDescent="0.2">
      <c r="A54" s="228"/>
      <c r="B54" s="229" t="s">
        <v>320</v>
      </c>
      <c r="C54" s="230">
        <f>C49</f>
        <v>621</v>
      </c>
      <c r="D54" s="231" t="s">
        <v>182</v>
      </c>
      <c r="E54" s="228"/>
    </row>
    <row r="55" spans="1:5" x14ac:dyDescent="0.2">
      <c r="A55" s="228"/>
      <c r="B55" s="229" t="s">
        <v>321</v>
      </c>
      <c r="C55" s="230">
        <f>C50</f>
        <v>6</v>
      </c>
      <c r="D55" s="231" t="s">
        <v>182</v>
      </c>
      <c r="E55" s="222"/>
    </row>
    <row r="56" spans="1:5" x14ac:dyDescent="0.2">
      <c r="A56" s="228"/>
      <c r="B56" s="229" t="s">
        <v>323</v>
      </c>
      <c r="C56" s="232">
        <f>ROUND(C54*C55,2)</f>
        <v>3726</v>
      </c>
      <c r="D56" s="233" t="s">
        <v>15</v>
      </c>
      <c r="E56" s="222"/>
    </row>
    <row r="57" spans="1:5" x14ac:dyDescent="0.2">
      <c r="A57" s="228"/>
      <c r="B57" s="229"/>
      <c r="C57" s="326"/>
      <c r="D57" s="327"/>
      <c r="E57" s="222"/>
    </row>
    <row r="58" spans="1:5" x14ac:dyDescent="0.2">
      <c r="A58" s="218" t="s">
        <v>178</v>
      </c>
      <c r="B58" s="219" t="s">
        <v>179</v>
      </c>
      <c r="C58" s="220"/>
      <c r="D58" s="221"/>
      <c r="E58" s="222"/>
    </row>
    <row r="59" spans="1:5" ht="30" customHeight="1" x14ac:dyDescent="0.25">
      <c r="A59" s="248" t="s">
        <v>180</v>
      </c>
      <c r="B59" s="450" t="s">
        <v>181</v>
      </c>
      <c r="C59" s="450"/>
      <c r="D59" s="450"/>
      <c r="E59" s="451"/>
    </row>
    <row r="60" spans="1:5" x14ac:dyDescent="0.2">
      <c r="A60" s="228"/>
      <c r="B60" s="229" t="s">
        <v>320</v>
      </c>
      <c r="C60" s="230">
        <f>C43</f>
        <v>621</v>
      </c>
      <c r="D60" s="231" t="s">
        <v>182</v>
      </c>
      <c r="E60" s="228"/>
    </row>
    <row r="61" spans="1:5" x14ac:dyDescent="0.2">
      <c r="A61" s="228"/>
      <c r="B61" s="229" t="s">
        <v>268</v>
      </c>
      <c r="C61" s="230">
        <v>2</v>
      </c>
      <c r="D61" s="231" t="s">
        <v>184</v>
      </c>
      <c r="E61" s="228"/>
    </row>
    <row r="62" spans="1:5" x14ac:dyDescent="0.2">
      <c r="A62" s="228"/>
      <c r="B62" s="229" t="s">
        <v>340</v>
      </c>
      <c r="C62" s="230">
        <v>12</v>
      </c>
      <c r="D62" s="231" t="s">
        <v>182</v>
      </c>
      <c r="E62" s="228"/>
    </row>
    <row r="63" spans="1:5" x14ac:dyDescent="0.2">
      <c r="A63" s="228"/>
      <c r="B63" s="229" t="s">
        <v>327</v>
      </c>
      <c r="C63" s="232">
        <f>ROUND(C60*C61+C62,2)</f>
        <v>1254</v>
      </c>
      <c r="D63" s="233" t="s">
        <v>182</v>
      </c>
      <c r="E63" s="222"/>
    </row>
    <row r="65" spans="1:6" ht="30" customHeight="1" x14ac:dyDescent="0.2">
      <c r="A65" s="248" t="s">
        <v>183</v>
      </c>
      <c r="B65" s="450" t="s">
        <v>328</v>
      </c>
      <c r="C65" s="450"/>
      <c r="D65" s="450"/>
      <c r="E65" s="451"/>
      <c r="F65" s="249"/>
    </row>
    <row r="66" spans="1:6" x14ac:dyDescent="0.2">
      <c r="A66" s="228"/>
      <c r="B66" s="229" t="s">
        <v>320</v>
      </c>
      <c r="C66" s="230">
        <f>C60</f>
        <v>621</v>
      </c>
      <c r="D66" s="231" t="s">
        <v>182</v>
      </c>
      <c r="E66" s="228"/>
    </row>
    <row r="67" spans="1:6" x14ac:dyDescent="0.2">
      <c r="A67" s="228"/>
      <c r="B67" s="229" t="s">
        <v>268</v>
      </c>
      <c r="C67" s="230">
        <v>2</v>
      </c>
      <c r="D67" s="231" t="s">
        <v>184</v>
      </c>
      <c r="E67" s="228"/>
    </row>
    <row r="68" spans="1:6" x14ac:dyDescent="0.2">
      <c r="A68" s="228"/>
      <c r="B68" s="229" t="s">
        <v>327</v>
      </c>
      <c r="C68" s="232">
        <f>ROUND(C66*C67,2)</f>
        <v>1242</v>
      </c>
      <c r="D68" s="233" t="s">
        <v>182</v>
      </c>
      <c r="E68" s="222"/>
    </row>
    <row r="70" spans="1:6" x14ac:dyDescent="0.2">
      <c r="A70" s="218" t="s">
        <v>239</v>
      </c>
      <c r="B70" s="219" t="s">
        <v>237</v>
      </c>
      <c r="C70" s="220"/>
      <c r="D70" s="221"/>
      <c r="E70" s="222"/>
    </row>
    <row r="71" spans="1:6" s="250" customFormat="1" x14ac:dyDescent="0.2">
      <c r="A71" s="248" t="s">
        <v>240</v>
      </c>
      <c r="B71" s="450" t="s">
        <v>298</v>
      </c>
      <c r="C71" s="450"/>
      <c r="D71" s="450"/>
      <c r="E71" s="451"/>
      <c r="F71" s="249"/>
    </row>
    <row r="72" spans="1:6" x14ac:dyDescent="0.2">
      <c r="A72" s="228"/>
      <c r="B72" s="229" t="s">
        <v>331</v>
      </c>
      <c r="C72" s="230">
        <f>C51</f>
        <v>3726</v>
      </c>
      <c r="D72" s="231" t="s">
        <v>15</v>
      </c>
      <c r="E72" s="228"/>
    </row>
    <row r="73" spans="1:6" x14ac:dyDescent="0.2">
      <c r="A73" s="228"/>
      <c r="B73" s="229" t="s">
        <v>332</v>
      </c>
      <c r="C73" s="251">
        <v>4.2000000000000003E-2</v>
      </c>
      <c r="D73" s="231" t="s">
        <v>269</v>
      </c>
      <c r="E73" s="222"/>
    </row>
    <row r="74" spans="1:6" x14ac:dyDescent="0.2">
      <c r="A74" s="228"/>
      <c r="B74" s="229" t="s">
        <v>333</v>
      </c>
      <c r="C74" s="230">
        <v>2.52</v>
      </c>
      <c r="D74" s="231" t="s">
        <v>334</v>
      </c>
      <c r="E74" s="222"/>
    </row>
    <row r="75" spans="1:6" x14ac:dyDescent="0.2">
      <c r="A75" s="228"/>
      <c r="B75" s="229" t="s">
        <v>335</v>
      </c>
      <c r="C75" s="230">
        <v>1.5</v>
      </c>
      <c r="D75" s="231" t="s">
        <v>270</v>
      </c>
      <c r="E75" s="222"/>
    </row>
    <row r="76" spans="1:6" x14ac:dyDescent="0.2">
      <c r="A76" s="228"/>
      <c r="B76" s="229" t="s">
        <v>336</v>
      </c>
      <c r="C76" s="230">
        <v>30</v>
      </c>
      <c r="D76" s="231" t="s">
        <v>271</v>
      </c>
      <c r="E76" s="222"/>
    </row>
    <row r="77" spans="1:6" x14ac:dyDescent="0.2">
      <c r="A77" s="228"/>
      <c r="B77" s="219" t="s">
        <v>341</v>
      </c>
      <c r="C77" s="232">
        <f>ROUND(C72*C73*C74*C75*C76,2)</f>
        <v>17746.189999999999</v>
      </c>
      <c r="D77" s="233" t="s">
        <v>342</v>
      </c>
      <c r="E77" s="222"/>
    </row>
    <row r="79" spans="1:6" s="250" customFormat="1" ht="30" customHeight="1" x14ac:dyDescent="0.2">
      <c r="A79" s="248" t="s">
        <v>297</v>
      </c>
      <c r="B79" s="450" t="s">
        <v>299</v>
      </c>
      <c r="C79" s="450"/>
      <c r="D79" s="450"/>
      <c r="E79" s="451"/>
      <c r="F79" s="249"/>
    </row>
    <row r="80" spans="1:6" x14ac:dyDescent="0.2">
      <c r="A80" s="228"/>
      <c r="B80" s="229" t="s">
        <v>331</v>
      </c>
      <c r="C80" s="230">
        <f>C72</f>
        <v>3726</v>
      </c>
      <c r="D80" s="231" t="s">
        <v>15</v>
      </c>
      <c r="E80" s="252"/>
    </row>
    <row r="81" spans="1:6" x14ac:dyDescent="0.2">
      <c r="A81" s="228"/>
      <c r="B81" s="229" t="s">
        <v>332</v>
      </c>
      <c r="C81" s="251">
        <v>4.2000000000000003E-2</v>
      </c>
      <c r="D81" s="231" t="s">
        <v>269</v>
      </c>
      <c r="E81" s="253"/>
    </row>
    <row r="82" spans="1:6" x14ac:dyDescent="0.2">
      <c r="A82" s="228"/>
      <c r="B82" s="229" t="s">
        <v>333</v>
      </c>
      <c r="C82" s="230">
        <v>2.52</v>
      </c>
      <c r="D82" s="231" t="s">
        <v>334</v>
      </c>
      <c r="E82" s="253"/>
    </row>
    <row r="83" spans="1:6" x14ac:dyDescent="0.2">
      <c r="A83" s="228"/>
      <c r="B83" s="229" t="s">
        <v>335</v>
      </c>
      <c r="C83" s="230">
        <v>1.5</v>
      </c>
      <c r="D83" s="231" t="s">
        <v>270</v>
      </c>
      <c r="E83" s="253"/>
    </row>
    <row r="84" spans="1:6" x14ac:dyDescent="0.2">
      <c r="A84" s="228"/>
      <c r="B84" s="229" t="s">
        <v>336</v>
      </c>
      <c r="C84" s="230">
        <f>C24-30</f>
        <v>14</v>
      </c>
      <c r="D84" s="231" t="s">
        <v>271</v>
      </c>
      <c r="E84" s="253"/>
    </row>
    <row r="85" spans="1:6" ht="12.75" customHeight="1" x14ac:dyDescent="0.2">
      <c r="A85" s="228"/>
      <c r="B85" s="219" t="s">
        <v>341</v>
      </c>
      <c r="C85" s="232">
        <f>ROUND(C80*C81*C82*C83*C84,2)</f>
        <v>8281.56</v>
      </c>
      <c r="D85" s="233" t="s">
        <v>342</v>
      </c>
      <c r="E85" s="253"/>
    </row>
    <row r="86" spans="1:6" x14ac:dyDescent="0.2">
      <c r="B86" s="229"/>
      <c r="C86" s="234"/>
      <c r="D86" s="243"/>
    </row>
    <row r="87" spans="1:6" x14ac:dyDescent="0.2">
      <c r="A87" s="218" t="s">
        <v>276</v>
      </c>
      <c r="B87" s="219" t="s">
        <v>329</v>
      </c>
      <c r="C87" s="220"/>
      <c r="D87" s="221"/>
      <c r="E87" s="222"/>
    </row>
    <row r="88" spans="1:6" ht="23.25" customHeight="1" x14ac:dyDescent="0.2">
      <c r="A88" s="248" t="s">
        <v>278</v>
      </c>
      <c r="B88" s="450" t="s">
        <v>354</v>
      </c>
      <c r="C88" s="450"/>
      <c r="D88" s="450"/>
      <c r="E88" s="451"/>
      <c r="F88" s="249"/>
    </row>
    <row r="89" spans="1:6" x14ac:dyDescent="0.2">
      <c r="A89" s="228"/>
      <c r="B89" s="229" t="s">
        <v>330</v>
      </c>
      <c r="C89" s="230">
        <v>1</v>
      </c>
      <c r="D89" s="231" t="s">
        <v>184</v>
      </c>
      <c r="E89" s="228"/>
    </row>
    <row r="90" spans="1:6" x14ac:dyDescent="0.2">
      <c r="A90" s="228"/>
      <c r="B90" s="229" t="s">
        <v>365</v>
      </c>
      <c r="C90" s="232">
        <f>C89</f>
        <v>1</v>
      </c>
      <c r="D90" s="233" t="s">
        <v>184</v>
      </c>
      <c r="E90" s="222"/>
    </row>
    <row r="92" spans="1:6" x14ac:dyDescent="0.25">
      <c r="A92" s="236"/>
      <c r="B92" s="237" t="s">
        <v>375</v>
      </c>
      <c r="C92" s="452"/>
      <c r="D92" s="453"/>
      <c r="E92" s="453"/>
    </row>
    <row r="93" spans="1:6" x14ac:dyDescent="0.2">
      <c r="A93" s="238"/>
      <c r="B93" s="239" t="s">
        <v>325</v>
      </c>
      <c r="C93" s="240">
        <v>445</v>
      </c>
      <c r="D93" s="221" t="s">
        <v>182</v>
      </c>
      <c r="E93" s="222"/>
    </row>
    <row r="94" spans="1:6" x14ac:dyDescent="0.2">
      <c r="A94" s="238"/>
      <c r="B94" s="239" t="s">
        <v>326</v>
      </c>
      <c r="C94" s="240">
        <v>6</v>
      </c>
      <c r="D94" s="221" t="s">
        <v>182</v>
      </c>
      <c r="E94" s="222"/>
    </row>
    <row r="95" spans="1:6" x14ac:dyDescent="0.2">
      <c r="A95" s="238"/>
      <c r="B95" s="239" t="s">
        <v>338</v>
      </c>
      <c r="C95" s="240">
        <v>48</v>
      </c>
      <c r="D95" s="221" t="s">
        <v>339</v>
      </c>
      <c r="E95" s="222"/>
    </row>
    <row r="96" spans="1:6" x14ac:dyDescent="0.2">
      <c r="A96" s="238"/>
      <c r="B96" s="239"/>
      <c r="C96" s="240"/>
      <c r="D96" s="221"/>
      <c r="E96" s="222"/>
    </row>
    <row r="97" spans="1:5" x14ac:dyDescent="0.2">
      <c r="A97" s="238"/>
      <c r="B97" s="239"/>
      <c r="C97" s="240"/>
      <c r="D97" s="221"/>
      <c r="E97" s="222"/>
    </row>
    <row r="98" spans="1:5" x14ac:dyDescent="0.2">
      <c r="A98" s="238"/>
      <c r="B98" s="239"/>
      <c r="C98" s="240"/>
      <c r="D98" s="221"/>
      <c r="E98" s="222"/>
    </row>
    <row r="99" spans="1:5" x14ac:dyDescent="0.2">
      <c r="A99" s="238"/>
      <c r="B99" s="239"/>
      <c r="C99" s="240"/>
      <c r="D99" s="221"/>
      <c r="E99" s="222"/>
    </row>
    <row r="100" spans="1:5" x14ac:dyDescent="0.2">
      <c r="A100" s="238"/>
      <c r="B100" s="239"/>
      <c r="C100" s="240"/>
      <c r="D100" s="221"/>
      <c r="E100" s="222"/>
    </row>
    <row r="101" spans="1:5" x14ac:dyDescent="0.2">
      <c r="A101" s="238"/>
      <c r="B101" s="239"/>
      <c r="C101" s="240"/>
      <c r="D101" s="221"/>
      <c r="E101" s="222"/>
    </row>
    <row r="102" spans="1:5" x14ac:dyDescent="0.2">
      <c r="A102" s="238"/>
      <c r="B102" s="239"/>
      <c r="C102" s="240"/>
      <c r="D102" s="221"/>
      <c r="E102" s="222"/>
    </row>
    <row r="103" spans="1:5" x14ac:dyDescent="0.2">
      <c r="A103" s="238"/>
      <c r="B103" s="239"/>
      <c r="C103" s="240"/>
      <c r="D103" s="221"/>
      <c r="E103" s="222"/>
    </row>
    <row r="104" spans="1:5" x14ac:dyDescent="0.2">
      <c r="A104" s="238"/>
      <c r="B104" s="239"/>
      <c r="C104" s="240"/>
      <c r="D104" s="221"/>
      <c r="E104" s="222"/>
    </row>
    <row r="105" spans="1:5" x14ac:dyDescent="0.2">
      <c r="A105" s="238"/>
      <c r="B105" s="239"/>
      <c r="C105" s="240"/>
      <c r="D105" s="221"/>
      <c r="E105" s="222"/>
    </row>
    <row r="106" spans="1:5" x14ac:dyDescent="0.2">
      <c r="A106" s="238"/>
      <c r="B106" s="239"/>
      <c r="C106" s="240"/>
      <c r="D106" s="221"/>
      <c r="E106" s="222"/>
    </row>
    <row r="107" spans="1:5" x14ac:dyDescent="0.2">
      <c r="A107" s="238"/>
      <c r="B107" s="239"/>
      <c r="C107" s="240"/>
      <c r="D107" s="221"/>
      <c r="E107" s="222"/>
    </row>
    <row r="108" spans="1:5" x14ac:dyDescent="0.2">
      <c r="A108" s="238"/>
      <c r="B108" s="239"/>
      <c r="C108" s="240"/>
      <c r="D108" s="221"/>
      <c r="E108" s="222"/>
    </row>
    <row r="109" spans="1:5" x14ac:dyDescent="0.2">
      <c r="A109" s="238"/>
      <c r="B109" s="239"/>
      <c r="C109" s="240"/>
      <c r="D109" s="221"/>
      <c r="E109" s="222"/>
    </row>
    <row r="110" spans="1:5" x14ac:dyDescent="0.2">
      <c r="A110" s="238"/>
      <c r="B110" s="239"/>
      <c r="C110" s="240"/>
      <c r="D110" s="221"/>
      <c r="E110" s="222"/>
    </row>
    <row r="111" spans="1:5" x14ac:dyDescent="0.2">
      <c r="A111" s="218"/>
      <c r="B111" s="241"/>
      <c r="C111" s="220"/>
      <c r="D111" s="242"/>
      <c r="E111" s="222"/>
    </row>
    <row r="112" spans="1:5" x14ac:dyDescent="0.2">
      <c r="A112" s="218" t="s">
        <v>33</v>
      </c>
      <c r="B112" s="219" t="s">
        <v>173</v>
      </c>
      <c r="C112" s="220"/>
      <c r="D112" s="221"/>
      <c r="E112" s="222"/>
    </row>
    <row r="113" spans="1:5" x14ac:dyDescent="0.2">
      <c r="A113" s="223" t="s">
        <v>35</v>
      </c>
      <c r="B113" s="224" t="s">
        <v>174</v>
      </c>
      <c r="C113" s="225"/>
      <c r="D113" s="226"/>
      <c r="E113" s="227"/>
    </row>
    <row r="114" spans="1:5" x14ac:dyDescent="0.2">
      <c r="A114" s="228"/>
      <c r="B114" s="229" t="s">
        <v>320</v>
      </c>
      <c r="C114" s="230">
        <f>C93</f>
        <v>445</v>
      </c>
      <c r="D114" s="231" t="s">
        <v>182</v>
      </c>
      <c r="E114" s="228"/>
    </row>
    <row r="115" spans="1:5" x14ac:dyDescent="0.2">
      <c r="A115" s="228"/>
      <c r="B115" s="229" t="s">
        <v>321</v>
      </c>
      <c r="C115" s="230">
        <f>$C$23</f>
        <v>6</v>
      </c>
      <c r="D115" s="231" t="s">
        <v>182</v>
      </c>
      <c r="E115" s="222"/>
    </row>
    <row r="116" spans="1:5" x14ac:dyDescent="0.2">
      <c r="A116" s="228"/>
      <c r="B116" s="229" t="s">
        <v>323</v>
      </c>
      <c r="C116" s="232">
        <f>ROUND(C114*C115,2)</f>
        <v>2670</v>
      </c>
      <c r="D116" s="233" t="s">
        <v>15</v>
      </c>
      <c r="E116" s="222"/>
    </row>
    <row r="117" spans="1:5" x14ac:dyDescent="0.2">
      <c r="A117" s="244"/>
      <c r="B117" s="245"/>
      <c r="C117" s="235"/>
      <c r="D117" s="246"/>
      <c r="E117" s="247"/>
    </row>
    <row r="118" spans="1:5" x14ac:dyDescent="0.2">
      <c r="A118" s="218" t="s">
        <v>175</v>
      </c>
      <c r="B118" s="219" t="s">
        <v>176</v>
      </c>
      <c r="C118" s="220"/>
      <c r="D118" s="221"/>
      <c r="E118" s="222"/>
    </row>
    <row r="119" spans="1:5" ht="30" customHeight="1" x14ac:dyDescent="0.25">
      <c r="A119" s="248" t="s">
        <v>177</v>
      </c>
      <c r="B119" s="450" t="s">
        <v>275</v>
      </c>
      <c r="C119" s="450"/>
      <c r="D119" s="450"/>
      <c r="E119" s="451"/>
    </row>
    <row r="120" spans="1:5" x14ac:dyDescent="0.2">
      <c r="A120" s="228"/>
      <c r="B120" s="229" t="s">
        <v>320</v>
      </c>
      <c r="C120" s="230">
        <f>C114</f>
        <v>445</v>
      </c>
      <c r="D120" s="231" t="s">
        <v>182</v>
      </c>
      <c r="E120" s="228"/>
    </row>
    <row r="121" spans="1:5" x14ac:dyDescent="0.2">
      <c r="A121" s="228"/>
      <c r="B121" s="229" t="s">
        <v>321</v>
      </c>
      <c r="C121" s="230">
        <f>$C$23</f>
        <v>6</v>
      </c>
      <c r="D121" s="231" t="s">
        <v>182</v>
      </c>
      <c r="E121" s="222"/>
    </row>
    <row r="122" spans="1:5" x14ac:dyDescent="0.2">
      <c r="A122" s="228"/>
      <c r="B122" s="229" t="s">
        <v>323</v>
      </c>
      <c r="C122" s="232">
        <f>ROUND(C120*C121,2)</f>
        <v>2670</v>
      </c>
      <c r="D122" s="233" t="s">
        <v>15</v>
      </c>
      <c r="E122" s="222"/>
    </row>
    <row r="123" spans="1:5" x14ac:dyDescent="0.2">
      <c r="A123" s="228"/>
      <c r="B123" s="229"/>
      <c r="C123" s="222"/>
      <c r="D123" s="222"/>
      <c r="E123" s="222"/>
    </row>
    <row r="124" spans="1:5" ht="30" customHeight="1" x14ac:dyDescent="0.25">
      <c r="A124" s="248" t="s">
        <v>378</v>
      </c>
      <c r="B124" s="450" t="s">
        <v>380</v>
      </c>
      <c r="C124" s="450"/>
      <c r="D124" s="450"/>
      <c r="E124" s="451"/>
    </row>
    <row r="125" spans="1:5" x14ac:dyDescent="0.2">
      <c r="A125" s="228"/>
      <c r="B125" s="229" t="s">
        <v>320</v>
      </c>
      <c r="C125" s="230">
        <f>C120</f>
        <v>445</v>
      </c>
      <c r="D125" s="231" t="s">
        <v>182</v>
      </c>
      <c r="E125" s="228"/>
    </row>
    <row r="126" spans="1:5" x14ac:dyDescent="0.2">
      <c r="A126" s="228"/>
      <c r="B126" s="229" t="s">
        <v>321</v>
      </c>
      <c r="C126" s="230">
        <f>C121</f>
        <v>6</v>
      </c>
      <c r="D126" s="231" t="s">
        <v>182</v>
      </c>
      <c r="E126" s="222"/>
    </row>
    <row r="127" spans="1:5" x14ac:dyDescent="0.2">
      <c r="A127" s="228"/>
      <c r="B127" s="229" t="s">
        <v>323</v>
      </c>
      <c r="C127" s="232">
        <f>ROUND(C125*C126,2)</f>
        <v>2670</v>
      </c>
      <c r="D127" s="233" t="s">
        <v>15</v>
      </c>
      <c r="E127" s="222"/>
    </row>
    <row r="128" spans="1:5" x14ac:dyDescent="0.2">
      <c r="A128" s="228"/>
      <c r="B128" s="229"/>
      <c r="C128" s="326"/>
      <c r="D128" s="327"/>
      <c r="E128" s="222"/>
    </row>
    <row r="129" spans="1:6" x14ac:dyDescent="0.2">
      <c r="A129" s="218" t="s">
        <v>178</v>
      </c>
      <c r="B129" s="219" t="s">
        <v>179</v>
      </c>
      <c r="C129" s="220"/>
      <c r="D129" s="221"/>
      <c r="E129" s="222"/>
    </row>
    <row r="130" spans="1:6" ht="30" customHeight="1" x14ac:dyDescent="0.25">
      <c r="A130" s="248" t="s">
        <v>180</v>
      </c>
      <c r="B130" s="450" t="s">
        <v>181</v>
      </c>
      <c r="C130" s="450"/>
      <c r="D130" s="450"/>
      <c r="E130" s="451"/>
    </row>
    <row r="131" spans="1:6" x14ac:dyDescent="0.2">
      <c r="A131" s="228"/>
      <c r="B131" s="229" t="s">
        <v>320</v>
      </c>
      <c r="C131" s="230">
        <f>C114</f>
        <v>445</v>
      </c>
      <c r="D131" s="231" t="s">
        <v>182</v>
      </c>
      <c r="E131" s="228"/>
    </row>
    <row r="132" spans="1:6" x14ac:dyDescent="0.2">
      <c r="A132" s="228"/>
      <c r="B132" s="229" t="s">
        <v>268</v>
      </c>
      <c r="C132" s="230">
        <v>2</v>
      </c>
      <c r="D132" s="231" t="s">
        <v>184</v>
      </c>
      <c r="E132" s="228"/>
    </row>
    <row r="133" spans="1:6" x14ac:dyDescent="0.2">
      <c r="A133" s="228"/>
      <c r="B133" s="229" t="s">
        <v>340</v>
      </c>
      <c r="C133" s="230">
        <v>12</v>
      </c>
      <c r="D133" s="231" t="s">
        <v>182</v>
      </c>
      <c r="E133" s="228"/>
    </row>
    <row r="134" spans="1:6" x14ac:dyDescent="0.2">
      <c r="A134" s="228"/>
      <c r="B134" s="229" t="s">
        <v>327</v>
      </c>
      <c r="C134" s="232">
        <f>ROUND(C131*C132+C133,2)</f>
        <v>902</v>
      </c>
      <c r="D134" s="233" t="s">
        <v>182</v>
      </c>
      <c r="E134" s="222"/>
    </row>
    <row r="136" spans="1:6" ht="30" customHeight="1" x14ac:dyDescent="0.2">
      <c r="A136" s="248" t="s">
        <v>183</v>
      </c>
      <c r="B136" s="450" t="s">
        <v>328</v>
      </c>
      <c r="C136" s="450"/>
      <c r="D136" s="450"/>
      <c r="E136" s="451"/>
      <c r="F136" s="249"/>
    </row>
    <row r="137" spans="1:6" x14ac:dyDescent="0.2">
      <c r="A137" s="228"/>
      <c r="B137" s="229" t="s">
        <v>320</v>
      </c>
      <c r="C137" s="230">
        <f>C131</f>
        <v>445</v>
      </c>
      <c r="D137" s="231" t="s">
        <v>182</v>
      </c>
      <c r="E137" s="228"/>
    </row>
    <row r="138" spans="1:6" x14ac:dyDescent="0.2">
      <c r="A138" s="228"/>
      <c r="B138" s="229" t="s">
        <v>268</v>
      </c>
      <c r="C138" s="230">
        <v>2</v>
      </c>
      <c r="D138" s="231" t="s">
        <v>184</v>
      </c>
      <c r="E138" s="228"/>
    </row>
    <row r="139" spans="1:6" x14ac:dyDescent="0.2">
      <c r="A139" s="228"/>
      <c r="B139" s="229" t="s">
        <v>327</v>
      </c>
      <c r="C139" s="232">
        <f>ROUND(C137*C138,2)</f>
        <v>890</v>
      </c>
      <c r="D139" s="233" t="s">
        <v>182</v>
      </c>
      <c r="E139" s="222"/>
    </row>
    <row r="141" spans="1:6" x14ac:dyDescent="0.2">
      <c r="A141" s="218" t="s">
        <v>239</v>
      </c>
      <c r="B141" s="219" t="s">
        <v>237</v>
      </c>
      <c r="C141" s="220"/>
      <c r="D141" s="221"/>
      <c r="E141" s="222"/>
    </row>
    <row r="142" spans="1:6" s="250" customFormat="1" x14ac:dyDescent="0.2">
      <c r="A142" s="248" t="s">
        <v>240</v>
      </c>
      <c r="B142" s="450" t="s">
        <v>298</v>
      </c>
      <c r="C142" s="450"/>
      <c r="D142" s="450"/>
      <c r="E142" s="451"/>
      <c r="F142" s="249"/>
    </row>
    <row r="143" spans="1:6" x14ac:dyDescent="0.2">
      <c r="A143" s="228"/>
      <c r="B143" s="229" t="s">
        <v>331</v>
      </c>
      <c r="C143" s="230">
        <f>C122</f>
        <v>2670</v>
      </c>
      <c r="D143" s="231" t="s">
        <v>15</v>
      </c>
      <c r="E143" s="228"/>
    </row>
    <row r="144" spans="1:6" x14ac:dyDescent="0.2">
      <c r="A144" s="228"/>
      <c r="B144" s="229" t="s">
        <v>332</v>
      </c>
      <c r="C144" s="251">
        <v>4.2000000000000003E-2</v>
      </c>
      <c r="D144" s="231" t="s">
        <v>269</v>
      </c>
      <c r="E144" s="222"/>
    </row>
    <row r="145" spans="1:6" x14ac:dyDescent="0.2">
      <c r="A145" s="228"/>
      <c r="B145" s="229" t="s">
        <v>333</v>
      </c>
      <c r="C145" s="230">
        <v>2.52</v>
      </c>
      <c r="D145" s="231" t="s">
        <v>334</v>
      </c>
      <c r="E145" s="222"/>
    </row>
    <row r="146" spans="1:6" x14ac:dyDescent="0.2">
      <c r="A146" s="228"/>
      <c r="B146" s="229" t="s">
        <v>335</v>
      </c>
      <c r="C146" s="230">
        <v>1.5</v>
      </c>
      <c r="D146" s="231" t="s">
        <v>270</v>
      </c>
      <c r="E146" s="222"/>
    </row>
    <row r="147" spans="1:6" x14ac:dyDescent="0.2">
      <c r="A147" s="228"/>
      <c r="B147" s="229" t="s">
        <v>336</v>
      </c>
      <c r="C147" s="230">
        <v>30</v>
      </c>
      <c r="D147" s="231" t="s">
        <v>271</v>
      </c>
      <c r="E147" s="222"/>
    </row>
    <row r="148" spans="1:6" x14ac:dyDescent="0.2">
      <c r="A148" s="228"/>
      <c r="B148" s="219" t="s">
        <v>341</v>
      </c>
      <c r="C148" s="232">
        <f>ROUND(C143*C144*C145*C146*C147,2)</f>
        <v>12716.68</v>
      </c>
      <c r="D148" s="233" t="s">
        <v>342</v>
      </c>
      <c r="E148" s="222"/>
    </row>
    <row r="150" spans="1:6" s="250" customFormat="1" ht="30" customHeight="1" x14ac:dyDescent="0.2">
      <c r="A150" s="248" t="s">
        <v>297</v>
      </c>
      <c r="B150" s="450" t="s">
        <v>299</v>
      </c>
      <c r="C150" s="450"/>
      <c r="D150" s="450"/>
      <c r="E150" s="451"/>
      <c r="F150" s="249"/>
    </row>
    <row r="151" spans="1:6" x14ac:dyDescent="0.2">
      <c r="A151" s="228"/>
      <c r="B151" s="229" t="s">
        <v>331</v>
      </c>
      <c r="C151" s="230">
        <f>C143</f>
        <v>2670</v>
      </c>
      <c r="D151" s="231" t="s">
        <v>15</v>
      </c>
      <c r="E151" s="252"/>
    </row>
    <row r="152" spans="1:6" x14ac:dyDescent="0.2">
      <c r="A152" s="228"/>
      <c r="B152" s="229" t="s">
        <v>332</v>
      </c>
      <c r="C152" s="251">
        <v>4.2000000000000003E-2</v>
      </c>
      <c r="D152" s="231" t="s">
        <v>269</v>
      </c>
      <c r="E152" s="253"/>
    </row>
    <row r="153" spans="1:6" x14ac:dyDescent="0.2">
      <c r="A153" s="228"/>
      <c r="B153" s="229" t="s">
        <v>333</v>
      </c>
      <c r="C153" s="230">
        <v>2.52</v>
      </c>
      <c r="D153" s="231" t="s">
        <v>334</v>
      </c>
      <c r="E153" s="253"/>
    </row>
    <row r="154" spans="1:6" x14ac:dyDescent="0.2">
      <c r="A154" s="228"/>
      <c r="B154" s="229" t="s">
        <v>335</v>
      </c>
      <c r="C154" s="230">
        <v>1.5</v>
      </c>
      <c r="D154" s="231" t="s">
        <v>270</v>
      </c>
      <c r="E154" s="253"/>
    </row>
    <row r="155" spans="1:6" x14ac:dyDescent="0.2">
      <c r="A155" s="228"/>
      <c r="B155" s="229" t="s">
        <v>336</v>
      </c>
      <c r="C155" s="230">
        <f>C95-30</f>
        <v>18</v>
      </c>
      <c r="D155" s="231" t="s">
        <v>271</v>
      </c>
      <c r="E155" s="253"/>
    </row>
    <row r="156" spans="1:6" ht="12.75" customHeight="1" x14ac:dyDescent="0.2">
      <c r="A156" s="228"/>
      <c r="B156" s="219" t="s">
        <v>341</v>
      </c>
      <c r="C156" s="232">
        <f>ROUND(C151*C152*C153*C154*C155,2)</f>
        <v>7630.01</v>
      </c>
      <c r="D156" s="233" t="s">
        <v>342</v>
      </c>
      <c r="E156" s="253"/>
    </row>
    <row r="157" spans="1:6" x14ac:dyDescent="0.2">
      <c r="B157" s="229"/>
      <c r="C157" s="234"/>
      <c r="D157" s="243"/>
    </row>
  </sheetData>
  <sheetProtection algorithmName="SHA-512" hashValue="Hr7jMPUuaULjq2OlIf5GY08c3I6862MpfA2b1enaQJvcVV8A/f1hcJN22xUi27jyF5vZZ+ULIyj/LyP8hR29pg==" saltValue="urQQ3tbPq9MgsYo+J9jasA==" spinCount="100000" sheet="1" objects="1" scenarios="1" selectLockedCells="1" selectUnlockedCells="1"/>
  <mergeCells count="17">
    <mergeCell ref="A5:E5"/>
    <mergeCell ref="B71:E71"/>
    <mergeCell ref="B79:E79"/>
    <mergeCell ref="A6:E6"/>
    <mergeCell ref="C21:E21"/>
    <mergeCell ref="B48:E48"/>
    <mergeCell ref="B59:E59"/>
    <mergeCell ref="B65:E65"/>
    <mergeCell ref="B53:E53"/>
    <mergeCell ref="B88:E88"/>
    <mergeCell ref="B142:E142"/>
    <mergeCell ref="B150:E150"/>
    <mergeCell ref="C92:E92"/>
    <mergeCell ref="B119:E119"/>
    <mergeCell ref="B130:E130"/>
    <mergeCell ref="B136:E136"/>
    <mergeCell ref="B124:E124"/>
  </mergeCells>
  <pageMargins left="0.70866141732283472" right="0.70866141732283472" top="1.3779527559055118" bottom="1.5748031496062993" header="0.31496062992125984" footer="0.31496062992125984"/>
  <pageSetup paperSize="9" scale="71" fitToHeight="0" orientation="portrait" r:id="rId1"/>
  <headerFooter>
    <oddHeader>&amp;C&amp;G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  <pageSetUpPr fitToPage="1"/>
  </sheetPr>
  <dimension ref="A1:K74"/>
  <sheetViews>
    <sheetView workbookViewId="0">
      <selection sqref="A1:H1"/>
    </sheetView>
  </sheetViews>
  <sheetFormatPr defaultRowHeight="15" x14ac:dyDescent="0.25"/>
  <cols>
    <col min="1" max="1" width="15.7109375" style="108" customWidth="1"/>
    <col min="2" max="2" width="36.28515625" style="108" bestFit="1" customWidth="1"/>
    <col min="3" max="3" width="7.140625" style="109" bestFit="1" customWidth="1"/>
    <col min="4" max="4" width="13.42578125" style="110" bestFit="1" customWidth="1"/>
    <col min="5" max="5" width="15.7109375" style="109" customWidth="1"/>
    <col min="6" max="6" width="19.28515625" style="109" customWidth="1"/>
    <col min="7" max="7" width="13.5703125" style="110" bestFit="1" customWidth="1"/>
    <col min="8" max="8" width="9.140625" style="110"/>
    <col min="9" max="11" width="0" hidden="1" customWidth="1"/>
  </cols>
  <sheetData>
    <row r="1" spans="1:11" x14ac:dyDescent="0.25">
      <c r="A1" s="468" t="s">
        <v>396</v>
      </c>
      <c r="B1" s="469"/>
      <c r="C1" s="469"/>
      <c r="D1" s="469"/>
      <c r="E1" s="469"/>
      <c r="F1" s="469"/>
      <c r="G1" s="469"/>
      <c r="H1" s="469"/>
    </row>
    <row r="2" spans="1:11" x14ac:dyDescent="0.25">
      <c r="A2" s="470" t="s">
        <v>388</v>
      </c>
      <c r="B2" s="470"/>
      <c r="C2" s="470"/>
      <c r="D2" s="470"/>
      <c r="E2" s="470"/>
      <c r="F2" s="470"/>
      <c r="G2" s="470"/>
      <c r="H2" s="470"/>
    </row>
    <row r="3" spans="1:11" x14ac:dyDescent="0.25">
      <c r="A3" s="470" t="s">
        <v>397</v>
      </c>
      <c r="B3" s="470"/>
      <c r="C3" s="470"/>
      <c r="D3" s="470"/>
      <c r="E3" s="470"/>
      <c r="F3" s="470"/>
      <c r="G3" s="470"/>
      <c r="H3" s="470"/>
    </row>
    <row r="5" spans="1:11" x14ac:dyDescent="0.25">
      <c r="A5" s="471" t="s">
        <v>43</v>
      </c>
      <c r="B5" s="472"/>
      <c r="C5" s="472"/>
      <c r="D5" s="472"/>
      <c r="E5" s="472"/>
      <c r="F5" s="472"/>
      <c r="G5" s="472"/>
      <c r="H5" s="473"/>
    </row>
    <row r="6" spans="1:11" x14ac:dyDescent="0.25">
      <c r="A6" s="165"/>
      <c r="B6" s="474"/>
      <c r="C6" s="474"/>
      <c r="D6" s="474"/>
      <c r="E6" s="474"/>
      <c r="F6" s="166"/>
      <c r="G6" s="166"/>
      <c r="H6" s="167"/>
    </row>
    <row r="7" spans="1:11" x14ac:dyDescent="0.25">
      <c r="A7" s="168"/>
      <c r="B7" s="169"/>
      <c r="C7" s="169"/>
      <c r="D7" s="169"/>
      <c r="E7" s="169"/>
      <c r="F7" s="169"/>
      <c r="G7" s="169"/>
      <c r="H7" s="170"/>
      <c r="I7" s="39"/>
      <c r="J7" s="40"/>
      <c r="K7" s="40"/>
    </row>
    <row r="8" spans="1:11" x14ac:dyDescent="0.25">
      <c r="A8" s="475" t="s">
        <v>44</v>
      </c>
      <c r="B8" s="476"/>
      <c r="C8" s="41"/>
      <c r="D8" s="41"/>
      <c r="E8" s="41"/>
      <c r="F8" s="41"/>
      <c r="G8" s="41"/>
      <c r="H8" s="42"/>
      <c r="I8" s="39"/>
      <c r="J8" s="40"/>
      <c r="K8" s="40"/>
    </row>
    <row r="9" spans="1:11" x14ac:dyDescent="0.25">
      <c r="A9" s="161"/>
      <c r="B9" s="43"/>
      <c r="C9" s="41"/>
      <c r="D9" s="41"/>
      <c r="E9" s="41"/>
      <c r="F9" s="41"/>
      <c r="G9" s="41"/>
      <c r="H9" s="42"/>
      <c r="I9" s="39"/>
      <c r="J9" s="40"/>
      <c r="K9" s="40"/>
    </row>
    <row r="10" spans="1:11" x14ac:dyDescent="0.25">
      <c r="A10" s="44"/>
      <c r="B10" s="45" t="s">
        <v>10</v>
      </c>
      <c r="C10" s="46"/>
      <c r="D10" s="47">
        <f>IF(C10="x",1,0)</f>
        <v>0</v>
      </c>
      <c r="E10" s="48"/>
      <c r="F10" s="49"/>
      <c r="G10" s="50"/>
      <c r="H10" s="51">
        <f>IF(F10="x",1,0)</f>
        <v>0</v>
      </c>
      <c r="I10" s="39"/>
      <c r="J10" s="40"/>
      <c r="K10" s="40"/>
    </row>
    <row r="11" spans="1:11" x14ac:dyDescent="0.25">
      <c r="A11" s="44"/>
      <c r="B11" s="45" t="s">
        <v>9</v>
      </c>
      <c r="C11" s="46" t="s">
        <v>45</v>
      </c>
      <c r="D11" s="47">
        <f>IF(C11="x",1,0)</f>
        <v>1</v>
      </c>
      <c r="E11" s="52"/>
      <c r="F11" s="49"/>
      <c r="G11" s="50"/>
      <c r="H11" s="51">
        <f>IF(F11="x",1,0)</f>
        <v>0</v>
      </c>
      <c r="I11" s="39"/>
      <c r="J11" s="40"/>
      <c r="K11" s="40"/>
    </row>
    <row r="12" spans="1:11" ht="15.75" thickBot="1" x14ac:dyDescent="0.3">
      <c r="A12" s="53"/>
      <c r="B12" s="477" t="str">
        <f>IF(D12&gt;1,"SELECIONE SOMENTE UM TIPO DE BDI",IF(D12=0,"SELECIONE UM TIPO DE BDI",""))</f>
        <v/>
      </c>
      <c r="C12" s="477"/>
      <c r="D12" s="54">
        <f>SUM(D10:D11)</f>
        <v>1</v>
      </c>
      <c r="E12" s="478"/>
      <c r="F12" s="478"/>
      <c r="G12" s="478"/>
      <c r="H12" s="55">
        <f>SUM(H10:H11)</f>
        <v>0</v>
      </c>
      <c r="I12" s="39"/>
      <c r="J12" s="40"/>
      <c r="K12" s="40"/>
    </row>
    <row r="13" spans="1:11" ht="15.75" thickBot="1" x14ac:dyDescent="0.3">
      <c r="A13" s="41"/>
      <c r="B13" s="41"/>
      <c r="C13" s="41"/>
      <c r="D13" s="41"/>
      <c r="E13" s="41"/>
      <c r="F13" s="41"/>
      <c r="G13" s="57"/>
      <c r="H13" s="57"/>
      <c r="I13" s="39"/>
      <c r="J13" s="40"/>
      <c r="K13" s="40"/>
    </row>
    <row r="14" spans="1:11" x14ac:dyDescent="0.25">
      <c r="A14" s="462" t="s">
        <v>46</v>
      </c>
      <c r="B14" s="463"/>
      <c r="C14" s="163"/>
      <c r="D14" s="163"/>
      <c r="E14" s="163"/>
      <c r="F14" s="163"/>
      <c r="G14" s="56"/>
      <c r="H14" s="171"/>
      <c r="I14" s="39">
        <f>IF(H22&lt;&gt;0,VLOOKUP("x",G16:I21,3,FALSE),0)</f>
        <v>2</v>
      </c>
      <c r="J14" s="40"/>
      <c r="K14" s="40"/>
    </row>
    <row r="15" spans="1:11" x14ac:dyDescent="0.25">
      <c r="A15" s="161"/>
      <c r="B15" s="43"/>
      <c r="C15" s="41"/>
      <c r="D15" s="41"/>
      <c r="E15" s="41"/>
      <c r="F15" s="41"/>
      <c r="G15" s="57"/>
      <c r="H15" s="172"/>
      <c r="I15" s="39"/>
      <c r="J15" s="40"/>
      <c r="K15" s="40"/>
    </row>
    <row r="16" spans="1:11" x14ac:dyDescent="0.25">
      <c r="A16" s="58"/>
      <c r="B16" s="41"/>
      <c r="C16" s="41"/>
      <c r="D16" s="41"/>
      <c r="E16" s="41"/>
      <c r="F16" s="59" t="s">
        <v>47</v>
      </c>
      <c r="G16" s="46"/>
      <c r="H16" s="51">
        <f t="shared" ref="H16:H21" si="0">IF(G16="x",1,0)</f>
        <v>0</v>
      </c>
      <c r="I16" s="39">
        <v>1</v>
      </c>
      <c r="J16" s="40"/>
      <c r="K16" s="40"/>
    </row>
    <row r="17" spans="1:11" x14ac:dyDescent="0.25">
      <c r="A17" s="58"/>
      <c r="B17" s="41"/>
      <c r="C17" s="41"/>
      <c r="D17" s="41"/>
      <c r="E17" s="41"/>
      <c r="F17" s="59" t="s">
        <v>48</v>
      </c>
      <c r="G17" s="46" t="s">
        <v>45</v>
      </c>
      <c r="H17" s="51">
        <f t="shared" si="0"/>
        <v>1</v>
      </c>
      <c r="I17" s="39">
        <v>2</v>
      </c>
      <c r="J17" s="40"/>
      <c r="K17" s="40"/>
    </row>
    <row r="18" spans="1:11" x14ac:dyDescent="0.25">
      <c r="A18" s="58"/>
      <c r="B18" s="41"/>
      <c r="C18" s="41"/>
      <c r="D18" s="41"/>
      <c r="E18" s="41"/>
      <c r="F18" s="59" t="s">
        <v>49</v>
      </c>
      <c r="G18" s="46"/>
      <c r="H18" s="51">
        <f t="shared" si="0"/>
        <v>0</v>
      </c>
      <c r="I18" s="39">
        <v>3</v>
      </c>
      <c r="J18" s="40"/>
      <c r="K18" s="40"/>
    </row>
    <row r="19" spans="1:11" x14ac:dyDescent="0.25">
      <c r="A19" s="58"/>
      <c r="B19" s="41"/>
      <c r="C19" s="41"/>
      <c r="D19" s="41"/>
      <c r="E19" s="41"/>
      <c r="F19" s="59" t="s">
        <v>50</v>
      </c>
      <c r="G19" s="46"/>
      <c r="H19" s="51">
        <f t="shared" si="0"/>
        <v>0</v>
      </c>
      <c r="I19" s="39">
        <v>4</v>
      </c>
      <c r="J19" s="40"/>
      <c r="K19" s="40"/>
    </row>
    <row r="20" spans="1:11" x14ac:dyDescent="0.25">
      <c r="A20" s="58"/>
      <c r="B20" s="41"/>
      <c r="C20" s="41"/>
      <c r="D20" s="41"/>
      <c r="E20" s="41"/>
      <c r="F20" s="59" t="s">
        <v>51</v>
      </c>
      <c r="G20" s="46"/>
      <c r="H20" s="51">
        <f t="shared" si="0"/>
        <v>0</v>
      </c>
      <c r="I20" s="39">
        <v>5</v>
      </c>
      <c r="J20" s="40"/>
      <c r="K20" s="40"/>
    </row>
    <row r="21" spans="1:11" x14ac:dyDescent="0.25">
      <c r="A21" s="58"/>
      <c r="B21" s="466" t="str">
        <f>IF(AND(C10="x",G21="x"),"NÃO HÁ DESONERAÇÃO PARA FORNECIMENTO DE MATERIAIS","")</f>
        <v/>
      </c>
      <c r="C21" s="466"/>
      <c r="D21" s="466"/>
      <c r="E21" s="41"/>
      <c r="F21" s="59" t="s">
        <v>52</v>
      </c>
      <c r="G21" s="46"/>
      <c r="H21" s="51">
        <f t="shared" si="0"/>
        <v>0</v>
      </c>
      <c r="I21" s="39">
        <v>6</v>
      </c>
      <c r="J21" s="40"/>
      <c r="K21" s="40"/>
    </row>
    <row r="22" spans="1:11" ht="15.75" thickBot="1" x14ac:dyDescent="0.3">
      <c r="A22" s="53"/>
      <c r="B22" s="467" t="str">
        <f>IF(H22&gt;1,"SELECIONE SOMENTE UM TIPO DE SERVIÇO",IF(H22=0,"SELECIONE UM TIPO DE SERVIÇO",""))</f>
        <v/>
      </c>
      <c r="C22" s="467"/>
      <c r="D22" s="160"/>
      <c r="E22" s="160"/>
      <c r="F22" s="60"/>
      <c r="G22" s="61"/>
      <c r="H22" s="55">
        <f>SUM(H16:H21)</f>
        <v>1</v>
      </c>
      <c r="I22" s="39"/>
      <c r="J22" s="40"/>
      <c r="K22" s="40"/>
    </row>
    <row r="23" spans="1:11" ht="15.75" thickBot="1" x14ac:dyDescent="0.3">
      <c r="A23" s="41"/>
      <c r="B23" s="41"/>
      <c r="C23" s="41"/>
      <c r="D23" s="41"/>
      <c r="E23" s="162"/>
      <c r="F23" s="162"/>
      <c r="G23" s="50"/>
      <c r="H23" s="50"/>
      <c r="I23" s="39"/>
      <c r="J23" s="40"/>
      <c r="K23" s="40"/>
    </row>
    <row r="24" spans="1:11" x14ac:dyDescent="0.25">
      <c r="A24" s="462" t="s">
        <v>53</v>
      </c>
      <c r="B24" s="463"/>
      <c r="C24" s="163"/>
      <c r="D24" s="163"/>
      <c r="E24" s="464"/>
      <c r="F24" s="464"/>
      <c r="G24" s="63" t="s">
        <v>21</v>
      </c>
      <c r="H24" s="64"/>
      <c r="I24" s="39"/>
      <c r="J24" s="40"/>
      <c r="K24" s="40"/>
    </row>
    <row r="25" spans="1:11" x14ac:dyDescent="0.25">
      <c r="A25" s="65"/>
      <c r="B25" s="162"/>
      <c r="C25" s="162"/>
      <c r="D25" s="162"/>
      <c r="E25" s="162"/>
      <c r="F25" s="162"/>
      <c r="G25" s="50"/>
      <c r="H25" s="66"/>
      <c r="I25" s="39"/>
      <c r="J25" s="40" t="s">
        <v>54</v>
      </c>
      <c r="K25" s="40" t="s">
        <v>55</v>
      </c>
    </row>
    <row r="26" spans="1:11" x14ac:dyDescent="0.25">
      <c r="A26" s="65"/>
      <c r="B26" s="67" t="s">
        <v>56</v>
      </c>
      <c r="C26" s="68"/>
      <c r="D26" s="68" t="str">
        <f>IF(AND(G26&gt;=J26,G26&lt;=K26),"","FORA DO LIMITE")</f>
        <v/>
      </c>
      <c r="E26" s="68"/>
      <c r="F26" s="69" t="s">
        <v>57</v>
      </c>
      <c r="G26" s="70">
        <v>3.7999999999999999E-2</v>
      </c>
      <c r="H26" s="66"/>
      <c r="I26" s="39"/>
      <c r="J26" s="40">
        <f>VLOOKUP($I$13,[7]Referências!A13:D19,2,FALSE)</f>
        <v>0</v>
      </c>
      <c r="K26" s="40">
        <f>VLOOKUP($I$13,[7]Referências!A13:D19,4,FALSE)</f>
        <v>1</v>
      </c>
    </row>
    <row r="27" spans="1:11" x14ac:dyDescent="0.25">
      <c r="A27" s="65"/>
      <c r="B27" s="71"/>
      <c r="C27" s="162"/>
      <c r="D27" s="162"/>
      <c r="E27" s="162"/>
      <c r="F27" s="59"/>
      <c r="G27" s="72"/>
      <c r="H27" s="66"/>
      <c r="I27" s="39"/>
      <c r="J27" s="40"/>
      <c r="K27" s="40"/>
    </row>
    <row r="28" spans="1:11" x14ac:dyDescent="0.25">
      <c r="A28" s="65"/>
      <c r="B28" s="67" t="s">
        <v>58</v>
      </c>
      <c r="C28" s="68"/>
      <c r="D28" s="68" t="str">
        <f>IF(AND(G28&gt;=J28,G28&lt;=K28),"","FORA DO LIMITE")</f>
        <v/>
      </c>
      <c r="E28" s="68"/>
      <c r="F28" s="69" t="s">
        <v>59</v>
      </c>
      <c r="G28" s="73">
        <v>1.0200000000000001E-2</v>
      </c>
      <c r="H28" s="74"/>
      <c r="I28" s="39"/>
      <c r="J28" s="40">
        <f>VLOOKUP($I$13,[7]Referências!A40:D46,2,FALSE)</f>
        <v>0</v>
      </c>
      <c r="K28" s="40">
        <f>VLOOKUP($I$13,[7]Referências!A40:D46,4,FALSE)</f>
        <v>1</v>
      </c>
    </row>
    <row r="29" spans="1:11" x14ac:dyDescent="0.25">
      <c r="A29" s="65"/>
      <c r="B29" s="71"/>
      <c r="C29" s="162"/>
      <c r="D29" s="162"/>
      <c r="E29" s="162"/>
      <c r="F29" s="59"/>
      <c r="G29" s="75"/>
      <c r="H29" s="74"/>
      <c r="I29" s="39"/>
      <c r="J29" s="40"/>
      <c r="K29" s="40"/>
    </row>
    <row r="30" spans="1:11" x14ac:dyDescent="0.25">
      <c r="A30" s="65"/>
      <c r="B30" s="76" t="s">
        <v>60</v>
      </c>
      <c r="C30" s="77"/>
      <c r="D30" s="77"/>
      <c r="E30" s="77"/>
      <c r="F30" s="78"/>
      <c r="G30" s="79"/>
      <c r="H30" s="80"/>
      <c r="I30" s="39"/>
      <c r="J30" s="40"/>
      <c r="K30" s="40"/>
    </row>
    <row r="31" spans="1:11" x14ac:dyDescent="0.25">
      <c r="A31" s="65"/>
      <c r="B31" s="164"/>
      <c r="C31" s="162"/>
      <c r="D31" s="162" t="str">
        <f>IF(AND(G31&gt;=J31,G31&lt;=K31),"","FORA DO LIMITE")</f>
        <v/>
      </c>
      <c r="E31" s="162"/>
      <c r="F31" s="59" t="s">
        <v>61</v>
      </c>
      <c r="G31" s="81">
        <v>3.2000000000000002E-3</v>
      </c>
      <c r="H31" s="82"/>
      <c r="I31" s="39"/>
      <c r="J31" s="40">
        <f>VLOOKUP($I$13,[7]Referências!A22:D28,2,FALSE)</f>
        <v>0</v>
      </c>
      <c r="K31" s="40">
        <f>VLOOKUP($I$13,[7]Referências!A22:D28,4,FALSE)</f>
        <v>1</v>
      </c>
    </row>
    <row r="32" spans="1:11" x14ac:dyDescent="0.25">
      <c r="A32" s="65"/>
      <c r="B32" s="83"/>
      <c r="C32" s="84"/>
      <c r="D32" s="84" t="str">
        <f>IF(AND(G32&gt;=J32,G32&lt;=K32),"","FORA DO LIMITE")</f>
        <v/>
      </c>
      <c r="E32" s="84"/>
      <c r="F32" s="85" t="s">
        <v>62</v>
      </c>
      <c r="G32" s="86">
        <v>7.1999999999999998E-3</v>
      </c>
      <c r="H32" s="66"/>
      <c r="I32" s="39"/>
      <c r="J32" s="40">
        <f>VLOOKUP($I$13,[7]Referências!A31:D37,2,FALSE)</f>
        <v>0</v>
      </c>
      <c r="K32" s="40">
        <f>VLOOKUP($I$13,[7]Referências!A31:D37,4,FALSE)</f>
        <v>1</v>
      </c>
    </row>
    <row r="33" spans="1:11" x14ac:dyDescent="0.25">
      <c r="A33" s="65"/>
      <c r="B33" s="162"/>
      <c r="C33" s="162"/>
      <c r="D33" s="162"/>
      <c r="E33" s="162"/>
      <c r="F33" s="59"/>
      <c r="G33" s="75"/>
      <c r="H33" s="82"/>
      <c r="I33" s="39"/>
      <c r="J33" s="40"/>
      <c r="K33" s="40"/>
    </row>
    <row r="34" spans="1:11" x14ac:dyDescent="0.25">
      <c r="A34" s="65"/>
      <c r="B34" s="45" t="s">
        <v>63</v>
      </c>
      <c r="C34" s="68"/>
      <c r="D34" s="68" t="str">
        <f t="shared" ref="D34" si="1">IF(AND(G34&gt;=J34,G34&lt;=K34),"","FORA DO LIMITE")</f>
        <v/>
      </c>
      <c r="E34" s="68"/>
      <c r="F34" s="69" t="s">
        <v>64</v>
      </c>
      <c r="G34" s="73">
        <v>7.4999999999999997E-2</v>
      </c>
      <c r="H34" s="82"/>
      <c r="I34" s="39"/>
      <c r="J34" s="40">
        <f>VLOOKUP($I$13,[7]Referências!A49:D55,2,FALSE)</f>
        <v>0</v>
      </c>
      <c r="K34" s="40">
        <f>VLOOKUP($I$13,[7]Referências!A49:D55,4,FALSE)</f>
        <v>1</v>
      </c>
    </row>
    <row r="35" spans="1:11" x14ac:dyDescent="0.25">
      <c r="A35" s="65"/>
      <c r="B35" s="162"/>
      <c r="C35" s="162"/>
      <c r="D35" s="162"/>
      <c r="E35" s="162"/>
      <c r="F35" s="59"/>
      <c r="G35" s="75"/>
      <c r="H35" s="82"/>
      <c r="I35" s="39"/>
      <c r="J35" s="40"/>
      <c r="K35" s="40"/>
    </row>
    <row r="36" spans="1:11" x14ac:dyDescent="0.25">
      <c r="A36" s="65"/>
      <c r="B36" s="76" t="s">
        <v>65</v>
      </c>
      <c r="C36" s="77"/>
      <c r="D36" s="77"/>
      <c r="E36" s="77"/>
      <c r="F36" s="78"/>
      <c r="G36" s="79"/>
      <c r="H36" s="82"/>
      <c r="I36" s="39"/>
      <c r="J36" s="40"/>
      <c r="K36" s="40"/>
    </row>
    <row r="37" spans="1:11" x14ac:dyDescent="0.25">
      <c r="A37" s="65"/>
      <c r="B37" s="87"/>
      <c r="C37" s="162"/>
      <c r="D37" s="162"/>
      <c r="E37" s="162"/>
      <c r="F37" s="59" t="str">
        <f>IF(AND(C10="X",C10&lt;&gt;C11,I14&lt;&gt;6,F11&lt;&gt;"X"),"INSS =","")</f>
        <v/>
      </c>
      <c r="G37" s="88" t="str">
        <f>IF(AND(C10="x",I14&lt;&gt;6,B12&lt;&gt;"SELECIONE SOMENTE UM TIPO DE BDI"),K37,"")</f>
        <v/>
      </c>
      <c r="H37" s="89"/>
      <c r="I37" s="39"/>
      <c r="J37" s="40">
        <v>0</v>
      </c>
      <c r="K37" s="40">
        <v>4.4999999999999998E-2</v>
      </c>
    </row>
    <row r="38" spans="1:11" x14ac:dyDescent="0.25">
      <c r="A38" s="65"/>
      <c r="B38" s="465" t="str">
        <f>IF(AND(G38&lt;&gt;"",I14=6),"APAGUE O PERCENTUAL DESTA LINHA","")</f>
        <v/>
      </c>
      <c r="C38" s="466"/>
      <c r="D38" s="162" t="str">
        <f>IF(B38="APAGUE O PERCENTUAL DESTA LINHA","",IF(AND(G38&gt;=J38,G38&lt;=K38),"","FORA DO LIMITE"))</f>
        <v/>
      </c>
      <c r="E38" s="162"/>
      <c r="F38" s="59" t="str">
        <f>IF(I14=6,"","ISSQN =")</f>
        <v>ISSQN =</v>
      </c>
      <c r="G38" s="81">
        <v>0.03</v>
      </c>
      <c r="H38" s="89"/>
      <c r="I38" s="39"/>
      <c r="J38" s="40">
        <v>1.2E-2</v>
      </c>
      <c r="K38" s="40">
        <v>0.03</v>
      </c>
    </row>
    <row r="39" spans="1:11" x14ac:dyDescent="0.25">
      <c r="A39" s="65"/>
      <c r="B39" s="164"/>
      <c r="C39" s="162"/>
      <c r="D39" s="162" t="str">
        <f>IF(AND(G39&gt;=J39,G39&lt;=K39),"","FORA DO LIMITE")</f>
        <v/>
      </c>
      <c r="E39" s="162"/>
      <c r="F39" s="59" t="s">
        <v>66</v>
      </c>
      <c r="G39" s="90">
        <v>6.4999999999999997E-3</v>
      </c>
      <c r="H39" s="89"/>
      <c r="I39" s="39"/>
      <c r="J39" s="40">
        <v>6.4999999999999997E-3</v>
      </c>
      <c r="K39" s="40">
        <v>6.4999999999999997E-3</v>
      </c>
    </row>
    <row r="40" spans="1:11" x14ac:dyDescent="0.25">
      <c r="A40" s="65"/>
      <c r="B40" s="164"/>
      <c r="C40" s="162"/>
      <c r="D40" s="162" t="str">
        <f t="shared" ref="D40" si="2">IF(AND(G40&gt;=J40,G40&lt;=K40),"","FORA DO LIMITE")</f>
        <v/>
      </c>
      <c r="E40" s="162"/>
      <c r="F40" s="59" t="s">
        <v>67</v>
      </c>
      <c r="G40" s="90">
        <v>0.03</v>
      </c>
      <c r="H40" s="89"/>
      <c r="I40" s="39"/>
      <c r="J40" s="40">
        <v>0.03</v>
      </c>
      <c r="K40" s="40">
        <v>0.03</v>
      </c>
    </row>
    <row r="41" spans="1:11" x14ac:dyDescent="0.25">
      <c r="A41" s="65"/>
      <c r="B41" s="83"/>
      <c r="C41" s="84"/>
      <c r="D41" s="84"/>
      <c r="E41" s="84"/>
      <c r="F41" s="85" t="s">
        <v>68</v>
      </c>
      <c r="G41" s="91">
        <f>SUM(G37:G40)</f>
        <v>6.6500000000000004E-2</v>
      </c>
      <c r="H41" s="82"/>
      <c r="I41" s="39"/>
      <c r="J41" s="40"/>
      <c r="K41" s="40"/>
    </row>
    <row r="42" spans="1:11" ht="15.75" thickBot="1" x14ac:dyDescent="0.3">
      <c r="A42" s="92"/>
      <c r="B42" s="60"/>
      <c r="C42" s="60"/>
      <c r="D42" s="60"/>
      <c r="E42" s="60"/>
      <c r="F42" s="93"/>
      <c r="G42" s="94"/>
      <c r="H42" s="95"/>
      <c r="I42" s="39"/>
      <c r="J42" s="40"/>
      <c r="K42" s="40"/>
    </row>
    <row r="43" spans="1:11" ht="15.75" thickBot="1" x14ac:dyDescent="0.3">
      <c r="A43" s="162"/>
      <c r="B43" s="162"/>
      <c r="C43" s="162"/>
      <c r="D43" s="162"/>
      <c r="E43" s="162"/>
      <c r="F43" s="173"/>
      <c r="G43" s="174"/>
      <c r="H43" s="175"/>
      <c r="I43" s="39"/>
      <c r="J43" s="40"/>
      <c r="K43" s="40"/>
    </row>
    <row r="44" spans="1:11" x14ac:dyDescent="0.25">
      <c r="A44" s="462" t="s">
        <v>69</v>
      </c>
      <c r="B44" s="463"/>
      <c r="C44" s="163"/>
      <c r="D44" s="163"/>
      <c r="E44" s="163"/>
      <c r="F44" s="163"/>
      <c r="G44" s="63"/>
      <c r="H44" s="64"/>
      <c r="I44" s="39"/>
      <c r="J44" s="40" t="s">
        <v>70</v>
      </c>
      <c r="K44" s="40"/>
    </row>
    <row r="45" spans="1:11" x14ac:dyDescent="0.25">
      <c r="A45" s="65"/>
      <c r="B45" s="162"/>
      <c r="C45" s="162"/>
      <c r="D45" s="162"/>
      <c r="E45" s="162"/>
      <c r="F45" s="162"/>
      <c r="G45" s="50"/>
      <c r="H45" s="66"/>
      <c r="I45" s="39"/>
      <c r="J45" s="96">
        <v>1</v>
      </c>
      <c r="K45" s="40" t="str">
        <f>IF(OR(B12="SELECIONE UM TIPO DE BDI",B12="SELECIONE SOMENTE UM TIPO DE BDI"),"VER TIPO DE BDI","OK")</f>
        <v>OK</v>
      </c>
    </row>
    <row r="46" spans="1:11" x14ac:dyDescent="0.25">
      <c r="A46" s="65"/>
      <c r="B46" s="162"/>
      <c r="C46" s="162"/>
      <c r="D46" s="162"/>
      <c r="E46" s="162"/>
      <c r="F46" s="162"/>
      <c r="G46" s="50"/>
      <c r="H46" s="66"/>
      <c r="I46" s="39"/>
      <c r="J46" s="96">
        <v>2</v>
      </c>
      <c r="K46" s="40" t="str">
        <f>IF(OR(B22="SELECIONE SOMENTE UM TIPO DE SERVIÇO",B22="SELECIONE UM TIPO DE SERVIÇO",B21="NÃO HÁ DESONERAÇÃO PARA FORNECIMENTO DE MATERIAIS"),"VER TIPO DE SERVIÇO","OK")</f>
        <v>OK</v>
      </c>
    </row>
    <row r="47" spans="1:11" x14ac:dyDescent="0.25">
      <c r="A47" s="65"/>
      <c r="B47" s="162"/>
      <c r="C47" s="162"/>
      <c r="D47" s="162"/>
      <c r="E47" s="162"/>
      <c r="F47" s="162"/>
      <c r="G47" s="50"/>
      <c r="H47" s="66"/>
      <c r="I47" s="39"/>
      <c r="J47" s="96">
        <v>3</v>
      </c>
      <c r="K47" s="40" t="str">
        <f t="shared" ref="K47:K48" si="3">IF(OR(B23="SELECIONE SOMENTE UM TIPO DE SERVIÇO",B23="SELECIONE UM TIPO DE SERVIÇO",B22="NÃO HÁ DESONERAÇÃO PARA FORNECIMENTO DE MATERIAIS"),"VER TIPO DE SERVIÇO","OK")</f>
        <v>OK</v>
      </c>
    </row>
    <row r="48" spans="1:11" x14ac:dyDescent="0.25">
      <c r="A48" s="65"/>
      <c r="B48" s="162"/>
      <c r="C48" s="162"/>
      <c r="D48" s="162"/>
      <c r="E48" s="162"/>
      <c r="F48" s="162"/>
      <c r="G48" s="50"/>
      <c r="H48" s="66"/>
      <c r="I48" s="39"/>
      <c r="J48" s="96">
        <v>4</v>
      </c>
      <c r="K48" s="40" t="str">
        <f t="shared" si="3"/>
        <v>OK</v>
      </c>
    </row>
    <row r="49" spans="1:11" x14ac:dyDescent="0.25">
      <c r="A49" s="65"/>
      <c r="B49" s="162"/>
      <c r="C49" s="162"/>
      <c r="D49" s="162"/>
      <c r="E49" s="162"/>
      <c r="F49" s="162"/>
      <c r="G49" s="50"/>
      <c r="H49" s="66"/>
      <c r="I49" s="39"/>
      <c r="J49" s="96"/>
      <c r="K49" s="40"/>
    </row>
    <row r="50" spans="1:11" x14ac:dyDescent="0.25">
      <c r="A50" s="65"/>
      <c r="B50" s="162"/>
      <c r="C50" s="162"/>
      <c r="D50" s="162"/>
      <c r="E50" s="162"/>
      <c r="F50" s="162"/>
      <c r="G50" s="50"/>
      <c r="H50" s="66"/>
      <c r="I50" s="39"/>
      <c r="J50" s="40"/>
      <c r="K50" s="40"/>
    </row>
    <row r="51" spans="1:11" x14ac:dyDescent="0.25">
      <c r="A51" s="65"/>
      <c r="B51" s="162"/>
      <c r="C51" s="162"/>
      <c r="D51" s="162"/>
      <c r="E51" s="162"/>
      <c r="F51" s="162"/>
      <c r="G51" s="50"/>
      <c r="H51" s="66"/>
      <c r="I51" s="39"/>
      <c r="J51" s="40"/>
      <c r="K51" s="40"/>
    </row>
    <row r="52" spans="1:11" x14ac:dyDescent="0.25">
      <c r="A52" s="65" t="s">
        <v>71</v>
      </c>
      <c r="B52" s="48" t="s">
        <v>72</v>
      </c>
      <c r="C52" s="162"/>
      <c r="D52" s="162"/>
      <c r="E52" s="162"/>
      <c r="F52" s="162"/>
      <c r="G52" s="50"/>
      <c r="H52" s="66"/>
      <c r="I52" s="39"/>
      <c r="J52" s="40"/>
      <c r="K52" s="40"/>
    </row>
    <row r="53" spans="1:11" x14ac:dyDescent="0.25">
      <c r="A53" s="65" t="s">
        <v>73</v>
      </c>
      <c r="B53" s="48" t="s">
        <v>74</v>
      </c>
      <c r="C53" s="162"/>
      <c r="D53" s="162"/>
      <c r="E53" s="162"/>
      <c r="F53" s="162"/>
      <c r="G53" s="50"/>
      <c r="H53" s="66"/>
      <c r="I53" s="39"/>
      <c r="J53" s="40"/>
      <c r="K53" s="40"/>
    </row>
    <row r="54" spans="1:11" x14ac:dyDescent="0.25">
      <c r="A54" s="65" t="s">
        <v>75</v>
      </c>
      <c r="B54" s="48" t="s">
        <v>76</v>
      </c>
      <c r="C54" s="162"/>
      <c r="D54" s="162"/>
      <c r="E54" s="162"/>
      <c r="F54" s="162"/>
      <c r="G54" s="50"/>
      <c r="H54" s="66"/>
      <c r="I54" s="39"/>
      <c r="J54" s="40"/>
      <c r="K54" s="40"/>
    </row>
    <row r="55" spans="1:11" x14ac:dyDescent="0.25">
      <c r="A55" s="65" t="s">
        <v>59</v>
      </c>
      <c r="B55" s="48" t="s">
        <v>77</v>
      </c>
      <c r="C55" s="162"/>
      <c r="D55" s="162"/>
      <c r="E55" s="162"/>
      <c r="F55" s="162"/>
      <c r="G55" s="50"/>
      <c r="H55" s="66"/>
      <c r="I55" s="39"/>
      <c r="J55" s="40"/>
      <c r="K55" s="40"/>
    </row>
    <row r="56" spans="1:11" x14ac:dyDescent="0.25">
      <c r="A56" s="65" t="s">
        <v>64</v>
      </c>
      <c r="B56" s="48" t="s">
        <v>78</v>
      </c>
      <c r="C56" s="162"/>
      <c r="D56" s="162"/>
      <c r="E56" s="162"/>
      <c r="F56" s="162"/>
      <c r="G56" s="50"/>
      <c r="H56" s="66"/>
      <c r="I56" s="39"/>
      <c r="J56" s="40"/>
      <c r="K56" s="40"/>
    </row>
    <row r="57" spans="1:11" x14ac:dyDescent="0.25">
      <c r="A57" s="65" t="s">
        <v>79</v>
      </c>
      <c r="B57" s="48" t="s">
        <v>80</v>
      </c>
      <c r="C57" s="162"/>
      <c r="D57" s="162"/>
      <c r="E57" s="162"/>
      <c r="F57" s="162"/>
      <c r="G57" s="50"/>
      <c r="H57" s="66"/>
      <c r="I57" s="39"/>
      <c r="J57" s="40"/>
      <c r="K57" s="40"/>
    </row>
    <row r="58" spans="1:11" ht="15.75" thickBot="1" x14ac:dyDescent="0.3">
      <c r="A58" s="92"/>
      <c r="B58" s="97"/>
      <c r="C58" s="60"/>
      <c r="D58" s="60"/>
      <c r="E58" s="60"/>
      <c r="F58" s="60"/>
      <c r="G58" s="98"/>
      <c r="H58" s="99"/>
      <c r="I58" s="39"/>
      <c r="J58" s="40"/>
      <c r="K58" s="40"/>
    </row>
    <row r="59" spans="1:11" ht="15.75" thickBot="1" x14ac:dyDescent="0.3">
      <c r="A59" s="162"/>
      <c r="B59" s="48"/>
      <c r="C59" s="162"/>
      <c r="D59" s="162"/>
      <c r="E59" s="162"/>
      <c r="F59" s="162"/>
      <c r="G59" s="50"/>
      <c r="H59" s="50"/>
      <c r="I59" s="39"/>
      <c r="J59" s="40"/>
      <c r="K59" s="40"/>
    </row>
    <row r="60" spans="1:11" x14ac:dyDescent="0.25">
      <c r="A60" s="462" t="s">
        <v>81</v>
      </c>
      <c r="B60" s="463"/>
      <c r="C60" s="100"/>
      <c r="D60" s="100"/>
      <c r="E60" s="463" t="s">
        <v>82</v>
      </c>
      <c r="F60" s="463"/>
      <c r="G60" s="63"/>
      <c r="H60" s="64"/>
      <c r="I60" s="101">
        <f>SUM(1+G26,G31,G32)</f>
        <v>1.0484000000000002</v>
      </c>
      <c r="J60" s="40"/>
      <c r="K60" s="40"/>
    </row>
    <row r="61" spans="1:11" x14ac:dyDescent="0.25">
      <c r="A61" s="161"/>
      <c r="B61" s="43"/>
      <c r="C61" s="162"/>
      <c r="D61" s="162"/>
      <c r="E61" s="162"/>
      <c r="F61" s="162"/>
      <c r="G61" s="50"/>
      <c r="H61" s="66"/>
      <c r="I61" s="39">
        <f>1+G28</f>
        <v>1.0102</v>
      </c>
      <c r="J61" s="40"/>
      <c r="K61" s="40"/>
    </row>
    <row r="62" spans="1:11" x14ac:dyDescent="0.25">
      <c r="A62" s="65"/>
      <c r="B62" s="102" t="s">
        <v>83</v>
      </c>
      <c r="C62" s="103">
        <v>0.19600000000000001</v>
      </c>
      <c r="D62" s="71" t="str">
        <f>IF(AND(C62&gt;I65,C11="X"),"BDI ABAIXO","")</f>
        <v/>
      </c>
      <c r="E62" s="102" t="s">
        <v>83</v>
      </c>
      <c r="F62" s="103">
        <v>0.25600000000000001</v>
      </c>
      <c r="G62" s="71" t="str">
        <f>IF(AND(F62&gt;I65,C10="X"),"BDI ABAIXO","")</f>
        <v/>
      </c>
      <c r="H62" s="66"/>
      <c r="I62" s="39">
        <f>1+G34</f>
        <v>1.075</v>
      </c>
      <c r="J62" s="40"/>
      <c r="K62" s="40"/>
    </row>
    <row r="63" spans="1:11" x14ac:dyDescent="0.25">
      <c r="A63" s="65"/>
      <c r="B63" s="102" t="s">
        <v>84</v>
      </c>
      <c r="C63" s="103">
        <v>0.24229999999999999</v>
      </c>
      <c r="D63" s="71" t="str">
        <f>IF(AND(C63&lt;I66,C11="X"),"BDI ACIMA","")</f>
        <v/>
      </c>
      <c r="E63" s="102" t="s">
        <v>84</v>
      </c>
      <c r="F63" s="103">
        <v>0.30520000000000003</v>
      </c>
      <c r="G63" s="71" t="str">
        <f>IF(AND(F63&lt;I65,C10="X"),"BDI ACIMA","")</f>
        <v/>
      </c>
      <c r="H63" s="66"/>
      <c r="I63" s="39">
        <f>1-G41</f>
        <v>0.9335</v>
      </c>
      <c r="J63" s="40"/>
      <c r="K63" s="40"/>
    </row>
    <row r="64" spans="1:11" ht="15.75" thickBot="1" x14ac:dyDescent="0.3">
      <c r="A64" s="92"/>
      <c r="B64" s="97"/>
      <c r="C64" s="60"/>
      <c r="D64" s="104"/>
      <c r="E64" s="60"/>
      <c r="F64" s="104"/>
      <c r="G64" s="98"/>
      <c r="H64" s="99"/>
      <c r="I64" s="39">
        <f>I60*I61*I62/I63</f>
        <v>1.2196311794322443</v>
      </c>
      <c r="J64" s="40"/>
      <c r="K64" s="40"/>
    </row>
    <row r="65" spans="1:11" ht="15.75" thickBot="1" x14ac:dyDescent="0.3">
      <c r="A65" s="162"/>
      <c r="B65" s="162"/>
      <c r="C65" s="162"/>
      <c r="D65" s="162"/>
      <c r="E65" s="162"/>
      <c r="F65" s="162"/>
      <c r="G65" s="50"/>
      <c r="H65" s="50"/>
      <c r="I65" s="39">
        <f>ROUND(I64-1,4)</f>
        <v>0.21959999999999999</v>
      </c>
      <c r="J65" s="40"/>
      <c r="K65" s="40"/>
    </row>
    <row r="66" spans="1:11" ht="15.75" thickBot="1" x14ac:dyDescent="0.3">
      <c r="A66" s="162"/>
      <c r="B66" s="162"/>
      <c r="C66" s="162"/>
      <c r="D66" s="176"/>
      <c r="E66" s="456" t="s">
        <v>85</v>
      </c>
      <c r="F66" s="457"/>
      <c r="G66" s="177">
        <f>IF(AND(K45="OK",K46="OK",K47="OK",K48="OK"),I65,IF(K45="VER TIPO DE BDI","VER TIPO DE BDI",IF(K46="VER TIPO DE SERVIÇO","VER TIPO DE SERVIÇO",IF(K47="VER PERCENTUAIS","VER PERCENTUAIS",IF(K48="BDI FORA DO LIMITE","BDI FORA DO LIMITE","VÁRIOS ERROS")))))</f>
        <v>0.21959999999999999</v>
      </c>
      <c r="H66" s="178" t="str">
        <f>IF(AND(M66&gt;=P66,M66&lt;=Q66),"","FORA DO LIMITE")</f>
        <v/>
      </c>
      <c r="I66" s="105">
        <f>G72</f>
        <v>0.21959999999999999</v>
      </c>
      <c r="J66" s="40"/>
      <c r="K66" s="40"/>
    </row>
    <row r="67" spans="1:11" x14ac:dyDescent="0.25">
      <c r="A67" s="162"/>
      <c r="B67" s="162"/>
      <c r="C67" s="162"/>
      <c r="D67" s="162"/>
      <c r="E67" s="41"/>
      <c r="F67" s="41"/>
      <c r="G67" s="179"/>
      <c r="H67" s="179"/>
      <c r="I67" s="106"/>
      <c r="J67" s="40"/>
      <c r="K67" s="40"/>
    </row>
    <row r="68" spans="1:11" x14ac:dyDescent="0.25">
      <c r="A68" s="41"/>
      <c r="B68" s="43" t="s">
        <v>86</v>
      </c>
      <c r="C68" s="41"/>
      <c r="D68" s="41"/>
      <c r="E68" s="162"/>
      <c r="F68" s="162"/>
      <c r="G68" s="162"/>
      <c r="H68" s="162"/>
      <c r="I68" s="106"/>
      <c r="J68" s="40"/>
      <c r="K68" s="40"/>
    </row>
    <row r="69" spans="1:11" x14ac:dyDescent="0.25">
      <c r="A69" s="48"/>
      <c r="B69" s="8" t="s">
        <v>87</v>
      </c>
      <c r="C69" s="8"/>
      <c r="D69" s="8"/>
      <c r="E69" s="162"/>
      <c r="F69" s="162"/>
      <c r="G69" s="458"/>
      <c r="H69" s="458"/>
      <c r="I69" s="39"/>
      <c r="J69" s="40"/>
      <c r="K69" s="40"/>
    </row>
    <row r="70" spans="1:11" x14ac:dyDescent="0.25">
      <c r="A70" s="162"/>
      <c r="B70" s="8" t="s">
        <v>88</v>
      </c>
      <c r="C70" s="180"/>
      <c r="D70" s="162"/>
      <c r="E70" s="162"/>
      <c r="F70" s="162"/>
      <c r="G70" s="459"/>
      <c r="H70" s="459"/>
      <c r="I70" s="39"/>
      <c r="J70" s="40"/>
      <c r="K70" s="40"/>
    </row>
    <row r="71" spans="1:11" x14ac:dyDescent="0.25">
      <c r="A71" s="162"/>
      <c r="B71" s="8" t="s">
        <v>89</v>
      </c>
      <c r="C71" s="162"/>
      <c r="D71" s="162"/>
      <c r="E71" s="162"/>
      <c r="F71" s="181"/>
      <c r="G71" s="50"/>
      <c r="H71" s="50"/>
      <c r="I71" s="39"/>
      <c r="J71" s="40"/>
      <c r="K71" s="40"/>
    </row>
    <row r="72" spans="1:11" x14ac:dyDescent="0.25">
      <c r="A72" s="162"/>
      <c r="B72" s="162"/>
      <c r="C72" s="162"/>
      <c r="D72" s="162"/>
      <c r="E72" s="162"/>
      <c r="F72" s="107" t="s">
        <v>90</v>
      </c>
      <c r="G72" s="460">
        <f>I65</f>
        <v>0.21959999999999999</v>
      </c>
      <c r="H72" s="461"/>
      <c r="I72" s="39"/>
      <c r="J72" s="40"/>
      <c r="K72" s="40"/>
    </row>
    <row r="73" spans="1:11" x14ac:dyDescent="0.25">
      <c r="A73" s="182"/>
      <c r="B73" s="182"/>
      <c r="C73" s="183"/>
      <c r="D73" s="184"/>
      <c r="E73" s="183"/>
      <c r="F73" s="183"/>
      <c r="G73" s="184"/>
      <c r="H73" s="184"/>
    </row>
    <row r="74" spans="1:11" x14ac:dyDescent="0.25">
      <c r="A74" s="182"/>
      <c r="B74" s="182"/>
      <c r="C74" s="183"/>
      <c r="D74" s="184"/>
      <c r="E74" s="183"/>
      <c r="F74" s="183"/>
      <c r="G74" s="184"/>
      <c r="H74" s="184"/>
    </row>
  </sheetData>
  <sheetProtection algorithmName="SHA-512" hashValue="BMARQFertVOdGstERXtuQZwH7FhRCTJtQ49rdMf7qbRnPjrWJaFKz/gA+KR+NdKm2f/05KecApILetM/gfqPDw==" saltValue="CERMaoeOvx7ybYMFQs+z7g==" spinCount="100000" sheet="1" objects="1" scenarios="1" selectLockedCells="1" selectUnlockedCells="1"/>
  <mergeCells count="21">
    <mergeCell ref="B22:C22"/>
    <mergeCell ref="A1:H1"/>
    <mergeCell ref="A2:H2"/>
    <mergeCell ref="A3:H3"/>
    <mergeCell ref="A5:H5"/>
    <mergeCell ref="B6:E6"/>
    <mergeCell ref="A8:B8"/>
    <mergeCell ref="B12:C12"/>
    <mergeCell ref="E12:G12"/>
    <mergeCell ref="A14:B14"/>
    <mergeCell ref="B21:D21"/>
    <mergeCell ref="E66:F66"/>
    <mergeCell ref="G69:H69"/>
    <mergeCell ref="G70:H70"/>
    <mergeCell ref="G72:H72"/>
    <mergeCell ref="A24:B24"/>
    <mergeCell ref="E24:F24"/>
    <mergeCell ref="B38:C38"/>
    <mergeCell ref="A44:B44"/>
    <mergeCell ref="A60:B60"/>
    <mergeCell ref="E60:F60"/>
  </mergeCells>
  <conditionalFormatting sqref="B12">
    <cfRule type="cellIs" dxfId="47" priority="19" operator="equal">
      <formula>"SELECIONE SOMENTE UM TIPO DE BDI"</formula>
    </cfRule>
  </conditionalFormatting>
  <conditionalFormatting sqref="B21">
    <cfRule type="cellIs" dxfId="46" priority="6" operator="equal">
      <formula>"NÃO HÁ DESONERAÇÃO PARA FORNECIMENTO DE MATERIAIS"</formula>
    </cfRule>
  </conditionalFormatting>
  <conditionalFormatting sqref="B22">
    <cfRule type="cellIs" dxfId="45" priority="25" operator="equal">
      <formula>"SELECIONE SOMENTE UM TIPO DE SERVIÇO"</formula>
    </cfRule>
  </conditionalFormatting>
  <conditionalFormatting sqref="B12:C12 E12:G12">
    <cfRule type="cellIs" dxfId="44" priority="9" operator="equal">
      <formula>"SELECIONE UM TIPO DE BDI"</formula>
    </cfRule>
  </conditionalFormatting>
  <conditionalFormatting sqref="B22:C22">
    <cfRule type="cellIs" dxfId="43" priority="8" operator="equal">
      <formula>"SELECIONE UM TIPO DE SERVIÇO"</formula>
    </cfRule>
  </conditionalFormatting>
  <conditionalFormatting sqref="B38:C38">
    <cfRule type="cellIs" dxfId="42" priority="18" operator="equal">
      <formula>"APAGUE O PERCENTUAL DESTA LINHA"</formula>
    </cfRule>
  </conditionalFormatting>
  <conditionalFormatting sqref="C10:C11 G16:G21 G26 G28 G31:G32 G34">
    <cfRule type="cellIs" dxfId="41" priority="16" operator="equal">
      <formula>0</formula>
    </cfRule>
  </conditionalFormatting>
  <conditionalFormatting sqref="D26 D38:D40">
    <cfRule type="cellIs" dxfId="40" priority="24" operator="equal">
      <formula>"FORA DO LIMITE"</formula>
    </cfRule>
  </conditionalFormatting>
  <conditionalFormatting sqref="D28">
    <cfRule type="cellIs" dxfId="39" priority="23" operator="equal">
      <formula>"FORA DO LIMITE"</formula>
    </cfRule>
  </conditionalFormatting>
  <conditionalFormatting sqref="D31:D32">
    <cfRule type="cellIs" dxfId="38" priority="21" operator="equal">
      <formula>"FORA DO LIMITE"</formula>
    </cfRule>
  </conditionalFormatting>
  <conditionalFormatting sqref="D34">
    <cfRule type="cellIs" dxfId="37" priority="20" operator="equal">
      <formula>"FORA DO LIMITE"</formula>
    </cfRule>
  </conditionalFormatting>
  <conditionalFormatting sqref="D62">
    <cfRule type="cellIs" dxfId="36" priority="5" operator="equal">
      <formula>"BDI ABAIXO"</formula>
    </cfRule>
  </conditionalFormatting>
  <conditionalFormatting sqref="D63">
    <cfRule type="cellIs" dxfId="35" priority="4" operator="equal">
      <formula>"BDI ACIMA"</formula>
    </cfRule>
  </conditionalFormatting>
  <conditionalFormatting sqref="E12">
    <cfRule type="cellIs" dxfId="34" priority="12" operator="equal">
      <formula>"SELECIONE SOMENTE UM TIPO DE BDI"</formula>
    </cfRule>
  </conditionalFormatting>
  <conditionalFormatting sqref="E12:G12">
    <cfRule type="cellIs" dxfId="33" priority="7" operator="equal">
      <formula>"SOMENTE HÁ DESONERAÇÃO PARA OBRAS"</formula>
    </cfRule>
    <cfRule type="cellIs" dxfId="32" priority="11" operator="equal">
      <formula>"NÃO HÁ PROJETO PARA FORNECIMENTO"</formula>
    </cfRule>
  </conditionalFormatting>
  <conditionalFormatting sqref="G38:G40">
    <cfRule type="cellIs" dxfId="31" priority="10" operator="equal">
      <formula>0</formula>
    </cfRule>
  </conditionalFormatting>
  <conditionalFormatting sqref="G62">
    <cfRule type="cellIs" dxfId="30" priority="3" operator="equal">
      <formula>"BDI ABAIXO"</formula>
    </cfRule>
  </conditionalFormatting>
  <conditionalFormatting sqref="G63">
    <cfRule type="cellIs" dxfId="29" priority="2" operator="equal">
      <formula>"BDI ACIMA"</formula>
    </cfRule>
  </conditionalFormatting>
  <conditionalFormatting sqref="G66:H67">
    <cfRule type="cellIs" dxfId="28" priority="1" operator="equal">
      <formula>"VER PERCENTUAIS"</formula>
    </cfRule>
    <cfRule type="cellIs" dxfId="27" priority="13" operator="equal">
      <formula>"VÁRIOS ERROS"</formula>
    </cfRule>
    <cfRule type="cellIs" dxfId="26" priority="14" operator="equal">
      <formula>"BDI FORA DO LIMITE"</formula>
    </cfRule>
    <cfRule type="cellIs" dxfId="25" priority="15" operator="equal">
      <formula>"VER TIPO DE BDI"</formula>
    </cfRule>
    <cfRule type="cellIs" dxfId="24" priority="17" operator="equal">
      <formula>"VER TIPO DE SERVIÇO"</formula>
    </cfRule>
  </conditionalFormatting>
  <dataValidations count="3">
    <dataValidation type="list" allowBlank="1" showInputMessage="1" showErrorMessage="1" promptTitle="Alerta" prompt="Digite somente 'X'" sqref="G16:G21 C10:C11" xr:uid="{00000000-0002-0000-0400-000000000000}">
      <formula1>"x,X"</formula1>
    </dataValidation>
    <dataValidation type="decimal" allowBlank="1" showInputMessage="1" showErrorMessage="1" sqref="G38:G41 G26:G36" xr:uid="{00000000-0002-0000-0400-000001000000}">
      <formula1>0</formula1>
      <formula2>100</formula2>
    </dataValidation>
    <dataValidation allowBlank="1" promptTitle="Alerta" prompt="Digite somente 'X'" sqref="F10:F11" xr:uid="{00000000-0002-0000-0400-000002000000}"/>
  </dataValidations>
  <pageMargins left="0.51181102362204722" right="0.51181102362204722" top="1.7716535433070868" bottom="1.5748031496062993" header="0.51181102362204722" footer="0.51181102362204722"/>
  <pageSetup paperSize="9" scale="70" fitToHeight="0" orientation="portrait" r:id="rId1"/>
  <headerFooter>
    <oddHeader>&amp;C&amp;G</oddHead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0.39997558519241921"/>
    <pageSetUpPr fitToPage="1"/>
  </sheetPr>
  <dimension ref="A1:D27"/>
  <sheetViews>
    <sheetView topLeftCell="A24" workbookViewId="0">
      <selection activeCell="D33" sqref="D33"/>
    </sheetView>
  </sheetViews>
  <sheetFormatPr defaultRowHeight="15" x14ac:dyDescent="0.25"/>
  <cols>
    <col min="1" max="1" width="25.5703125" bestFit="1" customWidth="1"/>
    <col min="2" max="2" width="68" bestFit="1" customWidth="1"/>
    <col min="3" max="3" width="19" customWidth="1"/>
    <col min="4" max="4" width="16.28515625" customWidth="1"/>
  </cols>
  <sheetData>
    <row r="1" spans="1:4" x14ac:dyDescent="0.25">
      <c r="A1" s="481" t="s">
        <v>241</v>
      </c>
      <c r="B1" s="481"/>
      <c r="C1" s="481"/>
      <c r="D1" s="481"/>
    </row>
    <row r="2" spans="1:4" x14ac:dyDescent="0.25">
      <c r="A2" s="482" t="s">
        <v>395</v>
      </c>
      <c r="B2" s="483"/>
      <c r="C2" s="483"/>
      <c r="D2" s="483"/>
    </row>
    <row r="3" spans="1:4" x14ac:dyDescent="0.25">
      <c r="A3" s="482" t="s">
        <v>394</v>
      </c>
      <c r="B3" s="481"/>
      <c r="C3" s="481"/>
      <c r="D3" s="481"/>
    </row>
    <row r="4" spans="1:4" x14ac:dyDescent="0.25">
      <c r="A4" s="484" t="s">
        <v>364</v>
      </c>
      <c r="B4" s="484"/>
      <c r="C4" s="484"/>
      <c r="D4" s="484"/>
    </row>
    <row r="5" spans="1:4" x14ac:dyDescent="0.25">
      <c r="A5" s="480" t="s">
        <v>242</v>
      </c>
      <c r="B5" s="480"/>
      <c r="C5" s="480"/>
      <c r="D5" s="187">
        <f>ENCARGOS!E42</f>
        <v>1.1333</v>
      </c>
    </row>
    <row r="6" spans="1:4" x14ac:dyDescent="0.25">
      <c r="A6" s="480" t="s">
        <v>243</v>
      </c>
      <c r="B6" s="480"/>
      <c r="C6" s="480"/>
      <c r="D6" s="187">
        <f>ENCARGOS!F42</f>
        <v>0.71120000000000005</v>
      </c>
    </row>
    <row r="7" spans="1:4" x14ac:dyDescent="0.25">
      <c r="A7" s="480" t="s">
        <v>193</v>
      </c>
      <c r="B7" s="480"/>
      <c r="C7" s="480"/>
      <c r="D7" s="187">
        <v>0.21959999999999999</v>
      </c>
    </row>
    <row r="8" spans="1:4" x14ac:dyDescent="0.25">
      <c r="A8" s="485"/>
      <c r="B8" s="486"/>
      <c r="C8" s="486"/>
      <c r="D8" s="487"/>
    </row>
    <row r="9" spans="1:4" x14ac:dyDescent="0.25">
      <c r="A9" s="481" t="s">
        <v>244</v>
      </c>
      <c r="B9" s="481" t="s">
        <v>245</v>
      </c>
      <c r="C9" s="481" t="s">
        <v>246</v>
      </c>
      <c r="D9" s="488" t="s">
        <v>21</v>
      </c>
    </row>
    <row r="10" spans="1:4" x14ac:dyDescent="0.25">
      <c r="A10" s="481"/>
      <c r="B10" s="481"/>
      <c r="C10" s="481"/>
      <c r="D10" s="489"/>
    </row>
    <row r="11" spans="1:4" x14ac:dyDescent="0.25">
      <c r="A11" s="491" t="s">
        <v>31</v>
      </c>
      <c r="B11" s="322" t="s">
        <v>38</v>
      </c>
      <c r="C11" s="490">
        <f>'ORÇAMENTO SD'!H10</f>
        <v>48141.600000000006</v>
      </c>
      <c r="D11" s="479">
        <f>C11/$C$27</f>
        <v>5.627969776211466E-2</v>
      </c>
    </row>
    <row r="12" spans="1:4" x14ac:dyDescent="0.25">
      <c r="A12" s="491"/>
      <c r="B12" s="322" t="s">
        <v>39</v>
      </c>
      <c r="C12" s="490"/>
      <c r="D12" s="479"/>
    </row>
    <row r="13" spans="1:4" x14ac:dyDescent="0.25">
      <c r="A13" s="491"/>
      <c r="B13" s="322" t="s">
        <v>316</v>
      </c>
      <c r="C13" s="490"/>
      <c r="D13" s="479"/>
    </row>
    <row r="14" spans="1:4" x14ac:dyDescent="0.25">
      <c r="A14" s="513"/>
      <c r="B14" s="514"/>
      <c r="C14" s="514"/>
      <c r="D14" s="515"/>
    </row>
    <row r="15" spans="1:4" x14ac:dyDescent="0.25">
      <c r="A15" s="188" t="s">
        <v>247</v>
      </c>
      <c r="B15" s="189" t="s">
        <v>174</v>
      </c>
      <c r="C15" s="190">
        <f>'ORÇAMENTO SD'!H15+'ORÇAMENTO SD'!H39</f>
        <v>4477.2</v>
      </c>
      <c r="D15" s="191">
        <f>C15/$C$27</f>
        <v>5.234048366081304E-3</v>
      </c>
    </row>
    <row r="16" spans="1:4" x14ac:dyDescent="0.25">
      <c r="A16" s="494"/>
      <c r="B16" s="495"/>
      <c r="C16" s="495"/>
      <c r="D16" s="496"/>
    </row>
    <row r="17" spans="1:4" ht="25.5" customHeight="1" x14ac:dyDescent="0.25">
      <c r="A17" s="507" t="s">
        <v>248</v>
      </c>
      <c r="B17" s="325" t="str">
        <f>'ORÇAMENTO SD'!C19</f>
        <v>Execução de pavimento em paralelepípedos, rejuntamento com argamassa traço 1:3 (cimento e areia)</v>
      </c>
      <c r="C17" s="509">
        <f>'ORÇAMENTO SD'!H18+'ORÇAMENTO SD'!H42</f>
        <v>559841.88</v>
      </c>
      <c r="D17" s="511">
        <f>C17/C27</f>
        <v>0.65448036211870941</v>
      </c>
    </row>
    <row r="18" spans="1:4" x14ac:dyDescent="0.25">
      <c r="A18" s="508"/>
      <c r="B18" s="325" t="str">
        <f>'ORÇAMENTO SD'!C20</f>
        <v xml:space="preserve">Compactação Mecânica </v>
      </c>
      <c r="C18" s="510"/>
      <c r="D18" s="512"/>
    </row>
    <row r="19" spans="1:4" x14ac:dyDescent="0.25">
      <c r="A19" s="494"/>
      <c r="B19" s="495"/>
      <c r="C19" s="495"/>
      <c r="D19" s="496"/>
    </row>
    <row r="20" spans="1:4" ht="38.25" x14ac:dyDescent="0.25">
      <c r="A20" s="497" t="s">
        <v>249</v>
      </c>
      <c r="B20" s="192" t="str">
        <f>'ORÇAMENTO SD'!C23</f>
        <v>Assentamento de guia (meio-fio), confeccionada em concreto pré-fabricado, dimensões 100x15x13x30 (comprimento x base inferiror x base superior x altura), para vias urbanas</v>
      </c>
      <c r="C20" s="499">
        <f>'ORÇAMENTO SD'!H22+'ORÇAMENTO SD'!H46</f>
        <v>166998.96000000002</v>
      </c>
      <c r="D20" s="500">
        <f>C20/C27</f>
        <v>0.19522930262782032</v>
      </c>
    </row>
    <row r="21" spans="1:4" ht="25.5" x14ac:dyDescent="0.25">
      <c r="A21" s="498"/>
      <c r="B21" s="192" t="s">
        <v>280</v>
      </c>
      <c r="C21" s="499"/>
      <c r="D21" s="501"/>
    </row>
    <row r="22" spans="1:4" x14ac:dyDescent="0.25">
      <c r="A22" s="494"/>
      <c r="B22" s="495"/>
      <c r="C22" s="495"/>
      <c r="D22" s="496"/>
    </row>
    <row r="23" spans="1:4" ht="25.5" x14ac:dyDescent="0.25">
      <c r="A23" s="502" t="s">
        <v>237</v>
      </c>
      <c r="B23" s="193" t="str">
        <f>'ORÇAMENTO SD'!C27</f>
        <v>Transporte com caminhão basculante de 10 m³, em via urbana pavimentada, dmt até 30 km (unidade: txkm). af_07/2020</v>
      </c>
      <c r="C23" s="503">
        <f>'ORÇAMENTO SD'!H26+'ORÇAMENTO SD'!H50</f>
        <v>75482.77</v>
      </c>
      <c r="D23" s="505">
        <f>C23/C27</f>
        <v>8.8242756407082748E-2</v>
      </c>
    </row>
    <row r="24" spans="1:4" ht="25.5" x14ac:dyDescent="0.25">
      <c r="A24" s="502"/>
      <c r="B24" s="193" t="str">
        <f>'ORÇAMENTO SD'!C28</f>
        <v>Transporte com caminhão basculante de 10 m³, em via urbana pavimentada, adicional para dmt excedente a 30 km (unidade: txkm). af_07/2020</v>
      </c>
      <c r="C24" s="504"/>
      <c r="D24" s="506"/>
    </row>
    <row r="25" spans="1:4" x14ac:dyDescent="0.25">
      <c r="A25" s="494"/>
      <c r="B25" s="495"/>
      <c r="C25" s="495"/>
      <c r="D25" s="496"/>
    </row>
    <row r="26" spans="1:4" ht="25.5" x14ac:dyDescent="0.25">
      <c r="A26" s="270" t="s">
        <v>277</v>
      </c>
      <c r="B26" s="193" t="str">
        <f>'ORÇAMENTO SD'!C31</f>
        <v>Placa esmaltada para identificação de nome de rua, dimensões 45 x 20 cm com tubo de aço</v>
      </c>
      <c r="C26" s="271">
        <f>'ORÇAMENTO SD'!H30</f>
        <v>456.64</v>
      </c>
      <c r="D26" s="272">
        <f>C26/C27</f>
        <v>5.3383271819158556E-4</v>
      </c>
    </row>
    <row r="27" spans="1:4" x14ac:dyDescent="0.25">
      <c r="A27" s="492" t="s">
        <v>208</v>
      </c>
      <c r="B27" s="493"/>
      <c r="C27" s="194">
        <f>SUM(C23,C20,C17,C15,C11,C26)</f>
        <v>855399.05</v>
      </c>
      <c r="D27" s="195">
        <f>SUM(D23,D20,D17,D15,D11,D26,)</f>
        <v>1</v>
      </c>
    </row>
  </sheetData>
  <sheetProtection algorithmName="SHA-512" hashValue="bRrRk3ppY4EM2RIK8QYAV8CZxsUzv9ARckGLZytz0nk60/tXZMaMJB2AN5JAWqangAsvRr7lqhBm3OUaGuAuKg==" saltValue="2WgNXJhiBrhRLd3p60NhJg==" spinCount="100000" sheet="1" objects="1" scenarios="1" selectLockedCells="1" selectUnlockedCells="1"/>
  <mergeCells count="30">
    <mergeCell ref="A17:A18"/>
    <mergeCell ref="C17:C18"/>
    <mergeCell ref="D17:D18"/>
    <mergeCell ref="A14:D14"/>
    <mergeCell ref="A16:D16"/>
    <mergeCell ref="A27:B27"/>
    <mergeCell ref="A19:D19"/>
    <mergeCell ref="A20:A21"/>
    <mergeCell ref="C20:C21"/>
    <mergeCell ref="D20:D21"/>
    <mergeCell ref="A22:D22"/>
    <mergeCell ref="A23:A24"/>
    <mergeCell ref="C23:C24"/>
    <mergeCell ref="D23:D24"/>
    <mergeCell ref="A25:D25"/>
    <mergeCell ref="D11:D13"/>
    <mergeCell ref="A6:C6"/>
    <mergeCell ref="A1:D1"/>
    <mergeCell ref="A2:D2"/>
    <mergeCell ref="A3:D3"/>
    <mergeCell ref="A4:D4"/>
    <mergeCell ref="A5:C5"/>
    <mergeCell ref="A7:C7"/>
    <mergeCell ref="A8:D8"/>
    <mergeCell ref="A9:A10"/>
    <mergeCell ref="B9:B10"/>
    <mergeCell ref="C9:C10"/>
    <mergeCell ref="D9:D10"/>
    <mergeCell ref="C11:C13"/>
    <mergeCell ref="A11:A13"/>
  </mergeCells>
  <pageMargins left="0.39370078740157483" right="0.39370078740157483" top="1.1811023622047245" bottom="1.1811023622047245" header="0" footer="0"/>
  <pageSetup paperSize="9" scale="73" fitToHeight="0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15</vt:i4>
      </vt:variant>
      <vt:variant>
        <vt:lpstr>Intervalos Nomeados</vt:lpstr>
      </vt:variant>
      <vt:variant>
        <vt:i4>9</vt:i4>
      </vt:variant>
    </vt:vector>
  </HeadingPairs>
  <TitlesOfParts>
    <vt:vector size="24" baseType="lpstr">
      <vt:lpstr>GERAL </vt:lpstr>
      <vt:lpstr>Planilha1</vt:lpstr>
      <vt:lpstr>RESUMO SD </vt:lpstr>
      <vt:lpstr>CRONOGRAMA SD</vt:lpstr>
      <vt:lpstr>ORÇAMENTO SD</vt:lpstr>
      <vt:lpstr>COMPOSIÇÕES UNITÁRIAS SD</vt:lpstr>
      <vt:lpstr>Memoria de Calculo </vt:lpstr>
      <vt:lpstr>BDI SD</vt:lpstr>
      <vt:lpstr>QCI </vt:lpstr>
      <vt:lpstr>ENCARGOS</vt:lpstr>
      <vt:lpstr>RESUMO CD</vt:lpstr>
      <vt:lpstr>CRONOGRAMA CD</vt:lpstr>
      <vt:lpstr>ORÇAMENTO CD</vt:lpstr>
      <vt:lpstr>COMPOSIÇÕES UNITÁRIAS CD</vt:lpstr>
      <vt:lpstr>BDI CD</vt:lpstr>
      <vt:lpstr>'COMPOSIÇÕES UNITÁRIAS CD'!Area_de_impressao</vt:lpstr>
      <vt:lpstr>'COMPOSIÇÕES UNITÁRIAS SD'!Area_de_impressao</vt:lpstr>
      <vt:lpstr>'CRONOGRAMA CD'!Area_de_impressao</vt:lpstr>
      <vt:lpstr>'CRONOGRAMA SD'!Area_de_impressao</vt:lpstr>
      <vt:lpstr>'GERAL '!Area_de_impressao</vt:lpstr>
      <vt:lpstr>'Memoria de Calculo '!Area_de_impressao</vt:lpstr>
      <vt:lpstr>'QCI '!Area_de_impressao</vt:lpstr>
      <vt:lpstr>'RESUMO CD'!Area_de_impressao</vt:lpstr>
      <vt:lpstr>'RESUMO SD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2025-08-01T12:20:42Z</dcterms:modified>
</cp:coreProperties>
</file>