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FBF34D03-60B7-4581-BDFA-E473528D8CE5}" xr6:coauthVersionLast="47" xr6:coauthVersionMax="47" xr10:uidLastSave="{00000000-0000-0000-0000-000000000000}"/>
  <bookViews>
    <workbookView xWindow="-120" yWindow="-120" windowWidth="20730" windowHeight="11040" firstSheet="1" activeTab="1" xr2:uid="{F72740B4-AA01-42FE-872A-3C22A96E1C23}"/>
  </bookViews>
  <sheets>
    <sheet name="GERAL  (2)" sheetId="27" state="hidden" r:id="rId1"/>
    <sheet name="RESUMO SD " sheetId="2" r:id="rId2"/>
    <sheet name="CRONOGRAMA SD" sheetId="7" r:id="rId3"/>
    <sheet name="ORÇAMENTO SD" sheetId="6" r:id="rId4"/>
    <sheet name="COMPOSIÇÕES UNITÁRIAS SD" sheetId="9" r:id="rId5"/>
    <sheet name="BDI SD" sheetId="3" r:id="rId6"/>
    <sheet name="GERAL " sheetId="1" r:id="rId7"/>
    <sheet name="RESUMO CD" sheetId="23" r:id="rId8"/>
    <sheet name="CRONOGRAMA CD" sheetId="24" r:id="rId9"/>
    <sheet name="ORÇAMENTO CD" sheetId="25" r:id="rId10"/>
    <sheet name="Memoria de Calculo " sheetId="16" r:id="rId11"/>
    <sheet name="COMPOSIÇÕES UNITÁRIAS CD" sheetId="26" r:id="rId12"/>
    <sheet name="BDI CD" sheetId="5" r:id="rId13"/>
    <sheet name="ENCARGOS" sheetId="4" r:id="rId14"/>
    <sheet name="QCI " sheetId="1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______OUT98" hidden="1">{#N/A,#N/A,TRUE,"Serviços"}</definedName>
    <definedName name="______________OUT98" hidden="1">{#N/A,#N/A,TRUE,"Serviços"}</definedName>
    <definedName name="_____________OUT98" hidden="1">{#N/A,#N/A,TRUE,"Serviços"}</definedName>
    <definedName name="____________OUT98" hidden="1">{#N/A,#N/A,TRUE,"Serviços"}</definedName>
    <definedName name="____________OUT988" hidden="1">{#N/A,#N/A,TRUE,"Serviços"}</definedName>
    <definedName name="___________OUT98" hidden="1">{#N/A,#N/A,TRUE,"Serviços"}</definedName>
    <definedName name="___________OUT988" hidden="1">{#N/A,#N/A,TRUE,"Serviços"}</definedName>
    <definedName name="___________OUT9888" hidden="1">{#N/A,#N/A,TRUE,"Serviços"}</definedName>
    <definedName name="__________OUT98" hidden="1">{#N/A,#N/A,TRUE,"Serviços"}</definedName>
    <definedName name="_________OUT98" hidden="1">{#N/A,#N/A,TRUE,"Serviços"}</definedName>
    <definedName name="_________OUTT98" hidden="1">{#N/A,#N/A,TRUE,"Serviços"}</definedName>
    <definedName name="_________OUTT988" hidden="1">{#N/A,#N/A,TRUE,"Serviços"}</definedName>
    <definedName name="________OUT98" hidden="1">{#N/A,#N/A,TRUE,"Serviços"}</definedName>
    <definedName name="________OUTTT98" hidden="1">{#N/A,#N/A,TRUE,"Serviços"}</definedName>
    <definedName name="_______OUT98" hidden="1">{#N/A,#N/A,TRUE,"Serviços"}</definedName>
    <definedName name="_______OUT9888" hidden="1">{#N/A,#N/A,TRUE,"Serviços"}</definedName>
    <definedName name="______OUT98" hidden="1">{#N/A,#N/A,TRUE,"Serviços"}</definedName>
    <definedName name="______OUTT98888" hidden="1">{#N/A,#N/A,TRUE,"Serviços"}</definedName>
    <definedName name="_____OUT98" hidden="1">{#N/A,#N/A,TRUE,"Serviços"}</definedName>
    <definedName name="_____OUTTT988" hidden="1">{#N/A,#N/A,TRUE,"Serviços"}</definedName>
    <definedName name="____OUT98" hidden="1">{#N/A,#N/A,TRUE,"Serviços"}</definedName>
    <definedName name="____out99" hidden="1">{#N/A,#N/A,TRUE,"Serviços"}</definedName>
    <definedName name="____OUTTT98" hidden="1">{#N/A,#N/A,TRUE,"Serviços"}</definedName>
    <definedName name="___OUT98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Fill" hidden="1">#REF!</definedName>
    <definedName name="_Key1" hidden="1">'[3]1.6'!$A$11</definedName>
    <definedName name="_Key2" hidden="1">#REF!</definedName>
    <definedName name="_Order1" hidden="1">255</definedName>
    <definedName name="_Order2" hidden="1">0</definedName>
    <definedName name="_OUT98" hidden="1">{#N/A,#N/A,TRUE,"Serviços"}</definedName>
    <definedName name="_OUT98_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_Sort" hidden="1">#REF!</definedName>
    <definedName name="aaaa" hidden="1">#REF!</definedName>
    <definedName name="AccessDatabase" hidden="1">"D:\Arquivos do excel\Planilha modelo1.mdb"</definedName>
    <definedName name="acost" hidden="1">{#N/A,#N/A,TRUE,"Serviços"}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lex" hidden="1">{#N/A,#N/A,FALSE,"MO (2)"}</definedName>
    <definedName name="alex_1" hidden="1">{#N/A,#N/A,FALSE,"MO (2)"}</definedName>
    <definedName name="Anexo" hidden="1">{#N/A,#N/A,FALSE,"Planilha";#N/A,#N/A,FALSE,"Resumo";#N/A,#N/A,FALSE,"Fisico";#N/A,#N/A,FALSE,"Financeiro";#N/A,#N/A,FALSE,"Financeiro"}</definedName>
    <definedName name="anscount" hidden="1">3</definedName>
    <definedName name="ant" hidden="1">{#N/A,#N/A,FALSE,"MO (2)"}</definedName>
    <definedName name="ant_1" hidden="1">{#N/A,#N/A,FALSE,"MO (2)"}</definedName>
    <definedName name="_xlnm.Print_Area" localSheetId="4">'COMPOSIÇÕES UNITÁRIAS SD'!$A$1:$G$88</definedName>
    <definedName name="_xlnm.Print_Area" localSheetId="8">'CRONOGRAMA CD'!$A$1:$F$40</definedName>
    <definedName name="_xlnm.Print_Area" localSheetId="2">'CRONOGRAMA SD'!$A$1:$G$41</definedName>
    <definedName name="_xlnm.Print_Area" localSheetId="6">'GERAL '!$A$1:$H$28</definedName>
    <definedName name="_xlnm.Print_Area" localSheetId="0">'GERAL  (2)'!$A$1:$I$12</definedName>
    <definedName name="_xlnm.Print_Area" localSheetId="10">'Memoria de Calculo '!$A$1:$E$84</definedName>
    <definedName name="_xlnm.Print_Area" localSheetId="14">'QCI '!$A$1:$D$33</definedName>
    <definedName name="_xlnm.Print_Area" localSheetId="7">'RESUMO CD'!$A$1:$F$19</definedName>
    <definedName name="_xlnm.Print_Area" localSheetId="1">'RESUMO SD '!$A$1:$F$19</definedName>
    <definedName name="ASDFG" hidden="1">{#N/A,#N/A,TRUE,"Serviços"}</definedName>
    <definedName name="ASFGG" hidden="1">{#N/A,#N/A,TRUE,"Serviços"}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bbb" hidden="1">{#N/A,#N/A,FALSE,"MO (2)"}</definedName>
    <definedName name="bbbb_1" hidden="1">{#N/A,#N/A,FALSE,"MO (2)"}</definedName>
    <definedName name="BDI">[4]DADOS!$B$7</definedName>
    <definedName name="Bloco" hidden="1">#REF!</definedName>
    <definedName name="Bloco2" hidden="1">#REF!</definedName>
    <definedName name="cadeira" hidden="1">{#N/A,#N/A,TRUE,"Serviços"}</definedName>
    <definedName name="CadIns" hidden="1">#REF!</definedName>
    <definedName name="CadSrv" hidden="1">#REF!</definedName>
    <definedName name="CAPA" hidden="1">{#N/A,#N/A,TRUE,"Serviços"}</definedName>
    <definedName name="capa1" hidden="1">{#N/A,#N/A,TRUE,"Serviços"}</definedName>
    <definedName name="capa11" hidden="1">{#N/A,#N/A,TRUE,"Serviços"}</definedName>
    <definedName name="capa22" hidden="1">{#N/A,#N/A,TRUE,"Serviços"}</definedName>
    <definedName name="CAPAA" hidden="1">{#N/A,#N/A,TRUE,"Serviços"}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as_1" hidden="1">MAX(LEN(#REF!))</definedName>
    <definedName name="Cliente" hidden="1">""</definedName>
    <definedName name="Cls" hidden="1">#N/A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Cron" hidden="1">{#N/A,#N/A,FALSE,"MO (2)"}</definedName>
    <definedName name="Cron_1" hidden="1">{#N/A,#N/A,FALSE,"MO (2)"}</definedName>
    <definedName name="cronograma" hidden="1">{#N/A,#N/A,TRUE,"Plan1"}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DAER1" hidden="1">{#N/A,#N/A,TRUE,"Serviços"}</definedName>
    <definedName name="DAER11" hidden="1">{#N/A,#N/A,TRUE,"Serviços"}</definedName>
    <definedName name="DescAux" hidden="1">#N/A</definedName>
    <definedName name="dfgs" hidden="1">{#N/A,#N/A,TRUE,"Serviços"}</definedName>
    <definedName name="dfgss" hidden="1">{#N/A,#N/A,TRUE,"Serviços"}</definedName>
    <definedName name="DGF" hidden="1">{#N/A,#N/A,FALSE,"MO (2)"}</definedName>
    <definedName name="DGF_1" hidden="1">{#N/A,#N/A,FALSE,"MO (2)"}</definedName>
    <definedName name="Dom_Páscoa" hidden="1">#N/A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U" hidden="1">{#N/A,#N/A,FALSE,"MO (2)"}</definedName>
    <definedName name="EU_1" hidden="1">{#N/A,#N/A,FALSE,"MO (2)"}</definedName>
    <definedName name="FATUR" hidden="1">{#N/A,#N/A,FALSE,"Planilha";#N/A,#N/A,FALSE,"Resumo";#N/A,#N/A,FALSE,"Fisico";#N/A,#N/A,FALSE,"Financeiro";#N/A,#N/A,FALSE,"Financeiro"}</definedName>
    <definedName name="FATURAS2002" hidden="1">{#N/A,#N/A,TRUE,"Serviços"}</definedName>
    <definedName name="FATURAS20022" hidden="1">{#N/A,#N/A,TRUE,"Serviços"}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gff" hidden="1">{#N/A,#N/A,FALSE,"MO (2)"}</definedName>
    <definedName name="fgff_1" hidden="1">{#N/A,#N/A,FALSE,"MO (2)"}</definedName>
    <definedName name="figura1">"Figura 1"</definedName>
    <definedName name="FOLHA01" hidden="1">{#N/A,#N/A,TRUE,"Serviços"}</definedName>
    <definedName name="FOLHA011" hidden="1">{#N/A,#N/A,TRUE,"Serviços"}</definedName>
    <definedName name="folha1" hidden="1">{#N/A,#N/A,TRUE,"Serviços"}</definedName>
    <definedName name="folha11" hidden="1">{#N/A,#N/A,TRUE,"Serviços"}</definedName>
    <definedName name="Fresagem01" hidden="1">{#N/A,#N/A,TRUE,"Serviços"}</definedName>
    <definedName name="Fresagem011" hidden="1">{#N/A,#N/A,TRUE,"Serviços"}</definedName>
    <definedName name="gtryfj" hidden="1">{#N/A,#N/A,TRUE,"Serviços"}</definedName>
    <definedName name="gtryfjj" hidden="1">{#N/A,#N/A,TRUE,"Serviços"}</definedName>
    <definedName name="Guia">"Figura 1"</definedName>
    <definedName name="Insumos" hidden="1">#REF!</definedName>
    <definedName name="Itens" hidden="1">#REF!</definedName>
    <definedName name="JANEIRO2003" hidden="1">{#N/A,#N/A,TRUE,"Serviços"}</definedName>
    <definedName name="JANEIRO20033" hidden="1">{#N/A,#N/A,TRUE,"Serviços"}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hidden="1">{#N/A,#N/A,FALSE,"LEVFER V2 P";#N/A,#N/A,FALSE,"LEVFER V2 P10%"}</definedName>
    <definedName name="JOSE" hidden="1">{#N/A,#N/A,FALSE,"LEVFER V2 P";#N/A,#N/A,FALSE,"LEVFER V2 P10%"}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" hidden="1">{#N/A,#N/A,FALSE,"MO (2)"}</definedName>
    <definedName name="la_1" hidden="1">{#N/A,#N/A,FALSE,"MO (2)"}</definedName>
    <definedName name="lab" hidden="1">{#N/A,#N/A,TRUE,"Serviços"}</definedName>
    <definedName name="labb" hidden="1">{#N/A,#N/A,TRUE,"Serviços"}</definedName>
    <definedName name="limcount" hidden="1">1</definedName>
    <definedName name="LOGOTIPO">"Figura 3"</definedName>
    <definedName name="Max" hidden="1">COUNTIF(#REF!,"&lt;&gt;0")+3</definedName>
    <definedName name="MO" hidden="1">#REF!</definedName>
    <definedName name="Mob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Obra" hidden="1">""</definedName>
    <definedName name="OnOff" hidden="1">"ON"</definedName>
    <definedName name="orçamrest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ayment_Needed">"Pagamento necessário"</definedName>
    <definedName name="pcf">[4]DADOS!$F$8</definedName>
    <definedName name="PISTA" hidden="1">{#N/A,#N/A,TRUE,"Serviços"}</definedName>
    <definedName name="Plan1" hidden="1">#REF!</definedName>
    <definedName name="PLANILHA" hidden="1">{#N/A,#N/A,TRUE,"Serviços"}</definedName>
    <definedName name="Posição" hidden="1">#REF!</definedName>
    <definedName name="Prd" hidden="1">#N/A</definedName>
    <definedName name="PrdAux" hidden="1">#N/A</definedName>
    <definedName name="PROD_1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imbursement">"Reembolso"</definedName>
    <definedName name="REL" hidden="1">{#N/A,#N/A,TRUE,"Serviços"}</definedName>
    <definedName name="Relat" hidden="1">#REF!</definedName>
    <definedName name="RELL" hidden="1">{#N/A,#N/A,TRUE,"Serviços"}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umou" hidden="1">{#N/A,#N/A,TRUE,"Plan1"}</definedName>
    <definedName name="Rod" hidden="1">#REF!</definedName>
    <definedName name="rrff" hidden="1">{#N/A,#N/A,TRUE,"Serviços"}</definedName>
    <definedName name="rrfff" hidden="1">{#N/A,#N/A,TRUE,"Serviços"}</definedName>
    <definedName name="rrr" hidden="1">{#N/A,#N/A,TRUE,"Serviços"}</definedName>
    <definedName name="SASASA" hidden="1">{#N/A,#N/A,FALSE,"MO (2)"}</definedName>
    <definedName name="SASASA_1" hidden="1">{#N/A,#N/A,FALSE,"MO (2)"}</definedName>
    <definedName name="sasda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TEMBRO" hidden="1">{#N/A,#N/A,TRUE,"Serviços"}</definedName>
    <definedName name="SETEMBROO" hidden="1">{#N/A,#N/A,TRUE,"Serviços"}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RV" hidden="1">#REF!</definedName>
    <definedName name="SS" hidden="1">#REF!</definedName>
    <definedName name="SSS_1" hidden="1">{#N/A,#N/A,FALSE,"MO (2)"}</definedName>
    <definedName name="sssssssssssssssssssss" hidden="1">{#N/A,#N/A,TRUE,"Plan1"}</definedName>
    <definedName name="sssssssssssssssssssss_1" hidden="1">{#N/A,#N/A,TRUE,"Plan1"}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achas" hidden="1">{#N/A,#N/A,TRUE,"Plan1"}</definedName>
    <definedName name="Tachas_1" hidden="1">{#N/A,#N/A,TRUE,"Plan1"}</definedName>
    <definedName name="TYUIO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hidden="1">{#N/A,#N/A,TRUE,"Serviços"}</definedName>
    <definedName name="vvv" hidden="1">{#N/A,#N/A,FALSE,"MO (2)"}</definedName>
    <definedName name="vvv_1" hidden="1">{#N/A,#N/A,FALSE,"MO (2)"}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hidden="1">{#N/A,#N/A,TRUE,"TER  EXT";#N/A,#N/A,TRUE,"TER  EXT";#N/A,#N/A,TRUE,"LAT  ESQ";#N/A,#N/A,TRUE,"FRONTAL";#N/A,#N/A,TRUE,"POST";#N/A,#N/A,TRUE,"LAT  DIR"}</definedName>
    <definedName name="wrn.LEVFER." hidden="1">{#N/A,#N/A,FALSE,"LEVFER V2 P";#N/A,#N/A,FALSE,"LEVFER V2 P10%"}</definedName>
    <definedName name="wrn.mo2." hidden="1">{#N/A,#N/A,FALSE,"MO (2)"}</definedName>
    <definedName name="wrn.mo2._1" hidden="1">{#N/A,#N/A,FALSE,"MO (2)"}</definedName>
    <definedName name="wrn.Orçamento." hidden="1">{#N/A,#N/A,FALSE,"Planilha";#N/A,#N/A,FALSE,"Resumo";#N/A,#N/A,FALSE,"Fisico";#N/A,#N/A,FALSE,"Financeiro";#N/A,#N/A,FALSE,"Financeiro"}</definedName>
    <definedName name="wrn.Orçamento._1" hidden="1">{#N/A,#N/A,FALSE,"Planilha";#N/A,#N/A,FALSE,"Resumo";#N/A,#N/A,FALSE,"Fisico";#N/A,#N/A,FALSE,"Financeiro";#N/A,#N/A,FALSE,"Financeiro"}</definedName>
    <definedName name="wrn.Orçamento._2" hidden="1">{#N/A,#N/A,FALSE,"Planilha";#N/A,#N/A,FALSE,"Resumo";#N/A,#N/A,FALSE,"Fisico";#N/A,#N/A,FALSE,"Financeiro";#N/A,#N/A,FALSE,"Financeiro"}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lext." hidden="1">{#N/A,#N/A,TRUE,"Plan1"}</definedName>
    <definedName name="wrn.relext._1" hidden="1">{#N/A,#N/A,TRUE,"Plan1"}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hidden="1">{#N/A,#N/A,TRUE,"Serviços"}</definedName>
    <definedName name="wrn.Tipo.." hidden="1">{#N/A,#N/A,TRUE,"Serviços"}</definedName>
    <definedName name="yy" hidden="1">{#N/A,#N/A,TRUE,"Serviços"}</definedName>
    <definedName name="z_1" hidden="1">{#N/A,#N/A,FALSE,"MO (2)"}</definedName>
    <definedName name="zaza" hidden="1">{#N/A,#N/A,FALSE,"MO (2)"}</definedName>
    <definedName name="zaza_1" hidden="1">{#N/A,#N/A,FALSE,"MO (2)"}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5" l="1"/>
  <c r="C24" i="15"/>
  <c r="C21" i="15"/>
  <c r="C17" i="15"/>
  <c r="C15" i="15"/>
  <c r="C11" i="15"/>
  <c r="G30" i="25"/>
  <c r="G27" i="25"/>
  <c r="G24" i="25"/>
  <c r="G23" i="25"/>
  <c r="G20" i="25"/>
  <c r="G19" i="25"/>
  <c r="G16" i="25"/>
  <c r="G13" i="25"/>
  <c r="G12" i="25"/>
  <c r="G11" i="25"/>
  <c r="G86" i="26" l="1"/>
  <c r="F86" i="26"/>
  <c r="G87" i="9"/>
  <c r="F87" i="9"/>
  <c r="B19" i="15"/>
  <c r="D5" i="27"/>
  <c r="C3" i="27"/>
  <c r="C5" i="27" s="1"/>
  <c r="C57" i="16" l="1"/>
  <c r="E20" i="25" s="1"/>
  <c r="C56" i="16"/>
  <c r="C55" i="16"/>
  <c r="F20" i="6"/>
  <c r="G20" i="6" s="1"/>
  <c r="E20" i="6" l="1"/>
  <c r="F20" i="25"/>
  <c r="H20" i="25" s="1"/>
  <c r="H20" i="6"/>
  <c r="C77" i="16"/>
  <c r="C19" i="16"/>
  <c r="C20" i="16" s="1"/>
  <c r="E13" i="6" s="1"/>
  <c r="F27" i="25" l="1"/>
  <c r="F27" i="6"/>
  <c r="D6" i="15"/>
  <c r="D5" i="15"/>
  <c r="G3" i="6"/>
  <c r="F13" i="25"/>
  <c r="G20" i="26"/>
  <c r="F3" i="26"/>
  <c r="F30" i="25"/>
  <c r="E24" i="25"/>
  <c r="F23" i="25"/>
  <c r="F16" i="25"/>
  <c r="F11" i="25"/>
  <c r="B7" i="25"/>
  <c r="B6" i="25"/>
  <c r="A4" i="25"/>
  <c r="A4" i="26" s="1"/>
  <c r="H3" i="25"/>
  <c r="G3" i="26" s="1"/>
  <c r="G3" i="25"/>
  <c r="A3" i="25"/>
  <c r="A3" i="26" s="1"/>
  <c r="A2" i="24"/>
  <c r="F30" i="6"/>
  <c r="F13" i="6"/>
  <c r="G13" i="6" s="1"/>
  <c r="F23" i="6"/>
  <c r="F11" i="6"/>
  <c r="G11" i="6" s="1"/>
  <c r="E24" i="6"/>
  <c r="F41" i="4"/>
  <c r="E41" i="4"/>
  <c r="D41" i="4"/>
  <c r="C41" i="4"/>
  <c r="F37" i="4"/>
  <c r="E37" i="4"/>
  <c r="D37" i="4"/>
  <c r="C37" i="4"/>
  <c r="F30" i="4"/>
  <c r="E30" i="4"/>
  <c r="D30" i="4"/>
  <c r="C30" i="4"/>
  <c r="F18" i="4"/>
  <c r="E18" i="4"/>
  <c r="D18" i="4"/>
  <c r="C18" i="4"/>
  <c r="B17" i="15"/>
  <c r="B21" i="15"/>
  <c r="B26" i="15"/>
  <c r="B24" i="15"/>
  <c r="C83" i="16"/>
  <c r="C16" i="16"/>
  <c r="E12" i="25" s="1"/>
  <c r="C51" i="16"/>
  <c r="C50" i="16"/>
  <c r="C45" i="16"/>
  <c r="C44" i="16"/>
  <c r="C61" i="16" s="1"/>
  <c r="C64" i="16" s="1"/>
  <c r="E23" i="6" s="1"/>
  <c r="C18" i="1" s="1"/>
  <c r="C12" i="16"/>
  <c r="E11" i="6" s="1"/>
  <c r="E30" i="25" l="1"/>
  <c r="H30" i="25" s="1"/>
  <c r="H29" i="25" s="1"/>
  <c r="E30" i="6"/>
  <c r="E23" i="25"/>
  <c r="H23" i="25" s="1"/>
  <c r="D23" i="1" s="1"/>
  <c r="E11" i="25"/>
  <c r="H11" i="25" s="1"/>
  <c r="D7" i="24" s="1"/>
  <c r="G47" i="26"/>
  <c r="G38" i="26" s="1"/>
  <c r="G39" i="26" s="1"/>
  <c r="G21" i="26"/>
  <c r="G22" i="26" s="1"/>
  <c r="F12" i="25"/>
  <c r="F24" i="25"/>
  <c r="H11" i="6"/>
  <c r="D7" i="7" s="1"/>
  <c r="F42" i="4"/>
  <c r="D42" i="4"/>
  <c r="E42" i="4"/>
  <c r="C42" i="4"/>
  <c r="C67" i="16"/>
  <c r="C69" i="16" s="1"/>
  <c r="C52" i="16"/>
  <c r="C73" i="16" s="1"/>
  <c r="C46" i="16"/>
  <c r="E16" i="25" s="1"/>
  <c r="H16" i="25" s="1"/>
  <c r="H15" i="25" s="1"/>
  <c r="D15" i="24" l="1"/>
  <c r="E15" i="24" s="1"/>
  <c r="E16" i="24" s="1"/>
  <c r="D27" i="24"/>
  <c r="E7" i="23"/>
  <c r="E19" i="6"/>
  <c r="E19" i="25"/>
  <c r="F24" i="6"/>
  <c r="G24" i="6" s="1"/>
  <c r="H24" i="6" s="1"/>
  <c r="H24" i="25"/>
  <c r="F19" i="25"/>
  <c r="G40" i="26"/>
  <c r="H12" i="25"/>
  <c r="E7" i="24"/>
  <c r="E7" i="7"/>
  <c r="E16" i="6"/>
  <c r="F27" i="24" l="1"/>
  <c r="H19" i="25"/>
  <c r="H22" i="25"/>
  <c r="D21" i="24" s="1"/>
  <c r="D9" i="24"/>
  <c r="E8" i="23"/>
  <c r="C78" i="16"/>
  <c r="E27" i="6" s="1"/>
  <c r="G27" i="6"/>
  <c r="D22" i="1" l="1"/>
  <c r="H18" i="25"/>
  <c r="F21" i="24"/>
  <c r="F22" i="24" s="1"/>
  <c r="E21" i="24"/>
  <c r="E22" i="24" s="1"/>
  <c r="F9" i="24"/>
  <c r="F10" i="24" s="1"/>
  <c r="E9" i="24"/>
  <c r="F28" i="24"/>
  <c r="C23" i="1"/>
  <c r="H27" i="6"/>
  <c r="E27" i="25"/>
  <c r="H27" i="25" s="1"/>
  <c r="D18" i="24" l="1"/>
  <c r="E10" i="24"/>
  <c r="H26" i="25"/>
  <c r="D24" i="24" s="1"/>
  <c r="H26" i="6"/>
  <c r="G23" i="6"/>
  <c r="E11" i="23" l="1"/>
  <c r="F18" i="24"/>
  <c r="F19" i="24" s="1"/>
  <c r="E18" i="24"/>
  <c r="E19" i="24" s="1"/>
  <c r="F24" i="24"/>
  <c r="F25" i="24" s="1"/>
  <c r="E24" i="24"/>
  <c r="D24" i="7"/>
  <c r="E25" i="24" l="1"/>
  <c r="E30" i="24"/>
  <c r="E31" i="24" s="1"/>
  <c r="G30" i="6"/>
  <c r="F16" i="6" l="1"/>
  <c r="G16" i="6" s="1"/>
  <c r="H16" i="6" s="1"/>
  <c r="H15" i="6" s="1"/>
  <c r="H30" i="6"/>
  <c r="H29" i="6" s="1"/>
  <c r="D15" i="7" l="1"/>
  <c r="E15" i="7" s="1"/>
  <c r="E16" i="7" s="1"/>
  <c r="D27" i="7"/>
  <c r="G27" i="7" l="1"/>
  <c r="G47" i="9"/>
  <c r="G28" i="7" l="1"/>
  <c r="F3" i="9"/>
  <c r="A2" i="7"/>
  <c r="G20" i="9" l="1"/>
  <c r="F12" i="6" s="1"/>
  <c r="G12" i="6" s="1"/>
  <c r="H12" i="6" s="1"/>
  <c r="G38" i="9"/>
  <c r="F19" i="6" l="1"/>
  <c r="G19" i="6" s="1"/>
  <c r="D9" i="7"/>
  <c r="G39" i="9"/>
  <c r="G40" i="9" s="1"/>
  <c r="G21" i="9"/>
  <c r="G22" i="9" s="1"/>
  <c r="B7" i="6"/>
  <c r="H3" i="6"/>
  <c r="A4" i="6"/>
  <c r="A3" i="6"/>
  <c r="H67" i="5"/>
  <c r="I63" i="5"/>
  <c r="I62" i="5"/>
  <c r="I61" i="5"/>
  <c r="K49" i="5"/>
  <c r="G42" i="5"/>
  <c r="I64" i="5" s="1"/>
  <c r="D40" i="5"/>
  <c r="D39" i="5"/>
  <c r="K34" i="5"/>
  <c r="J34" i="5"/>
  <c r="K32" i="5"/>
  <c r="J32" i="5"/>
  <c r="K31" i="5"/>
  <c r="J31" i="5"/>
  <c r="K28" i="5"/>
  <c r="J28" i="5"/>
  <c r="K26" i="5"/>
  <c r="J26" i="5"/>
  <c r="H21" i="5"/>
  <c r="B21" i="5"/>
  <c r="H20" i="5"/>
  <c r="H19" i="5"/>
  <c r="H18" i="5"/>
  <c r="H17" i="5"/>
  <c r="H16" i="5"/>
  <c r="H11" i="5"/>
  <c r="D11" i="5"/>
  <c r="H10" i="5"/>
  <c r="D10" i="5"/>
  <c r="D12" i="5" s="1"/>
  <c r="B12" i="5" s="1"/>
  <c r="K46" i="5" s="1"/>
  <c r="H66" i="3"/>
  <c r="I62" i="3"/>
  <c r="I61" i="3"/>
  <c r="I60" i="3"/>
  <c r="K48" i="3"/>
  <c r="D40" i="3"/>
  <c r="D39" i="3"/>
  <c r="K34" i="3"/>
  <c r="J34" i="3"/>
  <c r="K32" i="3"/>
  <c r="J32" i="3"/>
  <c r="K31" i="3"/>
  <c r="J31" i="3"/>
  <c r="K28" i="3"/>
  <c r="J28" i="3"/>
  <c r="K26" i="3"/>
  <c r="J26" i="3"/>
  <c r="H21" i="3"/>
  <c r="B21" i="3"/>
  <c r="H20" i="3"/>
  <c r="H19" i="3"/>
  <c r="H18" i="3"/>
  <c r="H17" i="3"/>
  <c r="H16" i="3"/>
  <c r="H11" i="3"/>
  <c r="D11" i="3"/>
  <c r="H10" i="3"/>
  <c r="H12" i="3" s="1"/>
  <c r="D10" i="3"/>
  <c r="D28" i="3" l="1"/>
  <c r="D28" i="5"/>
  <c r="G9" i="7"/>
  <c r="G10" i="7" s="1"/>
  <c r="F9" i="7"/>
  <c r="F10" i="7" s="1"/>
  <c r="E9" i="7"/>
  <c r="E10" i="7"/>
  <c r="B10" i="1"/>
  <c r="B12" i="1" s="1"/>
  <c r="E8" i="2"/>
  <c r="G3" i="9"/>
  <c r="F4" i="1"/>
  <c r="D12" i="3"/>
  <c r="B12" i="3" s="1"/>
  <c r="K45" i="3" s="1"/>
  <c r="D34" i="5"/>
  <c r="H4" i="1"/>
  <c r="H22" i="5"/>
  <c r="D31" i="5"/>
  <c r="D32" i="5"/>
  <c r="H22" i="3"/>
  <c r="B22" i="3" s="1"/>
  <c r="H12" i="5"/>
  <c r="I65" i="5"/>
  <c r="I66" i="5" s="1"/>
  <c r="A3" i="9"/>
  <c r="A4" i="9"/>
  <c r="D32" i="3"/>
  <c r="D26" i="3"/>
  <c r="D26" i="5"/>
  <c r="D31" i="3"/>
  <c r="D34" i="3"/>
  <c r="H23" i="6"/>
  <c r="D18" i="1" s="1"/>
  <c r="G63" i="5"/>
  <c r="G64" i="5"/>
  <c r="D63" i="5"/>
  <c r="G73" i="5"/>
  <c r="I67" i="5" s="1"/>
  <c r="B22" i="5"/>
  <c r="I14" i="5"/>
  <c r="C17" i="1" l="1"/>
  <c r="C22" i="1" s="1"/>
  <c r="E13" i="25"/>
  <c r="H13" i="25" s="1"/>
  <c r="F3" i="23"/>
  <c r="H13" i="6"/>
  <c r="D9" i="2"/>
  <c r="D9" i="23"/>
  <c r="E7" i="2"/>
  <c r="H19" i="6"/>
  <c r="I14" i="3"/>
  <c r="B38" i="3" s="1"/>
  <c r="D38" i="3" s="1"/>
  <c r="H22" i="6"/>
  <c r="B38" i="5"/>
  <c r="D38" i="5" s="1"/>
  <c r="F38" i="5"/>
  <c r="G37" i="5"/>
  <c r="F37" i="5"/>
  <c r="K48" i="5"/>
  <c r="K47" i="5"/>
  <c r="G67" i="5" s="1"/>
  <c r="K46" i="3"/>
  <c r="K47" i="3"/>
  <c r="D17" i="1" l="1"/>
  <c r="H18" i="6"/>
  <c r="D21" i="7"/>
  <c r="H10" i="6"/>
  <c r="D11" i="7"/>
  <c r="G11" i="7" s="1"/>
  <c r="G12" i="7" s="1"/>
  <c r="E9" i="2"/>
  <c r="E6" i="2" s="1"/>
  <c r="D11" i="24"/>
  <c r="E9" i="23"/>
  <c r="E6" i="23" s="1"/>
  <c r="H10" i="25"/>
  <c r="H32" i="25" s="1"/>
  <c r="E10" i="23" s="1"/>
  <c r="F3" i="2"/>
  <c r="F38" i="3"/>
  <c r="F37" i="3"/>
  <c r="G37" i="3"/>
  <c r="G41" i="3" s="1"/>
  <c r="I63" i="3" s="1"/>
  <c r="I64" i="3" s="1"/>
  <c r="I65" i="3" s="1"/>
  <c r="G63" i="3" s="1"/>
  <c r="D18" i="7" l="1"/>
  <c r="D31" i="7" s="1"/>
  <c r="C27" i="15"/>
  <c r="D26" i="15" s="1"/>
  <c r="E21" i="7"/>
  <c r="G21" i="7"/>
  <c r="F21" i="7"/>
  <c r="H32" i="6"/>
  <c r="E11" i="2"/>
  <c r="F11" i="24"/>
  <c r="D30" i="24"/>
  <c r="F13" i="23"/>
  <c r="C6" i="1" s="1"/>
  <c r="D62" i="3"/>
  <c r="G62" i="3"/>
  <c r="G72" i="3"/>
  <c r="I66" i="3" s="1"/>
  <c r="D63" i="3" s="1"/>
  <c r="G66" i="3"/>
  <c r="G18" i="1"/>
  <c r="A23" i="1"/>
  <c r="G17" i="1"/>
  <c r="C12" i="1"/>
  <c r="E18" i="7" l="1"/>
  <c r="F18" i="7"/>
  <c r="G18" i="7"/>
  <c r="F12" i="24"/>
  <c r="F30" i="24"/>
  <c r="F31" i="24" s="1"/>
  <c r="F33" i="24" s="1"/>
  <c r="F22" i="1"/>
  <c r="F23" i="1"/>
  <c r="E10" i="2"/>
  <c r="F13" i="2" s="1"/>
  <c r="B6" i="1" s="1"/>
  <c r="C7" i="24"/>
  <c r="C21" i="24"/>
  <c r="C15" i="24"/>
  <c r="C27" i="24"/>
  <c r="E32" i="24"/>
  <c r="C9" i="24"/>
  <c r="E33" i="24"/>
  <c r="C24" i="24"/>
  <c r="C18" i="24"/>
  <c r="D32" i="24"/>
  <c r="C11" i="24"/>
  <c r="C7" i="1"/>
  <c r="D24" i="15"/>
  <c r="D11" i="15"/>
  <c r="D17" i="15"/>
  <c r="D15" i="15"/>
  <c r="D21" i="15"/>
  <c r="B6" i="6"/>
  <c r="G22" i="1"/>
  <c r="G23" i="1"/>
  <c r="F32" i="24" l="1"/>
  <c r="B7" i="1"/>
  <c r="F18" i="1"/>
  <c r="F17" i="1"/>
  <c r="C27" i="7"/>
  <c r="D27" i="15"/>
  <c r="C21" i="7" l="1"/>
  <c r="C24" i="7"/>
  <c r="C11" i="7"/>
  <c r="C15" i="7"/>
  <c r="D33" i="7"/>
  <c r="C18" i="7"/>
  <c r="C9" i="7"/>
  <c r="C7" i="7"/>
  <c r="G24" i="7"/>
  <c r="G31" i="7" s="1"/>
  <c r="G33" i="7" s="1"/>
  <c r="E24" i="7"/>
  <c r="E31" i="7"/>
  <c r="E33" i="7" s="1"/>
  <c r="F24" i="7"/>
  <c r="F31" i="7" s="1"/>
  <c r="F33" i="7" s="1"/>
  <c r="E32" i="7" l="1"/>
  <c r="F32" i="7" s="1"/>
  <c r="G32" i="7" l="1"/>
  <c r="G34" i="7" s="1"/>
  <c r="F34" i="7"/>
  <c r="E34" i="7"/>
</calcChain>
</file>

<file path=xl/sharedStrings.xml><?xml version="1.0" encoding="utf-8"?>
<sst xmlns="http://schemas.openxmlformats.org/spreadsheetml/2006/main" count="1185" uniqueCount="401">
  <si>
    <t>OBRA</t>
  </si>
  <si>
    <t xml:space="preserve">PAVIMENTAÇÃO EM PARALELEPÍPEDO DE VIAS </t>
  </si>
  <si>
    <t>SINAPI SEM DESONERAÇÃO</t>
  </si>
  <si>
    <t>SINAPI COM DESONERAÇÃO</t>
  </si>
  <si>
    <t>MUNICÍPIO</t>
  </si>
  <si>
    <t>LOCALIDADE</t>
  </si>
  <si>
    <t>BDI</t>
  </si>
  <si>
    <t>ZONA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</si>
  <si>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</si>
  <si>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</si>
  <si>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</si>
  <si>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</si>
  <si>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</si>
  <si>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</si>
  <si>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</si>
  <si>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m²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</si>
  <si>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</si>
  <si>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</si>
  <si>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</si>
  <si>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</si>
  <si>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</si>
  <si>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</si>
  <si>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PARCELA DE RELEVÂNCIA COM DESONERAÇÃO</t>
  </si>
  <si>
    <t>Assentamento de guia (meio-fio), confeccionada em concreto pré-fabricado, dimensões 100x15x13x30 (comprimento x base inferiror x base superior x altura), para vias urbanas ( m )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</si>
  <si>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</si>
  <si>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</si>
  <si>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</si>
  <si>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</si>
  <si>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</si>
  <si>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</si>
  <si>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</si>
  <si>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</si>
  <si>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</si>
  <si>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2.0</t>
  </si>
  <si>
    <t>PAVIMENTAÇÃO DE VIAS EM PARALELEPÍPEDO</t>
  </si>
  <si>
    <t>2.1</t>
  </si>
  <si>
    <t>unid.</t>
  </si>
  <si>
    <t>TOTAL GERAL ORÇAMENTÁRIO..................................................R$</t>
  </si>
  <si>
    <t>Placa de Obra em chapa de aço galvanizado</t>
  </si>
  <si>
    <t>Administração local da obra</t>
  </si>
  <si>
    <t>mês</t>
  </si>
  <si>
    <t>SEM DESONERAÇÃO
BDI: 21,96%</t>
  </si>
  <si>
    <t xml:space="preserve">PLANILHA RESUMO - SEM DESONERAÇÃO </t>
  </si>
  <si>
    <t>COMPOSIÇÃO DA PARCELA DE BDI (BONIFICAÇÃO E DESPESAS INDIRETAS)</t>
  </si>
  <si>
    <t>TIPO DE BDI</t>
  </si>
  <si>
    <t>X</t>
  </si>
  <si>
    <t>TIPO DE SERVIÇO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</si>
  <si>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</si>
  <si>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</si>
  <si>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</si>
  <si>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</si>
  <si>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</si>
  <si>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</si>
  <si>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</si>
  <si>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min</t>
  </si>
  <si>
    <t>max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</si>
  <si>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</si>
  <si>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</si>
  <si>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</si>
  <si>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</si>
  <si>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</si>
  <si>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</si>
  <si>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</si>
  <si>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</si>
  <si>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</si>
  <si>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</si>
  <si>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</si>
  <si>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</si>
  <si>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</si>
  <si>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</si>
  <si>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LISTA DE ERROS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</si>
  <si>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</si>
  <si>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</si>
  <si>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</si>
  <si>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</si>
  <si>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</si>
  <si>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</si>
  <si>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</si>
  <si>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</si>
  <si>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</si>
  <si>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</si>
  <si>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</si>
  <si>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</si>
  <si>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</si>
  <si>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</si>
  <si>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</si>
  <si>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</si>
  <si>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</si>
  <si>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</si>
  <si>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</si>
  <si>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</si>
  <si>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r>
      <rPr>
        <b/>
        <sz val="8"/>
        <rFont val="Arial"/>
        <family val="2"/>
      </rPr>
      <t>ENCARGOS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SOCIAIS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SOBRE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MÃO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OBRA</t>
    </r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</si>
  <si>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</si>
  <si>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</si>
  <si>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</si>
  <si>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</si>
  <si>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</si>
  <si>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</si>
  <si>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</si>
  <si>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</si>
  <si>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</si>
  <si>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</si>
  <si>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</si>
  <si>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</si>
  <si>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</si>
  <si>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</si>
  <si>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</si>
  <si>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</si>
  <si>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</si>
  <si>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</si>
  <si>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</si>
  <si>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</si>
  <si>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</si>
  <si>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</si>
  <si>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</si>
  <si>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</si>
  <si>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</si>
  <si>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</si>
  <si>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</si>
  <si>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</si>
  <si>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</si>
  <si>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</si>
  <si>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</si>
  <si>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</si>
  <si>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</si>
  <si>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</si>
  <si>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</si>
  <si>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</si>
  <si>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</si>
  <si>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</si>
  <si>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</si>
  <si>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</si>
  <si>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</si>
  <si>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</si>
  <si>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</si>
  <si>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</si>
  <si>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</si>
  <si>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</si>
  <si>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</si>
  <si>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</si>
  <si>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</si>
  <si>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</si>
  <si>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</si>
  <si>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</si>
  <si>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</si>
  <si>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</si>
  <si>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</si>
  <si>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</si>
  <si>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</si>
  <si>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</si>
  <si>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</si>
  <si>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</si>
  <si>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</si>
  <si>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</si>
  <si>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</si>
  <si>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</si>
  <si>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</si>
  <si>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</si>
  <si>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</si>
  <si>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</si>
  <si>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</si>
  <si>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>CPRB=</t>
  </si>
  <si>
    <t xml:space="preserve">OBRA: PAVIMENTAÇÃO EM PARALELEPIPEDO </t>
  </si>
  <si>
    <t xml:space="preserve">PLANILHA ORÇAMENTÁRIA </t>
  </si>
  <si>
    <t>TRECHO:</t>
  </si>
  <si>
    <t>LARGURA (m):</t>
  </si>
  <si>
    <t>ÁREA (m²):</t>
  </si>
  <si>
    <t>EXTENSÃO (m):</t>
  </si>
  <si>
    <t>PREÇO</t>
  </si>
  <si>
    <t>UNIT. SEM BDI</t>
  </si>
  <si>
    <t>UNIT. COM BDI</t>
  </si>
  <si>
    <t>TOTAL</t>
  </si>
  <si>
    <t>1.2</t>
  </si>
  <si>
    <t>TERRAPLENAGEM</t>
  </si>
  <si>
    <t>Regularização em superficies em terra com motoniveladora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</si>
  <si>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</si>
  <si>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</si>
  <si>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</si>
  <si>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</si>
  <si>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</si>
  <si>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</si>
  <si>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</si>
  <si>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m</t>
  </si>
  <si>
    <t>4.2</t>
  </si>
  <si>
    <t>und</t>
  </si>
  <si>
    <t>CRONOGRAMA FÍSICO-FINANCEIRO</t>
  </si>
  <si>
    <t>DISCRIMINAÇÃO DOS SERVIÇOS</t>
  </si>
  <si>
    <t>DIAS</t>
  </si>
  <si>
    <t>VALOR TOTAL (R$)</t>
  </si>
  <si>
    <t>TOTAL (%)</t>
  </si>
  <si>
    <t>PESO                      (%)</t>
  </si>
  <si>
    <t>PAVIMENTAÇÃO EM PARALELEPÍPEDO</t>
  </si>
  <si>
    <t>COMPOSIÇÕES DE CUSTO UNITÁRIOS - CCU</t>
  </si>
  <si>
    <t>BDI SERVIÇOS:</t>
  </si>
  <si>
    <t>Unid.: m²</t>
  </si>
  <si>
    <t>Código</t>
  </si>
  <si>
    <t>Descrição</t>
  </si>
  <si>
    <t>Unidade</t>
  </si>
  <si>
    <t>Coeficiente</t>
  </si>
  <si>
    <t>Preço</t>
  </si>
  <si>
    <t>SINAPI</t>
  </si>
  <si>
    <t xml:space="preserve"> 88262 </t>
  </si>
  <si>
    <t>H</t>
  </si>
  <si>
    <t xml:space="preserve"> 88316 </t>
  </si>
  <si>
    <t>m³</t>
  </si>
  <si>
    <t>M</t>
  </si>
  <si>
    <t xml:space="preserve"> 00004813 </t>
  </si>
  <si>
    <t>KG</t>
  </si>
  <si>
    <t>TOTAL:</t>
  </si>
  <si>
    <t>BDI:</t>
  </si>
  <si>
    <t>TOTAL COM BDI:</t>
  </si>
  <si>
    <t>Unid.: mês</t>
  </si>
  <si>
    <t>Engenheiro civil de obra junior com encargos complementares</t>
  </si>
  <si>
    <t>h</t>
  </si>
  <si>
    <t>Encarregado geral com encargos complementares</t>
  </si>
  <si>
    <t>Servente com encargos complementares</t>
  </si>
  <si>
    <t>Calceteiro com encargos complementares</t>
  </si>
  <si>
    <t>Areia grossa - posto jazida/fornecedor (retirado na jazida, sem transporte)</t>
  </si>
  <si>
    <t>mil</t>
  </si>
  <si>
    <t>TOTAL COM BDI</t>
  </si>
  <si>
    <t>Pedreiro com encargos complementares</t>
  </si>
  <si>
    <t xml:space="preserve"> 88309 </t>
  </si>
  <si>
    <t xml:space="preserve"> 00000370 </t>
  </si>
  <si>
    <t xml:space="preserve"> 00004517 </t>
  </si>
  <si>
    <t xml:space="preserve"> 00034492 </t>
  </si>
  <si>
    <t xml:space="preserve"> 88629 </t>
  </si>
  <si>
    <t xml:space="preserve"> 00004059 </t>
  </si>
  <si>
    <t>Argamassa traço 1:3 (em volume de cimento e areia média úmida), preparo manual. af_08/2019</t>
  </si>
  <si>
    <t>Areia media - posto jazida/fornecedor (retirado na jazida, sem transporte)</t>
  </si>
  <si>
    <t>Meio-fio ou guia de concreto, pre-moldado, comp 1 m, *30 x 12/15* cm (h x l1/l2)</t>
  </si>
  <si>
    <t xml:space="preserve"> 00006212 </t>
  </si>
  <si>
    <t>Sarrafo *2,5 x 7,5* cm em pinus, mista ou equivalente da regiao - bruta</t>
  </si>
  <si>
    <t>Tabua *2,5 x 30 cm em pinus, mista ou equivalente da regiao - bruta</t>
  </si>
  <si>
    <t>Concreto usinado bombeavel, classe de resistencia c20, com brita 0 e 1, slump = 100 +/- 20 mm, exclui servico de bombeamento (nbr 8953)</t>
  </si>
  <si>
    <t xml:space="preserve">OBRA: PAVIMENTAÇÃO EM PARALELEPÍPEDO </t>
  </si>
  <si>
    <t>VALOR DAS OBRAS E SERVIÇOS  (R$)</t>
  </si>
  <si>
    <t>TOTAL GERAL R$</t>
  </si>
  <si>
    <t xml:space="preserve">TRANSPORTE </t>
  </si>
  <si>
    <t>t.Km</t>
  </si>
  <si>
    <t>5.0</t>
  </si>
  <si>
    <t>5.1</t>
  </si>
  <si>
    <t xml:space="preserve">QUADRO DE COMPOSIÇÃO DO INVESTIMENTO - QCI </t>
  </si>
  <si>
    <t>ENCARGOS HORISTAS:</t>
  </si>
  <si>
    <t>ENCARGOS MENSALISTAS:</t>
  </si>
  <si>
    <t xml:space="preserve">DISCRIMINAÇÃO </t>
  </si>
  <si>
    <t xml:space="preserve">ITEM </t>
  </si>
  <si>
    <t>VALOR R$</t>
  </si>
  <si>
    <t xml:space="preserve">TERRAPLENAGEM </t>
  </si>
  <si>
    <t xml:space="preserve">PAVIMENTAÇÃO </t>
  </si>
  <si>
    <t xml:space="preserve">SERVIÇOS COMPLEMENTARES </t>
  </si>
  <si>
    <t>Banco</t>
  </si>
  <si>
    <t>Und</t>
  </si>
  <si>
    <t>Quant.</t>
  </si>
  <si>
    <t>Valor Unit</t>
  </si>
  <si>
    <t>TXKM</t>
  </si>
  <si>
    <t xml:space="preserve"> 91386 </t>
  </si>
  <si>
    <t>CHP</t>
  </si>
  <si>
    <t xml:space="preserve"> 91387 </t>
  </si>
  <si>
    <t>CHI</t>
  </si>
  <si>
    <t xml:space="preserve">Composição </t>
  </si>
  <si>
    <t xml:space="preserve">TCE PI </t>
  </si>
  <si>
    <t xml:space="preserve">Demonte manual de rocha arenitica </t>
  </si>
  <si>
    <t xml:space="preserve">TCE PI - DESMONTE MANUAL DE ROCHA DE ORIGEM ARENITICA </t>
  </si>
  <si>
    <t xml:space="preserve">Unid.: milheiro </t>
  </si>
  <si>
    <t xml:space="preserve">Pedreiro com encargos complementares </t>
  </si>
  <si>
    <t>COTAÇÃO INDENIZAÇÃO</t>
  </si>
  <si>
    <t xml:space="preserve">Indenização de Jazida </t>
  </si>
  <si>
    <t>milheiro</t>
  </si>
  <si>
    <t>Quantidade</t>
  </si>
  <si>
    <t>mil/m²</t>
  </si>
  <si>
    <t>t/m³</t>
  </si>
  <si>
    <t>Km</t>
  </si>
  <si>
    <t>103689/SINAPI PI</t>
  </si>
  <si>
    <t>COMP. SADA 01</t>
  </si>
  <si>
    <t>COMP. SADA 02</t>
  </si>
  <si>
    <t>Execução de pavimento em paralelepípedos, rejuntamento com argamassa traço 1:3 (cimento e areia)</t>
  </si>
  <si>
    <t>6.0</t>
  </si>
  <si>
    <t>SINALIZAÇÃO</t>
  </si>
  <si>
    <t>6.1</t>
  </si>
  <si>
    <t>COMP. SADA 03</t>
  </si>
  <si>
    <t>Execução de sarjeta de concreto usinado, moldada in loco em trecho reto, 30 cm base x  3 cm altura</t>
  </si>
  <si>
    <t>ADMINISTRAÇÃO LOCAL DA OBRA - COMP. SADA 01</t>
  </si>
  <si>
    <t xml:space="preserve"> 103689 </t>
  </si>
  <si>
    <t xml:space="preserve"> 102234 </t>
  </si>
  <si>
    <t xml:space="preserve"> 00004509 </t>
  </si>
  <si>
    <t xml:space="preserve"> 00005065 </t>
  </si>
  <si>
    <t xml:space="preserve"> 00005069 </t>
  </si>
  <si>
    <t xml:space="preserve"> 100575 </t>
  </si>
  <si>
    <t xml:space="preserve"> 5932 </t>
  </si>
  <si>
    <t xml:space="preserve"> 5934 </t>
  </si>
  <si>
    <t xml:space="preserve"> 93244 </t>
  </si>
  <si>
    <t xml:space="preserve"> 94273 </t>
  </si>
  <si>
    <t>COMP. SADA 04</t>
  </si>
  <si>
    <t>UN</t>
  </si>
  <si>
    <t>UND</t>
  </si>
  <si>
    <t>EXECUÇÃO DE PAVIMENTO EM PARALELEPÍPEDOS, REJUNTAMENTO COM ARGAMASSA TRAÇO 1:3 (CIMENTO E AREIA). AF_05/2020 - ( SINAPI - 101169) - ADAPTADA - COMP. SADA 02</t>
  </si>
  <si>
    <t>Fornecimento e instalação de placa de obra com chapa galvanizada e estrutura de madeira. af_03/2022_ps</t>
  </si>
  <si>
    <t>Pintura imunizante para madeira, 2 demãos. af_01/2021</t>
  </si>
  <si>
    <t>Carpinteiro de formas com encargos complementares</t>
  </si>
  <si>
    <t>Sarrafo *2,5 x 10* cm em pinus, mista ou equivalente da regiao - bruta</t>
  </si>
  <si>
    <t>Placa de obra (para construcao civil) em chapa galvanizada *n. 22*, adesivada, de *2,4 x 1,2* m (sem postes para fixacao)</t>
  </si>
  <si>
    <t>Prego de aco polido com cabeca 10 x 10 (7/8 x 17)</t>
  </si>
  <si>
    <t>Prego de aco polido com cabeca 17 x 27 (2 1/2 x 11)</t>
  </si>
  <si>
    <t>Regularização de superfícies com motoniveladora. af_09/2024</t>
  </si>
  <si>
    <t>Motoniveladora potência básica líquida (primeira marcha) 125 hp, peso bruto 13032 kg, largura da lâmina de 3,7 m - chp diurno. af_06/2014</t>
  </si>
  <si>
    <t>Motoniveladora potência básica líquida (primeira marcha) 125 hp, peso bruto 13032 kg, largura da lâmina de 3,7 m - chi diurno. af_06/2014</t>
  </si>
  <si>
    <t>Rolo compactador vibratório pé de carneiro para solos, potência 80 hp, peso operacional sem/com lastro 7,4 / 8,8 t, largura de trabalho 1,68 m - chi diurno. af_02/2016</t>
  </si>
  <si>
    <t>Argamassa traço 1:3 (em volume de cimento e areia média úmida), preparo mecânico com betoneira 400 l. af_08/2019</t>
  </si>
  <si>
    <t>Assentamento de guia (meio-fio) em trecho reto, confeccionada em concreto pré-fabricado, dimensões 100x15x13x30 cm (comprimento x base inferior x base superior x altura). af_01/2024</t>
  </si>
  <si>
    <t>Execução de sarjeta de concreto usinado, moldada  in loco  em trecho reto, 30 cm base x 10 cm altura. af_01/2024</t>
  </si>
  <si>
    <t>Limpeza final da obra</t>
  </si>
  <si>
    <t>Caminhão basculante 10 m3, trucado cabine simples, peso bruto total 23.000 kg, carga útil máxima 15.935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</si>
  <si>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</si>
  <si>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>MEMÓRIA DE CÁLCULO</t>
  </si>
  <si>
    <t>Comprimento</t>
  </si>
  <si>
    <t>Largura</t>
  </si>
  <si>
    <t>u n</t>
  </si>
  <si>
    <t>Área total (projeto)</t>
  </si>
  <si>
    <t xml:space="preserve">Quantidade </t>
  </si>
  <si>
    <t>Quantidade (medição atual)</t>
  </si>
  <si>
    <t>Comprimento =</t>
  </si>
  <si>
    <t>Largura da rua =</t>
  </si>
  <si>
    <t>Comprimento total (projeto)</t>
  </si>
  <si>
    <t>Execução de sarjeta de concreto usinado, moldada in loco em trecho reto, 30 cm base x 3 cm altura</t>
  </si>
  <si>
    <t xml:space="preserve">SINALIZAÇÃO </t>
  </si>
  <si>
    <t>Quantidade projeto</t>
  </si>
  <si>
    <t>Área</t>
  </si>
  <si>
    <t xml:space="preserve">Consumo </t>
  </si>
  <si>
    <t xml:space="preserve">Volume </t>
  </si>
  <si>
    <t>m³/m²</t>
  </si>
  <si>
    <t xml:space="preserve">Peso Específico </t>
  </si>
  <si>
    <t xml:space="preserve">DMT </t>
  </si>
  <si>
    <t xml:space="preserve">Área total </t>
  </si>
  <si>
    <t xml:space="preserve">DMT Obra à Jazida </t>
  </si>
  <si>
    <t xml:space="preserve">Km </t>
  </si>
  <si>
    <t xml:space="preserve">Contenção </t>
  </si>
  <si>
    <t xml:space="preserve">Total </t>
  </si>
  <si>
    <t>txKm</t>
  </si>
  <si>
    <t>LOCAL: REDENÇÃO DO GURGUEIA - PI</t>
  </si>
  <si>
    <t>HORISTA: 90,66%
MENSALISTA: 52,90%</t>
  </si>
  <si>
    <t>HORISTA: 113,33%
MENSALISTA: 71,12%</t>
  </si>
  <si>
    <t>2.2</t>
  </si>
  <si>
    <t>2.3</t>
  </si>
  <si>
    <t>2.4</t>
  </si>
  <si>
    <t>2.5</t>
  </si>
  <si>
    <t>3.2</t>
  </si>
  <si>
    <t>4.3</t>
  </si>
  <si>
    <t>Próprio</t>
  </si>
  <si>
    <t xml:space="preserve"> 94969 </t>
  </si>
  <si>
    <t xml:space="preserve"> 00039126 </t>
  </si>
  <si>
    <t xml:space="preserve"> 00007696 </t>
  </si>
  <si>
    <t xml:space="preserve"> I2525 </t>
  </si>
  <si>
    <t>SEINFRA</t>
  </si>
  <si>
    <t xml:space="preserve"> 00013521 </t>
  </si>
  <si>
    <t>Placa esmaltada para identificação de nome de rua, dimensões 45 x 20 cm com tubo de aço</t>
  </si>
  <si>
    <t>Concreto fck = 15mpa, traço 1:3,4:3,5 (em massa seca de cimento/ areia média/ brita 1) - preparo mecânico com betoneira 600 l. af_05/2021</t>
  </si>
  <si>
    <t>Abracadeira em aco para amarracao de eletrodutos, tipo d, com 4" e cunha de fixacao</t>
  </si>
  <si>
    <t>Tubo aco galvanizado com costura, classe media, dn 2", e = *3,65* mm, peso *5,10* kg/m (nbr 5580)</t>
  </si>
  <si>
    <t>Parafuso c/porca e arruela de 1/4x1 1/2"</t>
  </si>
  <si>
    <t>Placa de aco esmaltada para identificacao de rua, *45 cm x 20* cm</t>
  </si>
  <si>
    <t>SERVIÇOS DIVERSOS</t>
  </si>
  <si>
    <t>1.3</t>
  </si>
  <si>
    <t xml:space="preserve">PLANILHA RESUMO - COM DESONERAÇÃO </t>
  </si>
  <si>
    <t xml:space="preserve">LOGRADOURO: RUA LUIZ GONZAGA </t>
  </si>
  <si>
    <t xml:space="preserve">Quantidade total </t>
  </si>
  <si>
    <t xml:space="preserve">PAJEÚ DO PIAUI </t>
  </si>
  <si>
    <t xml:space="preserve">NOVA VEREDA </t>
  </si>
  <si>
    <t xml:space="preserve">Limpeza final da obra </t>
  </si>
  <si>
    <t xml:space="preserve">Área Total </t>
  </si>
  <si>
    <t xml:space="preserve">RUA PROJETADA </t>
  </si>
  <si>
    <t>OBJETO:  PAVIMENTAÇÃO DE VIAS PÚBLICAS NO MUNÍCIO DE PAJEÚ DO PIAUÍ-PI</t>
  </si>
  <si>
    <t xml:space="preserve">LOCAL: NOVA VEREDA </t>
  </si>
  <si>
    <t>Transporte com caminhão basculante de 10 m³, em via urbana em leito natural</t>
  </si>
  <si>
    <t>Transporte com caminhão basculante de 10 m³, em via urbana pavimentada em leito natural</t>
  </si>
  <si>
    <t xml:space="preserve">Transporte com caminhão basculante de 10 m³, em via urbana pavimentada em leito natural </t>
  </si>
  <si>
    <t>OBJETO:  PAVIMENTAÇÃO DE VIAS PÚBLICAS NO MUNÍCIO DE PAJEÚ DO PIAUI   -PI</t>
  </si>
  <si>
    <t>OBJETO:  PAVIMENTAÇÃO DE VIAS PÚBLICAS NO MUNÍCIO DE PAJEÚ DO PIAUI  -PI</t>
  </si>
  <si>
    <r>
      <t xml:space="preserve">OBRA: </t>
    </r>
    <r>
      <rPr>
        <sz val="10"/>
        <color theme="1"/>
        <rFont val="Arial"/>
        <family val="2"/>
      </rPr>
      <t>PAVIMENTAÇÃO EM PAJEÚ DO PIAUI   -PI</t>
    </r>
  </si>
  <si>
    <t>OBJETO:  PAVIMENTAÇÃO DE VIAS PÚBLICAS NO MUNÍCIO DE PAJEÚ DO PIAUI -PI</t>
  </si>
  <si>
    <t>LOCAL: PAJEÚ DO PIAUI- PI</t>
  </si>
  <si>
    <t>COMP. SADA 05</t>
  </si>
  <si>
    <t>Compactador de solo tipo Placa Vibratoria reversivel, peso 125 a 150 Kg, força centrif. 2500 a 2800 Kgf, larg. trabalho 400 a 450 mm, freq. vibração 4300 a 4500 rpm, velocidade. trabalho 15 a 20 m/min, pot. 5,5 a 6,0 hp</t>
  </si>
  <si>
    <t>Compactação Mecanica</t>
  </si>
  <si>
    <t xml:space="preserve">Compactação Mecânica </t>
  </si>
  <si>
    <t xml:space="preserve">Compactação mecânica </t>
  </si>
  <si>
    <t>COORDENADAS</t>
  </si>
  <si>
    <t xml:space="preserve"> -7.846060°                                                                -42.819788°</t>
  </si>
  <si>
    <t>SADA 03</t>
  </si>
  <si>
    <t xml:space="preserve"> COMP SADA 05</t>
  </si>
  <si>
    <t>COMP. SADA 06</t>
  </si>
  <si>
    <t>PROPRIO</t>
  </si>
  <si>
    <t>FONTE:  
SINAPI 12/2025</t>
  </si>
  <si>
    <t>SINAPI 12/2025</t>
  </si>
  <si>
    <t xml:space="preserve"> COMP SADA 06</t>
  </si>
  <si>
    <t>BANCA: SINAPI 12/2025 - Com desoneração - Horista: 90,66 % / Mensalista: 52,90% - BDI: 26,86 %</t>
  </si>
  <si>
    <t>COM DESONERAÇÃO
BDI: 26,86%</t>
  </si>
  <si>
    <t>BANCA: SINAPI - 12/2025</t>
  </si>
  <si>
    <t>BASE DE PREÇO: SINAPI PI 12/2025</t>
  </si>
  <si>
    <t>BANCA: SINAPI 12/2025 - Sem desoneração</t>
  </si>
  <si>
    <t>BASE DE PREÇO COM DESONERAÇÃO</t>
  </si>
  <si>
    <t xml:space="preserve">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</si>
</sst>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#,##0.0000"/>
    <numFmt numFmtId="166" formatCode="#,##0.000"/>
    <numFmt numFmtId="167" formatCode="_(* #,##0.00_);_(* \(#,##0.00\);_(* &quot;-&quot;??_);_(@_)"/>
    <numFmt numFmtId="168" formatCode="&quot;R$&quot;\ #,##0.00"/>
    <numFmt numFmtId="169" formatCode="#,##0.00;[Red]#,##0.00"/>
    <numFmt numFmtId="170" formatCode="&quot;R$&quot;\ #,##0.00;[Red]&quot;R$&quot;\ #,##0.00"/>
    <numFmt numFmtId="171" formatCode="0.0000"/>
    <numFmt numFmtId="172" formatCode="0.0000%"/>
    <numFmt numFmtId="173" formatCode="_(&quot;R$ &quot;* #,##0.00_);_(&quot;R$ &quot;* \(#,##0.00\);_(&quot;R$ &quot;* &quot;-&quot;??_);_(@_)"/>
    <numFmt numFmtId="174" formatCode="#,##0.0000;[Red]#,##0.0000"/>
    <numFmt numFmtId="175" formatCode="#,##0.0000000"/>
    <numFmt numFmtId="176" formatCode="_(* #,##0.000_);_(* \(#,##0.0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1"/>
    </font>
    <font>
      <b/>
      <sz val="8"/>
      <name val="Arial"/>
      <family val="1"/>
    </font>
    <font>
      <b/>
      <sz val="8"/>
      <color rgb="FF000000"/>
      <name val="Arial"/>
      <family val="1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1"/>
    </font>
    <font>
      <sz val="8"/>
      <color rgb="FF000000"/>
      <name val="Arial"/>
      <family val="1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D6D6D6"/>
      </patternFill>
    </fill>
    <fill>
      <patternFill patternType="solid">
        <fgColor theme="0"/>
        <bgColor rgb="FFEFEFE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DFF0D8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29" fillId="0" borderId="0"/>
  </cellStyleXfs>
  <cellXfs count="532">
    <xf numFmtId="0" fontId="0" fillId="0" borderId="0" xfId="0"/>
    <xf numFmtId="10" fontId="3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vertical="center"/>
    </xf>
    <xf numFmtId="166" fontId="2" fillId="2" borderId="3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10" fontId="3" fillId="0" borderId="2" xfId="3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9" fontId="7" fillId="0" borderId="8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170" fontId="5" fillId="5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2" fontId="9" fillId="0" borderId="0" xfId="4" applyNumberFormat="1" applyFont="1" applyAlignment="1" applyProtection="1">
      <alignment horizontal="center" vertical="center"/>
      <protection hidden="1"/>
    </xf>
    <xf numFmtId="10" fontId="9" fillId="0" borderId="0" xfId="4" applyNumberFormat="1" applyFont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center" vertical="center"/>
      <protection hidden="1"/>
    </xf>
    <xf numFmtId="0" fontId="4" fillId="0" borderId="16" xfId="4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5" xfId="4" applyFont="1" applyBorder="1" applyAlignment="1" applyProtection="1">
      <alignment vertical="center"/>
      <protection hidden="1"/>
    </xf>
    <xf numFmtId="0" fontId="6" fillId="0" borderId="3" xfId="4" applyFont="1" applyBorder="1" applyAlignment="1" applyProtection="1">
      <alignment vertical="center"/>
      <protection hidden="1"/>
    </xf>
    <xf numFmtId="2" fontId="4" fillId="0" borderId="2" xfId="4" applyNumberFormat="1" applyFont="1" applyBorder="1" applyAlignment="1" applyProtection="1">
      <alignment horizontal="center" vertical="center"/>
      <protection locked="0"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/>
      <protection hidden="1"/>
    </xf>
    <xf numFmtId="2" fontId="4" fillId="0" borderId="0" xfId="4" applyNumberFormat="1" applyFont="1" applyAlignment="1" applyProtection="1">
      <alignment horizontal="center" vertical="center"/>
      <protection locked="0"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2" fontId="10" fillId="0" borderId="16" xfId="4" applyNumberFormat="1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 wrapText="1"/>
      <protection hidden="1"/>
    </xf>
    <xf numFmtId="0" fontId="4" fillId="0" borderId="17" xfId="4" applyFont="1" applyBorder="1" applyAlignment="1" applyProtection="1">
      <alignment horizontal="center" vertical="center"/>
      <protection hidden="1"/>
    </xf>
    <xf numFmtId="2" fontId="10" fillId="0" borderId="19" xfId="4" applyNumberFormat="1" applyFont="1" applyBorder="1" applyAlignment="1" applyProtection="1">
      <alignment horizontal="center" vertical="center"/>
      <protection hidden="1"/>
    </xf>
    <xf numFmtId="2" fontId="10" fillId="0" borderId="20" xfId="4" applyNumberFormat="1" applyFont="1" applyBorder="1" applyAlignment="1" applyProtection="1">
      <alignment horizontal="center" vertical="center"/>
      <protection hidden="1"/>
    </xf>
    <xf numFmtId="2" fontId="4" fillId="0" borderId="22" xfId="4" applyNumberFormat="1" applyFont="1" applyBorder="1" applyAlignment="1" applyProtection="1">
      <alignment horizontal="center" vertical="center"/>
      <protection hidden="1"/>
    </xf>
    <xf numFmtId="2" fontId="4" fillId="0" borderId="0" xfId="4" applyNumberFormat="1" applyFont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right" vertical="center"/>
      <protection hidden="1"/>
    </xf>
    <xf numFmtId="0" fontId="6" fillId="0" borderId="19" xfId="4" applyFont="1" applyBorder="1" applyAlignment="1" applyProtection="1">
      <alignment horizontal="center" vertical="center"/>
      <protection hidden="1"/>
    </xf>
    <xf numFmtId="2" fontId="4" fillId="0" borderId="18" xfId="4" applyNumberFormat="1" applyFont="1" applyBorder="1" applyAlignment="1" applyProtection="1">
      <alignment horizontal="center" vertical="center"/>
      <protection hidden="1"/>
    </xf>
    <xf numFmtId="0" fontId="11" fillId="0" borderId="0" xfId="4" applyFont="1" applyAlignment="1" applyProtection="1">
      <alignment horizontal="center" vertical="center"/>
      <protection hidden="1"/>
    </xf>
    <xf numFmtId="2" fontId="6" fillId="0" borderId="22" xfId="4" applyNumberFormat="1" applyFont="1" applyBorder="1" applyAlignment="1" applyProtection="1">
      <alignment horizontal="center" vertical="center"/>
      <protection hidden="1"/>
    </xf>
    <xf numFmtId="2" fontId="6" fillId="0" borderId="23" xfId="4" applyNumberFormat="1" applyFont="1" applyBorder="1" applyAlignment="1" applyProtection="1">
      <alignment horizontal="center" vertical="center"/>
      <protection hidden="1"/>
    </xf>
    <xf numFmtId="0" fontId="6" fillId="0" borderId="5" xfId="4" applyFont="1" applyBorder="1" applyAlignment="1" applyProtection="1">
      <alignment horizontal="center" vertical="center"/>
      <protection hidden="1"/>
    </xf>
    <xf numFmtId="2" fontId="6" fillId="0" borderId="16" xfId="4" applyNumberFormat="1" applyFont="1" applyBorder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left" vertical="center"/>
      <protection hidden="1"/>
    </xf>
    <xf numFmtId="0" fontId="6" fillId="0" borderId="8" xfId="4" applyFont="1" applyBorder="1" applyAlignment="1" applyProtection="1">
      <alignment horizontal="center" vertical="center"/>
      <protection hidden="1"/>
    </xf>
    <xf numFmtId="0" fontId="6" fillId="0" borderId="8" xfId="4" applyFont="1" applyBorder="1" applyAlignment="1" applyProtection="1">
      <alignment horizontal="right" vertical="center"/>
      <protection hidden="1"/>
    </xf>
    <xf numFmtId="10" fontId="6" fillId="0" borderId="4" xfId="4" applyNumberFormat="1" applyFont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left" vertical="center"/>
      <protection hidden="1"/>
    </xf>
    <xf numFmtId="10" fontId="6" fillId="0" borderId="0" xfId="4" applyNumberFormat="1" applyFont="1" applyAlignment="1" applyProtection="1">
      <alignment horizontal="center" vertical="center"/>
      <protection hidden="1"/>
    </xf>
    <xf numFmtId="10" fontId="6" fillId="0" borderId="4" xfId="5" applyNumberFormat="1" applyFont="1" applyFill="1" applyBorder="1" applyAlignment="1" applyProtection="1">
      <alignment horizontal="center" vertical="center"/>
      <protection locked="0"/>
    </xf>
    <xf numFmtId="171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0" xfId="4" applyFont="1" applyBorder="1" applyAlignment="1" applyProtection="1">
      <alignment vertical="center"/>
      <protection hidden="1"/>
    </xf>
    <xf numFmtId="0" fontId="6" fillId="0" borderId="15" xfId="4" applyFont="1" applyBorder="1" applyAlignment="1" applyProtection="1">
      <alignment horizontal="center" vertical="center"/>
      <protection hidden="1"/>
    </xf>
    <xf numFmtId="0" fontId="6" fillId="0" borderId="15" xfId="4" applyFont="1" applyBorder="1" applyAlignment="1" applyProtection="1">
      <alignment horizontal="right" vertical="center"/>
      <protection hidden="1"/>
    </xf>
    <xf numFmtId="10" fontId="6" fillId="0" borderId="11" xfId="5" applyNumberFormat="1" applyFont="1" applyFill="1" applyBorder="1" applyAlignment="1" applyProtection="1">
      <alignment horizontal="center" vertical="center"/>
      <protection hidden="1"/>
    </xf>
    <xf numFmtId="171" fontId="4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locked="0"/>
    </xf>
    <xf numFmtId="2" fontId="4" fillId="0" borderId="16" xfId="5" applyNumberFormat="1" applyFont="1" applyFill="1" applyBorder="1" applyAlignment="1" applyProtection="1">
      <alignment horizontal="center" vertical="center"/>
      <protection hidden="1"/>
    </xf>
    <xf numFmtId="0" fontId="6" fillId="0" borderId="13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right" vertical="center"/>
      <protection hidden="1"/>
    </xf>
    <xf numFmtId="10" fontId="6" fillId="0" borderId="6" xfId="4" applyNumberFormat="1" applyFont="1" applyBorder="1" applyAlignment="1" applyProtection="1">
      <alignment horizontal="center" vertical="center"/>
      <protection locked="0"/>
    </xf>
    <xf numFmtId="0" fontId="6" fillId="0" borderId="24" xfId="4" applyFont="1" applyBorder="1" applyAlignment="1" applyProtection="1">
      <alignment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hidden="1"/>
    </xf>
    <xf numFmtId="2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</xf>
    <xf numFmtId="10" fontId="6" fillId="0" borderId="6" xfId="5" applyNumberFormat="1" applyFont="1" applyFill="1" applyBorder="1" applyAlignment="1" applyProtection="1">
      <alignment horizontal="center" vertical="center"/>
      <protection hidden="1"/>
    </xf>
    <xf numFmtId="0" fontId="6" fillId="0" borderId="17" xfId="4" applyFont="1" applyBorder="1" applyAlignment="1" applyProtection="1">
      <alignment horizontal="center" vertical="center"/>
      <protection hidden="1"/>
    </xf>
    <xf numFmtId="167" fontId="6" fillId="0" borderId="19" xfId="5" applyFont="1" applyFill="1" applyBorder="1" applyAlignment="1" applyProtection="1">
      <alignment horizontal="center" vertical="center"/>
      <protection hidden="1"/>
    </xf>
    <xf numFmtId="2" fontId="6" fillId="0" borderId="19" xfId="5" applyNumberFormat="1" applyFont="1" applyFill="1" applyBorder="1" applyAlignment="1" applyProtection="1">
      <alignment horizontal="center" vertical="center"/>
      <protection hidden="1"/>
    </xf>
    <xf numFmtId="2" fontId="4" fillId="0" borderId="20" xfId="5" applyNumberFormat="1" applyFont="1" applyFill="1" applyBorder="1" applyAlignment="1" applyProtection="1">
      <alignment horizontal="center" vertical="center"/>
      <protection hidden="1"/>
    </xf>
    <xf numFmtId="1" fontId="9" fillId="0" borderId="0" xfId="4" applyNumberFormat="1" applyFont="1" applyAlignment="1" applyProtection="1">
      <alignment horizontal="center" vertical="center"/>
      <protection hidden="1"/>
    </xf>
    <xf numFmtId="0" fontId="6" fillId="0" borderId="19" xfId="4" applyFont="1" applyBorder="1" applyAlignment="1" applyProtection="1">
      <alignment vertical="center"/>
      <protection hidden="1"/>
    </xf>
    <xf numFmtId="2" fontId="6" fillId="0" borderId="19" xfId="4" applyNumberFormat="1" applyFont="1" applyBorder="1" applyAlignment="1" applyProtection="1">
      <alignment horizontal="center" vertical="center"/>
      <protection hidden="1"/>
    </xf>
    <xf numFmtId="2" fontId="6" fillId="0" borderId="20" xfId="4" applyNumberFormat="1" applyFont="1" applyBorder="1" applyAlignment="1" applyProtection="1">
      <alignment horizontal="center" vertical="center"/>
      <protection hidden="1"/>
    </xf>
    <xf numFmtId="0" fontId="6" fillId="0" borderId="22" xfId="4" applyFont="1" applyBorder="1" applyAlignment="1" applyProtection="1">
      <alignment horizontal="center" vertical="center"/>
      <protection hidden="1"/>
    </xf>
    <xf numFmtId="171" fontId="9" fillId="0" borderId="0" xfId="4" applyNumberFormat="1" applyFont="1" applyAlignment="1" applyProtection="1">
      <alignment horizontal="center" vertical="center"/>
      <protection hidden="1"/>
    </xf>
    <xf numFmtId="0" fontId="6" fillId="0" borderId="2" xfId="4" applyFont="1" applyBorder="1" applyAlignment="1" applyProtection="1">
      <alignment horizontal="center" vertical="center"/>
      <protection hidden="1"/>
    </xf>
    <xf numFmtId="10" fontId="6" fillId="0" borderId="2" xfId="4" applyNumberFormat="1" applyFont="1" applyBorder="1" applyAlignment="1" applyProtection="1">
      <alignment horizontal="center" vertical="center"/>
      <protection hidden="1"/>
    </xf>
    <xf numFmtId="10" fontId="6" fillId="0" borderId="19" xfId="4" applyNumberFormat="1" applyFont="1" applyBorder="1" applyAlignment="1" applyProtection="1">
      <alignment horizontal="center" vertical="center"/>
      <protection hidden="1"/>
    </xf>
    <xf numFmtId="172" fontId="9" fillId="0" borderId="0" xfId="4" applyNumberFormat="1" applyFont="1" applyAlignment="1" applyProtection="1">
      <alignment horizontal="center" vertical="center"/>
      <protection hidden="1"/>
    </xf>
    <xf numFmtId="0" fontId="9" fillId="0" borderId="0" xfId="4" applyFont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0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43" fontId="6" fillId="0" borderId="14" xfId="1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43" fontId="4" fillId="5" borderId="2" xfId="1" applyFont="1" applyFill="1" applyBorder="1" applyAlignment="1">
      <alignment horizontal="center" vertical="center" wrapText="1"/>
    </xf>
    <xf numFmtId="169" fontId="5" fillId="2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9" fontId="7" fillId="0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3" fontId="7" fillId="0" borderId="2" xfId="1" applyFont="1" applyFill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4" fontId="7" fillId="3" borderId="2" xfId="2" applyFont="1" applyFill="1" applyBorder="1" applyAlignment="1">
      <alignment horizontal="center" vertical="center" wrapText="1"/>
    </xf>
    <xf numFmtId="44" fontId="7" fillId="0" borderId="2" xfId="2" applyFont="1" applyFill="1" applyBorder="1" applyAlignment="1">
      <alignment horizontal="center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10" fontId="7" fillId="0" borderId="8" xfId="1" applyNumberFormat="1" applyFont="1" applyFill="1" applyBorder="1" applyAlignment="1">
      <alignment horizontal="center" vertical="center" wrapText="1"/>
    </xf>
    <xf numFmtId="10" fontId="7" fillId="0" borderId="4" xfId="1" applyNumberFormat="1" applyFont="1" applyFill="1" applyBorder="1" applyAlignment="1">
      <alignment horizontal="center" vertical="center" wrapText="1"/>
    </xf>
    <xf numFmtId="10" fontId="6" fillId="0" borderId="3" xfId="0" applyNumberFormat="1" applyFont="1" applyBorder="1" applyAlignment="1">
      <alignment vertical="center"/>
    </xf>
    <xf numFmtId="10" fontId="6" fillId="0" borderId="8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4" fillId="0" borderId="0" xfId="0" applyNumberFormat="1" applyFont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6" borderId="2" xfId="4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vertical="center" wrapText="1"/>
    </xf>
    <xf numFmtId="174" fontId="7" fillId="6" borderId="2" xfId="5" applyNumberFormat="1" applyFont="1" applyFill="1" applyBorder="1" applyAlignment="1">
      <alignment horizontal="center" vertical="center" wrapText="1"/>
    </xf>
    <xf numFmtId="169" fontId="7" fillId="6" borderId="2" xfId="4" applyNumberFormat="1" applyFont="1" applyFill="1" applyBorder="1" applyAlignment="1">
      <alignment horizontal="center" vertical="center" wrapText="1"/>
    </xf>
    <xf numFmtId="0" fontId="5" fillId="6" borderId="15" xfId="4" applyFont="1" applyFill="1" applyBorder="1" applyAlignment="1">
      <alignment vertical="center" wrapText="1"/>
    </xf>
    <xf numFmtId="0" fontId="5" fillId="6" borderId="11" xfId="4" applyFont="1" applyFill="1" applyBorder="1" applyAlignment="1">
      <alignment vertical="center" wrapText="1"/>
    </xf>
    <xf numFmtId="169" fontId="5" fillId="0" borderId="4" xfId="4" applyNumberFormat="1" applyFont="1" applyBorder="1" applyAlignment="1">
      <alignment horizontal="center" vertical="center" wrapText="1"/>
    </xf>
    <xf numFmtId="0" fontId="5" fillId="6" borderId="0" xfId="4" applyFont="1" applyFill="1" applyAlignment="1">
      <alignment vertical="center"/>
    </xf>
    <xf numFmtId="0" fontId="5" fillId="6" borderId="0" xfId="4" applyFont="1" applyFill="1" applyAlignment="1">
      <alignment vertical="center" wrapText="1"/>
    </xf>
    <xf numFmtId="169" fontId="5" fillId="0" borderId="4" xfId="5" applyNumberFormat="1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horizontal="left" vertical="center" wrapText="1"/>
    </xf>
    <xf numFmtId="169" fontId="2" fillId="0" borderId="4" xfId="0" applyNumberFormat="1" applyFont="1" applyBorder="1" applyAlignment="1">
      <alignment horizontal="center" vertical="center"/>
    </xf>
    <xf numFmtId="0" fontId="12" fillId="0" borderId="0" xfId="0" applyFont="1"/>
    <xf numFmtId="169" fontId="7" fillId="0" borderId="2" xfId="4" applyNumberFormat="1" applyFont="1" applyBorder="1" applyAlignment="1">
      <alignment horizontal="center" vertical="center" wrapText="1"/>
    </xf>
    <xf numFmtId="10" fontId="0" fillId="0" borderId="0" xfId="0" applyNumberFormat="1"/>
    <xf numFmtId="0" fontId="4" fillId="0" borderId="19" xfId="4" applyFont="1" applyBorder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3" fillId="0" borderId="10" xfId="0" applyFont="1" applyBorder="1"/>
    <xf numFmtId="0" fontId="3" fillId="0" borderId="15" xfId="0" applyFont="1" applyBorder="1"/>
    <xf numFmtId="0" fontId="3" fillId="0" borderId="11" xfId="0" applyFont="1" applyBorder="1"/>
    <xf numFmtId="0" fontId="4" fillId="0" borderId="13" xfId="4" applyFont="1" applyBorder="1" applyAlignment="1" applyProtection="1">
      <alignment horizontal="center" vertical="center"/>
      <protection hidden="1"/>
    </xf>
    <xf numFmtId="0" fontId="4" fillId="0" borderId="14" xfId="4" applyFont="1" applyBorder="1" applyAlignment="1" applyProtection="1">
      <alignment horizontal="center" vertical="center"/>
      <protection hidden="1"/>
    </xf>
    <xf numFmtId="0" fontId="4" fillId="0" borderId="6" xfId="4" applyFont="1" applyBorder="1" applyAlignment="1" applyProtection="1">
      <alignment horizontal="center" vertical="center"/>
      <protection hidden="1"/>
    </xf>
    <xf numFmtId="2" fontId="4" fillId="0" borderId="23" xfId="4" applyNumberFormat="1" applyFont="1" applyBorder="1" applyAlignment="1" applyProtection="1">
      <alignment horizontal="center" vertical="center"/>
      <protection hidden="1"/>
    </xf>
    <xf numFmtId="2" fontId="4" fillId="0" borderId="16" xfId="4" applyNumberFormat="1" applyFont="1" applyBorder="1" applyAlignment="1" applyProtection="1">
      <alignment horizontal="center" vertical="center"/>
      <protection hidden="1"/>
    </xf>
    <xf numFmtId="167" fontId="6" fillId="0" borderId="0" xfId="5" applyFont="1" applyFill="1" applyBorder="1" applyAlignment="1" applyProtection="1">
      <alignment horizontal="center" vertical="center"/>
      <protection hidden="1"/>
    </xf>
    <xf numFmtId="2" fontId="6" fillId="0" borderId="0" xfId="5" applyNumberFormat="1" applyFont="1" applyFill="1" applyBorder="1" applyAlignment="1" applyProtection="1">
      <alignment horizontal="center" vertical="center"/>
      <protection hidden="1"/>
    </xf>
    <xf numFmtId="2" fontId="4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6" xfId="4" applyFont="1" applyBorder="1" applyAlignment="1" applyProtection="1">
      <alignment horizontal="center" vertical="center"/>
      <protection hidden="1"/>
    </xf>
    <xf numFmtId="10" fontId="4" fillId="0" borderId="27" xfId="5" applyNumberFormat="1" applyFont="1" applyFill="1" applyBorder="1" applyAlignment="1" applyProtection="1">
      <alignment horizontal="center" vertical="center"/>
      <protection hidden="1"/>
    </xf>
    <xf numFmtId="10" fontId="4" fillId="0" borderId="28" xfId="5" applyNumberFormat="1" applyFont="1" applyFill="1" applyBorder="1" applyAlignment="1" applyProtection="1">
      <alignment horizontal="center" vertical="center"/>
      <protection hidden="1"/>
    </xf>
    <xf numFmtId="10" fontId="4" fillId="0" borderId="0" xfId="5" applyNumberFormat="1" applyFont="1" applyFill="1" applyBorder="1" applyAlignment="1" applyProtection="1">
      <alignment horizontal="center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locked="0"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0" fontId="15" fillId="4" borderId="2" xfId="0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4" fontId="8" fillId="0" borderId="9" xfId="0" applyNumberFormat="1" applyFont="1" applyBorder="1" applyAlignment="1">
      <alignment horizontal="center" vertical="center"/>
    </xf>
    <xf numFmtId="10" fontId="8" fillId="0" borderId="9" xfId="3" applyNumberFormat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justify" vertical="center" wrapText="1"/>
    </xf>
    <xf numFmtId="0" fontId="15" fillId="3" borderId="2" xfId="0" applyFont="1" applyFill="1" applyBorder="1" applyAlignment="1">
      <alignment horizontal="justify" vertical="center" wrapText="1"/>
    </xf>
    <xf numFmtId="44" fontId="14" fillId="4" borderId="2" xfId="0" applyNumberFormat="1" applyFont="1" applyFill="1" applyBorder="1" applyAlignment="1">
      <alignment vertical="center"/>
    </xf>
    <xf numFmtId="10" fontId="14" fillId="4" borderId="2" xfId="3" applyNumberFormat="1" applyFont="1" applyFill="1" applyBorder="1" applyAlignment="1">
      <alignment horizontal="center" vertical="center"/>
    </xf>
    <xf numFmtId="43" fontId="4" fillId="5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175" fontId="17" fillId="0" borderId="2" xfId="0" applyNumberFormat="1" applyFont="1" applyBorder="1" applyAlignment="1">
      <alignment horizontal="right" vertical="center" wrapText="1"/>
    </xf>
    <xf numFmtId="169" fontId="2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9" fontId="2" fillId="4" borderId="2" xfId="3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right" vertical="center" wrapText="1"/>
    </xf>
    <xf numFmtId="175" fontId="17" fillId="0" borderId="2" xfId="0" applyNumberFormat="1" applyFont="1" applyBorder="1" applyAlignment="1">
      <alignment horizontal="center" vertical="center" wrapText="1"/>
    </xf>
    <xf numFmtId="43" fontId="17" fillId="0" borderId="2" xfId="1" applyFont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center" vertical="center" wrapText="1"/>
    </xf>
    <xf numFmtId="0" fontId="23" fillId="3" borderId="10" xfId="11" applyFont="1" applyFill="1" applyBorder="1" applyAlignment="1">
      <alignment vertical="center"/>
    </xf>
    <xf numFmtId="0" fontId="24" fillId="3" borderId="15" xfId="11" applyFont="1" applyFill="1" applyBorder="1" applyAlignment="1">
      <alignment vertical="center"/>
    </xf>
    <xf numFmtId="0" fontId="22" fillId="0" borderId="0" xfId="11" applyAlignment="1">
      <alignment horizontal="left" vertical="top"/>
    </xf>
    <xf numFmtId="0" fontId="23" fillId="3" borderId="13" xfId="11" applyFont="1" applyFill="1" applyBorder="1" applyAlignment="1">
      <alignment vertical="center"/>
    </xf>
    <xf numFmtId="0" fontId="25" fillId="3" borderId="0" xfId="11" applyFont="1" applyFill="1" applyAlignment="1">
      <alignment horizontal="left" vertical="center"/>
    </xf>
    <xf numFmtId="43" fontId="0" fillId="0" borderId="0" xfId="12" applyFont="1" applyAlignment="1">
      <alignment horizontal="left" vertical="top"/>
    </xf>
    <xf numFmtId="167" fontId="16" fillId="0" borderId="0" xfId="4" applyNumberFormat="1" applyFont="1" applyAlignment="1">
      <alignment horizontal="center" vertical="top"/>
    </xf>
    <xf numFmtId="0" fontId="16" fillId="0" borderId="0" xfId="4" applyFont="1" applyAlignment="1">
      <alignment horizontal="justify" wrapText="1"/>
    </xf>
    <xf numFmtId="0" fontId="8" fillId="0" borderId="0" xfId="4" applyAlignment="1">
      <alignment vertical="center"/>
    </xf>
    <xf numFmtId="167" fontId="8" fillId="0" borderId="0" xfId="4" applyNumberFormat="1" applyAlignment="1">
      <alignment vertical="center"/>
    </xf>
    <xf numFmtId="167" fontId="16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top"/>
    </xf>
    <xf numFmtId="49" fontId="8" fillId="0" borderId="8" xfId="4" applyNumberFormat="1" applyBorder="1"/>
    <xf numFmtId="0" fontId="8" fillId="0" borderId="8" xfId="4" applyBorder="1"/>
    <xf numFmtId="167" fontId="8" fillId="0" borderId="8" xfId="4" applyNumberFormat="1" applyBorder="1"/>
    <xf numFmtId="167" fontId="8" fillId="0" borderId="4" xfId="4" applyNumberFormat="1" applyBorder="1" applyAlignment="1">
      <alignment horizontal="center"/>
    </xf>
    <xf numFmtId="167" fontId="8" fillId="0" borderId="0" xfId="4" applyNumberFormat="1" applyAlignment="1">
      <alignment horizontal="center"/>
    </xf>
    <xf numFmtId="0" fontId="8" fillId="0" borderId="0" xfId="4" applyAlignment="1">
      <alignment horizontal="justify" wrapText="1"/>
    </xf>
    <xf numFmtId="167" fontId="8" fillId="0" borderId="0" xfId="13" applyFont="1" applyBorder="1" applyAlignment="1"/>
    <xf numFmtId="167" fontId="8" fillId="0" borderId="0" xfId="4" applyNumberFormat="1"/>
    <xf numFmtId="167" fontId="16" fillId="2" borderId="2" xfId="13" applyFont="1" applyFill="1" applyBorder="1" applyAlignment="1"/>
    <xf numFmtId="167" fontId="16" fillId="2" borderId="2" xfId="4" applyNumberFormat="1" applyFont="1" applyFill="1" applyBorder="1"/>
    <xf numFmtId="167" fontId="16" fillId="0" borderId="0" xfId="13" applyFont="1" applyFill="1" applyBorder="1" applyAlignment="1"/>
    <xf numFmtId="167" fontId="26" fillId="0" borderId="0" xfId="13" applyFont="1" applyBorder="1" applyAlignment="1"/>
    <xf numFmtId="0" fontId="16" fillId="4" borderId="0" xfId="4" applyFont="1" applyFill="1" applyAlignment="1">
      <alignment vertical="top"/>
    </xf>
    <xf numFmtId="49" fontId="16" fillId="4" borderId="0" xfId="4" applyNumberFormat="1" applyFont="1" applyFill="1" applyAlignment="1">
      <alignment vertical="center"/>
    </xf>
    <xf numFmtId="0" fontId="16" fillId="0" borderId="0" xfId="4" applyFont="1" applyAlignment="1">
      <alignment vertical="top"/>
    </xf>
    <xf numFmtId="49" fontId="8" fillId="0" borderId="0" xfId="4" applyNumberFormat="1" applyAlignment="1">
      <alignment vertical="center"/>
    </xf>
    <xf numFmtId="167" fontId="8" fillId="0" borderId="0" xfId="13" applyFont="1" applyBorder="1" applyAlignment="1">
      <alignment vertical="center"/>
    </xf>
    <xf numFmtId="49" fontId="16" fillId="0" borderId="0" xfId="4" applyNumberFormat="1" applyFont="1" applyAlignment="1">
      <alignment wrapText="1"/>
    </xf>
    <xf numFmtId="167" fontId="16" fillId="0" borderId="0" xfId="4" applyNumberFormat="1" applyFont="1" applyAlignment="1">
      <alignment horizontal="center" vertical="center"/>
    </xf>
    <xf numFmtId="167" fontId="26" fillId="0" borderId="0" xfId="4" applyNumberFormat="1" applyFont="1" applyAlignment="1">
      <alignment horizontal="center"/>
    </xf>
    <xf numFmtId="0" fontId="26" fillId="0" borderId="0" xfId="4" applyFont="1" applyAlignment="1">
      <alignment horizontal="justify" wrapText="1"/>
    </xf>
    <xf numFmtId="167" fontId="26" fillId="0" borderId="0" xfId="4" applyNumberFormat="1" applyFont="1"/>
    <xf numFmtId="167" fontId="27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center"/>
    </xf>
    <xf numFmtId="49" fontId="22" fillId="0" borderId="0" xfId="11" applyNumberFormat="1"/>
    <xf numFmtId="0" fontId="22" fillId="0" borderId="0" xfId="11" applyAlignment="1">
      <alignment horizontal="center" vertical="center"/>
    </xf>
    <xf numFmtId="176" fontId="8" fillId="0" borderId="0" xfId="13" applyNumberFormat="1" applyFont="1" applyBorder="1" applyAlignment="1"/>
    <xf numFmtId="0" fontId="23" fillId="3" borderId="15" xfId="11" applyFont="1" applyFill="1" applyBorder="1" applyAlignment="1">
      <alignment vertical="center" wrapText="1"/>
    </xf>
    <xf numFmtId="0" fontId="23" fillId="3" borderId="14" xfId="11" applyFont="1" applyFill="1" applyBorder="1" applyAlignment="1">
      <alignment vertical="center" wrapText="1"/>
    </xf>
    <xf numFmtId="0" fontId="24" fillId="3" borderId="14" xfId="11" applyFont="1" applyFill="1" applyBorder="1" applyAlignment="1">
      <alignment vertical="center"/>
    </xf>
    <xf numFmtId="43" fontId="23" fillId="0" borderId="11" xfId="12" applyFont="1" applyFill="1" applyBorder="1" applyAlignment="1">
      <alignment horizontal="left" vertical="center"/>
    </xf>
    <xf numFmtId="43" fontId="23" fillId="0" borderId="6" xfId="12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4" fontId="2" fillId="4" borderId="2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7" fontId="4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43" fontId="6" fillId="0" borderId="15" xfId="1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/>
    </xf>
    <xf numFmtId="44" fontId="15" fillId="3" borderId="9" xfId="0" applyNumberFormat="1" applyFont="1" applyFill="1" applyBorder="1" applyAlignment="1">
      <alignment horizontal="center" vertical="center"/>
    </xf>
    <xf numFmtId="10" fontId="15" fillId="3" borderId="9" xfId="3" applyNumberFormat="1" applyFont="1" applyFill="1" applyBorder="1" applyAlignment="1">
      <alignment horizontal="center" vertical="center"/>
    </xf>
    <xf numFmtId="173" fontId="4" fillId="4" borderId="2" xfId="2" applyNumberFormat="1" applyFont="1" applyFill="1" applyBorder="1" applyAlignment="1">
      <alignment horizontal="center" vertical="center" wrapText="1"/>
    </xf>
    <xf numFmtId="10" fontId="4" fillId="4" borderId="2" xfId="3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 wrapText="1"/>
    </xf>
    <xf numFmtId="0" fontId="28" fillId="0" borderId="0" xfId="0" applyFont="1"/>
    <xf numFmtId="0" fontId="17" fillId="7" borderId="2" xfId="0" applyFont="1" applyFill="1" applyBorder="1" applyAlignment="1">
      <alignment horizontal="right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center" vertical="center" wrapText="1"/>
    </xf>
    <xf numFmtId="175" fontId="17" fillId="7" borderId="2" xfId="0" applyNumberFormat="1" applyFont="1" applyFill="1" applyBorder="1" applyAlignment="1">
      <alignment horizontal="right" vertical="center" wrapText="1"/>
    </xf>
    <xf numFmtId="4" fontId="17" fillId="7" borderId="2" xfId="0" applyNumberFormat="1" applyFont="1" applyFill="1" applyBorder="1" applyAlignment="1">
      <alignment horizontal="right" vertical="center" wrapText="1"/>
    </xf>
    <xf numFmtId="0" fontId="17" fillId="8" borderId="2" xfId="0" applyFont="1" applyFill="1" applyBorder="1" applyAlignment="1">
      <alignment horizontal="right" vertical="center" wrapText="1"/>
    </xf>
    <xf numFmtId="0" fontId="17" fillId="8" borderId="2" xfId="0" applyFont="1" applyFill="1" applyBorder="1" applyAlignment="1">
      <alignment horizontal="left" vertical="center" wrapText="1"/>
    </xf>
    <xf numFmtId="0" fontId="17" fillId="8" borderId="2" xfId="0" applyFont="1" applyFill="1" applyBorder="1" applyAlignment="1">
      <alignment horizontal="center" vertical="center" wrapText="1"/>
    </xf>
    <xf numFmtId="175" fontId="17" fillId="8" borderId="2" xfId="0" applyNumberFormat="1" applyFont="1" applyFill="1" applyBorder="1" applyAlignment="1">
      <alignment horizontal="right" vertical="center" wrapText="1"/>
    </xf>
    <xf numFmtId="4" fontId="17" fillId="8" borderId="2" xfId="0" applyNumberFormat="1" applyFont="1" applyFill="1" applyBorder="1" applyAlignment="1">
      <alignment horizontal="right" vertical="center" wrapText="1"/>
    </xf>
    <xf numFmtId="0" fontId="31" fillId="0" borderId="0" xfId="0" applyFont="1"/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 wrapText="1"/>
    </xf>
    <xf numFmtId="175" fontId="30" fillId="0" borderId="2" xfId="0" applyNumberFormat="1" applyFont="1" applyBorder="1" applyAlignment="1">
      <alignment horizontal="right" vertical="center" wrapText="1"/>
    </xf>
    <xf numFmtId="4" fontId="30" fillId="0" borderId="2" xfId="0" applyNumberFormat="1" applyFont="1" applyBorder="1" applyAlignment="1">
      <alignment horizontal="right" vertical="center" wrapText="1"/>
    </xf>
    <xf numFmtId="10" fontId="0" fillId="0" borderId="0" xfId="3" applyNumberFormat="1" applyFont="1"/>
    <xf numFmtId="0" fontId="7" fillId="0" borderId="3" xfId="0" applyFont="1" applyBorder="1" applyAlignment="1">
      <alignment horizontal="left" vertical="center" wrapText="1"/>
    </xf>
    <xf numFmtId="0" fontId="18" fillId="4" borderId="2" xfId="0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 wrapText="1"/>
    </xf>
    <xf numFmtId="175" fontId="19" fillId="4" borderId="2" xfId="0" applyNumberFormat="1" applyFont="1" applyFill="1" applyBorder="1" applyAlignment="1">
      <alignment horizontal="right" vertical="center" wrapText="1"/>
    </xf>
    <xf numFmtId="4" fontId="19" fillId="4" borderId="2" xfId="0" applyNumberFormat="1" applyFont="1" applyFill="1" applyBorder="1" applyAlignment="1">
      <alignment horizontal="right" vertical="center" wrapText="1"/>
    </xf>
    <xf numFmtId="0" fontId="5" fillId="4" borderId="2" xfId="4" applyFont="1" applyFill="1" applyBorder="1" applyAlignment="1">
      <alignment horizontal="center" vertical="center" wrapText="1"/>
    </xf>
    <xf numFmtId="0" fontId="5" fillId="4" borderId="2" xfId="4" applyFont="1" applyFill="1" applyBorder="1" applyAlignment="1">
      <alignment horizontal="center" vertical="center"/>
    </xf>
    <xf numFmtId="175" fontId="19" fillId="4" borderId="2" xfId="0" applyNumberFormat="1" applyFont="1" applyFill="1" applyBorder="1" applyAlignment="1">
      <alignment horizontal="center" vertical="center" wrapText="1"/>
    </xf>
    <xf numFmtId="43" fontId="19" fillId="4" borderId="2" xfId="1" applyFont="1" applyFill="1" applyBorder="1" applyAlignment="1">
      <alignment horizontal="right" vertical="center" wrapText="1"/>
    </xf>
    <xf numFmtId="0" fontId="0" fillId="3" borderId="0" xfId="0" applyFill="1"/>
    <xf numFmtId="0" fontId="12" fillId="3" borderId="0" xfId="0" applyFont="1" applyFill="1"/>
    <xf numFmtId="0" fontId="5" fillId="3" borderId="2" xfId="4" applyFont="1" applyFill="1" applyBorder="1" applyAlignment="1">
      <alignment horizontal="center" vertical="center"/>
    </xf>
    <xf numFmtId="0" fontId="7" fillId="9" borderId="2" xfId="4" applyFont="1" applyFill="1" applyBorder="1" applyAlignment="1">
      <alignment horizontal="center" vertical="center" wrapText="1"/>
    </xf>
    <xf numFmtId="0" fontId="3" fillId="9" borderId="0" xfId="0" applyFont="1" applyFill="1" applyAlignment="1">
      <alignment vertical="center"/>
    </xf>
    <xf numFmtId="174" fontId="7" fillId="9" borderId="2" xfId="5" applyNumberFormat="1" applyFont="1" applyFill="1" applyBorder="1" applyAlignment="1">
      <alignment horizontal="center" vertical="center" wrapText="1"/>
    </xf>
    <xf numFmtId="169" fontId="7" fillId="9" borderId="2" xfId="4" applyNumberFormat="1" applyFont="1" applyFill="1" applyBorder="1" applyAlignment="1">
      <alignment horizontal="center" vertical="center" wrapText="1"/>
    </xf>
    <xf numFmtId="0" fontId="5" fillId="9" borderId="2" xfId="4" applyFont="1" applyFill="1" applyBorder="1" applyAlignment="1">
      <alignment horizontal="center" vertical="center"/>
    </xf>
    <xf numFmtId="43" fontId="18" fillId="4" borderId="2" xfId="1" applyFont="1" applyFill="1" applyBorder="1" applyAlignment="1">
      <alignment horizontal="center" vertical="center" wrapText="1"/>
    </xf>
    <xf numFmtId="43" fontId="19" fillId="4" borderId="2" xfId="1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right" vertical="center" wrapText="1"/>
    </xf>
    <xf numFmtId="0" fontId="18" fillId="10" borderId="2" xfId="0" applyFont="1" applyFill="1" applyBorder="1" applyAlignment="1">
      <alignment horizontal="left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right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9" fillId="11" borderId="2" xfId="0" applyFont="1" applyFill="1" applyBorder="1" applyAlignment="1">
      <alignment horizontal="center" vertical="center" wrapText="1"/>
    </xf>
    <xf numFmtId="175" fontId="19" fillId="11" borderId="2" xfId="0" applyNumberFormat="1" applyFont="1" applyFill="1" applyBorder="1" applyAlignment="1">
      <alignment horizontal="right" vertical="center" wrapText="1"/>
    </xf>
    <xf numFmtId="4" fontId="19" fillId="11" borderId="2" xfId="0" applyNumberFormat="1" applyFont="1" applyFill="1" applyBorder="1" applyAlignment="1">
      <alignment horizontal="right" vertical="center" wrapText="1"/>
    </xf>
    <xf numFmtId="0" fontId="15" fillId="0" borderId="8" xfId="0" applyFont="1" applyBorder="1" applyAlignment="1">
      <alignment horizontal="justify" vertical="center"/>
    </xf>
    <xf numFmtId="0" fontId="2" fillId="2" borderId="8" xfId="0" applyFont="1" applyFill="1" applyBorder="1" applyAlignment="1">
      <alignment horizontal="center" vertical="center"/>
    </xf>
    <xf numFmtId="167" fontId="16" fillId="3" borderId="15" xfId="13" applyFont="1" applyFill="1" applyBorder="1" applyAlignment="1"/>
    <xf numFmtId="167" fontId="16" fillId="3" borderId="15" xfId="4" applyNumberFormat="1" applyFont="1" applyFill="1" applyBorder="1"/>
    <xf numFmtId="0" fontId="8" fillId="0" borderId="14" xfId="4" applyBorder="1" applyAlignment="1">
      <alignment vertical="center"/>
    </xf>
    <xf numFmtId="167" fontId="8" fillId="0" borderId="14" xfId="4" applyNumberFormat="1" applyBorder="1" applyAlignment="1">
      <alignment vertical="center"/>
    </xf>
    <xf numFmtId="43" fontId="7" fillId="6" borderId="2" xfId="1" applyFont="1" applyFill="1" applyBorder="1" applyAlignment="1">
      <alignment horizontal="center" vertical="center" wrapText="1"/>
    </xf>
    <xf numFmtId="44" fontId="0" fillId="0" borderId="0" xfId="0" applyNumberFormat="1"/>
    <xf numFmtId="0" fontId="7" fillId="0" borderId="3" xfId="0" applyFont="1" applyBorder="1" applyAlignment="1">
      <alignment horizontal="center" vertical="center" wrapText="1"/>
    </xf>
    <xf numFmtId="43" fontId="3" fillId="3" borderId="0" xfId="1" applyFont="1" applyFill="1" applyAlignment="1">
      <alignment vertical="center"/>
    </xf>
    <xf numFmtId="43" fontId="0" fillId="0" borderId="0" xfId="1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9" fontId="7" fillId="0" borderId="3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68" fontId="5" fillId="2" borderId="8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43" fontId="4" fillId="5" borderId="9" xfId="1" applyFont="1" applyFill="1" applyBorder="1" applyAlignment="1">
      <alignment horizontal="center" vertical="center"/>
    </xf>
    <xf numFmtId="43" fontId="4" fillId="5" borderId="12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3" fontId="4" fillId="5" borderId="10" xfId="1" applyFont="1" applyFill="1" applyBorder="1" applyAlignment="1">
      <alignment horizontal="center" vertical="center"/>
    </xf>
    <xf numFmtId="43" fontId="4" fillId="5" borderId="11" xfId="1" applyFont="1" applyFill="1" applyBorder="1" applyAlignment="1">
      <alignment horizontal="center" vertical="center"/>
    </xf>
    <xf numFmtId="43" fontId="4" fillId="5" borderId="13" xfId="1" applyFont="1" applyFill="1" applyBorder="1" applyAlignment="1">
      <alignment horizontal="center" vertical="center"/>
    </xf>
    <xf numFmtId="43" fontId="4" fillId="5" borderId="6" xfId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73" fontId="5" fillId="4" borderId="9" xfId="2" applyNumberFormat="1" applyFont="1" applyFill="1" applyBorder="1" applyAlignment="1">
      <alignment horizontal="center" vertical="center" wrapText="1"/>
    </xf>
    <xf numFmtId="173" fontId="5" fillId="4" borderId="12" xfId="2" applyNumberFormat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10" fontId="5" fillId="4" borderId="29" xfId="0" applyNumberFormat="1" applyFont="1" applyFill="1" applyBorder="1" applyAlignment="1">
      <alignment horizontal="center" vertical="center" wrapText="1"/>
    </xf>
    <xf numFmtId="10" fontId="5" fillId="4" borderId="12" xfId="0" applyNumberFormat="1" applyFont="1" applyFill="1" applyBorder="1" applyAlignment="1">
      <alignment horizontal="center" vertical="center" wrapText="1"/>
    </xf>
    <xf numFmtId="10" fontId="5" fillId="4" borderId="9" xfId="3" applyNumberFormat="1" applyFont="1" applyFill="1" applyBorder="1" applyAlignment="1">
      <alignment horizontal="center" vertical="center" wrapText="1"/>
    </xf>
    <xf numFmtId="10" fontId="5" fillId="4" borderId="12" xfId="3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169" fontId="7" fillId="0" borderId="2" xfId="1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43" fontId="4" fillId="5" borderId="3" xfId="1" applyFont="1" applyFill="1" applyBorder="1" applyAlignment="1">
      <alignment horizontal="center" vertical="center"/>
    </xf>
    <xf numFmtId="43" fontId="4" fillId="5" borderId="8" xfId="1" applyFont="1" applyFill="1" applyBorder="1" applyAlignment="1">
      <alignment horizontal="center" vertical="center"/>
    </xf>
    <xf numFmtId="43" fontId="4" fillId="5" borderId="4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9" borderId="3" xfId="4" applyFont="1" applyFill="1" applyBorder="1" applyAlignment="1">
      <alignment horizontal="center" vertical="center" wrapText="1"/>
    </xf>
    <xf numFmtId="0" fontId="5" fillId="9" borderId="8" xfId="4" applyFont="1" applyFill="1" applyBorder="1" applyAlignment="1">
      <alignment horizontal="center" vertical="center" wrapText="1"/>
    </xf>
    <xf numFmtId="0" fontId="5" fillId="9" borderId="4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center" wrapText="1"/>
    </xf>
    <xf numFmtId="0" fontId="7" fillId="6" borderId="3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right" vertical="center" wrapText="1"/>
    </xf>
    <xf numFmtId="0" fontId="5" fillId="6" borderId="8" xfId="4" applyFont="1" applyFill="1" applyBorder="1" applyAlignment="1">
      <alignment horizontal="right" vertical="center" wrapText="1"/>
    </xf>
    <xf numFmtId="0" fontId="5" fillId="4" borderId="3" xfId="4" applyFont="1" applyFill="1" applyBorder="1" applyAlignment="1">
      <alignment horizontal="center" vertical="center" wrapText="1"/>
    </xf>
    <xf numFmtId="0" fontId="5" fillId="4" borderId="8" xfId="4" applyFont="1" applyFill="1" applyBorder="1" applyAlignment="1">
      <alignment horizontal="center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6" borderId="3" xfId="4" applyFont="1" applyFill="1" applyBorder="1" applyAlignment="1">
      <alignment horizontal="right" vertical="center"/>
    </xf>
    <xf numFmtId="0" fontId="5" fillId="6" borderId="8" xfId="4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6" borderId="2" xfId="4" applyFont="1" applyFill="1" applyBorder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0" fontId="4" fillId="0" borderId="26" xfId="4" applyFont="1" applyBorder="1" applyAlignment="1" applyProtection="1">
      <alignment horizontal="right" vertical="center"/>
      <protection hidden="1"/>
    </xf>
    <xf numFmtId="0" fontId="4" fillId="0" borderId="27" xfId="4" applyFont="1" applyBorder="1" applyAlignment="1" applyProtection="1">
      <alignment horizontal="right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172" fontId="6" fillId="0" borderId="8" xfId="4" applyNumberFormat="1" applyFont="1" applyBorder="1" applyAlignment="1" applyProtection="1">
      <alignment horizontal="center" vertical="center"/>
      <protection hidden="1"/>
    </xf>
    <xf numFmtId="172" fontId="6" fillId="0" borderId="4" xfId="4" applyNumberFormat="1" applyFont="1" applyBorder="1" applyAlignment="1" applyProtection="1">
      <alignment horizontal="center" vertical="center"/>
      <protection hidden="1"/>
    </xf>
    <xf numFmtId="0" fontId="4" fillId="0" borderId="21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19" xfId="4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4" fillId="0" borderId="5" xfId="4" applyFont="1" applyBorder="1" applyAlignment="1" applyProtection="1">
      <alignment horizontal="left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18" xfId="4" applyFont="1" applyBorder="1" applyAlignment="1" applyProtection="1">
      <alignment horizontal="left" vertical="center"/>
      <protection hidden="1"/>
    </xf>
    <xf numFmtId="0" fontId="4" fillId="0" borderId="19" xfId="4" applyFont="1" applyBorder="1" applyAlignment="1" applyProtection="1">
      <alignment horizontal="left" vertical="center"/>
      <protection hidden="1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4" fontId="3" fillId="0" borderId="3" xfId="2" applyFont="1" applyFill="1" applyBorder="1" applyAlignment="1">
      <alignment vertical="center"/>
    </xf>
    <xf numFmtId="44" fontId="3" fillId="0" borderId="4" xfId="2" applyFont="1" applyFill="1" applyBorder="1" applyAlignment="1">
      <alignment vertical="center"/>
    </xf>
    <xf numFmtId="10" fontId="7" fillId="0" borderId="2" xfId="0" applyNumberFormat="1" applyFont="1" applyBorder="1" applyAlignment="1">
      <alignment horizontal="left" vertical="center" wrapText="1"/>
    </xf>
    <xf numFmtId="49" fontId="8" fillId="0" borderId="8" xfId="4" applyNumberFormat="1" applyBorder="1" applyAlignment="1">
      <alignment horizontal="left" vertical="center" wrapText="1"/>
    </xf>
    <xf numFmtId="49" fontId="8" fillId="0" borderId="4" xfId="4" applyNumberFormat="1" applyBorder="1" applyAlignment="1">
      <alignment horizontal="left" vertical="center" wrapText="1"/>
    </xf>
    <xf numFmtId="167" fontId="16" fillId="2" borderId="2" xfId="4" applyNumberFormat="1" applyFont="1" applyFill="1" applyBorder="1" applyAlignment="1">
      <alignment horizontal="center" vertical="justify" wrapText="1"/>
    </xf>
    <xf numFmtId="0" fontId="16" fillId="4" borderId="2" xfId="4" applyFont="1" applyFill="1" applyBorder="1" applyAlignment="1">
      <alignment horizontal="center" vertical="center"/>
    </xf>
    <xf numFmtId="17" fontId="16" fillId="4" borderId="0" xfId="4" applyNumberFormat="1" applyFont="1" applyFill="1" applyAlignment="1">
      <alignment horizontal="left" vertical="center"/>
    </xf>
    <xf numFmtId="0" fontId="16" fillId="4" borderId="0" xfId="4" applyFont="1" applyFill="1" applyAlignment="1">
      <alignment horizontal="left" vertical="center"/>
    </xf>
    <xf numFmtId="49" fontId="8" fillId="0" borderId="14" xfId="4" applyNumberFormat="1" applyBorder="1" applyAlignment="1">
      <alignment horizontal="left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4" borderId="2" xfId="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0" fontId="15" fillId="0" borderId="2" xfId="3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44" fontId="15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0" borderId="11" xfId="3" applyNumberFormat="1" applyFont="1" applyFill="1" applyBorder="1" applyAlignment="1">
      <alignment horizontal="center" vertical="center"/>
    </xf>
    <xf numFmtId="10" fontId="15" fillId="0" borderId="6" xfId="3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10" fontId="8" fillId="3" borderId="11" xfId="3" applyNumberFormat="1" applyFont="1" applyFill="1" applyBorder="1" applyAlignment="1">
      <alignment horizontal="center" vertical="center"/>
    </xf>
    <xf numFmtId="10" fontId="8" fillId="3" borderId="25" xfId="3" applyNumberFormat="1" applyFont="1" applyFill="1" applyBorder="1" applyAlignment="1">
      <alignment horizontal="center" vertical="center"/>
    </xf>
    <xf numFmtId="10" fontId="8" fillId="3" borderId="6" xfId="3" applyNumberFormat="1" applyFont="1" applyFill="1" applyBorder="1" applyAlignment="1">
      <alignment horizontal="center" vertical="center"/>
    </xf>
    <xf numFmtId="44" fontId="8" fillId="3" borderId="10" xfId="0" applyNumberFormat="1" applyFont="1" applyFill="1" applyBorder="1" applyAlignment="1">
      <alignment horizontal="center" vertical="center"/>
    </xf>
    <xf numFmtId="44" fontId="8" fillId="3" borderId="24" xfId="0" applyNumberFormat="1" applyFont="1" applyFill="1" applyBorder="1" applyAlignment="1">
      <alignment horizontal="center" vertical="center"/>
    </xf>
    <xf numFmtId="44" fontId="8" fillId="3" borderId="13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</cellXfs>
  <cellStyles count="15">
    <cellStyle name="Moeda" xfId="2" builtinId="4"/>
    <cellStyle name="Normal" xfId="0" builtinId="0"/>
    <cellStyle name="Normal 2" xfId="4" xr:uid="{00000000-0005-0000-0000-000002000000}"/>
    <cellStyle name="Normal 2 2 2 2" xfId="8" xr:uid="{26A06343-2AFA-43DE-8E79-C6E205D57E9C}"/>
    <cellStyle name="Normal 3" xfId="6" xr:uid="{00000000-0005-0000-0000-000003000000}"/>
    <cellStyle name="Normal 4" xfId="11" xr:uid="{1732E3E4-CCE5-48C0-B125-D197BED4EC01}"/>
    <cellStyle name="Normal 5" xfId="14" xr:uid="{1BDBC98E-F9C5-4DD8-B75F-94D0A1C88FEB}"/>
    <cellStyle name="Porcentagem" xfId="3" builtinId="5"/>
    <cellStyle name="Porcentagem 2" xfId="7" xr:uid="{00000000-0005-0000-0000-000005000000}"/>
    <cellStyle name="Porcentagem 3" xfId="9" xr:uid="{B5282DD0-FE38-41AA-90B3-EF6BFF257EDD}"/>
    <cellStyle name="Separador de milhares 2" xfId="5" xr:uid="{00000000-0005-0000-0000-000006000000}"/>
    <cellStyle name="Vírgula" xfId="1" builtinId="3"/>
    <cellStyle name="Vírgula 2" xfId="12" xr:uid="{A61B760A-2E72-451A-8CEF-FC2B8B2FA3C3}"/>
    <cellStyle name="Vírgula 2 2" xfId="13" xr:uid="{BDFAD721-879A-4A65-B30C-5CA6B3434D86}"/>
    <cellStyle name="Vírgula 3" xfId="10" xr:uid="{020FCBDC-51E3-4886-B310-96EB08A6CE95}"/>
  </cellStyles>
  <dxfs count="50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45</xdr:row>
      <xdr:rowOff>28575</xdr:rowOff>
    </xdr:from>
    <xdr:to>
      <xdr:col>6</xdr:col>
      <xdr:colOff>110977</xdr:colOff>
      <xdr:row>49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8487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25</xdr:row>
      <xdr:rowOff>19049</xdr:rowOff>
    </xdr:from>
    <xdr:to>
      <xdr:col>2</xdr:col>
      <xdr:colOff>409089</xdr:colOff>
      <xdr:row>40</xdr:row>
      <xdr:rowOff>142875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625E1165-DD2E-641E-1A1D-1810860B8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4371974"/>
          <a:ext cx="3866665" cy="25527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46</xdr:row>
      <xdr:rowOff>28575</xdr:rowOff>
    </xdr:from>
    <xdr:to>
      <xdr:col>6</xdr:col>
      <xdr:colOff>110977</xdr:colOff>
      <xdr:row>50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0392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Relationship Id="rId1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ACILIO\SharedDocs\Documents%20and%20Settings\OTACILIO_\Meus%20documentos\OR&#199;AMENTOS\SC-487\NATALINA\DNER\Br116_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astellar%20engenharia%20ltda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/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ABC_S"/>
      <sheetName val="Plan1"/>
      <sheetName val="ABC_I"/>
      <sheetName val="COMPRAS"/>
      <sheetName val="CONTRATOS"/>
      <sheetName val="S"/>
      <sheetName val="I"/>
    </sheetNames>
    <sheetDataSet>
      <sheetData sheetId="0">
        <row r="7">
          <cell r="B7">
            <v>22.040000000000003</v>
          </cell>
        </row>
        <row r="8">
          <cell r="F8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CHE"/>
      <sheetName val="MObra"/>
      <sheetName val="Crono"/>
      <sheetName val="BDI"/>
      <sheetName val="EncSoc"/>
      <sheetName val="Cadastros"/>
      <sheetName val="QTR"/>
      <sheetName val="Dados"/>
      <sheetName val="TABELA"/>
      <sheetName val="QuQuant"/>
      <sheetName val="qorcamentodnerL1"/>
      <sheetName val="PROJETO"/>
      <sheetName val="A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Solicitação Interna de Fab"/>
      <sheetName val="Serviços"/>
      <sheetName val="Mat"/>
      <sheetName val="Faturamento 2016 (Diferimento)"/>
      <sheetName val="aux"/>
      <sheetName val="COMPOS1"/>
      <sheetName val="Calendári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17">
          <cell r="A17">
            <v>6</v>
          </cell>
          <cell r="B17">
            <v>1.4999999999999999E-2</v>
          </cell>
          <cell r="C17">
            <v>3.4500000000000003E-2</v>
          </cell>
          <cell r="D17">
            <v>4.4900000000000002E-2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1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26">
          <cell r="A26">
            <v>6</v>
          </cell>
          <cell r="B26">
            <v>3.0000000000000001E-3</v>
          </cell>
          <cell r="C26">
            <v>4.7999999999999996E-3</v>
          </cell>
          <cell r="D26">
            <v>8.2000000000000007E-3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1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35">
          <cell r="A35">
            <v>6</v>
          </cell>
          <cell r="B35">
            <v>5.5999999999999999E-3</v>
          </cell>
          <cell r="C35">
            <v>8.5000000000000006E-3</v>
          </cell>
          <cell r="D35">
            <v>8.8999999999999999E-3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1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4">
          <cell r="A44">
            <v>6</v>
          </cell>
          <cell r="B44">
            <v>8.5000000000000006E-3</v>
          </cell>
          <cell r="C44">
            <v>8.5000000000000006E-3</v>
          </cell>
          <cell r="D44">
            <v>1.11E-2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1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  <row r="53">
          <cell r="A53">
            <v>6</v>
          </cell>
          <cell r="B53">
            <v>3.5000000000000003E-2</v>
          </cell>
          <cell r="C53">
            <v>5.11E-2</v>
          </cell>
          <cell r="D53">
            <v>6.2199999999999998E-2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761F-E943-45D4-9F1C-78354203EEB1}">
  <sheetPr>
    <tabColor theme="9" tint="0.79998168889431442"/>
    <pageSetUpPr fitToPage="1"/>
  </sheetPr>
  <dimension ref="A1:H7"/>
  <sheetViews>
    <sheetView workbookViewId="0"/>
  </sheetViews>
  <sheetFormatPr defaultRowHeight="15" x14ac:dyDescent="0.25"/>
  <cols>
    <col min="1" max="1" width="15.28515625" bestFit="1" customWidth="1"/>
    <col min="2" max="2" width="12.5703125" bestFit="1" customWidth="1"/>
    <col min="3" max="3" width="8.7109375" bestFit="1" customWidth="1"/>
    <col min="4" max="4" width="3.140625" bestFit="1" customWidth="1"/>
    <col min="5" max="5" width="15.42578125" customWidth="1"/>
    <col min="6" max="6" width="7.42578125" customWidth="1"/>
    <col min="7" max="7" width="8.140625" customWidth="1"/>
    <col min="8" max="8" width="22.42578125" bestFit="1" customWidth="1"/>
    <col min="9" max="9" width="6.5703125" bestFit="1" customWidth="1"/>
  </cols>
  <sheetData>
    <row r="1" spans="1:8" x14ac:dyDescent="0.25">
      <c r="A1" s="6"/>
      <c r="B1" s="4"/>
      <c r="C1" s="5"/>
      <c r="D1" s="4"/>
      <c r="E1" s="4"/>
      <c r="F1" s="4"/>
      <c r="G1" s="4"/>
      <c r="H1" s="5"/>
    </row>
    <row r="2" spans="1:8" x14ac:dyDescent="0.25">
      <c r="A2" s="7" t="s">
        <v>13</v>
      </c>
      <c r="B2" s="324" t="s">
        <v>385</v>
      </c>
      <c r="C2" s="334" t="s">
        <v>14</v>
      </c>
      <c r="D2" s="335"/>
      <c r="E2" s="338"/>
      <c r="F2" s="338"/>
      <c r="G2" s="4"/>
      <c r="H2" s="4"/>
    </row>
    <row r="3" spans="1:8" ht="22.5" x14ac:dyDescent="0.25">
      <c r="A3" s="36" t="s">
        <v>369</v>
      </c>
      <c r="B3" s="331" t="s">
        <v>386</v>
      </c>
      <c r="C3" s="13">
        <f>'ORÇAMENTO SD'!B7</f>
        <v>3675</v>
      </c>
      <c r="D3" s="14" t="s">
        <v>15</v>
      </c>
      <c r="E3" s="15"/>
      <c r="F3" s="15"/>
      <c r="G3" s="4"/>
      <c r="H3" s="5"/>
    </row>
    <row r="4" spans="1:8" x14ac:dyDescent="0.25">
      <c r="A4" s="6"/>
      <c r="B4" s="4"/>
      <c r="C4" s="8"/>
      <c r="D4" s="4"/>
      <c r="E4" s="4"/>
      <c r="F4" s="4"/>
      <c r="G4" s="5"/>
      <c r="H4" s="5"/>
    </row>
    <row r="5" spans="1:8" x14ac:dyDescent="0.25">
      <c r="A5" s="334" t="s">
        <v>16</v>
      </c>
      <c r="B5" s="335"/>
      <c r="C5" s="17">
        <f>SUM(C3:C3)</f>
        <v>3675</v>
      </c>
      <c r="D5" s="18" t="str">
        <f>D3</f>
        <v>m²</v>
      </c>
      <c r="E5" s="19"/>
      <c r="F5" s="8"/>
      <c r="G5" s="4"/>
      <c r="H5" s="4"/>
    </row>
    <row r="6" spans="1:8" x14ac:dyDescent="0.25">
      <c r="A6" s="6"/>
      <c r="B6" s="4"/>
      <c r="C6" s="4"/>
      <c r="D6" s="4"/>
      <c r="E6" s="4"/>
      <c r="F6" s="4"/>
      <c r="G6" s="4"/>
      <c r="H6" s="4"/>
    </row>
    <row r="7" spans="1:8" x14ac:dyDescent="0.25">
      <c r="A7" s="336"/>
      <c r="B7" s="337"/>
      <c r="C7" s="337"/>
      <c r="D7" s="337"/>
      <c r="E7" s="337"/>
      <c r="F7" s="337"/>
      <c r="G7" s="337"/>
      <c r="H7" s="4"/>
    </row>
  </sheetData>
  <mergeCells count="4">
    <mergeCell ref="A5:B5"/>
    <mergeCell ref="A7:G7"/>
    <mergeCell ref="C2:D2"/>
    <mergeCell ref="E2:F2"/>
  </mergeCells>
  <pageMargins left="0.51181102362204722" right="0.51181102362204722" top="1.7716535433070868" bottom="1.1811023622047245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58AB-500A-4140-948B-D4299E05ACD5}">
  <sheetPr>
    <tabColor theme="0" tint="-0.14999847407452621"/>
    <pageSetUpPr fitToPage="1"/>
  </sheetPr>
  <dimension ref="A1:H32"/>
  <sheetViews>
    <sheetView topLeftCell="A32" workbookViewId="0">
      <selection activeCell="F12" sqref="F12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50" t="s">
        <v>163</v>
      </c>
      <c r="B1" s="350"/>
      <c r="C1" s="350"/>
      <c r="D1" s="350"/>
      <c r="E1" s="350"/>
      <c r="F1" s="350"/>
      <c r="G1" s="350"/>
      <c r="H1" s="350"/>
    </row>
    <row r="2" spans="1:8" ht="15" customHeight="1" x14ac:dyDescent="0.25">
      <c r="A2" s="350"/>
      <c r="B2" s="350"/>
      <c r="C2" s="350"/>
      <c r="D2" s="350"/>
      <c r="E2" s="350"/>
      <c r="F2" s="350"/>
      <c r="G2" s="350"/>
      <c r="H2" s="350"/>
    </row>
    <row r="3" spans="1:8" ht="23.25" customHeight="1" x14ac:dyDescent="0.25">
      <c r="A3" s="381" t="str">
        <f>'RESUMO CD'!A2:B2</f>
        <v>OBJETO:  PAVIMENTAÇÃO DE VIAS PÚBLICAS NO MUNÍCIO DE PAJEÚ DO PIAUI -PI</v>
      </c>
      <c r="B3" s="382"/>
      <c r="C3" s="382"/>
      <c r="D3" s="382"/>
      <c r="E3" s="382"/>
      <c r="F3" s="399" t="s">
        <v>391</v>
      </c>
      <c r="G3" s="399" t="str">
        <f>'RESUMO CD'!E2</f>
        <v>COM DESONERAÇÃO
BDI: 26,86%</v>
      </c>
      <c r="H3" s="402" t="str">
        <f>'RESUMO CD'!F2</f>
        <v>HORISTA: 90,66%
MENSALISTA: 52,90%</v>
      </c>
    </row>
    <row r="4" spans="1:8" x14ac:dyDescent="0.25">
      <c r="A4" s="187" t="str">
        <f>'RESUMO CD'!A3:D3</f>
        <v xml:space="preserve">LOCAL: NOVA VEREDA </v>
      </c>
      <c r="B4" s="117"/>
      <c r="C4" s="117"/>
      <c r="D4" s="404"/>
      <c r="E4" s="404"/>
      <c r="F4" s="400"/>
      <c r="G4" s="400"/>
      <c r="H4" s="403"/>
    </row>
    <row r="5" spans="1:8" x14ac:dyDescent="0.25">
      <c r="A5" s="131"/>
      <c r="B5" s="117"/>
      <c r="C5" s="117"/>
      <c r="D5" s="201"/>
      <c r="E5" s="201"/>
      <c r="F5" s="199"/>
      <c r="G5" s="199"/>
      <c r="H5" s="200"/>
    </row>
    <row r="6" spans="1:8" x14ac:dyDescent="0.25">
      <c r="A6" s="263" t="s">
        <v>164</v>
      </c>
      <c r="B6" s="264" t="str">
        <f>'RESUMO CD'!B11</f>
        <v xml:space="preserve">RUA PROJETADA </v>
      </c>
      <c r="C6" s="265"/>
      <c r="D6" s="262" t="s">
        <v>165</v>
      </c>
      <c r="E6" s="266">
        <v>7</v>
      </c>
      <c r="F6" s="267"/>
      <c r="G6" s="267"/>
      <c r="H6" s="261"/>
    </row>
    <row r="7" spans="1:8" x14ac:dyDescent="0.25">
      <c r="A7" s="132" t="s">
        <v>166</v>
      </c>
      <c r="B7" s="130">
        <f>E7*E6</f>
        <v>3675</v>
      </c>
      <c r="C7" s="120"/>
      <c r="D7" s="121" t="s">
        <v>167</v>
      </c>
      <c r="E7" s="122">
        <v>525</v>
      </c>
      <c r="F7" s="123"/>
      <c r="G7" s="123"/>
      <c r="H7" s="207"/>
    </row>
    <row r="8" spans="1:8" x14ac:dyDescent="0.25">
      <c r="A8" s="346" t="s">
        <v>25</v>
      </c>
      <c r="B8" s="346" t="s">
        <v>92</v>
      </c>
      <c r="C8" s="346" t="s">
        <v>26</v>
      </c>
      <c r="D8" s="346" t="s">
        <v>27</v>
      </c>
      <c r="E8" s="348" t="s">
        <v>28</v>
      </c>
      <c r="F8" s="395" t="s">
        <v>168</v>
      </c>
      <c r="G8" s="396"/>
      <c r="H8" s="397"/>
    </row>
    <row r="9" spans="1:8" x14ac:dyDescent="0.25">
      <c r="A9" s="347"/>
      <c r="B9" s="347"/>
      <c r="C9" s="347"/>
      <c r="D9" s="347"/>
      <c r="E9" s="349"/>
      <c r="F9" s="124" t="s">
        <v>169</v>
      </c>
      <c r="G9" s="124" t="s">
        <v>170</v>
      </c>
      <c r="H9" s="198" t="s">
        <v>171</v>
      </c>
    </row>
    <row r="10" spans="1:8" x14ac:dyDescent="0.25">
      <c r="A10" s="28" t="s">
        <v>30</v>
      </c>
      <c r="B10" s="342" t="s">
        <v>360</v>
      </c>
      <c r="C10" s="343"/>
      <c r="D10" s="343"/>
      <c r="E10" s="343"/>
      <c r="F10" s="343"/>
      <c r="G10" s="398"/>
      <c r="H10" s="125">
        <f>SUM(H11:H13)</f>
        <v>30194.02</v>
      </c>
    </row>
    <row r="11" spans="1:8" x14ac:dyDescent="0.25">
      <c r="A11" s="29" t="s">
        <v>32</v>
      </c>
      <c r="B11" s="111" t="s">
        <v>272</v>
      </c>
      <c r="C11" s="126" t="s">
        <v>38</v>
      </c>
      <c r="D11" s="111" t="s">
        <v>15</v>
      </c>
      <c r="E11" s="127">
        <f>'Memoria de Calculo '!C12</f>
        <v>6</v>
      </c>
      <c r="F11" s="127">
        <f>'COMPOSIÇÕES UNITÁRIAS CD'!G7</f>
        <v>460.92</v>
      </c>
      <c r="G11" s="129">
        <f>ROUND(F11*1.2686,2)</f>
        <v>584.72</v>
      </c>
      <c r="H11" s="129">
        <f>ROUND(E11*G11,2)</f>
        <v>3508.32</v>
      </c>
    </row>
    <row r="12" spans="1:8" x14ac:dyDescent="0.25">
      <c r="A12" s="29" t="s">
        <v>172</v>
      </c>
      <c r="B12" s="111" t="s">
        <v>273</v>
      </c>
      <c r="C12" s="126" t="s">
        <v>39</v>
      </c>
      <c r="D12" s="111" t="s">
        <v>40</v>
      </c>
      <c r="E12" s="127">
        <f>'Memoria de Calculo '!C16</f>
        <v>2</v>
      </c>
      <c r="F12" s="127">
        <f>'COMPOSIÇÕES UNITÁRIAS CD'!G20</f>
        <v>5361.2999999999993</v>
      </c>
      <c r="G12" s="129">
        <f>ROUND(F12*1.2686,2)</f>
        <v>6801.35</v>
      </c>
      <c r="H12" s="129">
        <f>ROUND(E12*G12,2)</f>
        <v>13602.7</v>
      </c>
    </row>
    <row r="13" spans="1:8" x14ac:dyDescent="0.25">
      <c r="A13" s="29" t="s">
        <v>361</v>
      </c>
      <c r="B13" s="111" t="s">
        <v>389</v>
      </c>
      <c r="C13" s="126" t="s">
        <v>310</v>
      </c>
      <c r="D13" s="111" t="s">
        <v>15</v>
      </c>
      <c r="E13" s="127">
        <f>'GERAL '!B12</f>
        <v>3675</v>
      </c>
      <c r="F13" s="127">
        <f>'COMPOSIÇÕES UNITÁRIAS CD'!G86</f>
        <v>2.81</v>
      </c>
      <c r="G13" s="129">
        <f>ROUND(F13*1.2686,2)</f>
        <v>3.56</v>
      </c>
      <c r="H13" s="129">
        <f>ROUND(E13*G13,2)</f>
        <v>13083</v>
      </c>
    </row>
    <row r="14" spans="1:8" x14ac:dyDescent="0.25">
      <c r="A14" s="391"/>
      <c r="B14" s="392"/>
      <c r="C14" s="392"/>
      <c r="D14" s="392"/>
      <c r="E14" s="392"/>
      <c r="F14" s="392"/>
      <c r="G14" s="392"/>
      <c r="H14" s="393"/>
    </row>
    <row r="15" spans="1:8" x14ac:dyDescent="0.25">
      <c r="A15" s="28" t="s">
        <v>33</v>
      </c>
      <c r="B15" s="394" t="s">
        <v>173</v>
      </c>
      <c r="C15" s="394"/>
      <c r="D15" s="394"/>
      <c r="E15" s="394"/>
      <c r="F15" s="394"/>
      <c r="G15" s="394"/>
      <c r="H15" s="125">
        <f>H16</f>
        <v>2609.25</v>
      </c>
    </row>
    <row r="16" spans="1:8" x14ac:dyDescent="0.25">
      <c r="A16" s="29" t="s">
        <v>35</v>
      </c>
      <c r="B16" s="111">
        <v>100575</v>
      </c>
      <c r="C16" s="128" t="s">
        <v>174</v>
      </c>
      <c r="D16" s="30" t="s">
        <v>15</v>
      </c>
      <c r="E16" s="127">
        <f>'Memoria de Calculo '!C46</f>
        <v>3675</v>
      </c>
      <c r="F16" s="127">
        <f>'COMPOSIÇÕES UNITÁRIAS CD'!$G$25</f>
        <v>0.56000000000000005</v>
      </c>
      <c r="G16" s="129">
        <f>ROUND(F16*1.2686,2)</f>
        <v>0.71</v>
      </c>
      <c r="H16" s="129">
        <f>ROUND(E16*G16,2)</f>
        <v>2609.25</v>
      </c>
    </row>
    <row r="17" spans="1:8" x14ac:dyDescent="0.25">
      <c r="A17" s="374"/>
      <c r="B17" s="374"/>
      <c r="C17" s="374"/>
      <c r="D17" s="374"/>
      <c r="E17" s="374"/>
      <c r="F17" s="374"/>
      <c r="G17" s="374"/>
      <c r="H17" s="374"/>
    </row>
    <row r="18" spans="1:8" x14ac:dyDescent="0.25">
      <c r="A18" s="28" t="s">
        <v>175</v>
      </c>
      <c r="B18" s="394" t="s">
        <v>176</v>
      </c>
      <c r="C18" s="394"/>
      <c r="D18" s="394"/>
      <c r="E18" s="394"/>
      <c r="F18" s="394"/>
      <c r="G18" s="394"/>
      <c r="H18" s="125">
        <f>SUM(H19:H20)</f>
        <v>320754</v>
      </c>
    </row>
    <row r="19" spans="1:8" ht="22.5" x14ac:dyDescent="0.25">
      <c r="A19" s="29" t="s">
        <v>177</v>
      </c>
      <c r="B19" s="111" t="s">
        <v>274</v>
      </c>
      <c r="C19" s="128" t="s">
        <v>275</v>
      </c>
      <c r="D19" s="30" t="s">
        <v>15</v>
      </c>
      <c r="E19" s="127">
        <f>'Memoria de Calculo '!C52</f>
        <v>3675</v>
      </c>
      <c r="F19" s="127">
        <f>'COMPOSIÇÕES UNITÁRIAS CD'!$G$38</f>
        <v>67</v>
      </c>
      <c r="G19" s="129">
        <f>ROUND(F19*1.2686,2)</f>
        <v>85</v>
      </c>
      <c r="H19" s="129">
        <f>ROUND(E19*G19,2)</f>
        <v>312375</v>
      </c>
    </row>
    <row r="20" spans="1:8" x14ac:dyDescent="0.25">
      <c r="A20" s="29" t="s">
        <v>345</v>
      </c>
      <c r="B20" s="111" t="s">
        <v>279</v>
      </c>
      <c r="C20" s="128" t="s">
        <v>384</v>
      </c>
      <c r="D20" s="30" t="s">
        <v>15</v>
      </c>
      <c r="E20" s="127">
        <f>'Memoria de Calculo '!C57</f>
        <v>3675</v>
      </c>
      <c r="F20" s="127">
        <f>'COMPOSIÇÕES UNITÁRIAS CD'!G50</f>
        <v>1.8</v>
      </c>
      <c r="G20" s="129">
        <f>ROUND(F20*1.2686,2)</f>
        <v>2.2799999999999998</v>
      </c>
      <c r="H20" s="129">
        <f>ROUND(E20*G20,2)</f>
        <v>8379</v>
      </c>
    </row>
    <row r="21" spans="1:8" x14ac:dyDescent="0.25">
      <c r="A21" s="374"/>
      <c r="B21" s="374"/>
      <c r="C21" s="374"/>
      <c r="D21" s="374"/>
      <c r="E21" s="374"/>
      <c r="F21" s="374"/>
      <c r="G21" s="374"/>
      <c r="H21" s="374"/>
    </row>
    <row r="22" spans="1:8" x14ac:dyDescent="0.25">
      <c r="A22" s="28" t="s">
        <v>178</v>
      </c>
      <c r="B22" s="394" t="s">
        <v>179</v>
      </c>
      <c r="C22" s="394"/>
      <c r="D22" s="394"/>
      <c r="E22" s="394"/>
      <c r="F22" s="394"/>
      <c r="G22" s="394"/>
      <c r="H22" s="125">
        <f>SUM(H23:H24)</f>
        <v>60844.159999999996</v>
      </c>
    </row>
    <row r="23" spans="1:8" ht="33.75" x14ac:dyDescent="0.25">
      <c r="A23" s="29" t="s">
        <v>180</v>
      </c>
      <c r="B23" s="111">
        <v>94273</v>
      </c>
      <c r="C23" s="128" t="s">
        <v>181</v>
      </c>
      <c r="D23" s="30" t="s">
        <v>182</v>
      </c>
      <c r="E23" s="127">
        <f>'Memoria de Calculo '!C64</f>
        <v>1062</v>
      </c>
      <c r="F23" s="127">
        <f>'COMPOSIÇÕES UNITÁRIAS CD'!$G$55</f>
        <v>45.12</v>
      </c>
      <c r="G23" s="129">
        <f>ROUND(F23*1.2686,2)</f>
        <v>57.24</v>
      </c>
      <c r="H23" s="129">
        <f>ROUND(E23*G23,2)</f>
        <v>60788.88</v>
      </c>
    </row>
    <row r="24" spans="1:8" ht="22.5" x14ac:dyDescent="0.25">
      <c r="A24" s="29" t="s">
        <v>346</v>
      </c>
      <c r="B24" s="111" t="s">
        <v>292</v>
      </c>
      <c r="C24" s="128" t="s">
        <v>280</v>
      </c>
      <c r="D24" s="30" t="s">
        <v>182</v>
      </c>
      <c r="E24" s="127">
        <f>'Memoria de Calculo '!C68</f>
        <v>2</v>
      </c>
      <c r="F24" s="127">
        <f>'COMPOSIÇÕES UNITÁRIAS CD'!$G$63</f>
        <v>21.79</v>
      </c>
      <c r="G24" s="129">
        <f>ROUND(F24*1.2686,2)</f>
        <v>27.64</v>
      </c>
      <c r="H24" s="129">
        <f>ROUND(E24*G24,2)</f>
        <v>55.28</v>
      </c>
    </row>
    <row r="25" spans="1:8" x14ac:dyDescent="0.25">
      <c r="A25" s="374"/>
      <c r="B25" s="374"/>
      <c r="C25" s="374"/>
      <c r="D25" s="374"/>
      <c r="E25" s="374"/>
      <c r="F25" s="374"/>
      <c r="G25" s="374"/>
      <c r="H25" s="374"/>
    </row>
    <row r="26" spans="1:8" x14ac:dyDescent="0.25">
      <c r="A26" s="28" t="s">
        <v>239</v>
      </c>
      <c r="B26" s="394" t="s">
        <v>237</v>
      </c>
      <c r="C26" s="394"/>
      <c r="D26" s="394"/>
      <c r="E26" s="394"/>
      <c r="F26" s="394"/>
      <c r="G26" s="394"/>
      <c r="H26" s="125">
        <f>SUM(H27:H27)</f>
        <v>1956.88</v>
      </c>
    </row>
    <row r="27" spans="1:8" ht="22.5" x14ac:dyDescent="0.25">
      <c r="A27" s="29" t="s">
        <v>240</v>
      </c>
      <c r="B27" s="111">
        <v>93594</v>
      </c>
      <c r="C27" s="128" t="s">
        <v>373</v>
      </c>
      <c r="D27" s="30" t="s">
        <v>238</v>
      </c>
      <c r="E27" s="127">
        <f>'Memoria de Calculo '!C78</f>
        <v>758.48</v>
      </c>
      <c r="F27" s="127">
        <f>'COMPOSIÇÕES UNITÁRIAS CD'!$G$81</f>
        <v>2.0299999999999998</v>
      </c>
      <c r="G27" s="129">
        <f>ROUND(F27*1.2686,2)</f>
        <v>2.58</v>
      </c>
      <c r="H27" s="129">
        <f>ROUND(E27*G27,2)</f>
        <v>1956.88</v>
      </c>
    </row>
    <row r="28" spans="1:8" x14ac:dyDescent="0.25">
      <c r="A28" s="374"/>
      <c r="B28" s="374"/>
      <c r="C28" s="374"/>
      <c r="D28" s="374"/>
      <c r="E28" s="374"/>
      <c r="F28" s="374"/>
      <c r="G28" s="374"/>
      <c r="H28" s="374"/>
    </row>
    <row r="29" spans="1:8" x14ac:dyDescent="0.25">
      <c r="A29" s="28" t="s">
        <v>276</v>
      </c>
      <c r="B29" s="394" t="s">
        <v>277</v>
      </c>
      <c r="C29" s="394"/>
      <c r="D29" s="394"/>
      <c r="E29" s="394"/>
      <c r="F29" s="394"/>
      <c r="G29" s="394"/>
      <c r="H29" s="125">
        <f>SUM(H30:H30)</f>
        <v>469.56</v>
      </c>
    </row>
    <row r="30" spans="1:8" ht="22.5" x14ac:dyDescent="0.25">
      <c r="A30" s="29" t="s">
        <v>278</v>
      </c>
      <c r="B30" s="111" t="s">
        <v>380</v>
      </c>
      <c r="C30" s="128" t="s">
        <v>354</v>
      </c>
      <c r="D30" s="30" t="s">
        <v>294</v>
      </c>
      <c r="E30" s="127">
        <f>'Memoria de Calculo '!C83</f>
        <v>1</v>
      </c>
      <c r="F30" s="127">
        <f>'COMPOSIÇÕES UNITÁRIAS CD'!$G$72</f>
        <v>370.14</v>
      </c>
      <c r="G30" s="129">
        <f>ROUND(F30*1.2686,2)</f>
        <v>469.56</v>
      </c>
      <c r="H30" s="129">
        <f>ROUND(E30*G30,2)</f>
        <v>469.56</v>
      </c>
    </row>
    <row r="31" spans="1:8" x14ac:dyDescent="0.25">
      <c r="A31" s="374"/>
      <c r="B31" s="374"/>
      <c r="C31" s="374"/>
      <c r="D31" s="374"/>
      <c r="E31" s="374"/>
      <c r="F31" s="374"/>
      <c r="G31" s="374"/>
      <c r="H31" s="374"/>
    </row>
    <row r="32" spans="1:8" x14ac:dyDescent="0.25">
      <c r="A32" s="401" t="s">
        <v>236</v>
      </c>
      <c r="B32" s="401"/>
      <c r="C32" s="401"/>
      <c r="D32" s="401"/>
      <c r="E32" s="401"/>
      <c r="F32" s="401"/>
      <c r="G32" s="401"/>
      <c r="H32" s="206">
        <f>SUM(H29,H26,H22,H18,H15,H10)</f>
        <v>416827.87</v>
      </c>
    </row>
  </sheetData>
  <sheetProtection algorithmName="SHA-512" hashValue="PuRrfqYtIwp4EwV7MWI6YJkJy2ZnetJKW72ddhyopRBMDmHOdNrPcorFl4gDnocIVL74YaeJ9xFD4pW3/cwKnw==" saltValue="40lZDGDGkpvwwPuc9cYEuA==" spinCount="100000" sheet="1" objects="1" scenarios="1" selectLockedCells="1" selectUnlockedCells="1"/>
  <mergeCells count="25">
    <mergeCell ref="F8:H8"/>
    <mergeCell ref="A1:H2"/>
    <mergeCell ref="A3:E3"/>
    <mergeCell ref="F3:F4"/>
    <mergeCell ref="G3:G4"/>
    <mergeCell ref="H3:H4"/>
    <mergeCell ref="D4:E4"/>
    <mergeCell ref="A8:A9"/>
    <mergeCell ref="B8:B9"/>
    <mergeCell ref="C8:C9"/>
    <mergeCell ref="D8:D9"/>
    <mergeCell ref="E8:E9"/>
    <mergeCell ref="A32:G32"/>
    <mergeCell ref="A31:H31"/>
    <mergeCell ref="B10:G10"/>
    <mergeCell ref="A14:H14"/>
    <mergeCell ref="B15:G15"/>
    <mergeCell ref="A17:H17"/>
    <mergeCell ref="B18:G18"/>
    <mergeCell ref="A21:H21"/>
    <mergeCell ref="B22:G22"/>
    <mergeCell ref="A25:H25"/>
    <mergeCell ref="B26:G26"/>
    <mergeCell ref="A28:H28"/>
    <mergeCell ref="B29:G29"/>
  </mergeCells>
  <phoneticPr fontId="20" type="noConversion"/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8D2F-43BE-4C91-9E51-B07ECF426F73}">
  <sheetPr>
    <pageSetUpPr fitToPage="1"/>
  </sheetPr>
  <dimension ref="A1:Q83"/>
  <sheetViews>
    <sheetView workbookViewId="0"/>
  </sheetViews>
  <sheetFormatPr defaultRowHeight="12.75" x14ac:dyDescent="0.25"/>
  <cols>
    <col min="1" max="1" width="6.28515625" style="215" bestFit="1" customWidth="1"/>
    <col min="2" max="2" width="52.28515625" style="215" bestFit="1" customWidth="1"/>
    <col min="3" max="3" width="11.28515625" style="215" bestFit="1" customWidth="1"/>
    <col min="4" max="4" width="20.5703125" style="215" customWidth="1"/>
    <col min="5" max="5" width="32.140625" style="215" bestFit="1" customWidth="1"/>
    <col min="6" max="16384" width="9.140625" style="215"/>
  </cols>
  <sheetData>
    <row r="1" spans="1:17" ht="29.25" customHeight="1" x14ac:dyDescent="0.25">
      <c r="A1" s="213" t="s">
        <v>375</v>
      </c>
      <c r="B1" s="214"/>
      <c r="C1" s="252"/>
      <c r="D1" s="252"/>
      <c r="E1" s="255"/>
    </row>
    <row r="2" spans="1:17" x14ac:dyDescent="0.25">
      <c r="A2" s="216" t="s">
        <v>371</v>
      </c>
      <c r="B2" s="254"/>
      <c r="C2" s="253"/>
      <c r="D2" s="253"/>
      <c r="E2" s="256"/>
    </row>
    <row r="3" spans="1:17" ht="12.75" customHeight="1" x14ac:dyDescent="0.25">
      <c r="E3" s="218"/>
      <c r="O3" s="217"/>
      <c r="P3" s="217"/>
      <c r="Q3" s="217"/>
    </row>
    <row r="5" spans="1:17" x14ac:dyDescent="0.25">
      <c r="A5" s="480" t="s">
        <v>313</v>
      </c>
      <c r="B5" s="480"/>
      <c r="C5" s="480"/>
      <c r="D5" s="480"/>
      <c r="E5" s="480"/>
    </row>
    <row r="6" spans="1:17" ht="20.25" customHeight="1" x14ac:dyDescent="0.25">
      <c r="A6" s="481" t="s">
        <v>191</v>
      </c>
      <c r="B6" s="481"/>
      <c r="C6" s="481"/>
      <c r="D6" s="481"/>
      <c r="E6" s="481"/>
    </row>
    <row r="7" spans="1:17" x14ac:dyDescent="0.2">
      <c r="A7" s="219" t="s">
        <v>30</v>
      </c>
      <c r="B7" s="220" t="s">
        <v>31</v>
      </c>
      <c r="C7" s="221"/>
      <c r="D7" s="222"/>
      <c r="E7" s="223"/>
    </row>
    <row r="8" spans="1:17" x14ac:dyDescent="0.2">
      <c r="A8" s="224" t="s">
        <v>32</v>
      </c>
      <c r="B8" s="225" t="s">
        <v>38</v>
      </c>
      <c r="C8" s="226"/>
      <c r="D8" s="227"/>
      <c r="E8" s="228"/>
    </row>
    <row r="9" spans="1:17" x14ac:dyDescent="0.2">
      <c r="A9" s="229"/>
      <c r="B9" s="230" t="s">
        <v>314</v>
      </c>
      <c r="C9" s="231">
        <v>3</v>
      </c>
      <c r="D9" s="232" t="s">
        <v>182</v>
      </c>
      <c r="E9" s="229"/>
    </row>
    <row r="10" spans="1:17" x14ac:dyDescent="0.2">
      <c r="A10" s="229"/>
      <c r="B10" s="230" t="s">
        <v>315</v>
      </c>
      <c r="C10" s="231">
        <v>2</v>
      </c>
      <c r="D10" s="232" t="s">
        <v>182</v>
      </c>
      <c r="E10" s="223"/>
    </row>
    <row r="11" spans="1:17" x14ac:dyDescent="0.2">
      <c r="A11" s="229"/>
      <c r="B11" s="230" t="s">
        <v>268</v>
      </c>
      <c r="C11" s="231">
        <v>1</v>
      </c>
      <c r="D11" s="232" t="s">
        <v>316</v>
      </c>
      <c r="E11" s="223"/>
    </row>
    <row r="12" spans="1:17" x14ac:dyDescent="0.2">
      <c r="A12" s="229"/>
      <c r="B12" s="230" t="s">
        <v>332</v>
      </c>
      <c r="C12" s="233">
        <f>ROUND(C11*C10*C9,2)</f>
        <v>6</v>
      </c>
      <c r="D12" s="234" t="s">
        <v>15</v>
      </c>
      <c r="E12" s="223"/>
    </row>
    <row r="13" spans="1:17" x14ac:dyDescent="0.2">
      <c r="A13" s="229"/>
      <c r="B13" s="230"/>
      <c r="C13" s="235"/>
      <c r="D13" s="236"/>
      <c r="E13" s="223"/>
    </row>
    <row r="14" spans="1:17" x14ac:dyDescent="0.2">
      <c r="A14" s="224" t="s">
        <v>172</v>
      </c>
      <c r="B14" s="225" t="s">
        <v>39</v>
      </c>
      <c r="C14" s="226"/>
      <c r="D14" s="227"/>
      <c r="E14" s="228"/>
    </row>
    <row r="15" spans="1:17" x14ac:dyDescent="0.2">
      <c r="A15" s="229"/>
      <c r="B15" s="230" t="s">
        <v>318</v>
      </c>
      <c r="C15" s="231">
        <v>2</v>
      </c>
      <c r="D15" s="232" t="s">
        <v>40</v>
      </c>
      <c r="E15" s="229"/>
    </row>
    <row r="16" spans="1:17" x14ac:dyDescent="0.2">
      <c r="A16" s="229"/>
      <c r="B16" s="230" t="s">
        <v>319</v>
      </c>
      <c r="C16" s="233">
        <f>C15</f>
        <v>2</v>
      </c>
      <c r="D16" s="234" t="s">
        <v>40</v>
      </c>
      <c r="E16" s="223"/>
    </row>
    <row r="17" spans="1:5" x14ac:dyDescent="0.2">
      <c r="A17" s="229"/>
      <c r="B17" s="230"/>
      <c r="C17" s="235"/>
      <c r="D17" s="236"/>
      <c r="E17" s="223"/>
    </row>
    <row r="18" spans="1:5" x14ac:dyDescent="0.2">
      <c r="A18" s="224" t="s">
        <v>361</v>
      </c>
      <c r="B18" s="225" t="s">
        <v>367</v>
      </c>
      <c r="C18" s="226"/>
      <c r="D18" s="227"/>
      <c r="E18" s="228"/>
    </row>
    <row r="19" spans="1:5" x14ac:dyDescent="0.2">
      <c r="A19" s="229"/>
      <c r="B19" s="230" t="s">
        <v>368</v>
      </c>
      <c r="C19" s="231">
        <f>C23*C24</f>
        <v>3675</v>
      </c>
      <c r="D19" s="232" t="s">
        <v>15</v>
      </c>
      <c r="E19" s="229"/>
    </row>
    <row r="20" spans="1:5" x14ac:dyDescent="0.2">
      <c r="A20" s="229"/>
      <c r="B20" s="230" t="s">
        <v>319</v>
      </c>
      <c r="C20" s="233">
        <f>C19</f>
        <v>3675</v>
      </c>
      <c r="D20" s="234" t="s">
        <v>15</v>
      </c>
      <c r="E20" s="223"/>
    </row>
    <row r="21" spans="1:5" x14ac:dyDescent="0.2">
      <c r="A21" s="229"/>
      <c r="B21" s="230"/>
      <c r="C21" s="235"/>
      <c r="D21" s="236"/>
      <c r="E21" s="223"/>
    </row>
    <row r="22" spans="1:5" x14ac:dyDescent="0.25">
      <c r="A22" s="237"/>
      <c r="B22" s="238" t="s">
        <v>363</v>
      </c>
      <c r="C22" s="482"/>
      <c r="D22" s="483"/>
      <c r="E22" s="483"/>
    </row>
    <row r="23" spans="1:5" x14ac:dyDescent="0.2">
      <c r="A23" s="239"/>
      <c r="B23" s="240" t="s">
        <v>320</v>
      </c>
      <c r="C23" s="241">
        <v>525</v>
      </c>
      <c r="D23" s="222" t="s">
        <v>182</v>
      </c>
      <c r="E23" s="223"/>
    </row>
    <row r="24" spans="1:5" x14ac:dyDescent="0.2">
      <c r="A24" s="239"/>
      <c r="B24" s="240" t="s">
        <v>321</v>
      </c>
      <c r="C24" s="241">
        <v>7</v>
      </c>
      <c r="D24" s="222" t="s">
        <v>182</v>
      </c>
      <c r="E24" s="223"/>
    </row>
    <row r="25" spans="1:5" x14ac:dyDescent="0.2">
      <c r="A25" s="239"/>
      <c r="B25" s="240" t="s">
        <v>333</v>
      </c>
      <c r="C25" s="241">
        <v>1.3</v>
      </c>
      <c r="D25" s="222" t="s">
        <v>334</v>
      </c>
      <c r="E25" s="223"/>
    </row>
    <row r="26" spans="1:5" x14ac:dyDescent="0.2">
      <c r="A26" s="239"/>
      <c r="B26" s="240"/>
      <c r="C26" s="241"/>
      <c r="D26" s="222"/>
      <c r="E26" s="223"/>
    </row>
    <row r="27" spans="1:5" x14ac:dyDescent="0.2">
      <c r="A27" s="239"/>
      <c r="B27" s="240"/>
      <c r="C27" s="241"/>
      <c r="D27" s="222"/>
      <c r="E27" s="223"/>
    </row>
    <row r="28" spans="1:5" x14ac:dyDescent="0.2">
      <c r="A28" s="239"/>
      <c r="B28" s="240"/>
      <c r="C28" s="241"/>
      <c r="D28" s="222"/>
      <c r="E28" s="223"/>
    </row>
    <row r="29" spans="1:5" x14ac:dyDescent="0.2">
      <c r="A29" s="239"/>
      <c r="B29" s="240"/>
      <c r="C29" s="241"/>
      <c r="D29" s="222"/>
      <c r="E29" s="223"/>
    </row>
    <row r="30" spans="1:5" x14ac:dyDescent="0.2">
      <c r="A30" s="239"/>
      <c r="B30" s="240"/>
      <c r="C30" s="241"/>
      <c r="D30" s="222"/>
      <c r="E30" s="223"/>
    </row>
    <row r="31" spans="1:5" x14ac:dyDescent="0.2">
      <c r="A31" s="239"/>
      <c r="B31" s="240"/>
      <c r="C31" s="241"/>
      <c r="D31" s="222"/>
      <c r="E31" s="223"/>
    </row>
    <row r="32" spans="1:5" x14ac:dyDescent="0.2">
      <c r="A32" s="239"/>
      <c r="B32" s="240"/>
      <c r="C32" s="241"/>
      <c r="D32" s="222"/>
      <c r="E32" s="223"/>
    </row>
    <row r="33" spans="1:5" x14ac:dyDescent="0.2">
      <c r="A33" s="239"/>
      <c r="B33" s="240"/>
      <c r="C33" s="241"/>
      <c r="D33" s="222"/>
      <c r="E33" s="223"/>
    </row>
    <row r="34" spans="1:5" x14ac:dyDescent="0.2">
      <c r="A34" s="239"/>
      <c r="B34" s="240"/>
      <c r="C34" s="241"/>
      <c r="D34" s="222"/>
      <c r="E34" s="223"/>
    </row>
    <row r="35" spans="1:5" x14ac:dyDescent="0.2">
      <c r="A35" s="239"/>
      <c r="B35" s="240"/>
      <c r="C35" s="241"/>
      <c r="D35" s="222"/>
      <c r="E35" s="223"/>
    </row>
    <row r="36" spans="1:5" x14ac:dyDescent="0.2">
      <c r="A36" s="239"/>
      <c r="B36" s="240"/>
      <c r="C36" s="241"/>
      <c r="D36" s="222"/>
      <c r="E36" s="223"/>
    </row>
    <row r="37" spans="1:5" x14ac:dyDescent="0.2">
      <c r="A37" s="239"/>
      <c r="B37" s="240"/>
      <c r="C37" s="241"/>
      <c r="D37" s="222"/>
      <c r="E37" s="223"/>
    </row>
    <row r="38" spans="1:5" x14ac:dyDescent="0.2">
      <c r="A38" s="239"/>
      <c r="B38" s="240"/>
      <c r="C38" s="241"/>
      <c r="D38" s="222"/>
      <c r="E38" s="223"/>
    </row>
    <row r="39" spans="1:5" x14ac:dyDescent="0.2">
      <c r="A39" s="239"/>
      <c r="B39" s="240"/>
      <c r="C39" s="241"/>
      <c r="D39" s="222"/>
      <c r="E39" s="223"/>
    </row>
    <row r="40" spans="1:5" x14ac:dyDescent="0.2">
      <c r="A40" s="239"/>
      <c r="B40" s="240"/>
      <c r="C40" s="241"/>
      <c r="D40" s="222"/>
      <c r="E40" s="223"/>
    </row>
    <row r="41" spans="1:5" x14ac:dyDescent="0.2">
      <c r="A41" s="219"/>
      <c r="B41" s="242"/>
      <c r="C41" s="221"/>
      <c r="D41" s="243"/>
      <c r="E41" s="223"/>
    </row>
    <row r="42" spans="1:5" x14ac:dyDescent="0.2">
      <c r="A42" s="219" t="s">
        <v>33</v>
      </c>
      <c r="B42" s="220" t="s">
        <v>173</v>
      </c>
      <c r="C42" s="221"/>
      <c r="D42" s="222"/>
      <c r="E42" s="223"/>
    </row>
    <row r="43" spans="1:5" x14ac:dyDescent="0.2">
      <c r="A43" s="224" t="s">
        <v>35</v>
      </c>
      <c r="B43" s="225" t="s">
        <v>174</v>
      </c>
      <c r="C43" s="226"/>
      <c r="D43" s="227"/>
      <c r="E43" s="228"/>
    </row>
    <row r="44" spans="1:5" x14ac:dyDescent="0.2">
      <c r="A44" s="229"/>
      <c r="B44" s="230" t="s">
        <v>314</v>
      </c>
      <c r="C44" s="231">
        <f>$C$23</f>
        <v>525</v>
      </c>
      <c r="D44" s="232" t="s">
        <v>182</v>
      </c>
      <c r="E44" s="229"/>
    </row>
    <row r="45" spans="1:5" x14ac:dyDescent="0.2">
      <c r="A45" s="229"/>
      <c r="B45" s="230" t="s">
        <v>315</v>
      </c>
      <c r="C45" s="231">
        <f>$C$24</f>
        <v>7</v>
      </c>
      <c r="D45" s="232" t="s">
        <v>182</v>
      </c>
      <c r="E45" s="223"/>
    </row>
    <row r="46" spans="1:5" x14ac:dyDescent="0.2">
      <c r="A46" s="229"/>
      <c r="B46" s="230" t="s">
        <v>317</v>
      </c>
      <c r="C46" s="233">
        <f>ROUND(C44*C45,2)</f>
        <v>3675</v>
      </c>
      <c r="D46" s="234" t="s">
        <v>15</v>
      </c>
      <c r="E46" s="223"/>
    </row>
    <row r="47" spans="1:5" x14ac:dyDescent="0.2">
      <c r="A47" s="244"/>
      <c r="B47" s="245"/>
      <c r="C47" s="236"/>
      <c r="D47" s="246"/>
      <c r="E47" s="247"/>
    </row>
    <row r="48" spans="1:5" x14ac:dyDescent="0.2">
      <c r="A48" s="219" t="s">
        <v>175</v>
      </c>
      <c r="B48" s="220" t="s">
        <v>176</v>
      </c>
      <c r="C48" s="221"/>
      <c r="D48" s="222"/>
      <c r="E48" s="223"/>
    </row>
    <row r="49" spans="1:5" ht="30" customHeight="1" x14ac:dyDescent="0.25">
      <c r="A49" s="248" t="s">
        <v>177</v>
      </c>
      <c r="B49" s="478" t="s">
        <v>275</v>
      </c>
      <c r="C49" s="478"/>
      <c r="D49" s="478"/>
      <c r="E49" s="479"/>
    </row>
    <row r="50" spans="1:5" x14ac:dyDescent="0.2">
      <c r="A50" s="229"/>
      <c r="B50" s="230" t="s">
        <v>314</v>
      </c>
      <c r="C50" s="231">
        <f>$C$23</f>
        <v>525</v>
      </c>
      <c r="D50" s="232" t="s">
        <v>182</v>
      </c>
      <c r="E50" s="229"/>
    </row>
    <row r="51" spans="1:5" x14ac:dyDescent="0.2">
      <c r="A51" s="229"/>
      <c r="B51" s="230" t="s">
        <v>315</v>
      </c>
      <c r="C51" s="231">
        <f>$C$24</f>
        <v>7</v>
      </c>
      <c r="D51" s="232" t="s">
        <v>182</v>
      </c>
      <c r="E51" s="223"/>
    </row>
    <row r="52" spans="1:5" x14ac:dyDescent="0.2">
      <c r="A52" s="229"/>
      <c r="B52" s="230" t="s">
        <v>317</v>
      </c>
      <c r="C52" s="233">
        <f>ROUND(C50*C51,2)</f>
        <v>3675</v>
      </c>
      <c r="D52" s="234" t="s">
        <v>15</v>
      </c>
      <c r="E52" s="223"/>
    </row>
    <row r="53" spans="1:5" x14ac:dyDescent="0.2">
      <c r="A53" s="229"/>
      <c r="B53" s="230"/>
      <c r="C53" s="325"/>
      <c r="D53" s="326"/>
      <c r="E53" s="223"/>
    </row>
    <row r="54" spans="1:5" ht="30" customHeight="1" x14ac:dyDescent="0.25">
      <c r="A54" s="248" t="s">
        <v>345</v>
      </c>
      <c r="B54" s="478" t="s">
        <v>383</v>
      </c>
      <c r="C54" s="478"/>
      <c r="D54" s="478"/>
      <c r="E54" s="479"/>
    </row>
    <row r="55" spans="1:5" x14ac:dyDescent="0.2">
      <c r="A55" s="229"/>
      <c r="B55" s="230" t="s">
        <v>314</v>
      </c>
      <c r="C55" s="231">
        <f>$C$23</f>
        <v>525</v>
      </c>
      <c r="D55" s="232" t="s">
        <v>182</v>
      </c>
      <c r="E55" s="229"/>
    </row>
    <row r="56" spans="1:5" x14ac:dyDescent="0.2">
      <c r="A56" s="229"/>
      <c r="B56" s="230" t="s">
        <v>315</v>
      </c>
      <c r="C56" s="231">
        <f>$C$24</f>
        <v>7</v>
      </c>
      <c r="D56" s="232" t="s">
        <v>182</v>
      </c>
      <c r="E56" s="223"/>
    </row>
    <row r="57" spans="1:5" x14ac:dyDescent="0.2">
      <c r="A57" s="229"/>
      <c r="B57" s="230" t="s">
        <v>317</v>
      </c>
      <c r="C57" s="233">
        <f>ROUND(C55*C56,2)</f>
        <v>3675</v>
      </c>
      <c r="D57" s="234" t="s">
        <v>15</v>
      </c>
      <c r="E57" s="223"/>
    </row>
    <row r="58" spans="1:5" x14ac:dyDescent="0.2">
      <c r="A58" s="229"/>
      <c r="B58" s="230"/>
      <c r="C58" s="325"/>
      <c r="D58" s="326"/>
      <c r="E58" s="223"/>
    </row>
    <row r="59" spans="1:5" x14ac:dyDescent="0.2">
      <c r="A59" s="219" t="s">
        <v>178</v>
      </c>
      <c r="B59" s="220" t="s">
        <v>179</v>
      </c>
      <c r="C59" s="327"/>
      <c r="D59" s="328"/>
      <c r="E59" s="223"/>
    </row>
    <row r="60" spans="1:5" ht="30" customHeight="1" x14ac:dyDescent="0.25">
      <c r="A60" s="248" t="s">
        <v>180</v>
      </c>
      <c r="B60" s="478" t="s">
        <v>181</v>
      </c>
      <c r="C60" s="484"/>
      <c r="D60" s="484"/>
      <c r="E60" s="479"/>
    </row>
    <row r="61" spans="1:5" x14ac:dyDescent="0.2">
      <c r="A61" s="229"/>
      <c r="B61" s="230" t="s">
        <v>314</v>
      </c>
      <c r="C61" s="231">
        <f>C44</f>
        <v>525</v>
      </c>
      <c r="D61" s="232" t="s">
        <v>182</v>
      </c>
      <c r="E61" s="229"/>
    </row>
    <row r="62" spans="1:5" x14ac:dyDescent="0.2">
      <c r="A62" s="229"/>
      <c r="B62" s="230" t="s">
        <v>268</v>
      </c>
      <c r="C62" s="231">
        <v>2</v>
      </c>
      <c r="D62" s="232" t="s">
        <v>184</v>
      </c>
      <c r="E62" s="229"/>
    </row>
    <row r="63" spans="1:5" x14ac:dyDescent="0.2">
      <c r="A63" s="229"/>
      <c r="B63" s="230" t="s">
        <v>335</v>
      </c>
      <c r="C63" s="231">
        <v>12</v>
      </c>
      <c r="D63" s="232" t="s">
        <v>182</v>
      </c>
      <c r="E63" s="229"/>
    </row>
    <row r="64" spans="1:5" x14ac:dyDescent="0.2">
      <c r="A64" s="229"/>
      <c r="B64" s="230" t="s">
        <v>322</v>
      </c>
      <c r="C64" s="233">
        <f>ROUND(C61*C62+C63,2)</f>
        <v>1062</v>
      </c>
      <c r="D64" s="234" t="s">
        <v>182</v>
      </c>
      <c r="E64" s="223"/>
    </row>
    <row r="66" spans="1:6" ht="30" customHeight="1" x14ac:dyDescent="0.2">
      <c r="A66" s="248" t="s">
        <v>183</v>
      </c>
      <c r="B66" s="478" t="s">
        <v>323</v>
      </c>
      <c r="C66" s="478"/>
      <c r="D66" s="478"/>
      <c r="E66" s="479"/>
      <c r="F66" s="249"/>
    </row>
    <row r="67" spans="1:6" x14ac:dyDescent="0.2">
      <c r="A67" s="229"/>
      <c r="B67" s="230" t="s">
        <v>314</v>
      </c>
      <c r="C67" s="231">
        <f>C61</f>
        <v>525</v>
      </c>
      <c r="D67" s="232" t="s">
        <v>182</v>
      </c>
      <c r="E67" s="229"/>
    </row>
    <row r="68" spans="1:6" x14ac:dyDescent="0.2">
      <c r="A68" s="229"/>
      <c r="B68" s="230" t="s">
        <v>268</v>
      </c>
      <c r="C68" s="231">
        <v>2</v>
      </c>
      <c r="D68" s="232" t="s">
        <v>184</v>
      </c>
      <c r="E68" s="229"/>
    </row>
    <row r="69" spans="1:6" x14ac:dyDescent="0.2">
      <c r="A69" s="229"/>
      <c r="B69" s="230" t="s">
        <v>322</v>
      </c>
      <c r="C69" s="233">
        <f>ROUND(C67*C68,2)</f>
        <v>1050</v>
      </c>
      <c r="D69" s="234" t="s">
        <v>182</v>
      </c>
      <c r="E69" s="223"/>
    </row>
    <row r="71" spans="1:6" x14ac:dyDescent="0.2">
      <c r="A71" s="219" t="s">
        <v>239</v>
      </c>
      <c r="B71" s="220" t="s">
        <v>237</v>
      </c>
      <c r="C71" s="221"/>
      <c r="D71" s="222"/>
      <c r="E71" s="223"/>
    </row>
    <row r="72" spans="1:6" s="250" customFormat="1" x14ac:dyDescent="0.2">
      <c r="A72" s="248" t="s">
        <v>240</v>
      </c>
      <c r="B72" s="478" t="s">
        <v>372</v>
      </c>
      <c r="C72" s="478"/>
      <c r="D72" s="478"/>
      <c r="E72" s="479"/>
      <c r="F72" s="249"/>
    </row>
    <row r="73" spans="1:6" x14ac:dyDescent="0.2">
      <c r="A73" s="229"/>
      <c r="B73" s="230" t="s">
        <v>326</v>
      </c>
      <c r="C73" s="231">
        <f>C52</f>
        <v>3675</v>
      </c>
      <c r="D73" s="232" t="s">
        <v>15</v>
      </c>
      <c r="E73" s="229"/>
    </row>
    <row r="74" spans="1:6" x14ac:dyDescent="0.2">
      <c r="A74" s="229"/>
      <c r="B74" s="230" t="s">
        <v>327</v>
      </c>
      <c r="C74" s="251">
        <v>4.2000000000000003E-2</v>
      </c>
      <c r="D74" s="232" t="s">
        <v>269</v>
      </c>
      <c r="E74" s="223"/>
    </row>
    <row r="75" spans="1:6" x14ac:dyDescent="0.2">
      <c r="A75" s="229"/>
      <c r="B75" s="230" t="s">
        <v>328</v>
      </c>
      <c r="C75" s="231">
        <v>2.52</v>
      </c>
      <c r="D75" s="232" t="s">
        <v>329</v>
      </c>
      <c r="E75" s="223"/>
    </row>
    <row r="76" spans="1:6" x14ac:dyDescent="0.2">
      <c r="A76" s="229"/>
      <c r="B76" s="230" t="s">
        <v>330</v>
      </c>
      <c r="C76" s="231">
        <v>1.5</v>
      </c>
      <c r="D76" s="232" t="s">
        <v>270</v>
      </c>
      <c r="E76" s="223"/>
    </row>
    <row r="77" spans="1:6" x14ac:dyDescent="0.2">
      <c r="A77" s="229"/>
      <c r="B77" s="230" t="s">
        <v>331</v>
      </c>
      <c r="C77" s="231">
        <f>C25</f>
        <v>1.3</v>
      </c>
      <c r="D77" s="232" t="s">
        <v>271</v>
      </c>
      <c r="E77" s="223"/>
    </row>
    <row r="78" spans="1:6" x14ac:dyDescent="0.2">
      <c r="A78" s="229"/>
      <c r="B78" s="220" t="s">
        <v>336</v>
      </c>
      <c r="C78" s="233">
        <f>ROUND(C73*C74*C75*C76*C77,2)</f>
        <v>758.48</v>
      </c>
      <c r="D78" s="234" t="s">
        <v>337</v>
      </c>
      <c r="E78" s="223"/>
    </row>
    <row r="80" spans="1:6" x14ac:dyDescent="0.2">
      <c r="A80" s="219" t="s">
        <v>276</v>
      </c>
      <c r="B80" s="220" t="s">
        <v>324</v>
      </c>
      <c r="C80" s="221"/>
      <c r="D80" s="222"/>
      <c r="E80" s="223"/>
    </row>
    <row r="81" spans="1:6" ht="23.25" customHeight="1" x14ac:dyDescent="0.2">
      <c r="A81" s="248" t="s">
        <v>278</v>
      </c>
      <c r="B81" s="478" t="s">
        <v>354</v>
      </c>
      <c r="C81" s="478"/>
      <c r="D81" s="478"/>
      <c r="E81" s="479"/>
      <c r="F81" s="249"/>
    </row>
    <row r="82" spans="1:6" x14ac:dyDescent="0.2">
      <c r="A82" s="229"/>
      <c r="B82" s="230" t="s">
        <v>325</v>
      </c>
      <c r="C82" s="231">
        <v>1</v>
      </c>
      <c r="D82" s="232" t="s">
        <v>184</v>
      </c>
      <c r="E82" s="229"/>
    </row>
    <row r="83" spans="1:6" x14ac:dyDescent="0.2">
      <c r="A83" s="229"/>
      <c r="B83" s="230" t="s">
        <v>364</v>
      </c>
      <c r="C83" s="233">
        <f>C82</f>
        <v>1</v>
      </c>
      <c r="D83" s="234" t="s">
        <v>184</v>
      </c>
      <c r="E83" s="223"/>
    </row>
  </sheetData>
  <sheetProtection algorithmName="SHA-512" hashValue="QdEr3fUwaTvG3H5/bGC89rlBwTEDbVOZ0VZFhg2cF2drF+1fqbv/857H9ehVHGmMLqjsW3bPq/YBp68wVk0qCw==" saltValue="kEjpQmbzTgQ2IAGkR3W++A==" spinCount="100000" sheet="1" objects="1" scenarios="1" selectLockedCells="1" selectUnlockedCells="1"/>
  <mergeCells count="9">
    <mergeCell ref="B81:E81"/>
    <mergeCell ref="B54:E54"/>
    <mergeCell ref="A5:E5"/>
    <mergeCell ref="B72:E72"/>
    <mergeCell ref="A6:E6"/>
    <mergeCell ref="C22:E22"/>
    <mergeCell ref="B49:E49"/>
    <mergeCell ref="B60:E60"/>
    <mergeCell ref="B66:E66"/>
  </mergeCells>
  <pageMargins left="0.70866141732283472" right="0.70866141732283472" top="1.3779527559055118" bottom="1.5748031496062993" header="0.31496062992125984" footer="0.31496062992125984"/>
  <pageSetup paperSize="9" scale="71" fitToHeight="0" orientation="portrait" r:id="rId1"/>
  <headerFooter>
    <oddHeader>&amp;C&amp;G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E58B-6F2A-4A26-A7AA-A2574F7CA436}">
  <sheetPr>
    <tabColor theme="0" tint="-0.14999847407452621"/>
    <pageSetUpPr fitToPage="1"/>
  </sheetPr>
  <dimension ref="A1:J87"/>
  <sheetViews>
    <sheetView workbookViewId="0">
      <selection activeCell="D4" sqref="D4:E4"/>
    </sheetView>
  </sheetViews>
  <sheetFormatPr defaultRowHeight="15" x14ac:dyDescent="0.25"/>
  <cols>
    <col min="1" max="1" width="10.7109375" style="23" customWidth="1"/>
    <col min="2" max="2" width="13.140625" style="23" bestFit="1" customWidth="1"/>
    <col min="3" max="3" width="46.140625" customWidth="1"/>
    <col min="4" max="4" width="12" bestFit="1" customWidth="1"/>
    <col min="5" max="5" width="10" bestFit="1" customWidth="1"/>
    <col min="6" max="6" width="18.5703125" customWidth="1"/>
    <col min="7" max="7" width="19.28515625" customWidth="1"/>
    <col min="8" max="8" width="17.28515625" bestFit="1" customWidth="1"/>
    <col min="9" max="9" width="0" hidden="1" customWidth="1"/>
  </cols>
  <sheetData>
    <row r="1" spans="1:8" x14ac:dyDescent="0.25">
      <c r="A1" s="485" t="s">
        <v>192</v>
      </c>
      <c r="B1" s="486"/>
      <c r="C1" s="486"/>
      <c r="D1" s="486"/>
      <c r="E1" s="486"/>
      <c r="F1" s="486"/>
      <c r="G1" s="487"/>
    </row>
    <row r="2" spans="1:8" x14ac:dyDescent="0.25">
      <c r="A2" s="488"/>
      <c r="B2" s="489"/>
      <c r="C2" s="489"/>
      <c r="D2" s="489"/>
      <c r="E2" s="489"/>
      <c r="F2" s="489"/>
      <c r="G2" s="490"/>
    </row>
    <row r="3" spans="1:8" x14ac:dyDescent="0.25">
      <c r="A3" s="381" t="str">
        <f>'ORÇAMENTO CD'!A3:E3</f>
        <v>OBJETO:  PAVIMENTAÇÃO DE VIAS PÚBLICAS NO MUNÍCIO DE PAJEÚ DO PIAUI -PI</v>
      </c>
      <c r="B3" s="382"/>
      <c r="C3" s="382"/>
      <c r="D3" s="119" t="s">
        <v>193</v>
      </c>
      <c r="E3" s="143">
        <v>0.26860000000000001</v>
      </c>
      <c r="F3" s="400" t="str">
        <f>'ORÇAMENTO CD'!F3:F4</f>
        <v>FONTE:  
SINAPI 12/2025</v>
      </c>
      <c r="G3" s="403" t="str">
        <f>'ORÇAMENTO CD'!H3:H4</f>
        <v>HORISTA: 90,66%
MENSALISTA: 52,90%</v>
      </c>
    </row>
    <row r="4" spans="1:8" ht="25.5" customHeight="1" x14ac:dyDescent="0.25">
      <c r="A4" s="144" t="str">
        <f>'ORÇAMENTO CD'!A4</f>
        <v xml:space="preserve">LOCAL: NOVA VEREDA </v>
      </c>
      <c r="B4" s="145"/>
      <c r="C4" s="145"/>
      <c r="D4" s="430" t="s">
        <v>9</v>
      </c>
      <c r="E4" s="430"/>
      <c r="F4" s="428"/>
      <c r="G4" s="429"/>
    </row>
    <row r="5" spans="1:8" x14ac:dyDescent="0.25">
      <c r="A5" s="391"/>
      <c r="B5" s="392"/>
      <c r="C5" s="392"/>
      <c r="D5" s="392"/>
      <c r="E5" s="392"/>
      <c r="F5" s="392"/>
      <c r="G5" s="393"/>
    </row>
    <row r="6" spans="1:8" x14ac:dyDescent="0.25">
      <c r="A6" s="293" t="s">
        <v>195</v>
      </c>
      <c r="B6" s="294" t="s">
        <v>250</v>
      </c>
      <c r="C6" s="294" t="s">
        <v>196</v>
      </c>
      <c r="D6" s="295" t="s">
        <v>251</v>
      </c>
      <c r="E6" s="293" t="s">
        <v>252</v>
      </c>
      <c r="F6" s="293" t="s">
        <v>253</v>
      </c>
      <c r="G6" s="293" t="s">
        <v>118</v>
      </c>
    </row>
    <row r="7" spans="1:8" s="159" customFormat="1" ht="22.5" x14ac:dyDescent="0.25">
      <c r="A7" s="296" t="s">
        <v>282</v>
      </c>
      <c r="B7" s="297" t="s">
        <v>200</v>
      </c>
      <c r="C7" s="297" t="s">
        <v>296</v>
      </c>
      <c r="D7" s="298" t="s">
        <v>15</v>
      </c>
      <c r="E7" s="299">
        <v>1</v>
      </c>
      <c r="F7" s="300">
        <v>460.92</v>
      </c>
      <c r="G7" s="300">
        <v>460.92</v>
      </c>
      <c r="H7"/>
    </row>
    <row r="8" spans="1:8" x14ac:dyDescent="0.25">
      <c r="A8" s="202" t="s">
        <v>283</v>
      </c>
      <c r="B8" s="203" t="s">
        <v>200</v>
      </c>
      <c r="C8" s="203" t="s">
        <v>297</v>
      </c>
      <c r="D8" s="204" t="s">
        <v>15</v>
      </c>
      <c r="E8" s="205">
        <v>0.5</v>
      </c>
      <c r="F8" s="209">
        <v>24.31</v>
      </c>
      <c r="G8" s="209">
        <v>12.15</v>
      </c>
    </row>
    <row r="9" spans="1:8" x14ac:dyDescent="0.25">
      <c r="A9" s="202" t="s">
        <v>201</v>
      </c>
      <c r="B9" s="203" t="s">
        <v>200</v>
      </c>
      <c r="C9" s="203" t="s">
        <v>298</v>
      </c>
      <c r="D9" s="204" t="s">
        <v>202</v>
      </c>
      <c r="E9" s="205">
        <v>0.37290000000000001</v>
      </c>
      <c r="F9" s="209">
        <v>24.77</v>
      </c>
      <c r="G9" s="209">
        <v>9.23</v>
      </c>
    </row>
    <row r="10" spans="1:8" x14ac:dyDescent="0.25">
      <c r="A10" s="202" t="s">
        <v>203</v>
      </c>
      <c r="B10" s="203" t="s">
        <v>200</v>
      </c>
      <c r="C10" s="203" t="s">
        <v>215</v>
      </c>
      <c r="D10" s="204" t="s">
        <v>202</v>
      </c>
      <c r="E10" s="205">
        <v>1.1186</v>
      </c>
      <c r="F10" s="209">
        <v>20.100000000000001</v>
      </c>
      <c r="G10" s="209">
        <v>22.48</v>
      </c>
    </row>
    <row r="11" spans="1:8" ht="22.5" x14ac:dyDescent="0.25">
      <c r="A11" s="202" t="s">
        <v>284</v>
      </c>
      <c r="B11" s="203" t="s">
        <v>200</v>
      </c>
      <c r="C11" s="203" t="s">
        <v>299</v>
      </c>
      <c r="D11" s="204" t="s">
        <v>205</v>
      </c>
      <c r="E11" s="205">
        <v>3.2082999999999999</v>
      </c>
      <c r="F11" s="209">
        <v>5.0999999999999996</v>
      </c>
      <c r="G11" s="209">
        <v>16.36</v>
      </c>
    </row>
    <row r="12" spans="1:8" ht="22.5" x14ac:dyDescent="0.25">
      <c r="A12" s="202" t="s">
        <v>206</v>
      </c>
      <c r="B12" s="203" t="s">
        <v>200</v>
      </c>
      <c r="C12" s="203" t="s">
        <v>300</v>
      </c>
      <c r="D12" s="204" t="s">
        <v>15</v>
      </c>
      <c r="E12" s="205">
        <v>1</v>
      </c>
      <c r="F12" s="209">
        <v>400</v>
      </c>
      <c r="G12" s="209">
        <v>400</v>
      </c>
    </row>
    <row r="13" spans="1:8" x14ac:dyDescent="0.25">
      <c r="A13" s="202" t="s">
        <v>285</v>
      </c>
      <c r="B13" s="203" t="s">
        <v>200</v>
      </c>
      <c r="C13" s="203" t="s">
        <v>301</v>
      </c>
      <c r="D13" s="204" t="s">
        <v>207</v>
      </c>
      <c r="E13" s="205">
        <v>1.1299999999999999E-2</v>
      </c>
      <c r="F13" s="209">
        <v>38.700000000000003</v>
      </c>
      <c r="G13" s="209">
        <v>0.43</v>
      </c>
    </row>
    <row r="14" spans="1:8" x14ac:dyDescent="0.25">
      <c r="A14" s="202" t="s">
        <v>286</v>
      </c>
      <c r="B14" s="203" t="s">
        <v>200</v>
      </c>
      <c r="C14" s="203" t="s">
        <v>302</v>
      </c>
      <c r="D14" s="204" t="s">
        <v>207</v>
      </c>
      <c r="E14" s="205">
        <v>1.32E-2</v>
      </c>
      <c r="F14" s="209">
        <v>20.74</v>
      </c>
      <c r="G14" s="209">
        <v>0.27</v>
      </c>
    </row>
    <row r="16" spans="1:8" x14ac:dyDescent="0.25">
      <c r="A16" s="491" t="s">
        <v>281</v>
      </c>
      <c r="B16" s="491"/>
      <c r="C16" s="491"/>
      <c r="D16" s="491"/>
      <c r="E16" s="491"/>
      <c r="F16" s="491"/>
      <c r="G16" s="302" t="s">
        <v>211</v>
      </c>
    </row>
    <row r="17" spans="1:10" x14ac:dyDescent="0.25">
      <c r="A17" s="431" t="s">
        <v>195</v>
      </c>
      <c r="B17" s="431"/>
      <c r="C17" s="146" t="s">
        <v>196</v>
      </c>
      <c r="D17" s="146" t="s">
        <v>197</v>
      </c>
      <c r="E17" s="146" t="s">
        <v>198</v>
      </c>
      <c r="F17" s="146" t="s">
        <v>199</v>
      </c>
      <c r="G17" s="146" t="s">
        <v>118</v>
      </c>
    </row>
    <row r="18" spans="1:10" x14ac:dyDescent="0.25">
      <c r="A18" s="147" t="s">
        <v>200</v>
      </c>
      <c r="B18" s="147">
        <v>90777</v>
      </c>
      <c r="C18" s="148" t="s">
        <v>212</v>
      </c>
      <c r="D18" s="147" t="s">
        <v>213</v>
      </c>
      <c r="E18" s="149">
        <v>35</v>
      </c>
      <c r="F18" s="150">
        <v>118.22</v>
      </c>
      <c r="G18" s="150">
        <v>4137.7</v>
      </c>
    </row>
    <row r="19" spans="1:10" x14ac:dyDescent="0.25">
      <c r="A19" s="147" t="s">
        <v>200</v>
      </c>
      <c r="B19" s="147">
        <v>90776</v>
      </c>
      <c r="C19" s="148" t="s">
        <v>214</v>
      </c>
      <c r="D19" s="147" t="s">
        <v>213</v>
      </c>
      <c r="E19" s="149">
        <v>35</v>
      </c>
      <c r="F19" s="150">
        <v>34.96</v>
      </c>
      <c r="G19" s="150">
        <v>1223.5999999999999</v>
      </c>
    </row>
    <row r="20" spans="1:10" x14ac:dyDescent="0.25">
      <c r="A20" s="118"/>
      <c r="B20" s="118"/>
      <c r="C20" s="151"/>
      <c r="D20" s="152"/>
      <c r="E20" s="412" t="s">
        <v>208</v>
      </c>
      <c r="F20" s="413"/>
      <c r="G20" s="153">
        <f>SUM(G18:G19)</f>
        <v>5361.2999999999993</v>
      </c>
    </row>
    <row r="21" spans="1:10" x14ac:dyDescent="0.25">
      <c r="A21" s="118"/>
      <c r="B21" s="118"/>
      <c r="C21" s="154"/>
      <c r="D21" s="154"/>
      <c r="E21" s="418" t="s">
        <v>209</v>
      </c>
      <c r="F21" s="419"/>
      <c r="G21" s="156">
        <f>ROUND(G20*21.96%,2)</f>
        <v>1177.3399999999999</v>
      </c>
    </row>
    <row r="22" spans="1:10" x14ac:dyDescent="0.25">
      <c r="A22" s="118"/>
      <c r="B22" s="118"/>
      <c r="C22" s="155"/>
      <c r="D22" s="155"/>
      <c r="E22" s="412" t="s">
        <v>210</v>
      </c>
      <c r="F22" s="413"/>
      <c r="G22" s="156">
        <f>SUM(G20:G21)</f>
        <v>6538.6399999999994</v>
      </c>
    </row>
    <row r="23" spans="1:10" x14ac:dyDescent="0.25">
      <c r="A23" s="417"/>
      <c r="B23" s="417"/>
      <c r="C23" s="417"/>
      <c r="D23" s="417"/>
      <c r="E23" s="417"/>
      <c r="F23" s="417"/>
      <c r="G23" s="417"/>
    </row>
    <row r="24" spans="1:10" x14ac:dyDescent="0.25">
      <c r="A24" s="295" t="s">
        <v>195</v>
      </c>
      <c r="B24" s="295" t="s">
        <v>250</v>
      </c>
      <c r="C24" s="294" t="s">
        <v>196</v>
      </c>
      <c r="D24" s="295" t="s">
        <v>251</v>
      </c>
      <c r="E24" s="295" t="s">
        <v>252</v>
      </c>
      <c r="F24" s="295" t="s">
        <v>253</v>
      </c>
      <c r="G24" s="295" t="s">
        <v>118</v>
      </c>
    </row>
    <row r="25" spans="1:10" ht="22.5" x14ac:dyDescent="0.25">
      <c r="A25" s="298" t="s">
        <v>287</v>
      </c>
      <c r="B25" s="298" t="s">
        <v>200</v>
      </c>
      <c r="C25" s="297" t="s">
        <v>303</v>
      </c>
      <c r="D25" s="298" t="s">
        <v>15</v>
      </c>
      <c r="E25" s="303">
        <v>1</v>
      </c>
      <c r="F25" s="304">
        <v>0.56000000000000005</v>
      </c>
      <c r="G25" s="304">
        <v>0.56000000000000005</v>
      </c>
      <c r="I25" s="159"/>
    </row>
    <row r="26" spans="1:10" ht="33.75" x14ac:dyDescent="0.25">
      <c r="A26" s="204" t="s">
        <v>288</v>
      </c>
      <c r="B26" s="204" t="s">
        <v>200</v>
      </c>
      <c r="C26" s="203" t="s">
        <v>304</v>
      </c>
      <c r="D26" s="204" t="s">
        <v>256</v>
      </c>
      <c r="E26" s="210">
        <v>3.0249999999999998E-4</v>
      </c>
      <c r="F26" s="211">
        <v>266.91000000000003</v>
      </c>
      <c r="G26" s="211">
        <v>0.08</v>
      </c>
    </row>
    <row r="27" spans="1:10" ht="45" customHeight="1" x14ac:dyDescent="0.25">
      <c r="A27" s="204" t="s">
        <v>289</v>
      </c>
      <c r="B27" s="204" t="s">
        <v>200</v>
      </c>
      <c r="C27" s="203" t="s">
        <v>305</v>
      </c>
      <c r="D27" s="204" t="s">
        <v>258</v>
      </c>
      <c r="E27" s="210">
        <v>7.3180000000000001E-4</v>
      </c>
      <c r="F27" s="211">
        <v>106.42</v>
      </c>
      <c r="G27" s="211">
        <v>7.0000000000000007E-2</v>
      </c>
    </row>
    <row r="28" spans="1:10" x14ac:dyDescent="0.25">
      <c r="A28" s="204" t="s">
        <v>203</v>
      </c>
      <c r="B28" s="204" t="s">
        <v>200</v>
      </c>
      <c r="C28" s="203" t="s">
        <v>215</v>
      </c>
      <c r="D28" s="204" t="s">
        <v>202</v>
      </c>
      <c r="E28" s="210">
        <v>1.0342999999999999E-3</v>
      </c>
      <c r="F28" s="211">
        <v>20.100000000000001</v>
      </c>
      <c r="G28" s="211">
        <v>0.02</v>
      </c>
    </row>
    <row r="29" spans="1:10" ht="33.75" x14ac:dyDescent="0.25">
      <c r="A29" s="204" t="s">
        <v>290</v>
      </c>
      <c r="B29" s="204" t="s">
        <v>200</v>
      </c>
      <c r="C29" s="203" t="s">
        <v>306</v>
      </c>
      <c r="D29" s="204" t="s">
        <v>258</v>
      </c>
      <c r="E29" s="210">
        <v>6.0956999999999999E-3</v>
      </c>
      <c r="F29" s="211">
        <v>64.09</v>
      </c>
      <c r="G29" s="211">
        <v>0.39</v>
      </c>
    </row>
    <row r="31" spans="1:10" s="159" customFormat="1" ht="25.5" customHeight="1" x14ac:dyDescent="0.25">
      <c r="A31" s="414" t="s">
        <v>295</v>
      </c>
      <c r="B31" s="415"/>
      <c r="C31" s="415"/>
      <c r="D31" s="415"/>
      <c r="E31" s="415"/>
      <c r="F31" s="416"/>
      <c r="G31" s="302" t="s">
        <v>194</v>
      </c>
      <c r="H31"/>
      <c r="I31"/>
      <c r="J31"/>
    </row>
    <row r="32" spans="1:10" x14ac:dyDescent="0.25">
      <c r="A32" s="408" t="s">
        <v>195</v>
      </c>
      <c r="B32" s="409"/>
      <c r="C32" s="146" t="s">
        <v>196</v>
      </c>
      <c r="D32" s="146" t="s">
        <v>197</v>
      </c>
      <c r="E32" s="146" t="s">
        <v>198</v>
      </c>
      <c r="F32" s="146" t="s">
        <v>199</v>
      </c>
      <c r="G32" s="146" t="s">
        <v>118</v>
      </c>
    </row>
    <row r="33" spans="1:10" x14ac:dyDescent="0.25">
      <c r="A33" s="147" t="s">
        <v>200</v>
      </c>
      <c r="B33" s="147">
        <v>88260</v>
      </c>
      <c r="C33" s="148" t="s">
        <v>216</v>
      </c>
      <c r="D33" s="147" t="s">
        <v>213</v>
      </c>
      <c r="E33" s="149">
        <v>0.40210000000000001</v>
      </c>
      <c r="F33" s="160">
        <v>24.99</v>
      </c>
      <c r="G33" s="150">
        <v>10.039999999999999</v>
      </c>
    </row>
    <row r="34" spans="1:10" x14ac:dyDescent="0.25">
      <c r="A34" s="147" t="s">
        <v>200</v>
      </c>
      <c r="B34" s="147">
        <v>88316</v>
      </c>
      <c r="C34" s="148" t="s">
        <v>215</v>
      </c>
      <c r="D34" s="147" t="s">
        <v>213</v>
      </c>
      <c r="E34" s="149">
        <v>0.40210000000000001</v>
      </c>
      <c r="F34" s="160">
        <v>20.100000000000001</v>
      </c>
      <c r="G34" s="150">
        <v>8.08</v>
      </c>
    </row>
    <row r="35" spans="1:10" ht="22.5" x14ac:dyDescent="0.25">
      <c r="A35" s="147" t="s">
        <v>200</v>
      </c>
      <c r="B35" s="147">
        <v>88628</v>
      </c>
      <c r="C35" s="157" t="s">
        <v>307</v>
      </c>
      <c r="D35" s="147" t="s">
        <v>204</v>
      </c>
      <c r="E35" s="149">
        <v>2.0400000000000001E-2</v>
      </c>
      <c r="F35" s="160">
        <v>692.7</v>
      </c>
      <c r="G35" s="150">
        <v>14.13</v>
      </c>
    </row>
    <row r="36" spans="1:10" ht="22.5" x14ac:dyDescent="0.25">
      <c r="A36" s="147" t="s">
        <v>200</v>
      </c>
      <c r="B36" s="147">
        <v>367</v>
      </c>
      <c r="C36" s="157" t="s">
        <v>217</v>
      </c>
      <c r="D36" s="147" t="s">
        <v>204</v>
      </c>
      <c r="E36" s="149">
        <v>0.114</v>
      </c>
      <c r="F36" s="160">
        <v>96.24</v>
      </c>
      <c r="G36" s="150">
        <v>10.97</v>
      </c>
    </row>
    <row r="37" spans="1:10" x14ac:dyDescent="0.25">
      <c r="A37" s="308" t="s">
        <v>259</v>
      </c>
      <c r="B37" s="308" t="s">
        <v>260</v>
      </c>
      <c r="C37" s="309" t="s">
        <v>261</v>
      </c>
      <c r="D37" s="308" t="s">
        <v>218</v>
      </c>
      <c r="E37" s="310">
        <v>4.2000000000000003E-2</v>
      </c>
      <c r="F37" s="311">
        <v>566.24</v>
      </c>
      <c r="G37" s="311">
        <v>23.78</v>
      </c>
    </row>
    <row r="38" spans="1:10" x14ac:dyDescent="0.25">
      <c r="A38" s="118"/>
      <c r="B38" s="118"/>
      <c r="C38" s="151"/>
      <c r="D38" s="412" t="s">
        <v>208</v>
      </c>
      <c r="E38" s="413"/>
      <c r="F38" s="413"/>
      <c r="G38" s="153">
        <f>SUM(G33:G37)</f>
        <v>67</v>
      </c>
    </row>
    <row r="39" spans="1:10" s="159" customFormat="1" x14ac:dyDescent="0.25">
      <c r="A39" s="118"/>
      <c r="B39" s="118"/>
      <c r="C39" s="154"/>
      <c r="D39" s="418" t="s">
        <v>209</v>
      </c>
      <c r="E39" s="419"/>
      <c r="F39" s="419"/>
      <c r="G39" s="156">
        <f>ROUND(G38*21.96%,2)</f>
        <v>14.71</v>
      </c>
      <c r="H39"/>
      <c r="I39" s="161">
        <v>0.111</v>
      </c>
      <c r="J39"/>
    </row>
    <row r="40" spans="1:10" x14ac:dyDescent="0.25">
      <c r="A40" s="8"/>
      <c r="B40" s="8"/>
      <c r="C40" s="8"/>
      <c r="D40" s="420" t="s">
        <v>219</v>
      </c>
      <c r="E40" s="421"/>
      <c r="F40" s="421"/>
      <c r="G40" s="158">
        <f>SUM(G38:G39)</f>
        <v>81.710000000000008</v>
      </c>
    </row>
    <row r="41" spans="1:10" x14ac:dyDescent="0.25">
      <c r="A41" s="417"/>
      <c r="B41" s="417"/>
      <c r="C41" s="417"/>
      <c r="D41" s="417"/>
      <c r="E41" s="417"/>
      <c r="F41" s="417"/>
      <c r="G41" s="417"/>
    </row>
    <row r="42" spans="1:10" x14ac:dyDescent="0.25">
      <c r="A42" s="405" t="s">
        <v>262</v>
      </c>
      <c r="B42" s="406"/>
      <c r="C42" s="406"/>
      <c r="D42" s="406"/>
      <c r="E42" s="406"/>
      <c r="F42" s="407"/>
      <c r="G42" s="312" t="s">
        <v>263</v>
      </c>
      <c r="J42" s="159"/>
    </row>
    <row r="43" spans="1:10" x14ac:dyDescent="0.25">
      <c r="A43" s="408" t="s">
        <v>195</v>
      </c>
      <c r="B43" s="409"/>
      <c r="C43" s="146" t="s">
        <v>196</v>
      </c>
      <c r="D43" s="146" t="s">
        <v>197</v>
      </c>
      <c r="E43" s="146" t="s">
        <v>198</v>
      </c>
      <c r="F43" s="146" t="s">
        <v>199</v>
      </c>
      <c r="G43" s="146" t="s">
        <v>118</v>
      </c>
    </row>
    <row r="44" spans="1:10" x14ac:dyDescent="0.25">
      <c r="A44" s="147" t="s">
        <v>200</v>
      </c>
      <c r="B44" s="147">
        <v>88309</v>
      </c>
      <c r="C44" s="148" t="s">
        <v>264</v>
      </c>
      <c r="D44" s="147" t="s">
        <v>213</v>
      </c>
      <c r="E44" s="149">
        <v>12</v>
      </c>
      <c r="F44" s="160">
        <v>20.100000000000001</v>
      </c>
      <c r="G44" s="150">
        <v>241.2</v>
      </c>
    </row>
    <row r="45" spans="1:10" x14ac:dyDescent="0.25">
      <c r="A45" s="147" t="s">
        <v>200</v>
      </c>
      <c r="B45" s="147">
        <v>88316</v>
      </c>
      <c r="C45" s="148" t="s">
        <v>215</v>
      </c>
      <c r="D45" s="147" t="s">
        <v>213</v>
      </c>
      <c r="E45" s="149">
        <v>12</v>
      </c>
      <c r="F45" s="160">
        <v>25.17</v>
      </c>
      <c r="G45" s="150">
        <v>302.04000000000002</v>
      </c>
    </row>
    <row r="46" spans="1:10" x14ac:dyDescent="0.25">
      <c r="A46" s="410" t="s">
        <v>265</v>
      </c>
      <c r="B46" s="411"/>
      <c r="C46" s="148" t="s">
        <v>266</v>
      </c>
      <c r="D46" s="147" t="s">
        <v>267</v>
      </c>
      <c r="E46" s="149">
        <v>1</v>
      </c>
      <c r="F46" s="160">
        <v>23</v>
      </c>
      <c r="G46" s="150">
        <v>23</v>
      </c>
    </row>
    <row r="47" spans="1:10" s="159" customFormat="1" x14ac:dyDescent="0.25">
      <c r="A47" s="118"/>
      <c r="B47" s="118"/>
      <c r="C47" s="151"/>
      <c r="D47" s="152"/>
      <c r="E47" s="412" t="s">
        <v>208</v>
      </c>
      <c r="F47" s="413"/>
      <c r="G47" s="153">
        <f>SUM(G44:G46)</f>
        <v>566.24</v>
      </c>
      <c r="H47"/>
      <c r="I47"/>
      <c r="J47"/>
    </row>
    <row r="48" spans="1:10" x14ac:dyDescent="0.25">
      <c r="A48" s="188"/>
      <c r="B48" s="188"/>
      <c r="C48" s="188"/>
      <c r="D48" s="188"/>
      <c r="E48" s="188"/>
      <c r="F48" s="188"/>
      <c r="G48" s="188"/>
    </row>
    <row r="49" spans="1:10" x14ac:dyDescent="0.25">
      <c r="A49" s="295" t="s">
        <v>195</v>
      </c>
      <c r="B49" s="295" t="s">
        <v>250</v>
      </c>
      <c r="C49" s="294" t="s">
        <v>196</v>
      </c>
      <c r="D49" s="295" t="s">
        <v>251</v>
      </c>
      <c r="E49" s="295" t="s">
        <v>252</v>
      </c>
      <c r="F49" s="313" t="s">
        <v>253</v>
      </c>
      <c r="G49" s="313" t="s">
        <v>118</v>
      </c>
    </row>
    <row r="50" spans="1:10" x14ac:dyDescent="0.25">
      <c r="A50" s="298" t="s">
        <v>387</v>
      </c>
      <c r="B50" s="298" t="s">
        <v>347</v>
      </c>
      <c r="C50" s="297" t="s">
        <v>382</v>
      </c>
      <c r="D50" s="298" t="s">
        <v>15</v>
      </c>
      <c r="E50" s="303">
        <v>1</v>
      </c>
      <c r="F50" s="314">
        <v>1.8</v>
      </c>
      <c r="G50" s="314">
        <v>1.8</v>
      </c>
      <c r="I50" s="159"/>
      <c r="J50" s="159"/>
    </row>
    <row r="51" spans="1:10" x14ac:dyDescent="0.25">
      <c r="A51" s="147" t="s">
        <v>200</v>
      </c>
      <c r="B51" s="147">
        <v>88316</v>
      </c>
      <c r="C51" s="148" t="s">
        <v>215</v>
      </c>
      <c r="D51" s="147" t="s">
        <v>213</v>
      </c>
      <c r="E51" s="149">
        <v>2E-3</v>
      </c>
      <c r="F51" s="37">
        <v>20.100000000000001</v>
      </c>
      <c r="G51" s="329">
        <v>0.04</v>
      </c>
    </row>
    <row r="52" spans="1:10" ht="45" x14ac:dyDescent="0.25">
      <c r="A52" s="147" t="s">
        <v>200</v>
      </c>
      <c r="B52" s="204">
        <v>1442</v>
      </c>
      <c r="C52" s="203" t="s">
        <v>381</v>
      </c>
      <c r="D52" s="204" t="s">
        <v>184</v>
      </c>
      <c r="E52" s="210">
        <v>1.4999999999999999E-4</v>
      </c>
      <c r="F52" s="212">
        <v>11744.5</v>
      </c>
      <c r="G52" s="329">
        <v>1.76</v>
      </c>
    </row>
    <row r="53" spans="1:10" x14ac:dyDescent="0.25">
      <c r="A53"/>
      <c r="B53"/>
    </row>
    <row r="54" spans="1:10" x14ac:dyDescent="0.25">
      <c r="A54" s="295" t="s">
        <v>195</v>
      </c>
      <c r="B54" s="295" t="s">
        <v>250</v>
      </c>
      <c r="C54" s="294" t="s">
        <v>196</v>
      </c>
      <c r="D54" s="295" t="s">
        <v>251</v>
      </c>
      <c r="E54" s="295" t="s">
        <v>252</v>
      </c>
      <c r="F54" s="313" t="s">
        <v>253</v>
      </c>
      <c r="G54" s="313" t="s">
        <v>118</v>
      </c>
    </row>
    <row r="55" spans="1:10" ht="45" x14ac:dyDescent="0.25">
      <c r="A55" s="298" t="s">
        <v>291</v>
      </c>
      <c r="B55" s="298" t="s">
        <v>200</v>
      </c>
      <c r="C55" s="297" t="s">
        <v>308</v>
      </c>
      <c r="D55" s="298" t="s">
        <v>205</v>
      </c>
      <c r="E55" s="303">
        <v>1</v>
      </c>
      <c r="F55" s="314">
        <v>45.12</v>
      </c>
      <c r="G55" s="314">
        <v>45.12</v>
      </c>
      <c r="I55" s="159"/>
      <c r="J55" s="159"/>
    </row>
    <row r="56" spans="1:10" x14ac:dyDescent="0.25">
      <c r="A56" s="204" t="s">
        <v>221</v>
      </c>
      <c r="B56" s="204" t="s">
        <v>200</v>
      </c>
      <c r="C56" s="203" t="s">
        <v>220</v>
      </c>
      <c r="D56" s="204" t="s">
        <v>202</v>
      </c>
      <c r="E56" s="210">
        <v>0.2296</v>
      </c>
      <c r="F56" s="212">
        <v>25.17</v>
      </c>
      <c r="G56" s="212">
        <v>5.77</v>
      </c>
    </row>
    <row r="57" spans="1:10" x14ac:dyDescent="0.25">
      <c r="A57" s="204" t="s">
        <v>203</v>
      </c>
      <c r="B57" s="204" t="s">
        <v>200</v>
      </c>
      <c r="C57" s="203" t="s">
        <v>215</v>
      </c>
      <c r="D57" s="204" t="s">
        <v>202</v>
      </c>
      <c r="E57" s="210">
        <v>0.2296</v>
      </c>
      <c r="F57" s="212">
        <v>20.100000000000001</v>
      </c>
      <c r="G57" s="212">
        <v>4.6100000000000003</v>
      </c>
    </row>
    <row r="58" spans="1:10" ht="22.5" x14ac:dyDescent="0.25">
      <c r="A58" s="204" t="s">
        <v>225</v>
      </c>
      <c r="B58" s="204" t="s">
        <v>200</v>
      </c>
      <c r="C58" s="203" t="s">
        <v>227</v>
      </c>
      <c r="D58" s="204" t="s">
        <v>204</v>
      </c>
      <c r="E58" s="210">
        <v>1.8E-3</v>
      </c>
      <c r="F58" s="212">
        <v>776.17</v>
      </c>
      <c r="G58" s="212">
        <v>1.39</v>
      </c>
    </row>
    <row r="59" spans="1:10" ht="22.5" x14ac:dyDescent="0.25">
      <c r="A59" s="204" t="s">
        <v>222</v>
      </c>
      <c r="B59" s="204" t="s">
        <v>200</v>
      </c>
      <c r="C59" s="203" t="s">
        <v>228</v>
      </c>
      <c r="D59" s="204" t="s">
        <v>204</v>
      </c>
      <c r="E59" s="210">
        <v>6.6E-3</v>
      </c>
      <c r="F59" s="212">
        <v>95</v>
      </c>
      <c r="G59" s="212">
        <v>0.62</v>
      </c>
    </row>
    <row r="60" spans="1:10" ht="22.5" x14ac:dyDescent="0.25">
      <c r="A60" s="204" t="s">
        <v>226</v>
      </c>
      <c r="B60" s="204" t="s">
        <v>200</v>
      </c>
      <c r="C60" s="203" t="s">
        <v>229</v>
      </c>
      <c r="D60" s="204" t="s">
        <v>205</v>
      </c>
      <c r="E60" s="210">
        <v>1.0049999999999999</v>
      </c>
      <c r="F60" s="212">
        <v>32.57</v>
      </c>
      <c r="G60" s="212">
        <v>32.729999999999997</v>
      </c>
    </row>
    <row r="62" spans="1:10" x14ac:dyDescent="0.25">
      <c r="A62" s="295" t="s">
        <v>195</v>
      </c>
      <c r="B62" s="295" t="s">
        <v>250</v>
      </c>
      <c r="C62" s="294" t="s">
        <v>196</v>
      </c>
      <c r="D62" s="295" t="s">
        <v>251</v>
      </c>
      <c r="E62" s="295" t="s">
        <v>252</v>
      </c>
      <c r="F62" s="313" t="s">
        <v>253</v>
      </c>
      <c r="G62" s="313" t="s">
        <v>118</v>
      </c>
    </row>
    <row r="63" spans="1:10" ht="33.75" x14ac:dyDescent="0.25">
      <c r="A63" s="298" t="s">
        <v>292</v>
      </c>
      <c r="B63" s="298" t="s">
        <v>347</v>
      </c>
      <c r="C63" s="297" t="s">
        <v>309</v>
      </c>
      <c r="D63" s="298" t="s">
        <v>205</v>
      </c>
      <c r="E63" s="303">
        <v>1</v>
      </c>
      <c r="F63" s="314">
        <v>21.79</v>
      </c>
      <c r="G63" s="314">
        <v>21.79</v>
      </c>
      <c r="I63" s="159"/>
    </row>
    <row r="64" spans="1:10" x14ac:dyDescent="0.25">
      <c r="A64" s="204" t="s">
        <v>221</v>
      </c>
      <c r="B64" s="204" t="s">
        <v>200</v>
      </c>
      <c r="C64" s="203" t="s">
        <v>220</v>
      </c>
      <c r="D64" s="204" t="s">
        <v>202</v>
      </c>
      <c r="E64" s="210">
        <v>0.2326</v>
      </c>
      <c r="F64" s="212">
        <v>25.17</v>
      </c>
      <c r="G64" s="212">
        <v>5.85</v>
      </c>
      <c r="J64" s="159"/>
    </row>
    <row r="65" spans="1:8" x14ac:dyDescent="0.25">
      <c r="A65" s="204" t="s">
        <v>203</v>
      </c>
      <c r="B65" s="204" t="s">
        <v>200</v>
      </c>
      <c r="C65" s="203" t="s">
        <v>215</v>
      </c>
      <c r="D65" s="204" t="s">
        <v>202</v>
      </c>
      <c r="E65" s="210">
        <v>0.2326</v>
      </c>
      <c r="F65" s="212">
        <v>20.100000000000001</v>
      </c>
      <c r="G65" s="212">
        <v>4.67</v>
      </c>
    </row>
    <row r="66" spans="1:8" ht="22.5" x14ac:dyDescent="0.25">
      <c r="A66" s="204" t="s">
        <v>222</v>
      </c>
      <c r="B66" s="204" t="s">
        <v>200</v>
      </c>
      <c r="C66" s="203" t="s">
        <v>228</v>
      </c>
      <c r="D66" s="204" t="s">
        <v>204</v>
      </c>
      <c r="E66" s="210">
        <v>9.9000000000000008E-3</v>
      </c>
      <c r="F66" s="212">
        <v>95</v>
      </c>
      <c r="G66" s="212">
        <v>0.94</v>
      </c>
    </row>
    <row r="67" spans="1:8" ht="22.5" x14ac:dyDescent="0.25">
      <c r="A67" s="204" t="s">
        <v>223</v>
      </c>
      <c r="B67" s="204" t="s">
        <v>200</v>
      </c>
      <c r="C67" s="203" t="s">
        <v>231</v>
      </c>
      <c r="D67" s="204" t="s">
        <v>205</v>
      </c>
      <c r="E67" s="210">
        <v>0.2</v>
      </c>
      <c r="F67" s="212">
        <v>3.52</v>
      </c>
      <c r="G67" s="212">
        <v>0.7</v>
      </c>
    </row>
    <row r="68" spans="1:8" ht="22.5" x14ac:dyDescent="0.25">
      <c r="A68" s="204" t="s">
        <v>230</v>
      </c>
      <c r="B68" s="204" t="s">
        <v>200</v>
      </c>
      <c r="C68" s="203" t="s">
        <v>232</v>
      </c>
      <c r="D68" s="204" t="s">
        <v>205</v>
      </c>
      <c r="E68" s="210">
        <v>8.3299999999999999E-2</v>
      </c>
      <c r="F68" s="212">
        <v>16.670000000000002</v>
      </c>
      <c r="G68" s="212">
        <v>1.38</v>
      </c>
    </row>
    <row r="69" spans="1:8" ht="33.75" x14ac:dyDescent="0.25">
      <c r="A69" s="204" t="s">
        <v>224</v>
      </c>
      <c r="B69" s="204" t="s">
        <v>200</v>
      </c>
      <c r="C69" s="203" t="s">
        <v>233</v>
      </c>
      <c r="D69" s="204" t="s">
        <v>204</v>
      </c>
      <c r="E69" s="210">
        <v>1.4999999999999999E-2</v>
      </c>
      <c r="F69" s="212">
        <v>550</v>
      </c>
      <c r="G69" s="212">
        <v>8.25</v>
      </c>
    </row>
    <row r="71" spans="1:8" s="275" customFormat="1" x14ac:dyDescent="0.25">
      <c r="A71" s="315" t="s">
        <v>195</v>
      </c>
      <c r="B71" s="316" t="s">
        <v>250</v>
      </c>
      <c r="C71" s="316" t="s">
        <v>196</v>
      </c>
      <c r="D71" s="317" t="s">
        <v>251</v>
      </c>
      <c r="E71" s="315" t="s">
        <v>252</v>
      </c>
      <c r="F71" s="315" t="s">
        <v>253</v>
      </c>
      <c r="G71" s="315" t="s">
        <v>118</v>
      </c>
    </row>
    <row r="72" spans="1:8" s="286" customFormat="1" ht="22.5" x14ac:dyDescent="0.25">
      <c r="A72" s="318" t="s">
        <v>388</v>
      </c>
      <c r="B72" s="319" t="s">
        <v>347</v>
      </c>
      <c r="C72" s="319" t="s">
        <v>354</v>
      </c>
      <c r="D72" s="320" t="s">
        <v>294</v>
      </c>
      <c r="E72" s="321">
        <v>1</v>
      </c>
      <c r="F72" s="322">
        <v>370.14</v>
      </c>
      <c r="G72" s="322">
        <v>370.14</v>
      </c>
    </row>
    <row r="73" spans="1:8" s="275" customFormat="1" x14ac:dyDescent="0.25">
      <c r="A73" s="276" t="s">
        <v>203</v>
      </c>
      <c r="B73" s="277" t="s">
        <v>200</v>
      </c>
      <c r="C73" s="277" t="s">
        <v>215</v>
      </c>
      <c r="D73" s="278" t="s">
        <v>202</v>
      </c>
      <c r="E73" s="279">
        <v>0.2</v>
      </c>
      <c r="F73" s="280">
        <v>20.100000000000001</v>
      </c>
      <c r="G73" s="280">
        <v>4.0199999999999996</v>
      </c>
      <c r="H73" s="286"/>
    </row>
    <row r="74" spans="1:8" s="275" customFormat="1" ht="33.75" x14ac:dyDescent="0.25">
      <c r="A74" s="276" t="s">
        <v>348</v>
      </c>
      <c r="B74" s="277" t="s">
        <v>200</v>
      </c>
      <c r="C74" s="277" t="s">
        <v>355</v>
      </c>
      <c r="D74" s="278" t="s">
        <v>204</v>
      </c>
      <c r="E74" s="279">
        <v>8.8000000000000005E-3</v>
      </c>
      <c r="F74" s="280">
        <v>591.58000000000004</v>
      </c>
      <c r="G74" s="280">
        <v>5.2</v>
      </c>
      <c r="H74" s="286"/>
    </row>
    <row r="75" spans="1:8" s="275" customFormat="1" ht="22.5" x14ac:dyDescent="0.25">
      <c r="A75" s="281" t="s">
        <v>349</v>
      </c>
      <c r="B75" s="282" t="s">
        <v>200</v>
      </c>
      <c r="C75" s="282" t="s">
        <v>356</v>
      </c>
      <c r="D75" s="283" t="s">
        <v>293</v>
      </c>
      <c r="E75" s="284">
        <v>2</v>
      </c>
      <c r="F75" s="285">
        <v>12.66</v>
      </c>
      <c r="G75" s="285">
        <v>25.32</v>
      </c>
      <c r="H75" s="286"/>
    </row>
    <row r="76" spans="1:8" s="275" customFormat="1" ht="22.5" x14ac:dyDescent="0.25">
      <c r="A76" s="281" t="s">
        <v>350</v>
      </c>
      <c r="B76" s="282" t="s">
        <v>200</v>
      </c>
      <c r="C76" s="282" t="s">
        <v>357</v>
      </c>
      <c r="D76" s="283" t="s">
        <v>205</v>
      </c>
      <c r="E76" s="284">
        <v>2.7</v>
      </c>
      <c r="F76" s="285">
        <v>73.63</v>
      </c>
      <c r="G76" s="285">
        <v>198.8</v>
      </c>
      <c r="H76" s="286"/>
    </row>
    <row r="77" spans="1:8" s="275" customFormat="1" x14ac:dyDescent="0.25">
      <c r="A77" s="281" t="s">
        <v>351</v>
      </c>
      <c r="B77" s="282" t="s">
        <v>352</v>
      </c>
      <c r="C77" s="282" t="s">
        <v>358</v>
      </c>
      <c r="D77" s="283" t="s">
        <v>293</v>
      </c>
      <c r="E77" s="284">
        <v>8</v>
      </c>
      <c r="F77" s="285">
        <v>0.6</v>
      </c>
      <c r="G77" s="285">
        <v>4.8</v>
      </c>
      <c r="H77" s="286"/>
    </row>
    <row r="78" spans="1:8" s="275" customFormat="1" ht="22.5" x14ac:dyDescent="0.25">
      <c r="A78" s="281" t="s">
        <v>353</v>
      </c>
      <c r="B78" s="282" t="s">
        <v>200</v>
      </c>
      <c r="C78" s="282" t="s">
        <v>359</v>
      </c>
      <c r="D78" s="283" t="s">
        <v>293</v>
      </c>
      <c r="E78" s="284">
        <v>1</v>
      </c>
      <c r="F78" s="285">
        <v>132</v>
      </c>
      <c r="G78" s="285">
        <v>132</v>
      </c>
      <c r="H78" s="286"/>
    </row>
    <row r="80" spans="1:8" x14ac:dyDescent="0.25">
      <c r="A80" s="293" t="s">
        <v>195</v>
      </c>
      <c r="B80" s="294" t="s">
        <v>250</v>
      </c>
      <c r="C80" s="294" t="s">
        <v>196</v>
      </c>
      <c r="D80" s="295" t="s">
        <v>251</v>
      </c>
      <c r="E80" s="293" t="s">
        <v>252</v>
      </c>
      <c r="F80" s="293" t="s">
        <v>253</v>
      </c>
      <c r="G80" s="293" t="s">
        <v>118</v>
      </c>
    </row>
    <row r="81" spans="1:8" ht="22.5" x14ac:dyDescent="0.25">
      <c r="A81" s="298">
        <v>93594</v>
      </c>
      <c r="B81" s="298" t="s">
        <v>200</v>
      </c>
      <c r="C81" s="294" t="s">
        <v>374</v>
      </c>
      <c r="D81" s="298" t="s">
        <v>254</v>
      </c>
      <c r="E81" s="299">
        <v>1</v>
      </c>
      <c r="F81" s="300">
        <v>2.0299999999999998</v>
      </c>
      <c r="G81" s="300">
        <v>2.0299999999999998</v>
      </c>
    </row>
    <row r="82" spans="1:8" ht="45" x14ac:dyDescent="0.25">
      <c r="A82" s="204" t="s">
        <v>255</v>
      </c>
      <c r="B82" s="204" t="s">
        <v>200</v>
      </c>
      <c r="C82" s="203" t="s">
        <v>311</v>
      </c>
      <c r="D82" s="204" t="s">
        <v>256</v>
      </c>
      <c r="E82" s="205">
        <v>7.0000000000000001E-3</v>
      </c>
      <c r="F82" s="209">
        <v>261.88</v>
      </c>
      <c r="G82" s="209">
        <v>1.83</v>
      </c>
    </row>
    <row r="83" spans="1:8" ht="45" x14ac:dyDescent="0.25">
      <c r="A83" s="204" t="s">
        <v>257</v>
      </c>
      <c r="B83" s="204" t="s">
        <v>200</v>
      </c>
      <c r="C83" s="203" t="s">
        <v>312</v>
      </c>
      <c r="D83" s="204" t="s">
        <v>258</v>
      </c>
      <c r="E83" s="205">
        <v>3.0000000000000001E-3</v>
      </c>
      <c r="F83" s="209">
        <v>68.459999999999994</v>
      </c>
      <c r="G83" s="209">
        <v>0.2</v>
      </c>
    </row>
    <row r="85" spans="1:8" ht="15.75" customHeight="1" x14ac:dyDescent="0.25">
      <c r="A85" s="293" t="s">
        <v>195</v>
      </c>
      <c r="B85" s="294" t="s">
        <v>250</v>
      </c>
      <c r="C85" s="294" t="s">
        <v>196</v>
      </c>
      <c r="D85" s="295" t="s">
        <v>251</v>
      </c>
      <c r="E85" s="293" t="s">
        <v>252</v>
      </c>
      <c r="F85" s="293" t="s">
        <v>253</v>
      </c>
      <c r="G85" s="293" t="s">
        <v>118</v>
      </c>
    </row>
    <row r="86" spans="1:8" ht="22.5" x14ac:dyDescent="0.25">
      <c r="A86" s="298" t="s">
        <v>389</v>
      </c>
      <c r="B86" s="298" t="s">
        <v>390</v>
      </c>
      <c r="C86" s="297" t="s">
        <v>310</v>
      </c>
      <c r="D86" s="298" t="s">
        <v>15</v>
      </c>
      <c r="E86" s="299">
        <v>1</v>
      </c>
      <c r="F86" s="300">
        <f>G87</f>
        <v>2.81</v>
      </c>
      <c r="G86" s="300">
        <f>G87</f>
        <v>2.81</v>
      </c>
      <c r="H86" s="286"/>
    </row>
    <row r="87" spans="1:8" x14ac:dyDescent="0.25">
      <c r="A87" s="287">
        <v>88316</v>
      </c>
      <c r="B87" s="204" t="s">
        <v>200</v>
      </c>
      <c r="C87" s="288" t="s">
        <v>215</v>
      </c>
      <c r="D87" s="287" t="s">
        <v>202</v>
      </c>
      <c r="E87" s="289">
        <v>2.12E-2</v>
      </c>
      <c r="F87" s="290">
        <v>20.100000000000001</v>
      </c>
      <c r="G87" s="290">
        <v>2.81</v>
      </c>
      <c r="H87" s="286"/>
    </row>
  </sheetData>
  <sheetProtection algorithmName="SHA-512" hashValue="PXfn1mGie4jWhwmeKI2BGhTKYyAWlCesWylLFEZfzZhrcJPy7tsPSk61tbI7YLVO8aQ97W2NU//N/eGG5PNDjg==" saltValue="wcen1fppSmLhEQzzppuwMQ==" spinCount="100000" sheet="1" objects="1" scenarios="1" selectLockedCells="1" selectUnlockedCells="1"/>
  <mergeCells count="22">
    <mergeCell ref="A23:G23"/>
    <mergeCell ref="A1:G2"/>
    <mergeCell ref="A3:C3"/>
    <mergeCell ref="F3:F4"/>
    <mergeCell ref="G3:G4"/>
    <mergeCell ref="D4:E4"/>
    <mergeCell ref="A5:G5"/>
    <mergeCell ref="A16:F16"/>
    <mergeCell ref="A17:B17"/>
    <mergeCell ref="E20:F20"/>
    <mergeCell ref="E21:F21"/>
    <mergeCell ref="E22:F22"/>
    <mergeCell ref="A42:F42"/>
    <mergeCell ref="A43:B43"/>
    <mergeCell ref="A46:B46"/>
    <mergeCell ref="E47:F47"/>
    <mergeCell ref="A31:F31"/>
    <mergeCell ref="A32:B32"/>
    <mergeCell ref="D38:F38"/>
    <mergeCell ref="D39:F39"/>
    <mergeCell ref="D40:F40"/>
    <mergeCell ref="A41:G41"/>
  </mergeCells>
  <pageMargins left="0.51181102362204722" right="0.51181102362204722" top="1.7716535433070868" bottom="1.5748031496062993" header="0.51181102362204722" footer="0.51181102362204722"/>
  <pageSetup paperSize="9" scale="71" fitToHeight="0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79998168889431442"/>
    <pageSetUpPr fitToPage="1"/>
  </sheetPr>
  <dimension ref="A1:K73"/>
  <sheetViews>
    <sheetView topLeftCell="A48" workbookViewId="0">
      <selection activeCell="A4" sqref="A4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445" t="s">
        <v>234</v>
      </c>
      <c r="B1" s="446"/>
      <c r="C1" s="446"/>
      <c r="D1" s="446"/>
      <c r="E1" s="446"/>
      <c r="F1" s="446"/>
      <c r="G1" s="446"/>
      <c r="H1" s="446"/>
    </row>
    <row r="2" spans="1:11" x14ac:dyDescent="0.25">
      <c r="A2" s="447" t="s">
        <v>379</v>
      </c>
      <c r="B2" s="447"/>
      <c r="C2" s="447"/>
      <c r="D2" s="447"/>
      <c r="E2" s="447"/>
      <c r="F2" s="447"/>
      <c r="G2" s="447"/>
      <c r="H2" s="447"/>
    </row>
    <row r="3" spans="1:11" x14ac:dyDescent="0.25">
      <c r="A3" s="447" t="s">
        <v>394</v>
      </c>
      <c r="B3" s="447"/>
      <c r="C3" s="447"/>
      <c r="D3" s="447"/>
      <c r="E3" s="447"/>
      <c r="F3" s="447"/>
      <c r="G3" s="447"/>
      <c r="H3" s="447"/>
    </row>
    <row r="5" spans="1:11" x14ac:dyDescent="0.25">
      <c r="A5" s="448" t="s">
        <v>43</v>
      </c>
      <c r="B5" s="449"/>
      <c r="C5" s="449"/>
      <c r="D5" s="449"/>
      <c r="E5" s="449"/>
      <c r="F5" s="449"/>
      <c r="G5" s="449"/>
      <c r="H5" s="450"/>
    </row>
    <row r="6" spans="1:11" x14ac:dyDescent="0.25">
      <c r="A6" s="167"/>
      <c r="B6" s="451"/>
      <c r="C6" s="451"/>
      <c r="D6" s="451"/>
      <c r="E6" s="451"/>
      <c r="F6" s="168"/>
      <c r="G6" s="168"/>
      <c r="H6" s="169"/>
    </row>
    <row r="7" spans="1:11" x14ac:dyDescent="0.25">
      <c r="A7" s="170"/>
      <c r="B7" s="171"/>
      <c r="C7" s="171"/>
      <c r="D7" s="171"/>
      <c r="E7" s="171"/>
      <c r="F7" s="171"/>
      <c r="G7" s="171"/>
      <c r="H7" s="172"/>
      <c r="I7" s="39"/>
      <c r="J7" s="40"/>
      <c r="K7" s="40"/>
    </row>
    <row r="8" spans="1:11" x14ac:dyDescent="0.25">
      <c r="A8" s="452" t="s">
        <v>44</v>
      </c>
      <c r="B8" s="453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63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454" t="str">
        <f>IF(D12&gt;1,"SELECIONE SOMENTE UM TIPO DE BDI",IF(D12=0,"SELECIONE UM TIPO DE BDI",""))</f>
        <v/>
      </c>
      <c r="C12" s="454"/>
      <c r="D12" s="54">
        <f>SUM(D10:D11)</f>
        <v>1</v>
      </c>
      <c r="E12" s="455"/>
      <c r="F12" s="455"/>
      <c r="G12" s="455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439" t="s">
        <v>46</v>
      </c>
      <c r="B14" s="440"/>
      <c r="C14" s="165"/>
      <c r="D14" s="165"/>
      <c r="E14" s="165"/>
      <c r="F14" s="165"/>
      <c r="G14" s="56"/>
      <c r="H14" s="173"/>
      <c r="I14" s="39">
        <f>IF(H22&lt;&gt;0,VLOOKUP("x",G16:I21,3,FALSE),0)</f>
        <v>2</v>
      </c>
      <c r="J14" s="40"/>
      <c r="K14" s="40"/>
    </row>
    <row r="15" spans="1:11" x14ac:dyDescent="0.25">
      <c r="A15" s="163"/>
      <c r="B15" s="43"/>
      <c r="C15" s="41"/>
      <c r="D15" s="41"/>
      <c r="E15" s="41"/>
      <c r="F15" s="41"/>
      <c r="G15" s="57"/>
      <c r="H15" s="174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443" t="str">
        <f>IF(AND(C10="x",G21="x"),"NÃO HÁ DESONERAÇÃO PARA FORNECIMENTO DE MATERIAIS","")</f>
        <v/>
      </c>
      <c r="C21" s="443"/>
      <c r="D21" s="443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444" t="str">
        <f>IF(H22&gt;1,"SELECIONE SOMENTE UM TIPO DE SERVIÇO",IF(H22=0,"SELECIONE UM TIPO DE SERVIÇO",""))</f>
        <v/>
      </c>
      <c r="C22" s="444"/>
      <c r="D22" s="162"/>
      <c r="E22" s="162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64"/>
      <c r="F23" s="164"/>
      <c r="G23" s="50"/>
      <c r="H23" s="50"/>
      <c r="I23" s="39"/>
      <c r="J23" s="40"/>
      <c r="K23" s="40"/>
    </row>
    <row r="24" spans="1:11" x14ac:dyDescent="0.25">
      <c r="A24" s="439" t="s">
        <v>53</v>
      </c>
      <c r="B24" s="440"/>
      <c r="C24" s="165"/>
      <c r="D24" s="165"/>
      <c r="E24" s="441"/>
      <c r="F24" s="441"/>
      <c r="G24" s="63" t="s">
        <v>21</v>
      </c>
      <c r="H24" s="64"/>
      <c r="I24" s="39"/>
      <c r="J24" s="40"/>
      <c r="K24" s="40"/>
    </row>
    <row r="25" spans="1:11" x14ac:dyDescent="0.25">
      <c r="A25" s="65"/>
      <c r="B25" s="164"/>
      <c r="C25" s="164"/>
      <c r="D25" s="164"/>
      <c r="E25" s="164"/>
      <c r="F25" s="164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64"/>
      <c r="D27" s="164"/>
      <c r="E27" s="164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64"/>
      <c r="D29" s="164"/>
      <c r="E29" s="164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66"/>
      <c r="C31" s="164"/>
      <c r="D31" s="164" t="str">
        <f>IF(AND(G31&gt;=J31,G31&lt;=K31),"","FORA DO LIMITE")</f>
        <v/>
      </c>
      <c r="E31" s="164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64"/>
      <c r="C33" s="164"/>
      <c r="D33" s="164"/>
      <c r="E33" s="164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64"/>
      <c r="C35" s="164"/>
      <c r="D35" s="164"/>
      <c r="E35" s="164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64"/>
      <c r="D37" s="164"/>
      <c r="E37" s="164"/>
      <c r="F37" s="59" t="str">
        <f>IF(AND(C10="X",C10&lt;&gt;C11,I14&lt;&gt;6,F11&lt;&gt;"X"),"INSS =","")</f>
        <v/>
      </c>
      <c r="G37" s="88" t="str">
        <f>IF(AND(C10="x",I14&lt;&gt;6,B12&lt;&gt;"SELECIONE SOMENTE UM TIPO DE BDI"),K37,"")</f>
        <v/>
      </c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42" t="str">
        <f>IF(AND(G38&lt;&gt;"",I14=6),"APAGUE O PERCENTUAL DESTA LINHA","")</f>
        <v/>
      </c>
      <c r="C38" s="443"/>
      <c r="D38" s="164" t="str">
        <f>IF(B38="APAGUE O PERCENTUAL DESTA LINHA","",IF(AND(G38&gt;=J38,G38&lt;=K38),"","FORA DO LIMITE"))</f>
        <v/>
      </c>
      <c r="E38" s="164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66"/>
      <c r="C39" s="164"/>
      <c r="D39" s="164" t="str">
        <f>IF(AND(G39&gt;=J39,G39&lt;=K39),"","FORA DO LIMITE")</f>
        <v/>
      </c>
      <c r="E39" s="164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66"/>
      <c r="C40" s="164"/>
      <c r="D40" s="164" t="str">
        <f t="shared" ref="D40" si="2">IF(AND(G40&gt;=J40,G40&lt;=K40),"","FORA DO LIMITE")</f>
        <v/>
      </c>
      <c r="E40" s="164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166"/>
      <c r="C41" s="164"/>
      <c r="D41" s="164"/>
      <c r="E41" s="164"/>
      <c r="F41" s="59" t="s">
        <v>161</v>
      </c>
      <c r="G41" s="90">
        <v>3.5999999999999997E-2</v>
      </c>
      <c r="H41" s="89"/>
      <c r="I41" s="39"/>
      <c r="J41" s="40"/>
      <c r="K41" s="40"/>
    </row>
    <row r="42" spans="1:11" x14ac:dyDescent="0.25">
      <c r="A42" s="65"/>
      <c r="B42" s="83"/>
      <c r="C42" s="84"/>
      <c r="D42" s="84"/>
      <c r="E42" s="84"/>
      <c r="F42" s="85" t="s">
        <v>68</v>
      </c>
      <c r="G42" s="91">
        <f>SUM(G38:G41)</f>
        <v>0.10250000000000001</v>
      </c>
      <c r="H42" s="82"/>
      <c r="I42" s="39"/>
      <c r="J42" s="40"/>
      <c r="K42" s="40"/>
    </row>
    <row r="43" spans="1:11" ht="15.75" thickBot="1" x14ac:dyDescent="0.3">
      <c r="A43" s="92"/>
      <c r="B43" s="60"/>
      <c r="C43" s="60"/>
      <c r="D43" s="60"/>
      <c r="E43" s="60"/>
      <c r="F43" s="93"/>
      <c r="G43" s="94"/>
      <c r="H43" s="95"/>
      <c r="I43" s="39"/>
      <c r="J43" s="40"/>
      <c r="K43" s="40"/>
    </row>
    <row r="44" spans="1:11" ht="15.75" thickBot="1" x14ac:dyDescent="0.3">
      <c r="A44" s="164"/>
      <c r="B44" s="164"/>
      <c r="C44" s="164"/>
      <c r="D44" s="164"/>
      <c r="E44" s="164"/>
      <c r="F44" s="175"/>
      <c r="G44" s="176"/>
      <c r="H44" s="177"/>
      <c r="I44" s="39"/>
      <c r="J44" s="40"/>
      <c r="K44" s="40"/>
    </row>
    <row r="45" spans="1:11" x14ac:dyDescent="0.25">
      <c r="A45" s="439" t="s">
        <v>69</v>
      </c>
      <c r="B45" s="440"/>
      <c r="C45" s="165"/>
      <c r="D45" s="165"/>
      <c r="E45" s="165"/>
      <c r="F45" s="165"/>
      <c r="G45" s="63"/>
      <c r="H45" s="64"/>
      <c r="I45" s="39"/>
      <c r="J45" s="40" t="s">
        <v>70</v>
      </c>
      <c r="K45" s="40"/>
    </row>
    <row r="46" spans="1:11" x14ac:dyDescent="0.25">
      <c r="A46" s="65"/>
      <c r="B46" s="164"/>
      <c r="C46" s="164"/>
      <c r="D46" s="164"/>
      <c r="E46" s="164"/>
      <c r="F46" s="164"/>
      <c r="G46" s="50"/>
      <c r="H46" s="66"/>
      <c r="I46" s="39"/>
      <c r="J46" s="96">
        <v>1</v>
      </c>
      <c r="K46" s="40" t="str">
        <f>IF(OR(B12="SELECIONE UM TIPO DE BDI",B12="SELECIONE SOMENTE UM TIPO DE BDI"),"VER TIPO DE BDI","OK")</f>
        <v>OK</v>
      </c>
    </row>
    <row r="47" spans="1:11" x14ac:dyDescent="0.25">
      <c r="A47" s="65"/>
      <c r="B47" s="164"/>
      <c r="C47" s="164"/>
      <c r="D47" s="164"/>
      <c r="E47" s="164"/>
      <c r="F47" s="164"/>
      <c r="G47" s="50"/>
      <c r="H47" s="66"/>
      <c r="I47" s="39"/>
      <c r="J47" s="96">
        <v>2</v>
      </c>
      <c r="K47" s="40" t="str">
        <f>IF(OR(B22="SELECIONE SOMENTE UM TIPO DE SERVIÇO",B22="SELECIONE UM TIPO DE SERVIÇO",B21="NÃO HÁ DESONERAÇÃO PARA FORNECIMENTO DE MATERIAIS"),"VER TIPO DE SERVIÇO","OK")</f>
        <v>OK</v>
      </c>
    </row>
    <row r="48" spans="1:11" x14ac:dyDescent="0.25">
      <c r="A48" s="65"/>
      <c r="B48" s="164"/>
      <c r="C48" s="164"/>
      <c r="D48" s="164"/>
      <c r="E48" s="164"/>
      <c r="F48" s="164"/>
      <c r="G48" s="50"/>
      <c r="H48" s="66"/>
      <c r="I48" s="39"/>
      <c r="J48" s="96">
        <v>3</v>
      </c>
      <c r="K48" s="40" t="str">
        <f t="shared" ref="K48:K49" si="3">IF(OR(B23="SELECIONE SOMENTE UM TIPO DE SERVIÇO",B23="SELECIONE UM TIPO DE SERVIÇO",B22="NÃO HÁ DESONERAÇÃO PARA FORNECIMENTO DE MATERIAIS"),"VER TIPO DE SERVIÇO","OK")</f>
        <v>OK</v>
      </c>
    </row>
    <row r="49" spans="1:11" x14ac:dyDescent="0.25">
      <c r="A49" s="65"/>
      <c r="B49" s="164"/>
      <c r="C49" s="164"/>
      <c r="D49" s="164"/>
      <c r="E49" s="164"/>
      <c r="F49" s="164"/>
      <c r="G49" s="50"/>
      <c r="H49" s="66"/>
      <c r="I49" s="39"/>
      <c r="J49" s="96">
        <v>4</v>
      </c>
      <c r="K49" s="40" t="str">
        <f t="shared" si="3"/>
        <v>OK</v>
      </c>
    </row>
    <row r="50" spans="1:11" x14ac:dyDescent="0.25">
      <c r="A50" s="65"/>
      <c r="B50" s="164"/>
      <c r="C50" s="164"/>
      <c r="D50" s="164"/>
      <c r="E50" s="164"/>
      <c r="F50" s="164"/>
      <c r="G50" s="50"/>
      <c r="H50" s="66"/>
      <c r="I50" s="39"/>
      <c r="J50" s="96"/>
      <c r="K50" s="40"/>
    </row>
    <row r="51" spans="1:11" x14ac:dyDescent="0.25">
      <c r="A51" s="65"/>
      <c r="B51" s="164"/>
      <c r="C51" s="164"/>
      <c r="D51" s="164"/>
      <c r="E51" s="164"/>
      <c r="F51" s="164"/>
      <c r="G51" s="50"/>
      <c r="H51" s="66"/>
      <c r="I51" s="39"/>
      <c r="J51" s="40"/>
      <c r="K51" s="40"/>
    </row>
    <row r="52" spans="1:11" x14ac:dyDescent="0.25">
      <c r="A52" s="65"/>
      <c r="B52" s="164"/>
      <c r="C52" s="164"/>
      <c r="D52" s="164"/>
      <c r="E52" s="164"/>
      <c r="F52" s="164"/>
      <c r="G52" s="50"/>
      <c r="H52" s="66"/>
      <c r="I52" s="39"/>
      <c r="J52" s="40"/>
      <c r="K52" s="40"/>
    </row>
    <row r="53" spans="1:11" x14ac:dyDescent="0.25">
      <c r="A53" s="65" t="s">
        <v>71</v>
      </c>
      <c r="B53" s="48" t="s">
        <v>72</v>
      </c>
      <c r="C53" s="164"/>
      <c r="D53" s="164"/>
      <c r="E53" s="164"/>
      <c r="F53" s="164"/>
      <c r="G53" s="50"/>
      <c r="H53" s="66"/>
      <c r="I53" s="39"/>
      <c r="J53" s="40"/>
      <c r="K53" s="40"/>
    </row>
    <row r="54" spans="1:11" x14ac:dyDescent="0.25">
      <c r="A54" s="65" t="s">
        <v>73</v>
      </c>
      <c r="B54" s="48" t="s">
        <v>74</v>
      </c>
      <c r="C54" s="164"/>
      <c r="D54" s="164"/>
      <c r="E54" s="164"/>
      <c r="F54" s="164"/>
      <c r="G54" s="50"/>
      <c r="H54" s="66"/>
      <c r="I54" s="39"/>
      <c r="J54" s="40"/>
      <c r="K54" s="40"/>
    </row>
    <row r="55" spans="1:11" x14ac:dyDescent="0.25">
      <c r="A55" s="65" t="s">
        <v>75</v>
      </c>
      <c r="B55" s="48" t="s">
        <v>76</v>
      </c>
      <c r="C55" s="164"/>
      <c r="D55" s="164"/>
      <c r="E55" s="164"/>
      <c r="F55" s="164"/>
      <c r="G55" s="50"/>
      <c r="H55" s="66"/>
      <c r="I55" s="39"/>
      <c r="J55" s="40"/>
      <c r="K55" s="40"/>
    </row>
    <row r="56" spans="1:11" x14ac:dyDescent="0.25">
      <c r="A56" s="65" t="s">
        <v>59</v>
      </c>
      <c r="B56" s="48" t="s">
        <v>77</v>
      </c>
      <c r="C56" s="164"/>
      <c r="D56" s="164"/>
      <c r="E56" s="164"/>
      <c r="F56" s="164"/>
      <c r="G56" s="50"/>
      <c r="H56" s="66"/>
      <c r="I56" s="39"/>
      <c r="J56" s="40"/>
      <c r="K56" s="40"/>
    </row>
    <row r="57" spans="1:11" x14ac:dyDescent="0.25">
      <c r="A57" s="65" t="s">
        <v>64</v>
      </c>
      <c r="B57" s="48" t="s">
        <v>78</v>
      </c>
      <c r="C57" s="164"/>
      <c r="D57" s="164"/>
      <c r="E57" s="164"/>
      <c r="F57" s="164"/>
      <c r="G57" s="50"/>
      <c r="H57" s="66"/>
      <c r="I57" s="39"/>
      <c r="J57" s="40"/>
      <c r="K57" s="40"/>
    </row>
    <row r="58" spans="1:11" x14ac:dyDescent="0.25">
      <c r="A58" s="65" t="s">
        <v>79</v>
      </c>
      <c r="B58" s="48" t="s">
        <v>80</v>
      </c>
      <c r="C58" s="164"/>
      <c r="D58" s="164"/>
      <c r="E58" s="164"/>
      <c r="F58" s="164"/>
      <c r="G58" s="50"/>
      <c r="H58" s="66"/>
      <c r="I58" s="39"/>
      <c r="J58" s="40"/>
      <c r="K58" s="40"/>
    </row>
    <row r="59" spans="1:11" ht="15.75" thickBot="1" x14ac:dyDescent="0.3">
      <c r="A59" s="92"/>
      <c r="B59" s="97"/>
      <c r="C59" s="60"/>
      <c r="D59" s="60"/>
      <c r="E59" s="60"/>
      <c r="F59" s="60"/>
      <c r="G59" s="98"/>
      <c r="H59" s="99"/>
      <c r="I59" s="39"/>
      <c r="J59" s="40"/>
      <c r="K59" s="40"/>
    </row>
    <row r="60" spans="1:11" ht="15.75" thickBot="1" x14ac:dyDescent="0.3">
      <c r="A60" s="164"/>
      <c r="B60" s="48"/>
      <c r="C60" s="164"/>
      <c r="D60" s="164"/>
      <c r="E60" s="164"/>
      <c r="F60" s="164"/>
      <c r="G60" s="50"/>
      <c r="H60" s="50"/>
      <c r="I60" s="39"/>
      <c r="J60" s="40"/>
      <c r="K60" s="40"/>
    </row>
    <row r="61" spans="1:11" x14ac:dyDescent="0.25">
      <c r="A61" s="439" t="s">
        <v>81</v>
      </c>
      <c r="B61" s="440"/>
      <c r="C61" s="100"/>
      <c r="D61" s="100"/>
      <c r="E61" s="440" t="s">
        <v>82</v>
      </c>
      <c r="F61" s="440"/>
      <c r="G61" s="63"/>
      <c r="H61" s="64"/>
      <c r="I61" s="101">
        <f>SUM(1+G26,G31,G32)</f>
        <v>1.0484000000000002</v>
      </c>
      <c r="J61" s="40"/>
      <c r="K61" s="40"/>
    </row>
    <row r="62" spans="1:11" x14ac:dyDescent="0.25">
      <c r="A62" s="163"/>
      <c r="B62" s="43"/>
      <c r="C62" s="164"/>
      <c r="D62" s="164"/>
      <c r="E62" s="164"/>
      <c r="F62" s="164"/>
      <c r="G62" s="50"/>
      <c r="H62" s="66"/>
      <c r="I62" s="39">
        <f>1+G28</f>
        <v>1.0102</v>
      </c>
      <c r="J62" s="40"/>
      <c r="K62" s="40"/>
    </row>
    <row r="63" spans="1:11" x14ac:dyDescent="0.25">
      <c r="A63" s="65"/>
      <c r="B63" s="102" t="s">
        <v>83</v>
      </c>
      <c r="C63" s="103">
        <v>0.19600000000000001</v>
      </c>
      <c r="D63" s="71" t="str">
        <f>IF(AND(C63&gt;I66,C11="X"),"BDI ABAIXO","")</f>
        <v/>
      </c>
      <c r="E63" s="102" t="s">
        <v>83</v>
      </c>
      <c r="F63" s="103">
        <v>0.25600000000000001</v>
      </c>
      <c r="G63" s="71" t="str">
        <f>IF(AND(F63&gt;I66,C10="X"),"BDI ABAIXO","")</f>
        <v/>
      </c>
      <c r="H63" s="66"/>
      <c r="I63" s="39">
        <f>1+G34</f>
        <v>1.075</v>
      </c>
      <c r="J63" s="40"/>
      <c r="K63" s="40"/>
    </row>
    <row r="64" spans="1:11" x14ac:dyDescent="0.25">
      <c r="A64" s="65"/>
      <c r="B64" s="102" t="s">
        <v>84</v>
      </c>
      <c r="C64" s="103">
        <v>0.24229999999999999</v>
      </c>
      <c r="D64" s="164"/>
      <c r="E64" s="102" t="s">
        <v>84</v>
      </c>
      <c r="F64" s="103">
        <v>0.30520000000000003</v>
      </c>
      <c r="G64" s="71" t="str">
        <f>IF(AND(F64&lt;I66,C10="X"),"BDI ACIMA","")</f>
        <v/>
      </c>
      <c r="H64" s="66"/>
      <c r="I64" s="39">
        <f>1-G42</f>
        <v>0.89749999999999996</v>
      </c>
      <c r="J64" s="40"/>
      <c r="K64" s="40"/>
    </row>
    <row r="65" spans="1:11" ht="15.75" thickBot="1" x14ac:dyDescent="0.3">
      <c r="A65" s="92"/>
      <c r="B65" s="97"/>
      <c r="C65" s="60"/>
      <c r="D65" s="104"/>
      <c r="E65" s="60"/>
      <c r="F65" s="104"/>
      <c r="G65" s="98"/>
      <c r="H65" s="99"/>
      <c r="I65" s="39">
        <f>I61*I62*I63/I64</f>
        <v>1.2685523186629528</v>
      </c>
      <c r="J65" s="40"/>
      <c r="K65" s="40"/>
    </row>
    <row r="66" spans="1:11" ht="15.75" thickBot="1" x14ac:dyDescent="0.3">
      <c r="A66" s="164"/>
      <c r="B66" s="164"/>
      <c r="C66" s="164"/>
      <c r="D66" s="164"/>
      <c r="E66" s="164"/>
      <c r="F66" s="164"/>
      <c r="G66" s="50"/>
      <c r="H66" s="50"/>
      <c r="I66" s="39">
        <f>ROUND(I65-1,4)</f>
        <v>0.26860000000000001</v>
      </c>
      <c r="J66" s="40"/>
      <c r="K66" s="40"/>
    </row>
    <row r="67" spans="1:11" ht="15.75" thickBot="1" x14ac:dyDescent="0.3">
      <c r="A67" s="164"/>
      <c r="B67" s="164"/>
      <c r="C67" s="164"/>
      <c r="D67" s="178"/>
      <c r="E67" s="433" t="s">
        <v>85</v>
      </c>
      <c r="F67" s="434"/>
      <c r="G67" s="179">
        <f>IF(AND(K46="OK",K47="OK",K48="OK",K49="OK"),I66,IF(K46="VER TIPO DE BDI","VER TIPO DE BDI",IF(K47="VER TIPO DE SERVIÇO","VER TIPO DE SERVIÇO",IF(K48="VER PERCENTUAIS","VER PERCENTUAIS",IF(K49="BDI FORA DO LIMITE","BDI FORA DO LIMITE","VÁRIOS ERROS")))))</f>
        <v>0.26860000000000001</v>
      </c>
      <c r="H67" s="180" t="str">
        <f>IF(AND(M67&gt;=P67,M67&lt;=Q67),"","FORA DO LIMITE")</f>
        <v/>
      </c>
      <c r="I67" s="105">
        <f>G73</f>
        <v>0.26860000000000001</v>
      </c>
      <c r="J67" s="40"/>
      <c r="K67" s="40"/>
    </row>
    <row r="68" spans="1:11" x14ac:dyDescent="0.25">
      <c r="A68" s="164"/>
      <c r="B68" s="164"/>
      <c r="C68" s="164"/>
      <c r="D68" s="164"/>
      <c r="E68" s="41"/>
      <c r="F68" s="41"/>
      <c r="G68" s="181"/>
      <c r="H68" s="181"/>
      <c r="I68" s="106"/>
      <c r="J68" s="40"/>
      <c r="K68" s="40"/>
    </row>
    <row r="69" spans="1:11" x14ac:dyDescent="0.25">
      <c r="A69" s="41"/>
      <c r="B69" s="43" t="s">
        <v>86</v>
      </c>
      <c r="C69" s="41"/>
      <c r="D69" s="41"/>
      <c r="E69" s="164"/>
      <c r="F69" s="164"/>
      <c r="G69" s="164"/>
      <c r="H69" s="164"/>
      <c r="I69" s="106"/>
      <c r="J69" s="40"/>
      <c r="K69" s="40"/>
    </row>
    <row r="70" spans="1:11" x14ac:dyDescent="0.25">
      <c r="A70" s="48"/>
      <c r="B70" s="8" t="s">
        <v>87</v>
      </c>
      <c r="C70" s="8"/>
      <c r="D70" s="8"/>
      <c r="E70" s="164"/>
      <c r="F70" s="164"/>
      <c r="G70" s="435"/>
      <c r="H70" s="435"/>
      <c r="I70" s="39"/>
      <c r="J70" s="40"/>
      <c r="K70" s="40"/>
    </row>
    <row r="71" spans="1:11" x14ac:dyDescent="0.25">
      <c r="A71" s="164"/>
      <c r="B71" s="8" t="s">
        <v>88</v>
      </c>
      <c r="C71" s="182"/>
      <c r="D71" s="164"/>
      <c r="E71" s="164"/>
      <c r="F71" s="164"/>
      <c r="G71" s="436"/>
      <c r="H71" s="436"/>
      <c r="I71" s="39"/>
      <c r="J71" s="40"/>
      <c r="K71" s="40"/>
    </row>
    <row r="72" spans="1:11" x14ac:dyDescent="0.25">
      <c r="A72" s="164"/>
      <c r="B72" s="8" t="s">
        <v>89</v>
      </c>
      <c r="C72" s="164"/>
      <c r="D72" s="164"/>
      <c r="E72" s="164"/>
      <c r="F72" s="183"/>
      <c r="G72" s="50"/>
      <c r="H72" s="50"/>
      <c r="I72" s="39"/>
      <c r="J72" s="40"/>
      <c r="K72" s="40"/>
    </row>
    <row r="73" spans="1:11" x14ac:dyDescent="0.25">
      <c r="A73" s="62"/>
      <c r="B73" s="62"/>
      <c r="C73" s="62"/>
      <c r="D73" s="62"/>
      <c r="E73" s="62"/>
      <c r="F73" s="107" t="s">
        <v>90</v>
      </c>
      <c r="G73" s="437">
        <f>I66</f>
        <v>0.26860000000000001</v>
      </c>
      <c r="H73" s="438"/>
      <c r="I73" s="39"/>
      <c r="J73" s="40"/>
      <c r="K73" s="40"/>
    </row>
  </sheetData>
  <sheetProtection algorithmName="SHA-512" hashValue="RnXjjEsIKoo0tekrhSfTSIGCUuuGdzxFgcZWV3z6MyqYy/umMFYo8PgWouWyl749ez7p+SqQ2HNeRrmmeGiojw==" saltValue="OCBh3k8CWMq3+2heS8jdkQ==" spinCount="100000" sheet="1" objects="1" scenarios="1" selectLockedCells="1" selectUnlockedCells="1"/>
  <mergeCells count="21"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  <mergeCell ref="E67:F67"/>
    <mergeCell ref="G70:H70"/>
    <mergeCell ref="G71:H71"/>
    <mergeCell ref="G73:H73"/>
    <mergeCell ref="A24:B24"/>
    <mergeCell ref="E24:F24"/>
    <mergeCell ref="B38:C38"/>
    <mergeCell ref="A45:B45"/>
    <mergeCell ref="A61:B61"/>
    <mergeCell ref="E61:F61"/>
  </mergeCells>
  <conditionalFormatting sqref="B12">
    <cfRule type="cellIs" dxfId="22" priority="18" operator="equal">
      <formula>"SELECIONE SOMENTE UM TIPO DE BDI"</formula>
    </cfRule>
  </conditionalFormatting>
  <conditionalFormatting sqref="B21">
    <cfRule type="cellIs" dxfId="21" priority="5" operator="equal">
      <formula>"NÃO HÁ DESONERAÇÃO PARA FORNECIMENTO DE MATERIAIS"</formula>
    </cfRule>
  </conditionalFormatting>
  <conditionalFormatting sqref="B22">
    <cfRule type="cellIs" dxfId="20" priority="24" operator="equal">
      <formula>"SELECIONE SOMENTE UM TIPO DE SERVIÇO"</formula>
    </cfRule>
  </conditionalFormatting>
  <conditionalFormatting sqref="B12:C12 E12:G12">
    <cfRule type="cellIs" dxfId="19" priority="8" operator="equal">
      <formula>"SELECIONE UM TIPO DE BDI"</formula>
    </cfRule>
  </conditionalFormatting>
  <conditionalFormatting sqref="B22:C22">
    <cfRule type="cellIs" dxfId="18" priority="7" operator="equal">
      <formula>"SELECIONE UM TIPO DE SERVIÇO"</formula>
    </cfRule>
  </conditionalFormatting>
  <conditionalFormatting sqref="B38:C38">
    <cfRule type="cellIs" dxfId="17" priority="17" operator="equal">
      <formula>"APAGUE O PERCENTUAL DESTA LINHA"</formula>
    </cfRule>
  </conditionalFormatting>
  <conditionalFormatting sqref="C10:C11 G16:G21 G26 G28 G31:G32 G34">
    <cfRule type="cellIs" dxfId="16" priority="15" operator="equal">
      <formula>0</formula>
    </cfRule>
  </conditionalFormatting>
  <conditionalFormatting sqref="D26 D38:D41">
    <cfRule type="cellIs" dxfId="15" priority="23" operator="equal">
      <formula>"FORA DO LIMITE"</formula>
    </cfRule>
  </conditionalFormatting>
  <conditionalFormatting sqref="D28">
    <cfRule type="cellIs" dxfId="14" priority="22" operator="equal">
      <formula>"FORA DO LIMITE"</formula>
    </cfRule>
  </conditionalFormatting>
  <conditionalFormatting sqref="D31:D32">
    <cfRule type="cellIs" dxfId="13" priority="20" operator="equal">
      <formula>"FORA DO LIMITE"</formula>
    </cfRule>
  </conditionalFormatting>
  <conditionalFormatting sqref="D34">
    <cfRule type="cellIs" dxfId="12" priority="19" operator="equal">
      <formula>"FORA DO LIMITE"</formula>
    </cfRule>
  </conditionalFormatting>
  <conditionalFormatting sqref="D63">
    <cfRule type="cellIs" dxfId="11" priority="4" operator="equal">
      <formula>"BDI ABAIXO"</formula>
    </cfRule>
  </conditionalFormatting>
  <conditionalFormatting sqref="E12">
    <cfRule type="cellIs" dxfId="10" priority="11" operator="equal">
      <formula>"SELECIONE SOMENTE UM TIPO DE BDI"</formula>
    </cfRule>
  </conditionalFormatting>
  <conditionalFormatting sqref="E12:G12">
    <cfRule type="cellIs" dxfId="9" priority="6" operator="equal">
      <formula>"SOMENTE HÁ DESONERAÇÃO PARA OBRAS"</formula>
    </cfRule>
    <cfRule type="cellIs" dxfId="8" priority="10" operator="equal">
      <formula>"NÃO HÁ PROJETO PARA FORNECIMENTO"</formula>
    </cfRule>
  </conditionalFormatting>
  <conditionalFormatting sqref="G38:G41">
    <cfRule type="cellIs" dxfId="7" priority="9" operator="equal">
      <formula>0</formula>
    </cfRule>
  </conditionalFormatting>
  <conditionalFormatting sqref="G63">
    <cfRule type="cellIs" dxfId="6" priority="3" operator="equal">
      <formula>"BDI ABAIXO"</formula>
    </cfRule>
  </conditionalFormatting>
  <conditionalFormatting sqref="G64">
    <cfRule type="cellIs" dxfId="5" priority="2" operator="equal">
      <formula>"BDI ACIMA"</formula>
    </cfRule>
  </conditionalFormatting>
  <conditionalFormatting sqref="G67:H68">
    <cfRule type="cellIs" dxfId="4" priority="1" operator="equal">
      <formula>"VER PERCENTUAIS"</formula>
    </cfRule>
    <cfRule type="cellIs" dxfId="3" priority="12" operator="equal">
      <formula>"VÁRIOS ERROS"</formula>
    </cfRule>
    <cfRule type="cellIs" dxfId="2" priority="13" operator="equal">
      <formula>"BDI FORA DO LIMITE"</formula>
    </cfRule>
    <cfRule type="cellIs" dxfId="1" priority="14" operator="equal">
      <formula>"VER TIPO DE BDI"</formula>
    </cfRule>
    <cfRule type="cellIs" dxfId="0" priority="16" operator="equal">
      <formula>"VER TIPO DE SERVIÇO"</formula>
    </cfRule>
  </conditionalFormatting>
  <dataValidations count="3">
    <dataValidation allowBlank="1" promptTitle="Alerta" prompt="Digite somente 'X'" sqref="F10:F11" xr:uid="{00000000-0002-0000-0B00-000000000000}"/>
    <dataValidation type="decimal" allowBlank="1" showInputMessage="1" showErrorMessage="1" sqref="G38:G42 G26:G36" xr:uid="{00000000-0002-0000-0B00-000001000000}">
      <formula1>0</formula1>
      <formula2>100</formula2>
    </dataValidation>
    <dataValidation type="list" allowBlank="1" showInputMessage="1" showErrorMessage="1" promptTitle="Alerta" prompt="Digite somente 'X'" sqref="G16:G21 C10:C11" xr:uid="{00000000-0002-0000-0B00-000002000000}">
      <formula1>"x,X"</formula1>
    </dataValidation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  <pageSetUpPr fitToPage="1"/>
  </sheetPr>
  <dimension ref="A1:F42"/>
  <sheetViews>
    <sheetView workbookViewId="0">
      <selection activeCell="N16" sqref="N16"/>
    </sheetView>
  </sheetViews>
  <sheetFormatPr defaultRowHeight="15" x14ac:dyDescent="0.25"/>
  <cols>
    <col min="1" max="1" width="15.7109375" style="108" customWidth="1"/>
    <col min="2" max="2" width="35.28515625" style="110" bestFit="1" customWidth="1"/>
    <col min="3" max="3" width="9.28515625" style="109" customWidth="1"/>
    <col min="4" max="4" width="12.28515625" style="110" customWidth="1"/>
    <col min="5" max="5" width="10.42578125" style="109" customWidth="1"/>
    <col min="6" max="6" width="11.42578125" style="109" customWidth="1"/>
  </cols>
  <sheetData>
    <row r="1" spans="1:6" x14ac:dyDescent="0.25">
      <c r="A1" s="445" t="s">
        <v>162</v>
      </c>
      <c r="B1" s="446"/>
      <c r="C1" s="446"/>
      <c r="D1" s="446"/>
      <c r="E1" s="446"/>
      <c r="F1" s="446"/>
    </row>
    <row r="2" spans="1:6" x14ac:dyDescent="0.25">
      <c r="A2" s="447" t="s">
        <v>338</v>
      </c>
      <c r="B2" s="447"/>
      <c r="C2" s="447"/>
      <c r="D2" s="447"/>
      <c r="E2" s="447"/>
      <c r="F2" s="447"/>
    </row>
    <row r="3" spans="1:6" x14ac:dyDescent="0.25">
      <c r="A3" s="447" t="s">
        <v>396</v>
      </c>
      <c r="B3" s="447"/>
      <c r="C3" s="447"/>
      <c r="D3" s="447"/>
      <c r="E3" s="447"/>
      <c r="F3" s="447"/>
    </row>
    <row r="5" spans="1:6" x14ac:dyDescent="0.25">
      <c r="A5" s="492" t="s">
        <v>91</v>
      </c>
      <c r="B5" s="492"/>
      <c r="C5" s="492"/>
      <c r="D5" s="492"/>
      <c r="E5" s="492"/>
      <c r="F5" s="492"/>
    </row>
    <row r="6" spans="1:6" x14ac:dyDescent="0.25">
      <c r="A6" s="493" t="s">
        <v>92</v>
      </c>
      <c r="B6" s="494" t="s">
        <v>93</v>
      </c>
      <c r="C6" s="492" t="s">
        <v>94</v>
      </c>
      <c r="D6" s="492"/>
      <c r="E6" s="492" t="s">
        <v>95</v>
      </c>
      <c r="F6" s="492"/>
    </row>
    <row r="7" spans="1:6" ht="22.5" x14ac:dyDescent="0.25">
      <c r="A7" s="493"/>
      <c r="B7" s="494"/>
      <c r="C7" s="111" t="s">
        <v>96</v>
      </c>
      <c r="D7" s="111" t="s">
        <v>97</v>
      </c>
      <c r="E7" s="111" t="s">
        <v>96</v>
      </c>
      <c r="F7" s="111" t="s">
        <v>97</v>
      </c>
    </row>
    <row r="8" spans="1:6" x14ac:dyDescent="0.25">
      <c r="A8" s="492" t="s">
        <v>98</v>
      </c>
      <c r="B8" s="492"/>
      <c r="C8" s="492"/>
      <c r="D8" s="492"/>
      <c r="E8" s="492"/>
      <c r="F8" s="492"/>
    </row>
    <row r="9" spans="1:6" x14ac:dyDescent="0.25">
      <c r="A9" s="111" t="s">
        <v>99</v>
      </c>
      <c r="B9" s="112" t="s">
        <v>100</v>
      </c>
      <c r="C9" s="113">
        <v>0.05</v>
      </c>
      <c r="D9" s="113">
        <v>0.05</v>
      </c>
      <c r="E9" s="113">
        <v>0.2</v>
      </c>
      <c r="F9" s="113">
        <v>0.2</v>
      </c>
    </row>
    <row r="10" spans="1:6" x14ac:dyDescent="0.25">
      <c r="A10" s="111" t="s">
        <v>101</v>
      </c>
      <c r="B10" s="112" t="s">
        <v>102</v>
      </c>
      <c r="C10" s="113">
        <v>1.4999999999999999E-2</v>
      </c>
      <c r="D10" s="113">
        <v>1.4999999999999999E-2</v>
      </c>
      <c r="E10" s="113">
        <v>1.4999999999999999E-2</v>
      </c>
      <c r="F10" s="113">
        <v>1.4999999999999999E-2</v>
      </c>
    </row>
    <row r="11" spans="1:6" x14ac:dyDescent="0.25">
      <c r="A11" s="111" t="s">
        <v>103</v>
      </c>
      <c r="B11" s="112" t="s">
        <v>104</v>
      </c>
      <c r="C11" s="113">
        <v>0.01</v>
      </c>
      <c r="D11" s="113">
        <v>0.01</v>
      </c>
      <c r="E11" s="113">
        <v>0.01</v>
      </c>
      <c r="F11" s="113">
        <v>0.01</v>
      </c>
    </row>
    <row r="12" spans="1:6" x14ac:dyDescent="0.25">
      <c r="A12" s="111" t="s">
        <v>105</v>
      </c>
      <c r="B12" s="112" t="s">
        <v>106</v>
      </c>
      <c r="C12" s="113">
        <v>2E-3</v>
      </c>
      <c r="D12" s="113">
        <v>2E-3</v>
      </c>
      <c r="E12" s="113">
        <v>2E-3</v>
      </c>
      <c r="F12" s="113">
        <v>2E-3</v>
      </c>
    </row>
    <row r="13" spans="1:6" x14ac:dyDescent="0.25">
      <c r="A13" s="111" t="s">
        <v>107</v>
      </c>
      <c r="B13" s="112" t="s">
        <v>108</v>
      </c>
      <c r="C13" s="113">
        <v>6.0000000000000001E-3</v>
      </c>
      <c r="D13" s="113">
        <v>6.0000000000000001E-3</v>
      </c>
      <c r="E13" s="113">
        <v>6.0000000000000001E-3</v>
      </c>
      <c r="F13" s="113">
        <v>6.0000000000000001E-3</v>
      </c>
    </row>
    <row r="14" spans="1:6" x14ac:dyDescent="0.25">
      <c r="A14" s="111" t="s">
        <v>109</v>
      </c>
      <c r="B14" s="112" t="s">
        <v>110</v>
      </c>
      <c r="C14" s="113">
        <v>2.5000000000000001E-2</v>
      </c>
      <c r="D14" s="113">
        <v>2.5000000000000001E-2</v>
      </c>
      <c r="E14" s="113">
        <v>2.5000000000000001E-2</v>
      </c>
      <c r="F14" s="113">
        <v>2.5000000000000001E-2</v>
      </c>
    </row>
    <row r="15" spans="1:6" x14ac:dyDescent="0.25">
      <c r="A15" s="111" t="s">
        <v>111</v>
      </c>
      <c r="B15" s="112" t="s">
        <v>112</v>
      </c>
      <c r="C15" s="113">
        <v>0.03</v>
      </c>
      <c r="D15" s="113">
        <v>0.03</v>
      </c>
      <c r="E15" s="113">
        <v>0.03</v>
      </c>
      <c r="F15" s="113">
        <v>0.03</v>
      </c>
    </row>
    <row r="16" spans="1:6" x14ac:dyDescent="0.25">
      <c r="A16" s="111" t="s">
        <v>113</v>
      </c>
      <c r="B16" s="112" t="s">
        <v>114</v>
      </c>
      <c r="C16" s="113">
        <v>0.08</v>
      </c>
      <c r="D16" s="113">
        <v>0.08</v>
      </c>
      <c r="E16" s="113">
        <v>0.08</v>
      </c>
      <c r="F16" s="113">
        <v>0.08</v>
      </c>
    </row>
    <row r="17" spans="1:6" x14ac:dyDescent="0.25">
      <c r="A17" s="111" t="s">
        <v>115</v>
      </c>
      <c r="B17" s="112" t="s">
        <v>116</v>
      </c>
      <c r="C17" s="113">
        <v>0</v>
      </c>
      <c r="D17" s="113">
        <v>0</v>
      </c>
      <c r="E17" s="113">
        <v>0</v>
      </c>
      <c r="F17" s="113">
        <v>0</v>
      </c>
    </row>
    <row r="18" spans="1:6" x14ac:dyDescent="0.25">
      <c r="A18" s="114" t="s">
        <v>117</v>
      </c>
      <c r="B18" s="115" t="s">
        <v>118</v>
      </c>
      <c r="C18" s="116">
        <f>SUM(C9:C17)</f>
        <v>0.21800000000000003</v>
      </c>
      <c r="D18" s="116">
        <f t="shared" ref="D18:F18" si="0">SUM(D9:D17)</f>
        <v>0.21800000000000003</v>
      </c>
      <c r="E18" s="116">
        <f t="shared" si="0"/>
        <v>0.36800000000000005</v>
      </c>
      <c r="F18" s="116">
        <f t="shared" si="0"/>
        <v>0.36800000000000005</v>
      </c>
    </row>
    <row r="19" spans="1:6" x14ac:dyDescent="0.25">
      <c r="A19" s="492" t="s">
        <v>119</v>
      </c>
      <c r="B19" s="492"/>
      <c r="C19" s="492"/>
      <c r="D19" s="492"/>
      <c r="E19" s="492"/>
      <c r="F19" s="492"/>
    </row>
    <row r="20" spans="1:6" x14ac:dyDescent="0.25">
      <c r="A20" s="111" t="s">
        <v>120</v>
      </c>
      <c r="B20" s="112" t="s">
        <v>121</v>
      </c>
      <c r="C20" s="113">
        <v>0.1782</v>
      </c>
      <c r="D20" s="111" t="s">
        <v>122</v>
      </c>
      <c r="E20" s="113">
        <v>0.1782</v>
      </c>
      <c r="F20" s="111" t="s">
        <v>122</v>
      </c>
    </row>
    <row r="21" spans="1:6" x14ac:dyDescent="0.25">
      <c r="A21" s="111" t="s">
        <v>123</v>
      </c>
      <c r="B21" s="112" t="s">
        <v>124</v>
      </c>
      <c r="C21" s="113">
        <v>3.95E-2</v>
      </c>
      <c r="D21" s="111" t="s">
        <v>122</v>
      </c>
      <c r="E21" s="113">
        <v>3.95E-2</v>
      </c>
      <c r="F21" s="111" t="s">
        <v>122</v>
      </c>
    </row>
    <row r="22" spans="1:6" x14ac:dyDescent="0.25">
      <c r="A22" s="111" t="s">
        <v>125</v>
      </c>
      <c r="B22" s="112" t="s">
        <v>126</v>
      </c>
      <c r="C22" s="113">
        <v>8.6E-3</v>
      </c>
      <c r="D22" s="113">
        <v>6.4999999999999997E-3</v>
      </c>
      <c r="E22" s="113">
        <v>8.6E-3</v>
      </c>
      <c r="F22" s="113">
        <v>6.4999999999999997E-3</v>
      </c>
    </row>
    <row r="23" spans="1:6" x14ac:dyDescent="0.25">
      <c r="A23" s="111" t="s">
        <v>127</v>
      </c>
      <c r="B23" s="112" t="s">
        <v>128</v>
      </c>
      <c r="C23" s="113">
        <v>0.1096</v>
      </c>
      <c r="D23" s="113">
        <v>8.3299999999999999E-2</v>
      </c>
      <c r="E23" s="113">
        <v>0.1096</v>
      </c>
      <c r="F23" s="113">
        <v>8.3299999999999999E-2</v>
      </c>
    </row>
    <row r="24" spans="1:6" x14ac:dyDescent="0.25">
      <c r="A24" s="111" t="s">
        <v>129</v>
      </c>
      <c r="B24" s="112" t="s">
        <v>130</v>
      </c>
      <c r="C24" s="113">
        <v>6.9999999999999999E-4</v>
      </c>
      <c r="D24" s="113">
        <v>5.0000000000000001E-4</v>
      </c>
      <c r="E24" s="113">
        <v>6.9999999999999999E-4</v>
      </c>
      <c r="F24" s="113">
        <v>5.0000000000000001E-4</v>
      </c>
    </row>
    <row r="25" spans="1:6" x14ac:dyDescent="0.25">
      <c r="A25" s="111" t="s">
        <v>131</v>
      </c>
      <c r="B25" s="112" t="s">
        <v>132</v>
      </c>
      <c r="C25" s="113">
        <v>7.3000000000000001E-3</v>
      </c>
      <c r="D25" s="113">
        <v>5.5999999999999999E-3</v>
      </c>
      <c r="E25" s="113">
        <v>7.3000000000000001E-3</v>
      </c>
      <c r="F25" s="113">
        <v>5.5999999999999999E-3</v>
      </c>
    </row>
    <row r="26" spans="1:6" x14ac:dyDescent="0.25">
      <c r="A26" s="111" t="s">
        <v>133</v>
      </c>
      <c r="B26" s="112" t="s">
        <v>134</v>
      </c>
      <c r="C26" s="113">
        <v>1.17E-2</v>
      </c>
      <c r="D26" s="111" t="s">
        <v>122</v>
      </c>
      <c r="E26" s="113">
        <v>1.17E-2</v>
      </c>
      <c r="F26" s="111" t="s">
        <v>122</v>
      </c>
    </row>
    <row r="27" spans="1:6" x14ac:dyDescent="0.25">
      <c r="A27" s="111" t="s">
        <v>135</v>
      </c>
      <c r="B27" s="112" t="s">
        <v>136</v>
      </c>
      <c r="C27" s="113">
        <v>1E-3</v>
      </c>
      <c r="D27" s="113">
        <v>6.9999999999999999E-4</v>
      </c>
      <c r="E27" s="113">
        <v>1E-3</v>
      </c>
      <c r="F27" s="113">
        <v>6.9999999999999999E-4</v>
      </c>
    </row>
    <row r="28" spans="1:6" x14ac:dyDescent="0.25">
      <c r="A28" s="111" t="s">
        <v>137</v>
      </c>
      <c r="B28" s="112" t="s">
        <v>138</v>
      </c>
      <c r="C28" s="113">
        <v>0.1171</v>
      </c>
      <c r="D28" s="113">
        <v>8.8999999999999996E-2</v>
      </c>
      <c r="E28" s="113">
        <v>0.1171</v>
      </c>
      <c r="F28" s="113">
        <v>8.8999999999999996E-2</v>
      </c>
    </row>
    <row r="29" spans="1:6" x14ac:dyDescent="0.25">
      <c r="A29" s="111" t="s">
        <v>139</v>
      </c>
      <c r="B29" s="112" t="s">
        <v>140</v>
      </c>
      <c r="C29" s="113">
        <v>2.9999999999999997E-4</v>
      </c>
      <c r="D29" s="113">
        <v>2.9999999999999997E-4</v>
      </c>
      <c r="E29" s="113">
        <v>2.9999999999999997E-4</v>
      </c>
      <c r="F29" s="113">
        <v>2.9999999999999997E-4</v>
      </c>
    </row>
    <row r="30" spans="1:6" x14ac:dyDescent="0.25">
      <c r="A30" s="114" t="s">
        <v>141</v>
      </c>
      <c r="B30" s="115" t="s">
        <v>118</v>
      </c>
      <c r="C30" s="116">
        <f>SUM(C20:C29)</f>
        <v>0.47399999999999992</v>
      </c>
      <c r="D30" s="116">
        <f t="shared" ref="D30:F30" si="1">SUM(D20:D29)</f>
        <v>0.18589999999999998</v>
      </c>
      <c r="E30" s="116">
        <f t="shared" si="1"/>
        <v>0.47399999999999992</v>
      </c>
      <c r="F30" s="116">
        <f t="shared" si="1"/>
        <v>0.18589999999999998</v>
      </c>
    </row>
    <row r="31" spans="1:6" x14ac:dyDescent="0.25">
      <c r="A31" s="492" t="s">
        <v>142</v>
      </c>
      <c r="B31" s="492"/>
      <c r="C31" s="492"/>
      <c r="D31" s="492"/>
      <c r="E31" s="492"/>
      <c r="F31" s="492"/>
    </row>
    <row r="32" spans="1:6" x14ac:dyDescent="0.25">
      <c r="A32" s="111" t="s">
        <v>143</v>
      </c>
      <c r="B32" s="112" t="s">
        <v>144</v>
      </c>
      <c r="C32" s="113">
        <v>5.2999999999999999E-2</v>
      </c>
      <c r="D32" s="113">
        <v>4.0300000000000002E-2</v>
      </c>
      <c r="E32" s="113">
        <v>5.2999999999999999E-2</v>
      </c>
      <c r="F32" s="113">
        <v>4.0300000000000002E-2</v>
      </c>
    </row>
    <row r="33" spans="1:6" x14ac:dyDescent="0.25">
      <c r="A33" s="111" t="s">
        <v>145</v>
      </c>
      <c r="B33" s="112" t="s">
        <v>146</v>
      </c>
      <c r="C33" s="113">
        <v>1.1999999999999999E-3</v>
      </c>
      <c r="D33" s="113">
        <v>8.9999999999999998E-4</v>
      </c>
      <c r="E33" s="113">
        <v>1.1999999999999999E-3</v>
      </c>
      <c r="F33" s="113">
        <v>8.9999999999999998E-4</v>
      </c>
    </row>
    <row r="34" spans="1:6" x14ac:dyDescent="0.25">
      <c r="A34" s="111" t="s">
        <v>147</v>
      </c>
      <c r="B34" s="112" t="s">
        <v>148</v>
      </c>
      <c r="C34" s="113">
        <v>2.46E-2</v>
      </c>
      <c r="D34" s="113">
        <v>1.8700000000000001E-2</v>
      </c>
      <c r="E34" s="113">
        <v>2.46E-2</v>
      </c>
      <c r="F34" s="113">
        <v>1.8700000000000001E-2</v>
      </c>
    </row>
    <row r="35" spans="1:6" x14ac:dyDescent="0.25">
      <c r="A35" s="111" t="s">
        <v>149</v>
      </c>
      <c r="B35" s="112" t="s">
        <v>150</v>
      </c>
      <c r="C35" s="113">
        <v>2.8899999999999999E-2</v>
      </c>
      <c r="D35" s="113">
        <v>2.1999999999999999E-2</v>
      </c>
      <c r="E35" s="113">
        <v>2.8899999999999999E-2</v>
      </c>
      <c r="F35" s="113">
        <v>2.1999999999999999E-2</v>
      </c>
    </row>
    <row r="36" spans="1:6" x14ac:dyDescent="0.25">
      <c r="A36" s="111" t="s">
        <v>151</v>
      </c>
      <c r="B36" s="112" t="s">
        <v>152</v>
      </c>
      <c r="C36" s="113">
        <v>4.4999999999999997E-3</v>
      </c>
      <c r="D36" s="113">
        <v>3.3999999999999998E-3</v>
      </c>
      <c r="E36" s="113">
        <v>4.4999999999999997E-3</v>
      </c>
      <c r="F36" s="113">
        <v>3.3999999999999998E-3</v>
      </c>
    </row>
    <row r="37" spans="1:6" x14ac:dyDescent="0.25">
      <c r="A37" s="114" t="s">
        <v>153</v>
      </c>
      <c r="B37" s="115" t="s">
        <v>118</v>
      </c>
      <c r="C37" s="116">
        <f>SUM(C32:C36)</f>
        <v>0.11219999999999999</v>
      </c>
      <c r="D37" s="116">
        <f t="shared" ref="D37:F37" si="2">SUM(D32:D36)</f>
        <v>8.5300000000000001E-2</v>
      </c>
      <c r="E37" s="116">
        <f t="shared" si="2"/>
        <v>0.11219999999999999</v>
      </c>
      <c r="F37" s="116">
        <f t="shared" si="2"/>
        <v>8.5300000000000001E-2</v>
      </c>
    </row>
    <row r="38" spans="1:6" x14ac:dyDescent="0.25">
      <c r="A38" s="492" t="s">
        <v>154</v>
      </c>
      <c r="B38" s="492"/>
      <c r="C38" s="492"/>
      <c r="D38" s="492"/>
      <c r="E38" s="492"/>
      <c r="F38" s="492"/>
    </row>
    <row r="39" spans="1:6" x14ac:dyDescent="0.25">
      <c r="A39" s="111" t="s">
        <v>155</v>
      </c>
      <c r="B39" s="112" t="s">
        <v>156</v>
      </c>
      <c r="C39" s="113">
        <v>9.7900000000000001E-2</v>
      </c>
      <c r="D39" s="113">
        <v>3.6400000000000002E-2</v>
      </c>
      <c r="E39" s="113">
        <v>0.1744</v>
      </c>
      <c r="F39" s="113">
        <v>6.8400000000000002E-2</v>
      </c>
    </row>
    <row r="40" spans="1:6" ht="33.75" x14ac:dyDescent="0.25">
      <c r="A40" s="111" t="s">
        <v>157</v>
      </c>
      <c r="B40" s="112" t="s">
        <v>158</v>
      </c>
      <c r="C40" s="113">
        <v>4.4999999999999997E-3</v>
      </c>
      <c r="D40" s="113">
        <v>3.3999999999999998E-3</v>
      </c>
      <c r="E40" s="113">
        <v>4.7000000000000002E-3</v>
      </c>
      <c r="F40" s="113">
        <v>3.5999999999999999E-3</v>
      </c>
    </row>
    <row r="41" spans="1:6" x14ac:dyDescent="0.25">
      <c r="A41" s="114" t="s">
        <v>159</v>
      </c>
      <c r="B41" s="115" t="s">
        <v>118</v>
      </c>
      <c r="C41" s="116">
        <f>SUM(C39:C40)</f>
        <v>0.1024</v>
      </c>
      <c r="D41" s="116">
        <f t="shared" ref="D41:F41" si="3">SUM(D39:D40)</f>
        <v>3.9800000000000002E-2</v>
      </c>
      <c r="E41" s="116">
        <f t="shared" si="3"/>
        <v>0.17910000000000001</v>
      </c>
      <c r="F41" s="116">
        <f t="shared" si="3"/>
        <v>7.2000000000000008E-2</v>
      </c>
    </row>
    <row r="42" spans="1:6" x14ac:dyDescent="0.25">
      <c r="A42" s="493" t="s">
        <v>160</v>
      </c>
      <c r="B42" s="493"/>
      <c r="C42" s="116">
        <f>SUM(C41,C37,C30,C18)</f>
        <v>0.90659999999999985</v>
      </c>
      <c r="D42" s="116">
        <f t="shared" ref="D42:F42" si="4">SUM(D41,D37,D30,D18)</f>
        <v>0.52899999999999991</v>
      </c>
      <c r="E42" s="116">
        <f t="shared" si="4"/>
        <v>1.1333</v>
      </c>
      <c r="F42" s="116">
        <f t="shared" si="4"/>
        <v>0.71120000000000005</v>
      </c>
    </row>
  </sheetData>
  <sheetProtection algorithmName="SHA-512" hashValue="QJd0Ny7A+jwum2sRWiTI27NF1pv0yx9y24SLCQki70cNsNg3rsgzYF+BkFKUsj8w66vW9FmbRgKukknXhY9LFQ==" saltValue="w7Io4x2GYPE+XYgd1weY3g==" spinCount="100000" sheet="1" objects="1" scenarios="1" selectLockedCells="1" selectUnlockedCells="1"/>
  <mergeCells count="13">
    <mergeCell ref="A1:F1"/>
    <mergeCell ref="A2:F2"/>
    <mergeCell ref="A3:F3"/>
    <mergeCell ref="A5:F5"/>
    <mergeCell ref="A6:A7"/>
    <mergeCell ref="B6:B7"/>
    <mergeCell ref="C6:D6"/>
    <mergeCell ref="E6:F6"/>
    <mergeCell ref="A8:F8"/>
    <mergeCell ref="A19:F19"/>
    <mergeCell ref="A31:F31"/>
    <mergeCell ref="A38:F38"/>
    <mergeCell ref="A42:B42"/>
  </mergeCells>
  <pageMargins left="0.51181102362204722" right="0.51181102362204722" top="1.7716535433070868" bottom="1.1811023622047245" header="0.51181102362204722" footer="0.51181102362204722"/>
  <pageSetup paperSize="9" scale="97" fitToHeight="0" orientation="portrait" r:id="rId1"/>
  <headerFooter>
    <oddHeader>&amp;C&amp;G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D27"/>
  <sheetViews>
    <sheetView topLeftCell="A18" workbookViewId="0">
      <selection activeCell="F24" sqref="F24:G24"/>
    </sheetView>
  </sheetViews>
  <sheetFormatPr defaultRowHeight="15" x14ac:dyDescent="0.25"/>
  <cols>
    <col min="1" max="1" width="25.5703125" bestFit="1" customWidth="1"/>
    <col min="2" max="2" width="68" bestFit="1" customWidth="1"/>
    <col min="3" max="3" width="19" customWidth="1"/>
    <col min="4" max="4" width="16.28515625" customWidth="1"/>
  </cols>
  <sheetData>
    <row r="1" spans="1:4" x14ac:dyDescent="0.25">
      <c r="A1" s="497" t="s">
        <v>241</v>
      </c>
      <c r="B1" s="497"/>
      <c r="C1" s="497"/>
      <c r="D1" s="497"/>
    </row>
    <row r="2" spans="1:4" x14ac:dyDescent="0.25">
      <c r="A2" s="498" t="s">
        <v>377</v>
      </c>
      <c r="B2" s="499"/>
      <c r="C2" s="499"/>
      <c r="D2" s="499"/>
    </row>
    <row r="3" spans="1:4" x14ac:dyDescent="0.25">
      <c r="A3" s="498" t="s">
        <v>397</v>
      </c>
      <c r="B3" s="497"/>
      <c r="C3" s="497"/>
      <c r="D3" s="497"/>
    </row>
    <row r="4" spans="1:4" x14ac:dyDescent="0.25">
      <c r="A4" s="500" t="s">
        <v>399</v>
      </c>
      <c r="B4" s="500"/>
      <c r="C4" s="500"/>
      <c r="D4" s="500"/>
    </row>
    <row r="5" spans="1:4" x14ac:dyDescent="0.25">
      <c r="A5" s="496" t="s">
        <v>242</v>
      </c>
      <c r="B5" s="496"/>
      <c r="C5" s="496"/>
      <c r="D5" s="189">
        <f>ENCARGOS!E42</f>
        <v>1.1333</v>
      </c>
    </row>
    <row r="6" spans="1:4" x14ac:dyDescent="0.25">
      <c r="A6" s="496" t="s">
        <v>243</v>
      </c>
      <c r="B6" s="496"/>
      <c r="C6" s="496"/>
      <c r="D6" s="189">
        <f>ENCARGOS!F42</f>
        <v>0.71120000000000005</v>
      </c>
    </row>
    <row r="7" spans="1:4" x14ac:dyDescent="0.25">
      <c r="A7" s="496" t="s">
        <v>193</v>
      </c>
      <c r="B7" s="496"/>
      <c r="C7" s="496"/>
      <c r="D7" s="189">
        <v>0.21959999999999999</v>
      </c>
    </row>
    <row r="8" spans="1:4" x14ac:dyDescent="0.25">
      <c r="A8" s="501"/>
      <c r="B8" s="502"/>
      <c r="C8" s="502"/>
      <c r="D8" s="503"/>
    </row>
    <row r="9" spans="1:4" x14ac:dyDescent="0.25">
      <c r="A9" s="497" t="s">
        <v>244</v>
      </c>
      <c r="B9" s="497" t="s">
        <v>245</v>
      </c>
      <c r="C9" s="497" t="s">
        <v>246</v>
      </c>
      <c r="D9" s="504" t="s">
        <v>21</v>
      </c>
    </row>
    <row r="10" spans="1:4" x14ac:dyDescent="0.25">
      <c r="A10" s="497"/>
      <c r="B10" s="497"/>
      <c r="C10" s="497"/>
      <c r="D10" s="505"/>
    </row>
    <row r="11" spans="1:4" x14ac:dyDescent="0.25">
      <c r="A11" s="507" t="s">
        <v>31</v>
      </c>
      <c r="B11" s="323" t="s">
        <v>38</v>
      </c>
      <c r="C11" s="506">
        <f>'ORÇAMENTO CD'!H10</f>
        <v>30194.02</v>
      </c>
      <c r="D11" s="495">
        <f>C11/$C$27</f>
        <v>7.2437622753008329E-2</v>
      </c>
    </row>
    <row r="12" spans="1:4" x14ac:dyDescent="0.25">
      <c r="A12" s="507"/>
      <c r="B12" s="323" t="s">
        <v>39</v>
      </c>
      <c r="C12" s="506"/>
      <c r="D12" s="495"/>
    </row>
    <row r="13" spans="1:4" x14ac:dyDescent="0.25">
      <c r="A13" s="507"/>
      <c r="B13" s="323" t="s">
        <v>310</v>
      </c>
      <c r="C13" s="506"/>
      <c r="D13" s="495"/>
    </row>
    <row r="14" spans="1:4" x14ac:dyDescent="0.25">
      <c r="A14" s="520"/>
      <c r="B14" s="521"/>
      <c r="C14" s="521"/>
      <c r="D14" s="522"/>
    </row>
    <row r="15" spans="1:4" x14ac:dyDescent="0.25">
      <c r="A15" s="190" t="s">
        <v>247</v>
      </c>
      <c r="B15" s="191" t="s">
        <v>174</v>
      </c>
      <c r="C15" s="192">
        <f>'ORÇAMENTO CD'!H15</f>
        <v>2609.25</v>
      </c>
      <c r="D15" s="193">
        <f>C15/$C$27</f>
        <v>6.2597781669445473E-3</v>
      </c>
    </row>
    <row r="16" spans="1:4" x14ac:dyDescent="0.25">
      <c r="A16" s="510"/>
      <c r="B16" s="511"/>
      <c r="C16" s="511"/>
      <c r="D16" s="512"/>
    </row>
    <row r="17" spans="1:4" ht="25.5" customHeight="1" x14ac:dyDescent="0.25">
      <c r="A17" s="529" t="s">
        <v>248</v>
      </c>
      <c r="B17" s="518" t="str">
        <f>'ORÇAMENTO SD'!C19</f>
        <v>Execução de pavimento em paralelepípedos, rejuntamento com argamassa traço 1:3 (cimento e areia)</v>
      </c>
      <c r="C17" s="526">
        <f>'ORÇAMENTO CD'!H18</f>
        <v>320754</v>
      </c>
      <c r="D17" s="523">
        <f>C17/C27</f>
        <v>0.76951188508580293</v>
      </c>
    </row>
    <row r="18" spans="1:4" x14ac:dyDescent="0.25">
      <c r="A18" s="530"/>
      <c r="B18" s="519"/>
      <c r="C18" s="527"/>
      <c r="D18" s="524"/>
    </row>
    <row r="19" spans="1:4" x14ac:dyDescent="0.25">
      <c r="A19" s="531"/>
      <c r="B19" s="191" t="str">
        <f>'ORÇAMENTO SD'!C20</f>
        <v xml:space="preserve">Compactação Mecânica </v>
      </c>
      <c r="C19" s="528"/>
      <c r="D19" s="525"/>
    </row>
    <row r="20" spans="1:4" x14ac:dyDescent="0.25">
      <c r="A20" s="510"/>
      <c r="B20" s="511"/>
      <c r="C20" s="511"/>
      <c r="D20" s="512"/>
    </row>
    <row r="21" spans="1:4" ht="38.25" x14ac:dyDescent="0.25">
      <c r="A21" s="513" t="s">
        <v>249</v>
      </c>
      <c r="B21" s="194" t="str">
        <f>'ORÇAMENTO SD'!C23</f>
        <v>Assentamento de guia (meio-fio), confeccionada em concreto pré-fabricado, dimensões 100x15x13x30 (comprimento x base inferiror x base superior x altura), para vias urbanas</v>
      </c>
      <c r="C21" s="515">
        <f>'ORÇAMENTO CD'!H22</f>
        <v>60844.159999999996</v>
      </c>
      <c r="D21" s="516">
        <f>C21/C27</f>
        <v>0.14596951014815779</v>
      </c>
    </row>
    <row r="22" spans="1:4" ht="25.5" x14ac:dyDescent="0.25">
      <c r="A22" s="514"/>
      <c r="B22" s="194" t="s">
        <v>280</v>
      </c>
      <c r="C22" s="515"/>
      <c r="D22" s="517"/>
    </row>
    <row r="23" spans="1:4" x14ac:dyDescent="0.25">
      <c r="A23" s="510"/>
      <c r="B23" s="511"/>
      <c r="C23" s="511"/>
      <c r="D23" s="512"/>
    </row>
    <row r="24" spans="1:4" x14ac:dyDescent="0.25">
      <c r="A24" s="268" t="s">
        <v>237</v>
      </c>
      <c r="B24" s="195" t="str">
        <f>'ORÇAMENTO SD'!C27</f>
        <v>Transporte com caminhão basculante de 10 m³, em via urbana em leito natural</v>
      </c>
      <c r="C24" s="269">
        <f>'ORÇAMENTO CD'!H26</f>
        <v>1956.88</v>
      </c>
      <c r="D24" s="270">
        <f>C24/C27</f>
        <v>4.6946956785783069E-3</v>
      </c>
    </row>
    <row r="25" spans="1:4" x14ac:dyDescent="0.25">
      <c r="A25" s="510"/>
      <c r="B25" s="511"/>
      <c r="C25" s="511"/>
      <c r="D25" s="512"/>
    </row>
    <row r="26" spans="1:4" ht="25.5" x14ac:dyDescent="0.25">
      <c r="A26" s="268" t="s">
        <v>277</v>
      </c>
      <c r="B26" s="195" t="str">
        <f>'ORÇAMENTO SD'!C30</f>
        <v>Placa esmaltada para identificação de nome de rua, dimensões 45 x 20 cm com tubo de aço</v>
      </c>
      <c r="C26" s="269">
        <f>'ORÇAMENTO CD'!H29</f>
        <v>469.56</v>
      </c>
      <c r="D26" s="270">
        <f>C26/C27</f>
        <v>1.1265081675080892E-3</v>
      </c>
    </row>
    <row r="27" spans="1:4" x14ac:dyDescent="0.25">
      <c r="A27" s="508" t="s">
        <v>208</v>
      </c>
      <c r="B27" s="509"/>
      <c r="C27" s="196">
        <f>SUM(C24,C21,C17,C15,C11,C26)</f>
        <v>416827.87</v>
      </c>
      <c r="D27" s="197">
        <f>SUM(D24,D21,D17,D15,D11,D26,)</f>
        <v>1</v>
      </c>
    </row>
  </sheetData>
  <sheetProtection algorithmName="SHA-512" hashValue="WwYalgQ/6+AADdGLm+JvxnrSw+xae0HROX4QcnleRDjFdBG8of6UvG+FeWxIRzkODmRS7Yqzj9LbprHhFKslLw==" saltValue="c2670dmXI4uSrEJgzAB6sw==" spinCount="100000" sheet="1" objects="1" scenarios="1" selectLockedCells="1" selectUnlockedCells="1"/>
  <mergeCells count="28">
    <mergeCell ref="B17:B18"/>
    <mergeCell ref="A14:D14"/>
    <mergeCell ref="A16:D16"/>
    <mergeCell ref="D17:D19"/>
    <mergeCell ref="C17:C19"/>
    <mergeCell ref="A17:A19"/>
    <mergeCell ref="A27:B27"/>
    <mergeCell ref="A20:D20"/>
    <mergeCell ref="A21:A22"/>
    <mergeCell ref="C21:C22"/>
    <mergeCell ref="D21:D22"/>
    <mergeCell ref="A23:D23"/>
    <mergeCell ref="A25:D25"/>
    <mergeCell ref="D11:D13"/>
    <mergeCell ref="A6:C6"/>
    <mergeCell ref="A1:D1"/>
    <mergeCell ref="A2:D2"/>
    <mergeCell ref="A3:D3"/>
    <mergeCell ref="A4:D4"/>
    <mergeCell ref="A5:C5"/>
    <mergeCell ref="A7:C7"/>
    <mergeCell ref="A8:D8"/>
    <mergeCell ref="A9:A10"/>
    <mergeCell ref="B9:B10"/>
    <mergeCell ref="C9:C10"/>
    <mergeCell ref="D9:D10"/>
    <mergeCell ref="C11:C13"/>
    <mergeCell ref="A11:A13"/>
  </mergeCells>
  <pageMargins left="0.39370078740157483" right="0.39370078740157483" top="1.1811023622047245" bottom="1.1811023622047245" header="0" footer="0"/>
  <pageSetup paperSize="9" scale="73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F13"/>
  <sheetViews>
    <sheetView tabSelected="1" workbookViewId="0">
      <selection activeCell="D4" sqref="D4:D5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7.855468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50" t="s">
        <v>42</v>
      </c>
      <c r="B1" s="350"/>
      <c r="C1" s="350"/>
      <c r="D1" s="350"/>
      <c r="E1" s="350"/>
      <c r="F1" s="350"/>
    </row>
    <row r="2" spans="1:6" ht="33.75" x14ac:dyDescent="0.25">
      <c r="A2" s="351" t="s">
        <v>370</v>
      </c>
      <c r="B2" s="352"/>
      <c r="C2" s="353" t="s">
        <v>391</v>
      </c>
      <c r="D2" s="353"/>
      <c r="E2" s="24" t="s">
        <v>41</v>
      </c>
      <c r="F2" s="25" t="s">
        <v>340</v>
      </c>
    </row>
    <row r="3" spans="1:6" x14ac:dyDescent="0.25">
      <c r="A3" s="354" t="s">
        <v>371</v>
      </c>
      <c r="B3" s="355"/>
      <c r="C3" s="355"/>
      <c r="D3" s="355"/>
      <c r="E3" s="26" t="s">
        <v>24</v>
      </c>
      <c r="F3" s="27">
        <f>'GERAL '!B12</f>
        <v>3675</v>
      </c>
    </row>
    <row r="4" spans="1:6" x14ac:dyDescent="0.25">
      <c r="A4" s="346" t="s">
        <v>25</v>
      </c>
      <c r="B4" s="346" t="s">
        <v>26</v>
      </c>
      <c r="C4" s="346" t="s">
        <v>27</v>
      </c>
      <c r="D4" s="348" t="s">
        <v>28</v>
      </c>
      <c r="E4" s="356" t="s">
        <v>29</v>
      </c>
      <c r="F4" s="357"/>
    </row>
    <row r="5" spans="1:6" x14ac:dyDescent="0.25">
      <c r="A5" s="347"/>
      <c r="B5" s="347"/>
      <c r="C5" s="347"/>
      <c r="D5" s="349"/>
      <c r="E5" s="358"/>
      <c r="F5" s="359"/>
    </row>
    <row r="6" spans="1:6" x14ac:dyDescent="0.25">
      <c r="A6" s="28" t="s">
        <v>30</v>
      </c>
      <c r="B6" s="342" t="s">
        <v>31</v>
      </c>
      <c r="C6" s="343"/>
      <c r="D6" s="343"/>
      <c r="E6" s="344">
        <f>SUM(E7:F9)</f>
        <v>31516.62</v>
      </c>
      <c r="F6" s="345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39">
        <f>'ORÇAMENTO SD'!H11</f>
        <v>3395.64</v>
      </c>
      <c r="F7" s="340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39">
        <f>'ORÇAMENTO SD'!H12</f>
        <v>14523.48</v>
      </c>
      <c r="F8" s="340"/>
    </row>
    <row r="9" spans="1:6" x14ac:dyDescent="0.25">
      <c r="A9" s="29" t="s">
        <v>361</v>
      </c>
      <c r="B9" s="36" t="s">
        <v>39</v>
      </c>
      <c r="C9" s="30" t="s">
        <v>15</v>
      </c>
      <c r="D9" s="37">
        <f>'ORÇAMENTO SD'!E13</f>
        <v>3675</v>
      </c>
      <c r="E9" s="339">
        <f>'ORÇAMENTO SD'!H13</f>
        <v>13597.5</v>
      </c>
      <c r="F9" s="340"/>
    </row>
    <row r="10" spans="1:6" x14ac:dyDescent="0.25">
      <c r="A10" s="28" t="s">
        <v>33</v>
      </c>
      <c r="B10" s="342" t="s">
        <v>34</v>
      </c>
      <c r="C10" s="343"/>
      <c r="D10" s="343"/>
      <c r="E10" s="344">
        <f>SUM(E11:F11)</f>
        <v>389246.08999999997</v>
      </c>
      <c r="F10" s="345"/>
    </row>
    <row r="11" spans="1:6" x14ac:dyDescent="0.25">
      <c r="A11" s="29" t="s">
        <v>35</v>
      </c>
      <c r="B11" s="36" t="s">
        <v>369</v>
      </c>
      <c r="C11" s="30" t="s">
        <v>36</v>
      </c>
      <c r="D11" s="38">
        <v>1</v>
      </c>
      <c r="E11" s="339">
        <f>SUM('ORÇAMENTO SD'!H29,'ORÇAMENTO SD'!H26,'ORÇAMENTO SD'!H22,'ORÇAMENTO SD'!H18,'ORÇAMENTO SD'!H15)</f>
        <v>389246.08999999997</v>
      </c>
      <c r="F11" s="340"/>
    </row>
    <row r="12" spans="1:6" x14ac:dyDescent="0.25">
      <c r="A12" s="31"/>
      <c r="B12" s="32"/>
      <c r="C12" s="32"/>
      <c r="D12" s="33"/>
      <c r="E12" s="33"/>
      <c r="F12" s="34"/>
    </row>
    <row r="13" spans="1:6" x14ac:dyDescent="0.25">
      <c r="A13" s="341" t="s">
        <v>37</v>
      </c>
      <c r="B13" s="341"/>
      <c r="C13" s="341"/>
      <c r="D13" s="341"/>
      <c r="E13" s="341"/>
      <c r="F13" s="35">
        <f>E6+E10</f>
        <v>420762.70999999996</v>
      </c>
    </row>
  </sheetData>
  <sheetProtection algorithmName="SHA-512" hashValue="sO5ziEFcoOEc2xhrYjKp8SVgSi4fJUAMMwERmAaTV7916f5QkRcllH/ul0ruVFOzZHfikHXjsiO5U4m340jEcQ==" saltValue="9jIQPCLdTkuX8T9JPVFwOg==" spinCount="100000" sheet="1" objects="1" scenarios="1" selectLockedCells="1" selectUnlockedCells="1"/>
  <mergeCells count="18">
    <mergeCell ref="A4:A5"/>
    <mergeCell ref="B4:B5"/>
    <mergeCell ref="C4:C5"/>
    <mergeCell ref="D4:D5"/>
    <mergeCell ref="A1:F1"/>
    <mergeCell ref="A2:B2"/>
    <mergeCell ref="C2:D2"/>
    <mergeCell ref="A3:D3"/>
    <mergeCell ref="E4:F5"/>
    <mergeCell ref="E11:F11"/>
    <mergeCell ref="A13:E13"/>
    <mergeCell ref="B6:D6"/>
    <mergeCell ref="E6:F6"/>
    <mergeCell ref="E8:F8"/>
    <mergeCell ref="B10:D10"/>
    <mergeCell ref="E10:F10"/>
    <mergeCell ref="E7:F7"/>
    <mergeCell ref="E9:F9"/>
  </mergeCells>
  <phoneticPr fontId="20" type="noConversion"/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H34"/>
  <sheetViews>
    <sheetView topLeftCell="A12" zoomScaleNormal="100" workbookViewId="0">
      <selection sqref="A1:G1"/>
    </sheetView>
  </sheetViews>
  <sheetFormatPr defaultRowHeight="15" x14ac:dyDescent="0.25"/>
  <cols>
    <col min="1" max="1" width="9.140625" style="23"/>
    <col min="2" max="2" width="32.42578125" bestFit="1" customWidth="1"/>
    <col min="3" max="3" width="7.28515625" customWidth="1"/>
    <col min="4" max="4" width="15.28515625" customWidth="1"/>
    <col min="5" max="5" width="14.42578125" bestFit="1" customWidth="1"/>
    <col min="6" max="6" width="14.42578125" customWidth="1"/>
    <col min="7" max="7" width="14.42578125" bestFit="1" customWidth="1"/>
    <col min="8" max="8" width="12.140625" bestFit="1" customWidth="1"/>
  </cols>
  <sheetData>
    <row r="1" spans="1:7" x14ac:dyDescent="0.25">
      <c r="A1" s="378" t="s">
        <v>185</v>
      </c>
      <c r="B1" s="379"/>
      <c r="C1" s="379"/>
      <c r="D1" s="379"/>
      <c r="E1" s="379"/>
      <c r="F1" s="379"/>
      <c r="G1" s="380"/>
    </row>
    <row r="2" spans="1:7" ht="15" customHeight="1" x14ac:dyDescent="0.25">
      <c r="A2" s="381" t="str">
        <f>'RESUMO SD '!A2:B2</f>
        <v>OBJETO:  PAVIMENTAÇÃO DE VIAS PÚBLICAS NO MUNÍCIO DE PAJEÚ DO PIAUÍ-PI</v>
      </c>
      <c r="B2" s="382"/>
      <c r="C2" s="382"/>
      <c r="D2" s="382"/>
      <c r="E2" s="382"/>
      <c r="F2" s="382"/>
      <c r="G2" s="383"/>
    </row>
    <row r="3" spans="1:7" x14ac:dyDescent="0.25">
      <c r="A3" s="384"/>
      <c r="B3" s="385"/>
      <c r="C3" s="385"/>
      <c r="D3" s="385"/>
      <c r="E3" s="385"/>
      <c r="F3" s="385"/>
      <c r="G3" s="386"/>
    </row>
    <row r="4" spans="1:7" ht="15.75" customHeight="1" x14ac:dyDescent="0.25">
      <c r="A4" s="387" t="s">
        <v>25</v>
      </c>
      <c r="B4" s="387" t="s">
        <v>186</v>
      </c>
      <c r="C4" s="388" t="s">
        <v>190</v>
      </c>
      <c r="D4" s="389" t="s">
        <v>235</v>
      </c>
      <c r="E4" s="390" t="s">
        <v>187</v>
      </c>
      <c r="F4" s="390"/>
      <c r="G4" s="390"/>
    </row>
    <row r="5" spans="1:7" ht="23.25" customHeight="1" x14ac:dyDescent="0.25">
      <c r="A5" s="387"/>
      <c r="B5" s="387"/>
      <c r="C5" s="388"/>
      <c r="D5" s="389"/>
      <c r="E5" s="274">
        <v>30</v>
      </c>
      <c r="F5" s="274">
        <v>90</v>
      </c>
      <c r="G5" s="274">
        <v>60</v>
      </c>
    </row>
    <row r="6" spans="1:7" x14ac:dyDescent="0.25">
      <c r="A6" s="273" t="s">
        <v>30</v>
      </c>
      <c r="B6" s="371" t="s">
        <v>31</v>
      </c>
      <c r="C6" s="372"/>
      <c r="D6" s="372"/>
      <c r="E6" s="372"/>
      <c r="F6" s="372"/>
      <c r="G6" s="373"/>
    </row>
    <row r="7" spans="1:7" x14ac:dyDescent="0.25">
      <c r="A7" s="374" t="s">
        <v>32</v>
      </c>
      <c r="B7" s="375" t="s">
        <v>38</v>
      </c>
      <c r="C7" s="376">
        <f>D7/$D$31</f>
        <v>8.0702018484480244E-3</v>
      </c>
      <c r="D7" s="377">
        <f>'ORÇAMENTO SD'!H11</f>
        <v>3395.64</v>
      </c>
      <c r="E7" s="133">
        <f>D7*E8</f>
        <v>3395.64</v>
      </c>
      <c r="F7" s="133"/>
      <c r="G7" s="134"/>
    </row>
    <row r="8" spans="1:7" x14ac:dyDescent="0.25">
      <c r="A8" s="374"/>
      <c r="B8" s="375"/>
      <c r="C8" s="376"/>
      <c r="D8" s="377"/>
      <c r="E8" s="135">
        <v>1</v>
      </c>
      <c r="F8" s="135"/>
      <c r="G8" s="135"/>
    </row>
    <row r="9" spans="1:7" x14ac:dyDescent="0.25">
      <c r="A9" s="374" t="s">
        <v>172</v>
      </c>
      <c r="B9" s="375" t="s">
        <v>39</v>
      </c>
      <c r="C9" s="376">
        <f>D9/$D$31</f>
        <v>3.451703217711475E-2</v>
      </c>
      <c r="D9" s="377">
        <f>'ORÇAMENTO SD'!H12</f>
        <v>14523.48</v>
      </c>
      <c r="E9" s="133">
        <f>D9/3</f>
        <v>4841.16</v>
      </c>
      <c r="F9" s="133">
        <f>D9/3</f>
        <v>4841.16</v>
      </c>
      <c r="G9" s="133">
        <f>D9/3</f>
        <v>4841.16</v>
      </c>
    </row>
    <row r="10" spans="1:7" x14ac:dyDescent="0.25">
      <c r="A10" s="374"/>
      <c r="B10" s="375"/>
      <c r="C10" s="376"/>
      <c r="D10" s="377"/>
      <c r="E10" s="135">
        <f>E9/D9</f>
        <v>0.33333333333333331</v>
      </c>
      <c r="F10" s="135">
        <f>F9/D9</f>
        <v>0.33333333333333331</v>
      </c>
      <c r="G10" s="135">
        <f>G9/D9</f>
        <v>0.33333333333333331</v>
      </c>
    </row>
    <row r="11" spans="1:7" x14ac:dyDescent="0.25">
      <c r="A11" s="374" t="s">
        <v>361</v>
      </c>
      <c r="B11" s="375" t="s">
        <v>310</v>
      </c>
      <c r="C11" s="376">
        <f>D11/$D$31</f>
        <v>3.2316314342589914E-2</v>
      </c>
      <c r="D11" s="377">
        <f>'ORÇAMENTO SD'!H13</f>
        <v>13597.5</v>
      </c>
      <c r="E11" s="133"/>
      <c r="F11" s="133"/>
      <c r="G11" s="133">
        <f>D11</f>
        <v>13597.5</v>
      </c>
    </row>
    <row r="12" spans="1:7" x14ac:dyDescent="0.25">
      <c r="A12" s="374"/>
      <c r="B12" s="375"/>
      <c r="C12" s="376"/>
      <c r="D12" s="377"/>
      <c r="E12" s="135"/>
      <c r="F12" s="135"/>
      <c r="G12" s="135">
        <f>G11/D11</f>
        <v>1</v>
      </c>
    </row>
    <row r="13" spans="1:7" x14ac:dyDescent="0.25">
      <c r="A13" s="31"/>
      <c r="B13" s="136"/>
      <c r="C13" s="137"/>
      <c r="D13" s="33"/>
      <c r="E13" s="138"/>
      <c r="F13" s="138"/>
      <c r="G13" s="139"/>
    </row>
    <row r="14" spans="1:7" x14ac:dyDescent="0.25">
      <c r="A14" s="273" t="s">
        <v>33</v>
      </c>
      <c r="B14" s="371" t="s">
        <v>34</v>
      </c>
      <c r="C14" s="372"/>
      <c r="D14" s="372"/>
      <c r="E14" s="372"/>
      <c r="F14" s="372"/>
      <c r="G14" s="373"/>
    </row>
    <row r="15" spans="1:7" x14ac:dyDescent="0.25">
      <c r="A15" s="374" t="s">
        <v>35</v>
      </c>
      <c r="B15" s="375" t="s">
        <v>247</v>
      </c>
      <c r="C15" s="376">
        <f>D15/$D$31</f>
        <v>6.2012386981726599E-3</v>
      </c>
      <c r="D15" s="377">
        <f>'ORÇAMENTO SD'!H15</f>
        <v>2609.25</v>
      </c>
      <c r="E15" s="133">
        <f>D15</f>
        <v>2609.25</v>
      </c>
      <c r="F15" s="133"/>
      <c r="G15" s="134"/>
    </row>
    <row r="16" spans="1:7" x14ac:dyDescent="0.25">
      <c r="A16" s="374"/>
      <c r="B16" s="375"/>
      <c r="C16" s="376"/>
      <c r="D16" s="377"/>
      <c r="E16" s="135">
        <f>E15/D15</f>
        <v>1</v>
      </c>
      <c r="F16" s="135"/>
      <c r="G16" s="135"/>
    </row>
    <row r="17" spans="1:8" x14ac:dyDescent="0.25">
      <c r="A17" s="257"/>
      <c r="B17" s="258"/>
      <c r="C17" s="258"/>
      <c r="D17" s="258"/>
      <c r="E17" s="258"/>
      <c r="F17" s="258"/>
      <c r="G17" s="259"/>
    </row>
    <row r="18" spans="1:8" x14ac:dyDescent="0.25">
      <c r="A18" s="374" t="s">
        <v>341</v>
      </c>
      <c r="B18" s="375" t="s">
        <v>176</v>
      </c>
      <c r="C18" s="376">
        <f>D18/$D$31</f>
        <v>0.77148649888674792</v>
      </c>
      <c r="D18" s="377">
        <f>'ORÇAMENTO SD'!H18</f>
        <v>324612.75</v>
      </c>
      <c r="E18" s="133">
        <f>E19*D18</f>
        <v>129845.1</v>
      </c>
      <c r="F18" s="133">
        <f>F19*D18</f>
        <v>97383.824999999997</v>
      </c>
      <c r="G18" s="133">
        <f>G19*D18</f>
        <v>97383.824999999997</v>
      </c>
    </row>
    <row r="19" spans="1:8" x14ac:dyDescent="0.25">
      <c r="A19" s="374"/>
      <c r="B19" s="375"/>
      <c r="C19" s="376"/>
      <c r="D19" s="377"/>
      <c r="E19" s="135">
        <v>0.4</v>
      </c>
      <c r="F19" s="135">
        <v>0.3</v>
      </c>
      <c r="G19" s="135">
        <v>0.3</v>
      </c>
    </row>
    <row r="20" spans="1:8" x14ac:dyDescent="0.25">
      <c r="A20" s="31"/>
      <c r="B20" s="136"/>
      <c r="C20" s="137"/>
      <c r="D20" s="33"/>
      <c r="E20" s="138"/>
      <c r="F20" s="138"/>
      <c r="G20" s="139"/>
    </row>
    <row r="21" spans="1:8" x14ac:dyDescent="0.25">
      <c r="A21" s="374" t="s">
        <v>342</v>
      </c>
      <c r="B21" s="375" t="s">
        <v>249</v>
      </c>
      <c r="C21" s="376">
        <f>D21/$D$31</f>
        <v>0.14182815772814089</v>
      </c>
      <c r="D21" s="377">
        <f>'ORÇAMENTO SD'!H22</f>
        <v>59676</v>
      </c>
      <c r="E21" s="133">
        <f>E22*D21</f>
        <v>17902.8</v>
      </c>
      <c r="F21" s="133">
        <f>F22*D21</f>
        <v>23870.400000000001</v>
      </c>
      <c r="G21" s="133">
        <f>G22*D21</f>
        <v>17902.8</v>
      </c>
    </row>
    <row r="22" spans="1:8" x14ac:dyDescent="0.25">
      <c r="A22" s="374"/>
      <c r="B22" s="375"/>
      <c r="C22" s="376"/>
      <c r="D22" s="377"/>
      <c r="E22" s="135">
        <v>0.3</v>
      </c>
      <c r="F22" s="135">
        <v>0.4</v>
      </c>
      <c r="G22" s="135">
        <v>0.3</v>
      </c>
    </row>
    <row r="23" spans="1:8" x14ac:dyDescent="0.25">
      <c r="A23" s="31"/>
      <c r="B23" s="136"/>
      <c r="C23" s="137"/>
      <c r="D23" s="33"/>
      <c r="E23" s="138"/>
      <c r="F23" s="138"/>
      <c r="G23" s="139"/>
    </row>
    <row r="24" spans="1:8" x14ac:dyDescent="0.25">
      <c r="A24" s="374" t="s">
        <v>343</v>
      </c>
      <c r="B24" s="375" t="s">
        <v>237</v>
      </c>
      <c r="C24" s="376">
        <f>D24/$D$31</f>
        <v>4.5065780662929952E-3</v>
      </c>
      <c r="D24" s="377">
        <f>'ORÇAMENTO SD'!H26</f>
        <v>1896.2</v>
      </c>
      <c r="E24" s="133">
        <f>E25*D24</f>
        <v>632.06666666666672</v>
      </c>
      <c r="F24" s="133">
        <f>F25*D24</f>
        <v>632.06666666666672</v>
      </c>
      <c r="G24" s="133">
        <f>G25*D24</f>
        <v>632.06666666666672</v>
      </c>
      <c r="H24" s="330"/>
    </row>
    <row r="25" spans="1:8" x14ac:dyDescent="0.25">
      <c r="A25" s="374"/>
      <c r="B25" s="375"/>
      <c r="C25" s="376"/>
      <c r="D25" s="377"/>
      <c r="E25" s="135">
        <v>0.33333333333333337</v>
      </c>
      <c r="F25" s="135">
        <v>0.33333333333333337</v>
      </c>
      <c r="G25" s="135">
        <v>0.33333333333333337</v>
      </c>
    </row>
    <row r="26" spans="1:8" x14ac:dyDescent="0.25">
      <c r="A26" s="31"/>
      <c r="B26" s="136"/>
      <c r="C26" s="137"/>
      <c r="D26" s="33"/>
      <c r="E26" s="138"/>
      <c r="F26" s="138"/>
      <c r="G26" s="139"/>
    </row>
    <row r="27" spans="1:8" x14ac:dyDescent="0.25">
      <c r="A27" s="374" t="s">
        <v>344</v>
      </c>
      <c r="B27" s="375" t="s">
        <v>324</v>
      </c>
      <c r="C27" s="376">
        <f>D27/$D$31</f>
        <v>1.0739782524929551E-3</v>
      </c>
      <c r="D27" s="377">
        <f>'ORÇAMENTO SD'!H29</f>
        <v>451.89</v>
      </c>
      <c r="E27" s="133"/>
      <c r="F27" s="133"/>
      <c r="G27" s="133">
        <f>D27</f>
        <v>451.89</v>
      </c>
    </row>
    <row r="28" spans="1:8" x14ac:dyDescent="0.25">
      <c r="A28" s="374"/>
      <c r="B28" s="375"/>
      <c r="C28" s="376"/>
      <c r="D28" s="377"/>
      <c r="E28" s="135"/>
      <c r="F28" s="135"/>
      <c r="G28" s="135">
        <f>G27/D27</f>
        <v>1</v>
      </c>
    </row>
    <row r="29" spans="1:8" x14ac:dyDescent="0.25">
      <c r="A29" s="31"/>
      <c r="B29" s="136"/>
      <c r="C29" s="137"/>
      <c r="D29" s="33"/>
      <c r="E29" s="138"/>
      <c r="F29" s="138"/>
      <c r="G29" s="139"/>
    </row>
    <row r="30" spans="1:8" x14ac:dyDescent="0.25">
      <c r="A30" s="257"/>
      <c r="B30" s="258"/>
      <c r="C30" s="258"/>
      <c r="D30" s="258"/>
      <c r="E30" s="258"/>
      <c r="F30" s="258"/>
      <c r="G30" s="259"/>
    </row>
    <row r="31" spans="1:8" x14ac:dyDescent="0.25">
      <c r="A31" s="360" t="s">
        <v>188</v>
      </c>
      <c r="B31" s="361"/>
      <c r="C31" s="366"/>
      <c r="D31" s="364">
        <f>SUM(D27,D24,D21,D18,D15,D11,D9,D7)</f>
        <v>420762.70999999996</v>
      </c>
      <c r="E31" s="271">
        <f>SUM(E27,E24,E21,E18,E15,E9,E7,E11)</f>
        <v>159226.01666666669</v>
      </c>
      <c r="F31" s="271">
        <f>SUM(F27,F24,F21,F18,F15,F9,F7,F11)</f>
        <v>126727.45166666666</v>
      </c>
      <c r="G31" s="271">
        <f>SUM(G27,G24,G21,G18,G15,G9,G7,G11)</f>
        <v>134809.24166666667</v>
      </c>
    </row>
    <row r="32" spans="1:8" x14ac:dyDescent="0.25">
      <c r="A32" s="362"/>
      <c r="B32" s="363"/>
      <c r="C32" s="367"/>
      <c r="D32" s="365"/>
      <c r="E32" s="271">
        <f>E31</f>
        <v>159226.01666666669</v>
      </c>
      <c r="F32" s="271">
        <f>E32+F31</f>
        <v>285953.46833333338</v>
      </c>
      <c r="G32" s="271">
        <f>F32+G31</f>
        <v>420762.71000000008</v>
      </c>
    </row>
    <row r="33" spans="1:7" x14ac:dyDescent="0.25">
      <c r="A33" s="360" t="s">
        <v>189</v>
      </c>
      <c r="B33" s="361"/>
      <c r="C33" s="367"/>
      <c r="D33" s="369">
        <f>D31/$D$31</f>
        <v>1</v>
      </c>
      <c r="E33" s="272">
        <f>E31/$D$31</f>
        <v>0.37842235750089809</v>
      </c>
      <c r="F33" s="272">
        <f>F31/$D$31</f>
        <v>0.30118508283841661</v>
      </c>
      <c r="G33" s="272">
        <f>G31/$D$31</f>
        <v>0.32039255966068542</v>
      </c>
    </row>
    <row r="34" spans="1:7" x14ac:dyDescent="0.25">
      <c r="A34" s="362"/>
      <c r="B34" s="363"/>
      <c r="C34" s="368"/>
      <c r="D34" s="370"/>
      <c r="E34" s="272">
        <f>E32/$D$31</f>
        <v>0.37842235750089809</v>
      </c>
      <c r="F34" s="272">
        <f>F32/$D$31</f>
        <v>0.67960744033931475</v>
      </c>
      <c r="G34" s="272">
        <f>G32/$D$31</f>
        <v>1.0000000000000002</v>
      </c>
    </row>
  </sheetData>
  <sheetProtection algorithmName="SHA-512" hashValue="njQ8r8tJQHCtA3nrvm2TpDJcwP5fXEKHQD36Xl4vYgf1qokfB+NiSLu+O4Wv7cU66rdqdp5Fjsl7k6YaxdrNDA==" saltValue="k3fAqaJGc6xlND59qlCX8w==" spinCount="100000" sheet="1" objects="1" scenarios="1" selectLockedCells="1" selectUnlockedCells="1"/>
  <mergeCells count="47">
    <mergeCell ref="D24:D25"/>
    <mergeCell ref="A27:A28"/>
    <mergeCell ref="B27:B28"/>
    <mergeCell ref="C27:C28"/>
    <mergeCell ref="D27:D28"/>
    <mergeCell ref="A24:A25"/>
    <mergeCell ref="B24:B25"/>
    <mergeCell ref="C24:C25"/>
    <mergeCell ref="D15:D16"/>
    <mergeCell ref="A21:A22"/>
    <mergeCell ref="B21:B22"/>
    <mergeCell ref="C21:C22"/>
    <mergeCell ref="D21:D22"/>
    <mergeCell ref="D9:D10"/>
    <mergeCell ref="D18:D19"/>
    <mergeCell ref="A11:A12"/>
    <mergeCell ref="B11:B12"/>
    <mergeCell ref="C11:C12"/>
    <mergeCell ref="B18:B19"/>
    <mergeCell ref="C18:C19"/>
    <mergeCell ref="A9:A10"/>
    <mergeCell ref="B9:B10"/>
    <mergeCell ref="C9:C10"/>
    <mergeCell ref="D11:D12"/>
    <mergeCell ref="A18:A19"/>
    <mergeCell ref="B14:G14"/>
    <mergeCell ref="A15:A16"/>
    <mergeCell ref="B15:B16"/>
    <mergeCell ref="C15:C16"/>
    <mergeCell ref="A1:G1"/>
    <mergeCell ref="A2:G2"/>
    <mergeCell ref="A3:G3"/>
    <mergeCell ref="A4:A5"/>
    <mergeCell ref="B4:B5"/>
    <mergeCell ref="C4:C5"/>
    <mergeCell ref="D4:D5"/>
    <mergeCell ref="E4:G4"/>
    <mergeCell ref="B6:G6"/>
    <mergeCell ref="A7:A8"/>
    <mergeCell ref="B7:B8"/>
    <mergeCell ref="C7:C8"/>
    <mergeCell ref="D7:D8"/>
    <mergeCell ref="A33:B34"/>
    <mergeCell ref="D31:D32"/>
    <mergeCell ref="C31:C34"/>
    <mergeCell ref="D33:D34"/>
    <mergeCell ref="A31:B32"/>
  </mergeCells>
  <conditionalFormatting sqref="E17:G17">
    <cfRule type="expression" dxfId="49" priority="1" stopIfTrue="1">
      <formula>LEN(TRIM(E17))&gt;0</formula>
    </cfRule>
  </conditionalFormatting>
  <conditionalFormatting sqref="E30:G30">
    <cfRule type="expression" dxfId="48" priority="27" stopIfTrue="1">
      <formula>LEN(TRIM(E30))&gt;0</formula>
    </cfRule>
  </conditionalFormatting>
  <pageMargins left="0.51181102362204722" right="0.51181102362204722" top="1.7716535433070868" bottom="1.1811023622047245" header="0.51181102362204722" footer="0.51181102362204722"/>
  <pageSetup paperSize="9" scale="85" fitToHeight="0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H32"/>
  <sheetViews>
    <sheetView workbookViewId="0">
      <selection activeCell="C35" sqref="C35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50" t="s">
        <v>163</v>
      </c>
      <c r="B1" s="350"/>
      <c r="C1" s="350"/>
      <c r="D1" s="350"/>
      <c r="E1" s="350"/>
      <c r="F1" s="350"/>
      <c r="G1" s="350"/>
      <c r="H1" s="350"/>
    </row>
    <row r="2" spans="1:8" ht="15" customHeight="1" x14ac:dyDescent="0.25">
      <c r="A2" s="350"/>
      <c r="B2" s="350"/>
      <c r="C2" s="350"/>
      <c r="D2" s="350"/>
      <c r="E2" s="350"/>
      <c r="F2" s="350"/>
      <c r="G2" s="350"/>
      <c r="H2" s="350"/>
    </row>
    <row r="3" spans="1:8" ht="23.25" customHeight="1" x14ac:dyDescent="0.25">
      <c r="A3" s="381" t="str">
        <f>'RESUMO SD '!A2:B2</f>
        <v>OBJETO:  PAVIMENTAÇÃO DE VIAS PÚBLICAS NO MUNÍCIO DE PAJEÚ DO PIAUÍ-PI</v>
      </c>
      <c r="B3" s="382"/>
      <c r="C3" s="382"/>
      <c r="D3" s="382"/>
      <c r="E3" s="382"/>
      <c r="F3" s="399" t="s">
        <v>391</v>
      </c>
      <c r="G3" s="399" t="str">
        <f>'RESUMO SD '!E2</f>
        <v>SEM DESONERAÇÃO
BDI: 21,96%</v>
      </c>
      <c r="H3" s="402" t="str">
        <f>'RESUMO SD '!F2</f>
        <v>HORISTA: 113,33%
MENSALISTA: 71,12%</v>
      </c>
    </row>
    <row r="4" spans="1:8" ht="15" customHeight="1" x14ac:dyDescent="0.25">
      <c r="A4" s="187" t="str">
        <f>'RESUMO SD '!A3:D3</f>
        <v xml:space="preserve">LOCAL: NOVA VEREDA </v>
      </c>
      <c r="B4" s="117"/>
      <c r="C4" s="117"/>
      <c r="D4" s="404"/>
      <c r="E4" s="404"/>
      <c r="F4" s="400"/>
      <c r="G4" s="400"/>
      <c r="H4" s="403"/>
    </row>
    <row r="5" spans="1:8" x14ac:dyDescent="0.25">
      <c r="A5" s="131"/>
      <c r="B5" s="117"/>
      <c r="C5" s="117"/>
      <c r="D5" s="201"/>
      <c r="E5" s="201"/>
      <c r="F5" s="199"/>
      <c r="G5" s="199"/>
      <c r="H5" s="200"/>
    </row>
    <row r="6" spans="1:8" x14ac:dyDescent="0.25">
      <c r="A6" s="263" t="s">
        <v>164</v>
      </c>
      <c r="B6" s="264" t="str">
        <f>'RESUMO SD '!B11</f>
        <v xml:space="preserve">RUA PROJETADA </v>
      </c>
      <c r="C6" s="265"/>
      <c r="D6" s="262" t="s">
        <v>165</v>
      </c>
      <c r="E6" s="266">
        <v>7</v>
      </c>
      <c r="F6" s="267"/>
      <c r="G6" s="267"/>
      <c r="H6" s="261"/>
    </row>
    <row r="7" spans="1:8" x14ac:dyDescent="0.25">
      <c r="A7" s="132" t="s">
        <v>166</v>
      </c>
      <c r="B7" s="130">
        <f>E7*E6</f>
        <v>3675</v>
      </c>
      <c r="C7" s="120"/>
      <c r="D7" s="121" t="s">
        <v>167</v>
      </c>
      <c r="E7" s="122">
        <v>525</v>
      </c>
      <c r="F7" s="123"/>
      <c r="G7" s="123"/>
      <c r="H7" s="207"/>
    </row>
    <row r="8" spans="1:8" x14ac:dyDescent="0.25">
      <c r="A8" s="346" t="s">
        <v>25</v>
      </c>
      <c r="B8" s="346" t="s">
        <v>92</v>
      </c>
      <c r="C8" s="346" t="s">
        <v>26</v>
      </c>
      <c r="D8" s="346" t="s">
        <v>27</v>
      </c>
      <c r="E8" s="348" t="s">
        <v>28</v>
      </c>
      <c r="F8" s="395" t="s">
        <v>168</v>
      </c>
      <c r="G8" s="396"/>
      <c r="H8" s="397"/>
    </row>
    <row r="9" spans="1:8" x14ac:dyDescent="0.25">
      <c r="A9" s="347"/>
      <c r="B9" s="347"/>
      <c r="C9" s="347"/>
      <c r="D9" s="347"/>
      <c r="E9" s="349"/>
      <c r="F9" s="124" t="s">
        <v>169</v>
      </c>
      <c r="G9" s="124" t="s">
        <v>170</v>
      </c>
      <c r="H9" s="198" t="s">
        <v>171</v>
      </c>
    </row>
    <row r="10" spans="1:8" x14ac:dyDescent="0.25">
      <c r="A10" s="28" t="s">
        <v>30</v>
      </c>
      <c r="B10" s="342" t="s">
        <v>360</v>
      </c>
      <c r="C10" s="343"/>
      <c r="D10" s="343"/>
      <c r="E10" s="343"/>
      <c r="F10" s="343"/>
      <c r="G10" s="398"/>
      <c r="H10" s="125">
        <f>SUM(H11:H13)</f>
        <v>31516.62</v>
      </c>
    </row>
    <row r="11" spans="1:8" x14ac:dyDescent="0.25">
      <c r="A11" s="29" t="s">
        <v>32</v>
      </c>
      <c r="B11" s="111" t="s">
        <v>272</v>
      </c>
      <c r="C11" s="126" t="s">
        <v>38</v>
      </c>
      <c r="D11" s="111" t="s">
        <v>15</v>
      </c>
      <c r="E11" s="127">
        <f>'Memoria de Calculo '!C12</f>
        <v>6</v>
      </c>
      <c r="F11" s="127">
        <f>'COMPOSIÇÕES UNITÁRIAS SD'!G7</f>
        <v>464.04</v>
      </c>
      <c r="G11" s="129">
        <f>ROUND(F11*1.2196,2)</f>
        <v>565.94000000000005</v>
      </c>
      <c r="H11" s="129">
        <f>ROUND(E11*G11,2)</f>
        <v>3395.64</v>
      </c>
    </row>
    <row r="12" spans="1:8" x14ac:dyDescent="0.25">
      <c r="A12" s="29" t="s">
        <v>172</v>
      </c>
      <c r="B12" s="111" t="s">
        <v>273</v>
      </c>
      <c r="C12" s="126" t="s">
        <v>39</v>
      </c>
      <c r="D12" s="111" t="s">
        <v>40</v>
      </c>
      <c r="E12" s="127">
        <v>2</v>
      </c>
      <c r="F12" s="127">
        <f>'COMPOSIÇÕES UNITÁRIAS SD'!G20</f>
        <v>5954.2</v>
      </c>
      <c r="G12" s="129">
        <f>ROUND(F12*1.2196,2)</f>
        <v>7261.74</v>
      </c>
      <c r="H12" s="129">
        <f>ROUND(E12*G12,2)</f>
        <v>14523.48</v>
      </c>
    </row>
    <row r="13" spans="1:8" x14ac:dyDescent="0.25">
      <c r="A13" s="29" t="s">
        <v>361</v>
      </c>
      <c r="B13" s="111" t="s">
        <v>389</v>
      </c>
      <c r="C13" s="126" t="s">
        <v>310</v>
      </c>
      <c r="D13" s="111" t="s">
        <v>15</v>
      </c>
      <c r="E13" s="127">
        <f>'Memoria de Calculo '!C20</f>
        <v>3675</v>
      </c>
      <c r="F13" s="127">
        <f>'COMPOSIÇÕES UNITÁRIAS SD'!G87</f>
        <v>3.03</v>
      </c>
      <c r="G13" s="129">
        <f>ROUND(F13*1.2196,2)</f>
        <v>3.7</v>
      </c>
      <c r="H13" s="129">
        <f>ROUND(E13*G13,2)</f>
        <v>13597.5</v>
      </c>
    </row>
    <row r="14" spans="1:8" x14ac:dyDescent="0.25">
      <c r="A14" s="391"/>
      <c r="B14" s="392"/>
      <c r="C14" s="392"/>
      <c r="D14" s="392"/>
      <c r="E14" s="392"/>
      <c r="F14" s="392"/>
      <c r="G14" s="392"/>
      <c r="H14" s="393"/>
    </row>
    <row r="15" spans="1:8" x14ac:dyDescent="0.25">
      <c r="A15" s="28" t="s">
        <v>33</v>
      </c>
      <c r="B15" s="394" t="s">
        <v>173</v>
      </c>
      <c r="C15" s="394"/>
      <c r="D15" s="394"/>
      <c r="E15" s="394"/>
      <c r="F15" s="394"/>
      <c r="G15" s="394"/>
      <c r="H15" s="125">
        <f>H16</f>
        <v>2609.25</v>
      </c>
    </row>
    <row r="16" spans="1:8" x14ac:dyDescent="0.25">
      <c r="A16" s="29" t="s">
        <v>35</v>
      </c>
      <c r="B16" s="111">
        <v>100575</v>
      </c>
      <c r="C16" s="128" t="s">
        <v>174</v>
      </c>
      <c r="D16" s="30" t="s">
        <v>15</v>
      </c>
      <c r="E16" s="127">
        <f>'Memoria de Calculo '!C46</f>
        <v>3675</v>
      </c>
      <c r="F16" s="127">
        <f>'COMPOSIÇÕES UNITÁRIAS SD'!$G$25</f>
        <v>0.57999999999999996</v>
      </c>
      <c r="G16" s="129">
        <f>ROUND(F16*1.2196,2)</f>
        <v>0.71</v>
      </c>
      <c r="H16" s="129">
        <f>ROUND(E16*G16,2)</f>
        <v>2609.25</v>
      </c>
    </row>
    <row r="17" spans="1:8" x14ac:dyDescent="0.25">
      <c r="A17" s="374"/>
      <c r="B17" s="374"/>
      <c r="C17" s="374"/>
      <c r="D17" s="374"/>
      <c r="E17" s="374"/>
      <c r="F17" s="374"/>
      <c r="G17" s="374"/>
      <c r="H17" s="374"/>
    </row>
    <row r="18" spans="1:8" x14ac:dyDescent="0.25">
      <c r="A18" s="28" t="s">
        <v>175</v>
      </c>
      <c r="B18" s="394" t="s">
        <v>176</v>
      </c>
      <c r="C18" s="394"/>
      <c r="D18" s="394"/>
      <c r="E18" s="394"/>
      <c r="F18" s="394"/>
      <c r="G18" s="394"/>
      <c r="H18" s="125">
        <f>SUM(H19:H20)</f>
        <v>324612.75</v>
      </c>
    </row>
    <row r="19" spans="1:8" ht="22.5" x14ac:dyDescent="0.25">
      <c r="A19" s="29" t="s">
        <v>177</v>
      </c>
      <c r="B19" s="111" t="s">
        <v>274</v>
      </c>
      <c r="C19" s="128" t="s">
        <v>275</v>
      </c>
      <c r="D19" s="30" t="s">
        <v>15</v>
      </c>
      <c r="E19" s="127">
        <f>'Memoria de Calculo '!C52</f>
        <v>3675</v>
      </c>
      <c r="F19" s="127">
        <f>'COMPOSIÇÕES UNITÁRIAS SD'!$G$38</f>
        <v>70.62</v>
      </c>
      <c r="G19" s="129">
        <f>ROUND(F19*1.2196,2)</f>
        <v>86.13</v>
      </c>
      <c r="H19" s="129">
        <f>ROUND(E19*G19,2)</f>
        <v>316527.75</v>
      </c>
    </row>
    <row r="20" spans="1:8" x14ac:dyDescent="0.25">
      <c r="A20" s="29" t="s">
        <v>345</v>
      </c>
      <c r="B20" s="111" t="s">
        <v>279</v>
      </c>
      <c r="C20" s="128" t="s">
        <v>383</v>
      </c>
      <c r="D20" s="30" t="s">
        <v>15</v>
      </c>
      <c r="E20" s="127">
        <f>'Memoria de Calculo '!C57</f>
        <v>3675</v>
      </c>
      <c r="F20" s="127">
        <f>'COMPOSIÇÕES UNITÁRIAS SD'!G50</f>
        <v>1.8</v>
      </c>
      <c r="G20" s="129">
        <f>ROUND(F20*1.2196,2)</f>
        <v>2.2000000000000002</v>
      </c>
      <c r="H20" s="129">
        <f>ROUND(E20*G20,2)</f>
        <v>8085</v>
      </c>
    </row>
    <row r="21" spans="1:8" x14ac:dyDescent="0.25">
      <c r="A21" s="374"/>
      <c r="B21" s="374"/>
      <c r="C21" s="374"/>
      <c r="D21" s="374"/>
      <c r="E21" s="374"/>
      <c r="F21" s="374"/>
      <c r="G21" s="374"/>
      <c r="H21" s="374"/>
    </row>
    <row r="22" spans="1:8" x14ac:dyDescent="0.25">
      <c r="A22" s="28" t="s">
        <v>178</v>
      </c>
      <c r="B22" s="394" t="s">
        <v>179</v>
      </c>
      <c r="C22" s="394"/>
      <c r="D22" s="394"/>
      <c r="E22" s="394"/>
      <c r="F22" s="394"/>
      <c r="G22" s="394"/>
      <c r="H22" s="125">
        <f>SUM(H23:H24)</f>
        <v>59676</v>
      </c>
    </row>
    <row r="23" spans="1:8" ht="33.75" x14ac:dyDescent="0.25">
      <c r="A23" s="29" t="s">
        <v>180</v>
      </c>
      <c r="B23" s="111">
        <v>94273</v>
      </c>
      <c r="C23" s="128" t="s">
        <v>181</v>
      </c>
      <c r="D23" s="30" t="s">
        <v>182</v>
      </c>
      <c r="E23" s="127">
        <f>'Memoria de Calculo '!C64</f>
        <v>1062</v>
      </c>
      <c r="F23" s="127">
        <f>'COMPOSIÇÕES UNITÁRIAS SD'!$G$56</f>
        <v>46.03</v>
      </c>
      <c r="G23" s="129">
        <f>ROUND(F23*1.2196,2)</f>
        <v>56.14</v>
      </c>
      <c r="H23" s="129">
        <f>ROUND(E23*G23,2)</f>
        <v>59620.68</v>
      </c>
    </row>
    <row r="24" spans="1:8" ht="22.5" x14ac:dyDescent="0.25">
      <c r="A24" s="29" t="s">
        <v>183</v>
      </c>
      <c r="B24" s="111" t="s">
        <v>292</v>
      </c>
      <c r="C24" s="128" t="s">
        <v>280</v>
      </c>
      <c r="D24" s="30" t="s">
        <v>182</v>
      </c>
      <c r="E24" s="127">
        <f>'Memoria de Calculo '!C68</f>
        <v>2</v>
      </c>
      <c r="F24" s="127">
        <f>'COMPOSIÇÕES UNITÁRIAS SD'!$G$64</f>
        <v>22.68</v>
      </c>
      <c r="G24" s="129">
        <f>ROUND(F24*1.2196,2)</f>
        <v>27.66</v>
      </c>
      <c r="H24" s="129">
        <f>ROUND(E24*G24,2)</f>
        <v>55.32</v>
      </c>
    </row>
    <row r="25" spans="1:8" x14ac:dyDescent="0.25">
      <c r="A25" s="374"/>
      <c r="B25" s="374"/>
      <c r="C25" s="374"/>
      <c r="D25" s="374"/>
      <c r="E25" s="374"/>
      <c r="F25" s="374"/>
      <c r="G25" s="374"/>
      <c r="H25" s="374"/>
    </row>
    <row r="26" spans="1:8" x14ac:dyDescent="0.25">
      <c r="A26" s="28" t="s">
        <v>239</v>
      </c>
      <c r="B26" s="394" t="s">
        <v>237</v>
      </c>
      <c r="C26" s="394"/>
      <c r="D26" s="394"/>
      <c r="E26" s="394"/>
      <c r="F26" s="394"/>
      <c r="G26" s="394"/>
      <c r="H26" s="125">
        <f>SUM(H27:H27)</f>
        <v>1896.2</v>
      </c>
    </row>
    <row r="27" spans="1:8" ht="22.5" x14ac:dyDescent="0.25">
      <c r="A27" s="29" t="s">
        <v>240</v>
      </c>
      <c r="B27" s="111">
        <v>93594</v>
      </c>
      <c r="C27" s="126" t="s">
        <v>372</v>
      </c>
      <c r="D27" s="30" t="s">
        <v>238</v>
      </c>
      <c r="E27" s="127">
        <f>'Memoria de Calculo '!C78</f>
        <v>758.48</v>
      </c>
      <c r="F27" s="127">
        <f>'COMPOSIÇÕES UNITÁRIAS SD'!$G$82</f>
        <v>2.0499999999999998</v>
      </c>
      <c r="G27" s="129">
        <f>ROUND(F27*1.2196,2)</f>
        <v>2.5</v>
      </c>
      <c r="H27" s="129">
        <f>ROUND(E27*G27,2)</f>
        <v>1896.2</v>
      </c>
    </row>
    <row r="28" spans="1:8" x14ac:dyDescent="0.25">
      <c r="A28" s="374"/>
      <c r="B28" s="374"/>
      <c r="C28" s="374"/>
      <c r="D28" s="374"/>
      <c r="E28" s="374"/>
      <c r="F28" s="374"/>
      <c r="G28" s="374"/>
      <c r="H28" s="374"/>
    </row>
    <row r="29" spans="1:8" x14ac:dyDescent="0.25">
      <c r="A29" s="28" t="s">
        <v>276</v>
      </c>
      <c r="B29" s="394" t="s">
        <v>277</v>
      </c>
      <c r="C29" s="394"/>
      <c r="D29" s="394"/>
      <c r="E29" s="394"/>
      <c r="F29" s="394"/>
      <c r="G29" s="394"/>
      <c r="H29" s="125">
        <f>SUM(H30:H30)</f>
        <v>451.89</v>
      </c>
    </row>
    <row r="30" spans="1:8" ht="22.5" x14ac:dyDescent="0.25">
      <c r="A30" s="29" t="s">
        <v>278</v>
      </c>
      <c r="B30" s="111" t="s">
        <v>380</v>
      </c>
      <c r="C30" s="128" t="s">
        <v>354</v>
      </c>
      <c r="D30" s="30" t="s">
        <v>294</v>
      </c>
      <c r="E30" s="127">
        <f>'Memoria de Calculo '!C83</f>
        <v>1</v>
      </c>
      <c r="F30" s="127">
        <f>'COMPOSIÇÕES UNITÁRIAS SD'!$G$73</f>
        <v>370.52</v>
      </c>
      <c r="G30" s="129">
        <f>ROUND(F30*1.2196,2)</f>
        <v>451.89</v>
      </c>
      <c r="H30" s="129">
        <f>ROUND(E30*G30,2)</f>
        <v>451.89</v>
      </c>
    </row>
    <row r="31" spans="1:8" x14ac:dyDescent="0.25">
      <c r="A31" s="374"/>
      <c r="B31" s="374"/>
      <c r="C31" s="374"/>
      <c r="D31" s="374"/>
      <c r="E31" s="374"/>
      <c r="F31" s="374"/>
      <c r="G31" s="374"/>
      <c r="H31" s="374"/>
    </row>
    <row r="32" spans="1:8" x14ac:dyDescent="0.25">
      <c r="A32" s="401" t="s">
        <v>236</v>
      </c>
      <c r="B32" s="401"/>
      <c r="C32" s="401"/>
      <c r="D32" s="401"/>
      <c r="E32" s="401"/>
      <c r="F32" s="401"/>
      <c r="G32" s="401"/>
      <c r="H32" s="206">
        <f>SUM(H29,H26,H22,H18,H15,H10)</f>
        <v>420762.70999999996</v>
      </c>
    </row>
  </sheetData>
  <sheetProtection algorithmName="SHA-512" hashValue="6TzT6eSjDrtx099fqMPu4RtMnOswI8sOcCRwJT0jKz3d9SR1joIGV9eZ0O0xLxYM48z2lNDLlsOr2LHuNXT5kg==" saltValue="V5x/Vc5qNFjQ5ipek9bS3Q==" spinCount="100000" sheet="1" objects="1" scenarios="1" selectLockedCells="1" selectUnlockedCells="1"/>
  <mergeCells count="25">
    <mergeCell ref="A32:G32"/>
    <mergeCell ref="B29:G29"/>
    <mergeCell ref="A31:H31"/>
    <mergeCell ref="G3:G4"/>
    <mergeCell ref="H3:H4"/>
    <mergeCell ref="B22:G22"/>
    <mergeCell ref="A28:H28"/>
    <mergeCell ref="A25:H25"/>
    <mergeCell ref="B26:G26"/>
    <mergeCell ref="D4:E4"/>
    <mergeCell ref="A21:H21"/>
    <mergeCell ref="A1:H2"/>
    <mergeCell ref="A14:H14"/>
    <mergeCell ref="B15:G15"/>
    <mergeCell ref="A17:H17"/>
    <mergeCell ref="B18:G18"/>
    <mergeCell ref="F8:H8"/>
    <mergeCell ref="B10:G10"/>
    <mergeCell ref="A8:A9"/>
    <mergeCell ref="B8:B9"/>
    <mergeCell ref="C8:C9"/>
    <mergeCell ref="D8:D9"/>
    <mergeCell ref="E8:E9"/>
    <mergeCell ref="A3:E3"/>
    <mergeCell ref="F3:F4"/>
  </mergeCells>
  <phoneticPr fontId="20" type="noConversion"/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J88"/>
  <sheetViews>
    <sheetView workbookViewId="0">
      <selection activeCell="F3" sqref="F3:F4"/>
    </sheetView>
  </sheetViews>
  <sheetFormatPr defaultRowHeight="15" x14ac:dyDescent="0.25"/>
  <cols>
    <col min="1" max="1" width="10.7109375" style="23" customWidth="1"/>
    <col min="2" max="2" width="13.140625" style="23" bestFit="1" customWidth="1"/>
    <col min="3" max="3" width="46.140625" customWidth="1"/>
    <col min="4" max="4" width="12" bestFit="1" customWidth="1"/>
    <col min="5" max="5" width="10" bestFit="1" customWidth="1"/>
    <col min="6" max="6" width="18.5703125" customWidth="1"/>
    <col min="7" max="7" width="19.28515625" customWidth="1"/>
    <col min="8" max="8" width="17.28515625" bestFit="1" customWidth="1"/>
    <col min="9" max="9" width="0" hidden="1" customWidth="1"/>
  </cols>
  <sheetData>
    <row r="1" spans="1:8" x14ac:dyDescent="0.25">
      <c r="A1" s="422" t="s">
        <v>192</v>
      </c>
      <c r="B1" s="423"/>
      <c r="C1" s="423"/>
      <c r="D1" s="423"/>
      <c r="E1" s="423"/>
      <c r="F1" s="423"/>
      <c r="G1" s="424"/>
    </row>
    <row r="2" spans="1:8" x14ac:dyDescent="0.25">
      <c r="A2" s="425"/>
      <c r="B2" s="426"/>
      <c r="C2" s="426"/>
      <c r="D2" s="426"/>
      <c r="E2" s="426"/>
      <c r="F2" s="426"/>
      <c r="G2" s="427"/>
    </row>
    <row r="3" spans="1:8" x14ac:dyDescent="0.25">
      <c r="A3" s="381" t="str">
        <f>'ORÇAMENTO SD'!A3:E3</f>
        <v>OBJETO:  PAVIMENTAÇÃO DE VIAS PÚBLICAS NO MUNÍCIO DE PAJEÚ DO PIAUÍ-PI</v>
      </c>
      <c r="B3" s="382"/>
      <c r="C3" s="382"/>
      <c r="D3" s="119" t="s">
        <v>193</v>
      </c>
      <c r="E3" s="143">
        <v>0.21959999999999999</v>
      </c>
      <c r="F3" s="400" t="str">
        <f>'ORÇAMENTO SD'!F3:F4</f>
        <v>FONTE:  
SINAPI 12/2025</v>
      </c>
      <c r="G3" s="403" t="str">
        <f>'ORÇAMENTO SD'!H3:H4</f>
        <v>HORISTA: 113,33%
MENSALISTA: 71,12%</v>
      </c>
    </row>
    <row r="4" spans="1:8" ht="25.5" customHeight="1" x14ac:dyDescent="0.25">
      <c r="A4" s="144" t="str">
        <f>'ORÇAMENTO SD'!A4</f>
        <v xml:space="preserve">LOCAL: NOVA VEREDA </v>
      </c>
      <c r="B4" s="145"/>
      <c r="C4" s="145"/>
      <c r="D4" s="430" t="s">
        <v>9</v>
      </c>
      <c r="E4" s="430"/>
      <c r="F4" s="428"/>
      <c r="G4" s="429"/>
    </row>
    <row r="5" spans="1:8" x14ac:dyDescent="0.25">
      <c r="A5" s="391"/>
      <c r="B5" s="392"/>
      <c r="C5" s="392"/>
      <c r="D5" s="392"/>
      <c r="E5" s="392"/>
      <c r="F5" s="392"/>
      <c r="G5" s="393"/>
    </row>
    <row r="6" spans="1:8" x14ac:dyDescent="0.25">
      <c r="A6" s="293" t="s">
        <v>195</v>
      </c>
      <c r="B6" s="294" t="s">
        <v>250</v>
      </c>
      <c r="C6" s="294" t="s">
        <v>196</v>
      </c>
      <c r="D6" s="295" t="s">
        <v>251</v>
      </c>
      <c r="E6" s="293" t="s">
        <v>252</v>
      </c>
      <c r="F6" s="293" t="s">
        <v>253</v>
      </c>
      <c r="G6" s="293" t="s">
        <v>118</v>
      </c>
    </row>
    <row r="7" spans="1:8" s="159" customFormat="1" ht="22.5" x14ac:dyDescent="0.25">
      <c r="A7" s="296" t="s">
        <v>282</v>
      </c>
      <c r="B7" s="297" t="s">
        <v>200</v>
      </c>
      <c r="C7" s="297" t="s">
        <v>296</v>
      </c>
      <c r="D7" s="298" t="s">
        <v>15</v>
      </c>
      <c r="E7" s="299">
        <v>1</v>
      </c>
      <c r="F7" s="300">
        <v>464.04</v>
      </c>
      <c r="G7" s="300">
        <v>464.04</v>
      </c>
      <c r="H7"/>
    </row>
    <row r="8" spans="1:8" x14ac:dyDescent="0.25">
      <c r="A8" s="202" t="s">
        <v>283</v>
      </c>
      <c r="B8" s="203" t="s">
        <v>200</v>
      </c>
      <c r="C8" s="203" t="s">
        <v>297</v>
      </c>
      <c r="D8" s="204" t="s">
        <v>15</v>
      </c>
      <c r="E8" s="205">
        <v>0.5</v>
      </c>
      <c r="F8" s="209">
        <v>25.31</v>
      </c>
      <c r="G8" s="209">
        <v>12.65</v>
      </c>
    </row>
    <row r="9" spans="1:8" x14ac:dyDescent="0.25">
      <c r="A9" s="202" t="s">
        <v>201</v>
      </c>
      <c r="B9" s="203" t="s">
        <v>200</v>
      </c>
      <c r="C9" s="203" t="s">
        <v>298</v>
      </c>
      <c r="D9" s="204" t="s">
        <v>202</v>
      </c>
      <c r="E9" s="205">
        <v>0.37290000000000001</v>
      </c>
      <c r="F9" s="209">
        <v>26.97</v>
      </c>
      <c r="G9" s="209">
        <v>10.050000000000001</v>
      </c>
    </row>
    <row r="10" spans="1:8" x14ac:dyDescent="0.25">
      <c r="A10" s="202" t="s">
        <v>203</v>
      </c>
      <c r="B10" s="203" t="s">
        <v>200</v>
      </c>
      <c r="C10" s="203" t="s">
        <v>215</v>
      </c>
      <c r="D10" s="204" t="s">
        <v>202</v>
      </c>
      <c r="E10" s="205">
        <v>1.1186</v>
      </c>
      <c r="F10" s="209">
        <v>21.71</v>
      </c>
      <c r="G10" s="209">
        <v>24.28</v>
      </c>
    </row>
    <row r="11" spans="1:8" ht="22.5" x14ac:dyDescent="0.25">
      <c r="A11" s="202" t="s">
        <v>284</v>
      </c>
      <c r="B11" s="203" t="s">
        <v>200</v>
      </c>
      <c r="C11" s="203" t="s">
        <v>299</v>
      </c>
      <c r="D11" s="204" t="s">
        <v>205</v>
      </c>
      <c r="E11" s="205">
        <v>3.2082999999999999</v>
      </c>
      <c r="F11" s="209">
        <v>5.0999999999999996</v>
      </c>
      <c r="G11" s="209">
        <v>16.36</v>
      </c>
    </row>
    <row r="12" spans="1:8" ht="22.5" x14ac:dyDescent="0.25">
      <c r="A12" s="202" t="s">
        <v>206</v>
      </c>
      <c r="B12" s="203" t="s">
        <v>200</v>
      </c>
      <c r="C12" s="203" t="s">
        <v>300</v>
      </c>
      <c r="D12" s="204" t="s">
        <v>15</v>
      </c>
      <c r="E12" s="205">
        <v>1</v>
      </c>
      <c r="F12" s="209">
        <v>400</v>
      </c>
      <c r="G12" s="209">
        <v>400</v>
      </c>
    </row>
    <row r="13" spans="1:8" x14ac:dyDescent="0.25">
      <c r="A13" s="202" t="s">
        <v>285</v>
      </c>
      <c r="B13" s="203" t="s">
        <v>200</v>
      </c>
      <c r="C13" s="203" t="s">
        <v>301</v>
      </c>
      <c r="D13" s="204" t="s">
        <v>207</v>
      </c>
      <c r="E13" s="205">
        <v>1.1299999999999999E-2</v>
      </c>
      <c r="F13" s="209">
        <v>38.700000000000003</v>
      </c>
      <c r="G13" s="209">
        <v>0.43</v>
      </c>
    </row>
    <row r="14" spans="1:8" x14ac:dyDescent="0.25">
      <c r="A14" s="202" t="s">
        <v>286</v>
      </c>
      <c r="B14" s="203" t="s">
        <v>200</v>
      </c>
      <c r="C14" s="203" t="s">
        <v>302</v>
      </c>
      <c r="D14" s="204" t="s">
        <v>207</v>
      </c>
      <c r="E14" s="205">
        <v>1.32E-2</v>
      </c>
      <c r="F14" s="209">
        <v>20.74</v>
      </c>
      <c r="G14" s="209">
        <v>0.27</v>
      </c>
    </row>
    <row r="15" spans="1:8" x14ac:dyDescent="0.25">
      <c r="A15" s="305"/>
      <c r="B15" s="305"/>
      <c r="C15" s="305"/>
      <c r="D15" s="305"/>
      <c r="E15" s="305"/>
      <c r="F15" s="305"/>
      <c r="G15" s="305"/>
    </row>
    <row r="16" spans="1:8" s="305" customFormat="1" x14ac:dyDescent="0.25">
      <c r="A16" s="432" t="s">
        <v>281</v>
      </c>
      <c r="B16" s="432"/>
      <c r="C16" s="432"/>
      <c r="D16" s="432"/>
      <c r="E16" s="432"/>
      <c r="F16" s="432"/>
      <c r="G16" s="307" t="s">
        <v>211</v>
      </c>
    </row>
    <row r="17" spans="1:10" x14ac:dyDescent="0.25">
      <c r="A17" s="431" t="s">
        <v>195</v>
      </c>
      <c r="B17" s="431"/>
      <c r="C17" s="146" t="s">
        <v>196</v>
      </c>
      <c r="D17" s="146" t="s">
        <v>197</v>
      </c>
      <c r="E17" s="146" t="s">
        <v>198</v>
      </c>
      <c r="F17" s="146" t="s">
        <v>199</v>
      </c>
      <c r="G17" s="146" t="s">
        <v>118</v>
      </c>
    </row>
    <row r="18" spans="1:10" x14ac:dyDescent="0.25">
      <c r="A18" s="147" t="s">
        <v>200</v>
      </c>
      <c r="B18" s="147">
        <v>90777</v>
      </c>
      <c r="C18" s="148" t="s">
        <v>212</v>
      </c>
      <c r="D18" s="147" t="s">
        <v>213</v>
      </c>
      <c r="E18" s="149">
        <v>35</v>
      </c>
      <c r="F18" s="150">
        <v>131.69999999999999</v>
      </c>
      <c r="G18" s="150">
        <v>4609.5</v>
      </c>
    </row>
    <row r="19" spans="1:10" x14ac:dyDescent="0.25">
      <c r="A19" s="147" t="s">
        <v>200</v>
      </c>
      <c r="B19" s="147">
        <v>90776</v>
      </c>
      <c r="C19" s="148" t="s">
        <v>214</v>
      </c>
      <c r="D19" s="147" t="s">
        <v>213</v>
      </c>
      <c r="E19" s="149">
        <v>35</v>
      </c>
      <c r="F19" s="150">
        <v>38.42</v>
      </c>
      <c r="G19" s="150">
        <v>1344.7</v>
      </c>
    </row>
    <row r="20" spans="1:10" x14ac:dyDescent="0.25">
      <c r="A20" s="118"/>
      <c r="B20" s="118"/>
      <c r="C20" s="151"/>
      <c r="D20" s="152"/>
      <c r="E20" s="412" t="s">
        <v>208</v>
      </c>
      <c r="F20" s="413"/>
      <c r="G20" s="153">
        <f>SUM(G18:G19)</f>
        <v>5954.2</v>
      </c>
    </row>
    <row r="21" spans="1:10" x14ac:dyDescent="0.25">
      <c r="A21" s="118"/>
      <c r="B21" s="118"/>
      <c r="C21" s="154"/>
      <c r="D21" s="154"/>
      <c r="E21" s="418" t="s">
        <v>209</v>
      </c>
      <c r="F21" s="419"/>
      <c r="G21" s="156">
        <f>ROUND(G20*21.96%,2)</f>
        <v>1307.54</v>
      </c>
    </row>
    <row r="22" spans="1:10" x14ac:dyDescent="0.25">
      <c r="A22" s="118"/>
      <c r="B22" s="118"/>
      <c r="C22" s="155"/>
      <c r="D22" s="155"/>
      <c r="E22" s="412" t="s">
        <v>210</v>
      </c>
      <c r="F22" s="413"/>
      <c r="G22" s="156">
        <f>SUM(G20:G21)</f>
        <v>7261.74</v>
      </c>
    </row>
    <row r="23" spans="1:10" x14ac:dyDescent="0.25">
      <c r="A23" s="417"/>
      <c r="B23" s="417"/>
      <c r="C23" s="417"/>
      <c r="D23" s="417"/>
      <c r="E23" s="417"/>
      <c r="F23" s="417"/>
      <c r="G23" s="417"/>
    </row>
    <row r="24" spans="1:10" s="305" customFormat="1" x14ac:dyDescent="0.25">
      <c r="A24" s="295" t="s">
        <v>195</v>
      </c>
      <c r="B24" s="295" t="s">
        <v>250</v>
      </c>
      <c r="C24" s="294" t="s">
        <v>196</v>
      </c>
      <c r="D24" s="295" t="s">
        <v>251</v>
      </c>
      <c r="E24" s="295" t="s">
        <v>252</v>
      </c>
      <c r="F24" s="295" t="s">
        <v>253</v>
      </c>
      <c r="G24" s="295" t="s">
        <v>118</v>
      </c>
    </row>
    <row r="25" spans="1:10" s="305" customFormat="1" ht="22.5" x14ac:dyDescent="0.25">
      <c r="A25" s="298" t="s">
        <v>287</v>
      </c>
      <c r="B25" s="298" t="s">
        <v>200</v>
      </c>
      <c r="C25" s="297" t="s">
        <v>303</v>
      </c>
      <c r="D25" s="298" t="s">
        <v>15</v>
      </c>
      <c r="E25" s="303">
        <v>1</v>
      </c>
      <c r="F25" s="304">
        <v>0.57999999999999996</v>
      </c>
      <c r="G25" s="304">
        <v>0.57999999999999996</v>
      </c>
      <c r="I25" s="306"/>
    </row>
    <row r="26" spans="1:10" ht="33.75" x14ac:dyDescent="0.25">
      <c r="A26" s="204" t="s">
        <v>288</v>
      </c>
      <c r="B26" s="204" t="s">
        <v>200</v>
      </c>
      <c r="C26" s="203" t="s">
        <v>304</v>
      </c>
      <c r="D26" s="204" t="s">
        <v>256</v>
      </c>
      <c r="E26" s="210">
        <v>3.0249999999999998E-4</v>
      </c>
      <c r="F26" s="211">
        <v>271.24</v>
      </c>
      <c r="G26" s="211">
        <v>0.08</v>
      </c>
    </row>
    <row r="27" spans="1:10" ht="45" customHeight="1" x14ac:dyDescent="0.25">
      <c r="A27" s="204" t="s">
        <v>289</v>
      </c>
      <c r="B27" s="204" t="s">
        <v>200</v>
      </c>
      <c r="C27" s="203" t="s">
        <v>305</v>
      </c>
      <c r="D27" s="204" t="s">
        <v>258</v>
      </c>
      <c r="E27" s="210">
        <v>7.3180000000000001E-4</v>
      </c>
      <c r="F27" s="211">
        <v>110.75</v>
      </c>
      <c r="G27" s="211">
        <v>0.08</v>
      </c>
    </row>
    <row r="28" spans="1:10" x14ac:dyDescent="0.25">
      <c r="A28" s="204" t="s">
        <v>203</v>
      </c>
      <c r="B28" s="204" t="s">
        <v>200</v>
      </c>
      <c r="C28" s="203" t="s">
        <v>215</v>
      </c>
      <c r="D28" s="204" t="s">
        <v>202</v>
      </c>
      <c r="E28" s="210">
        <v>1.0342999999999999E-3</v>
      </c>
      <c r="F28" s="211">
        <v>21.71</v>
      </c>
      <c r="G28" s="211">
        <v>0.02</v>
      </c>
    </row>
    <row r="29" spans="1:10" ht="33.75" x14ac:dyDescent="0.25">
      <c r="A29" s="204" t="s">
        <v>290</v>
      </c>
      <c r="B29" s="204" t="s">
        <v>200</v>
      </c>
      <c r="C29" s="203" t="s">
        <v>306</v>
      </c>
      <c r="D29" s="204" t="s">
        <v>258</v>
      </c>
      <c r="E29" s="210">
        <v>6.0956999999999999E-3</v>
      </c>
      <c r="F29" s="211">
        <v>66.3</v>
      </c>
      <c r="G29" s="211">
        <v>0.4</v>
      </c>
    </row>
    <row r="31" spans="1:10" s="306" customFormat="1" ht="25.5" customHeight="1" x14ac:dyDescent="0.25">
      <c r="A31" s="414" t="s">
        <v>295</v>
      </c>
      <c r="B31" s="415"/>
      <c r="C31" s="415"/>
      <c r="D31" s="415"/>
      <c r="E31" s="415"/>
      <c r="F31" s="416"/>
      <c r="G31" s="302" t="s">
        <v>194</v>
      </c>
      <c r="H31" s="305"/>
      <c r="I31" s="305"/>
      <c r="J31" s="305"/>
    </row>
    <row r="32" spans="1:10" x14ac:dyDescent="0.25">
      <c r="A32" s="414" t="s">
        <v>195</v>
      </c>
      <c r="B32" s="416"/>
      <c r="C32" s="301" t="s">
        <v>196</v>
      </c>
      <c r="D32" s="301" t="s">
        <v>197</v>
      </c>
      <c r="E32" s="301" t="s">
        <v>198</v>
      </c>
      <c r="F32" s="301" t="s">
        <v>199</v>
      </c>
      <c r="G32" s="301" t="s">
        <v>118</v>
      </c>
    </row>
    <row r="33" spans="1:10" x14ac:dyDescent="0.25">
      <c r="A33" s="147" t="s">
        <v>200</v>
      </c>
      <c r="B33" s="147">
        <v>88260</v>
      </c>
      <c r="C33" s="148" t="s">
        <v>216</v>
      </c>
      <c r="D33" s="147" t="s">
        <v>213</v>
      </c>
      <c r="E33" s="149">
        <v>0.40210000000000001</v>
      </c>
      <c r="F33" s="160">
        <v>27.19</v>
      </c>
      <c r="G33" s="150">
        <v>10.93</v>
      </c>
    </row>
    <row r="34" spans="1:10" x14ac:dyDescent="0.25">
      <c r="A34" s="147" t="s">
        <v>200</v>
      </c>
      <c r="B34" s="147">
        <v>88316</v>
      </c>
      <c r="C34" s="148" t="s">
        <v>215</v>
      </c>
      <c r="D34" s="147" t="s">
        <v>213</v>
      </c>
      <c r="E34" s="149">
        <v>0.40210000000000001</v>
      </c>
      <c r="F34" s="160">
        <v>21.71</v>
      </c>
      <c r="G34" s="150">
        <v>8.7200000000000006</v>
      </c>
    </row>
    <row r="35" spans="1:10" ht="22.5" x14ac:dyDescent="0.25">
      <c r="A35" s="147" t="s">
        <v>200</v>
      </c>
      <c r="B35" s="147">
        <v>88628</v>
      </c>
      <c r="C35" s="157" t="s">
        <v>307</v>
      </c>
      <c r="D35" s="147" t="s">
        <v>204</v>
      </c>
      <c r="E35" s="149">
        <v>2.0400000000000001E-2</v>
      </c>
      <c r="F35" s="160">
        <v>700.6</v>
      </c>
      <c r="G35" s="150">
        <v>14.29</v>
      </c>
    </row>
    <row r="36" spans="1:10" ht="22.5" x14ac:dyDescent="0.25">
      <c r="A36" s="147" t="s">
        <v>200</v>
      </c>
      <c r="B36" s="147">
        <v>367</v>
      </c>
      <c r="C36" s="157" t="s">
        <v>217</v>
      </c>
      <c r="D36" s="147" t="s">
        <v>204</v>
      </c>
      <c r="E36" s="149">
        <v>0.114</v>
      </c>
      <c r="F36" s="160">
        <v>96.24</v>
      </c>
      <c r="G36" s="150">
        <v>10.97</v>
      </c>
    </row>
    <row r="37" spans="1:10" x14ac:dyDescent="0.25">
      <c r="A37" s="308" t="s">
        <v>259</v>
      </c>
      <c r="B37" s="308" t="s">
        <v>260</v>
      </c>
      <c r="C37" s="309" t="s">
        <v>261</v>
      </c>
      <c r="D37" s="308" t="s">
        <v>218</v>
      </c>
      <c r="E37" s="310">
        <v>4.2000000000000003E-2</v>
      </c>
      <c r="F37" s="311">
        <v>612.20000000000005</v>
      </c>
      <c r="G37" s="311">
        <v>25.71</v>
      </c>
    </row>
    <row r="38" spans="1:10" x14ac:dyDescent="0.25">
      <c r="A38" s="118"/>
      <c r="B38" s="118"/>
      <c r="C38" s="151"/>
      <c r="D38" s="412" t="s">
        <v>208</v>
      </c>
      <c r="E38" s="413"/>
      <c r="F38" s="413"/>
      <c r="G38" s="153">
        <f>SUM(G33:G37)</f>
        <v>70.62</v>
      </c>
    </row>
    <row r="39" spans="1:10" s="159" customFormat="1" x14ac:dyDescent="0.25">
      <c r="A39" s="118"/>
      <c r="B39" s="118"/>
      <c r="C39" s="154"/>
      <c r="D39" s="418" t="s">
        <v>209</v>
      </c>
      <c r="E39" s="419"/>
      <c r="F39" s="419"/>
      <c r="G39" s="156">
        <f>ROUND(G38*21.96%,2)</f>
        <v>15.51</v>
      </c>
      <c r="H39"/>
      <c r="I39" s="161">
        <v>0.111</v>
      </c>
      <c r="J39"/>
    </row>
    <row r="40" spans="1:10" x14ac:dyDescent="0.25">
      <c r="A40" s="8"/>
      <c r="B40" s="8"/>
      <c r="C40" s="8"/>
      <c r="D40" s="420" t="s">
        <v>219</v>
      </c>
      <c r="E40" s="421"/>
      <c r="F40" s="421"/>
      <c r="G40" s="158">
        <f>SUM(G38:G39)</f>
        <v>86.13000000000001</v>
      </c>
    </row>
    <row r="41" spans="1:10" x14ac:dyDescent="0.25">
      <c r="A41" s="417"/>
      <c r="B41" s="417"/>
      <c r="C41" s="417"/>
      <c r="D41" s="417"/>
      <c r="E41" s="417"/>
      <c r="F41" s="417"/>
      <c r="G41" s="417"/>
    </row>
    <row r="42" spans="1:10" x14ac:dyDescent="0.25">
      <c r="A42" s="405" t="s">
        <v>262</v>
      </c>
      <c r="B42" s="406"/>
      <c r="C42" s="406"/>
      <c r="D42" s="406"/>
      <c r="E42" s="406"/>
      <c r="F42" s="407"/>
      <c r="G42" s="312" t="s">
        <v>263</v>
      </c>
      <c r="J42" s="159"/>
    </row>
    <row r="43" spans="1:10" x14ac:dyDescent="0.25">
      <c r="A43" s="408" t="s">
        <v>195</v>
      </c>
      <c r="B43" s="409"/>
      <c r="C43" s="146" t="s">
        <v>196</v>
      </c>
      <c r="D43" s="146" t="s">
        <v>197</v>
      </c>
      <c r="E43" s="146" t="s">
        <v>198</v>
      </c>
      <c r="F43" s="146" t="s">
        <v>199</v>
      </c>
      <c r="G43" s="146" t="s">
        <v>118</v>
      </c>
    </row>
    <row r="44" spans="1:10" x14ac:dyDescent="0.25">
      <c r="A44" s="147" t="s">
        <v>200</v>
      </c>
      <c r="B44" s="147">
        <v>88309</v>
      </c>
      <c r="C44" s="148" t="s">
        <v>264</v>
      </c>
      <c r="D44" s="147" t="s">
        <v>213</v>
      </c>
      <c r="E44" s="149">
        <v>12</v>
      </c>
      <c r="F44" s="160">
        <v>21.71</v>
      </c>
      <c r="G44" s="150">
        <v>260.52</v>
      </c>
    </row>
    <row r="45" spans="1:10" x14ac:dyDescent="0.25">
      <c r="A45" s="147" t="s">
        <v>200</v>
      </c>
      <c r="B45" s="147">
        <v>88316</v>
      </c>
      <c r="C45" s="148" t="s">
        <v>215</v>
      </c>
      <c r="D45" s="147" t="s">
        <v>213</v>
      </c>
      <c r="E45" s="149">
        <v>12</v>
      </c>
      <c r="F45" s="160">
        <v>27.39</v>
      </c>
      <c r="G45" s="150">
        <v>328.68</v>
      </c>
    </row>
    <row r="46" spans="1:10" x14ac:dyDescent="0.25">
      <c r="A46" s="410" t="s">
        <v>265</v>
      </c>
      <c r="B46" s="411"/>
      <c r="C46" s="148" t="s">
        <v>266</v>
      </c>
      <c r="D46" s="147" t="s">
        <v>267</v>
      </c>
      <c r="E46" s="149">
        <v>1</v>
      </c>
      <c r="F46" s="160">
        <v>23</v>
      </c>
      <c r="G46" s="150">
        <v>23</v>
      </c>
    </row>
    <row r="47" spans="1:10" s="159" customFormat="1" x14ac:dyDescent="0.25">
      <c r="A47" s="118"/>
      <c r="B47" s="118"/>
      <c r="C47" s="151"/>
      <c r="D47" s="152"/>
      <c r="E47" s="412" t="s">
        <v>208</v>
      </c>
      <c r="F47" s="413"/>
      <c r="G47" s="153">
        <f>SUM(G44:G46)</f>
        <v>612.20000000000005</v>
      </c>
      <c r="H47"/>
      <c r="I47"/>
      <c r="J47"/>
    </row>
    <row r="48" spans="1:10" x14ac:dyDescent="0.25">
      <c r="A48" s="188"/>
      <c r="B48" s="188"/>
      <c r="C48" s="188"/>
      <c r="D48" s="188"/>
      <c r="E48" s="188"/>
      <c r="F48" s="188"/>
      <c r="G48" s="188"/>
    </row>
    <row r="49" spans="1:10" x14ac:dyDescent="0.25">
      <c r="A49" s="295" t="s">
        <v>195</v>
      </c>
      <c r="B49" s="295" t="s">
        <v>250</v>
      </c>
      <c r="C49" s="294" t="s">
        <v>196</v>
      </c>
      <c r="D49" s="295" t="s">
        <v>251</v>
      </c>
      <c r="E49" s="295" t="s">
        <v>252</v>
      </c>
      <c r="F49" s="313" t="s">
        <v>253</v>
      </c>
      <c r="G49" s="313" t="s">
        <v>118</v>
      </c>
    </row>
    <row r="50" spans="1:10" x14ac:dyDescent="0.25">
      <c r="A50" s="298" t="s">
        <v>387</v>
      </c>
      <c r="B50" s="298" t="s">
        <v>347</v>
      </c>
      <c r="C50" s="297" t="s">
        <v>382</v>
      </c>
      <c r="D50" s="298" t="s">
        <v>15</v>
      </c>
      <c r="E50" s="303">
        <v>1</v>
      </c>
      <c r="F50" s="314">
        <v>1.8</v>
      </c>
      <c r="G50" s="314">
        <v>1.8</v>
      </c>
      <c r="I50" s="159"/>
      <c r="J50" s="159"/>
    </row>
    <row r="51" spans="1:10" x14ac:dyDescent="0.25">
      <c r="A51" s="147" t="s">
        <v>200</v>
      </c>
      <c r="B51" s="147">
        <v>88316</v>
      </c>
      <c r="C51" s="148" t="s">
        <v>215</v>
      </c>
      <c r="D51" s="147" t="s">
        <v>213</v>
      </c>
      <c r="E51" s="149">
        <v>2E-3</v>
      </c>
      <c r="F51" s="160">
        <v>21.71</v>
      </c>
      <c r="G51" s="150">
        <v>0.04</v>
      </c>
    </row>
    <row r="52" spans="1:10" ht="45" x14ac:dyDescent="0.25">
      <c r="A52" s="147" t="s">
        <v>200</v>
      </c>
      <c r="B52" s="204">
        <v>1442</v>
      </c>
      <c r="C52" s="203" t="s">
        <v>381</v>
      </c>
      <c r="D52" s="204" t="s">
        <v>184</v>
      </c>
      <c r="E52" s="210">
        <v>1.4999999999999999E-4</v>
      </c>
      <c r="F52" s="212">
        <v>11744.5</v>
      </c>
      <c r="G52" s="150">
        <v>1.76</v>
      </c>
    </row>
    <row r="53" spans="1:10" x14ac:dyDescent="0.25">
      <c r="A53"/>
      <c r="B53"/>
    </row>
    <row r="55" spans="1:10" x14ac:dyDescent="0.25">
      <c r="A55" s="295" t="s">
        <v>195</v>
      </c>
      <c r="B55" s="295" t="s">
        <v>250</v>
      </c>
      <c r="C55" s="294" t="s">
        <v>196</v>
      </c>
      <c r="D55" s="295" t="s">
        <v>251</v>
      </c>
      <c r="E55" s="295" t="s">
        <v>252</v>
      </c>
      <c r="F55" s="313" t="s">
        <v>253</v>
      </c>
      <c r="G55" s="313" t="s">
        <v>118</v>
      </c>
    </row>
    <row r="56" spans="1:10" ht="45" x14ac:dyDescent="0.25">
      <c r="A56" s="298" t="s">
        <v>291</v>
      </c>
      <c r="B56" s="298" t="s">
        <v>200</v>
      </c>
      <c r="C56" s="297" t="s">
        <v>308</v>
      </c>
      <c r="D56" s="298" t="s">
        <v>205</v>
      </c>
      <c r="E56" s="303">
        <v>1</v>
      </c>
      <c r="F56" s="314">
        <v>46.03</v>
      </c>
      <c r="G56" s="314">
        <v>46.03</v>
      </c>
      <c r="I56" s="159"/>
      <c r="J56" s="159"/>
    </row>
    <row r="57" spans="1:10" x14ac:dyDescent="0.25">
      <c r="A57" s="204" t="s">
        <v>221</v>
      </c>
      <c r="B57" s="204" t="s">
        <v>200</v>
      </c>
      <c r="C57" s="203" t="s">
        <v>220</v>
      </c>
      <c r="D57" s="204" t="s">
        <v>202</v>
      </c>
      <c r="E57" s="210">
        <v>0.2296</v>
      </c>
      <c r="F57" s="212">
        <v>27.39</v>
      </c>
      <c r="G57" s="212">
        <v>6.28</v>
      </c>
    </row>
    <row r="58" spans="1:10" x14ac:dyDescent="0.25">
      <c r="A58" s="204" t="s">
        <v>203</v>
      </c>
      <c r="B58" s="204" t="s">
        <v>200</v>
      </c>
      <c r="C58" s="203" t="s">
        <v>215</v>
      </c>
      <c r="D58" s="204" t="s">
        <v>202</v>
      </c>
      <c r="E58" s="210">
        <v>0.2296</v>
      </c>
      <c r="F58" s="212">
        <v>21.71</v>
      </c>
      <c r="G58" s="212">
        <v>4.9800000000000004</v>
      </c>
    </row>
    <row r="59" spans="1:10" ht="22.5" x14ac:dyDescent="0.25">
      <c r="A59" s="204" t="s">
        <v>225</v>
      </c>
      <c r="B59" s="204" t="s">
        <v>200</v>
      </c>
      <c r="C59" s="203" t="s">
        <v>227</v>
      </c>
      <c r="D59" s="204" t="s">
        <v>204</v>
      </c>
      <c r="E59" s="210">
        <v>1.8E-3</v>
      </c>
      <c r="F59" s="212">
        <v>789.97</v>
      </c>
      <c r="G59" s="212">
        <v>1.42</v>
      </c>
    </row>
    <row r="60" spans="1:10" ht="22.5" x14ac:dyDescent="0.25">
      <c r="A60" s="204" t="s">
        <v>222</v>
      </c>
      <c r="B60" s="204" t="s">
        <v>200</v>
      </c>
      <c r="C60" s="203" t="s">
        <v>228</v>
      </c>
      <c r="D60" s="204" t="s">
        <v>204</v>
      </c>
      <c r="E60" s="210">
        <v>6.6E-3</v>
      </c>
      <c r="F60" s="212">
        <v>95</v>
      </c>
      <c r="G60" s="212">
        <v>0.62</v>
      </c>
    </row>
    <row r="61" spans="1:10" ht="22.5" x14ac:dyDescent="0.25">
      <c r="A61" s="204" t="s">
        <v>226</v>
      </c>
      <c r="B61" s="204" t="s">
        <v>200</v>
      </c>
      <c r="C61" s="203" t="s">
        <v>229</v>
      </c>
      <c r="D61" s="204" t="s">
        <v>205</v>
      </c>
      <c r="E61" s="210">
        <v>1.0049999999999999</v>
      </c>
      <c r="F61" s="212">
        <v>32.57</v>
      </c>
      <c r="G61" s="212">
        <v>32.729999999999997</v>
      </c>
    </row>
    <row r="63" spans="1:10" x14ac:dyDescent="0.25">
      <c r="A63" s="295" t="s">
        <v>195</v>
      </c>
      <c r="B63" s="295" t="s">
        <v>250</v>
      </c>
      <c r="C63" s="294" t="s">
        <v>196</v>
      </c>
      <c r="D63" s="295" t="s">
        <v>251</v>
      </c>
      <c r="E63" s="295" t="s">
        <v>252</v>
      </c>
      <c r="F63" s="313" t="s">
        <v>253</v>
      </c>
      <c r="G63" s="313" t="s">
        <v>118</v>
      </c>
    </row>
    <row r="64" spans="1:10" ht="33.75" x14ac:dyDescent="0.25">
      <c r="A64" s="298" t="s">
        <v>292</v>
      </c>
      <c r="B64" s="298" t="s">
        <v>347</v>
      </c>
      <c r="C64" s="297" t="s">
        <v>309</v>
      </c>
      <c r="D64" s="298" t="s">
        <v>205</v>
      </c>
      <c r="E64" s="303">
        <v>1</v>
      </c>
      <c r="F64" s="314">
        <v>22.68</v>
      </c>
      <c r="G64" s="314">
        <v>22.68</v>
      </c>
      <c r="I64" s="159"/>
    </row>
    <row r="65" spans="1:10" x14ac:dyDescent="0.25">
      <c r="A65" s="204" t="s">
        <v>221</v>
      </c>
      <c r="B65" s="204" t="s">
        <v>200</v>
      </c>
      <c r="C65" s="203" t="s">
        <v>220</v>
      </c>
      <c r="D65" s="204" t="s">
        <v>202</v>
      </c>
      <c r="E65" s="210">
        <v>0.2326</v>
      </c>
      <c r="F65" s="212">
        <v>27.39</v>
      </c>
      <c r="G65" s="212">
        <v>6.37</v>
      </c>
      <c r="J65" s="159"/>
    </row>
    <row r="66" spans="1:10" x14ac:dyDescent="0.25">
      <c r="A66" s="204" t="s">
        <v>203</v>
      </c>
      <c r="B66" s="204" t="s">
        <v>200</v>
      </c>
      <c r="C66" s="203" t="s">
        <v>215</v>
      </c>
      <c r="D66" s="204" t="s">
        <v>202</v>
      </c>
      <c r="E66" s="210">
        <v>0.2326</v>
      </c>
      <c r="F66" s="212">
        <v>21.71</v>
      </c>
      <c r="G66" s="212">
        <v>5.04</v>
      </c>
    </row>
    <row r="67" spans="1:10" ht="22.5" x14ac:dyDescent="0.25">
      <c r="A67" s="204" t="s">
        <v>222</v>
      </c>
      <c r="B67" s="204" t="s">
        <v>200</v>
      </c>
      <c r="C67" s="203" t="s">
        <v>228</v>
      </c>
      <c r="D67" s="204" t="s">
        <v>204</v>
      </c>
      <c r="E67" s="210">
        <v>9.9000000000000008E-3</v>
      </c>
      <c r="F67" s="212">
        <v>95</v>
      </c>
      <c r="G67" s="212">
        <v>0.94</v>
      </c>
    </row>
    <row r="68" spans="1:10" ht="22.5" x14ac:dyDescent="0.25">
      <c r="A68" s="204" t="s">
        <v>223</v>
      </c>
      <c r="B68" s="204" t="s">
        <v>200</v>
      </c>
      <c r="C68" s="203" t="s">
        <v>231</v>
      </c>
      <c r="D68" s="204" t="s">
        <v>205</v>
      </c>
      <c r="E68" s="210">
        <v>0.2</v>
      </c>
      <c r="F68" s="212">
        <v>3.52</v>
      </c>
      <c r="G68" s="212">
        <v>0.7</v>
      </c>
    </row>
    <row r="69" spans="1:10" ht="22.5" x14ac:dyDescent="0.25">
      <c r="A69" s="204" t="s">
        <v>230</v>
      </c>
      <c r="B69" s="204" t="s">
        <v>200</v>
      </c>
      <c r="C69" s="203" t="s">
        <v>232</v>
      </c>
      <c r="D69" s="204" t="s">
        <v>205</v>
      </c>
      <c r="E69" s="210">
        <v>8.3299999999999999E-2</v>
      </c>
      <c r="F69" s="212">
        <v>16.670000000000002</v>
      </c>
      <c r="G69" s="212">
        <v>1.38</v>
      </c>
    </row>
    <row r="70" spans="1:10" ht="33.75" x14ac:dyDescent="0.25">
      <c r="A70" s="204" t="s">
        <v>224</v>
      </c>
      <c r="B70" s="204" t="s">
        <v>200</v>
      </c>
      <c r="C70" s="203" t="s">
        <v>233</v>
      </c>
      <c r="D70" s="204" t="s">
        <v>204</v>
      </c>
      <c r="E70" s="210">
        <v>1.4999999999999999E-2</v>
      </c>
      <c r="F70" s="212">
        <v>550</v>
      </c>
      <c r="G70" s="212">
        <v>8.25</v>
      </c>
    </row>
    <row r="72" spans="1:10" s="275" customFormat="1" x14ac:dyDescent="0.25">
      <c r="A72" s="315" t="s">
        <v>195</v>
      </c>
      <c r="B72" s="316" t="s">
        <v>250</v>
      </c>
      <c r="C72" s="316" t="s">
        <v>196</v>
      </c>
      <c r="D72" s="317" t="s">
        <v>251</v>
      </c>
      <c r="E72" s="315" t="s">
        <v>252</v>
      </c>
      <c r="F72" s="315" t="s">
        <v>253</v>
      </c>
      <c r="G72" s="315" t="s">
        <v>118</v>
      </c>
    </row>
    <row r="73" spans="1:10" s="286" customFormat="1" ht="22.5" x14ac:dyDescent="0.25">
      <c r="A73" s="318" t="s">
        <v>388</v>
      </c>
      <c r="B73" s="319" t="s">
        <v>347</v>
      </c>
      <c r="C73" s="319" t="s">
        <v>354</v>
      </c>
      <c r="D73" s="320" t="s">
        <v>294</v>
      </c>
      <c r="E73" s="321">
        <v>1</v>
      </c>
      <c r="F73" s="322">
        <v>370.52</v>
      </c>
      <c r="G73" s="322">
        <v>370.52</v>
      </c>
    </row>
    <row r="74" spans="1:10" s="275" customFormat="1" x14ac:dyDescent="0.25">
      <c r="A74" s="276" t="s">
        <v>203</v>
      </c>
      <c r="B74" s="277" t="s">
        <v>200</v>
      </c>
      <c r="C74" s="277" t="s">
        <v>215</v>
      </c>
      <c r="D74" s="278" t="s">
        <v>202</v>
      </c>
      <c r="E74" s="279">
        <v>0.2</v>
      </c>
      <c r="F74" s="280">
        <v>21.71</v>
      </c>
      <c r="G74" s="280">
        <v>4.34</v>
      </c>
      <c r="H74" s="286"/>
    </row>
    <row r="75" spans="1:10" s="275" customFormat="1" ht="33.75" x14ac:dyDescent="0.25">
      <c r="A75" s="276" t="s">
        <v>348</v>
      </c>
      <c r="B75" s="277" t="s">
        <v>200</v>
      </c>
      <c r="C75" s="277" t="s">
        <v>355</v>
      </c>
      <c r="D75" s="278" t="s">
        <v>204</v>
      </c>
      <c r="E75" s="279">
        <v>8.8000000000000005E-3</v>
      </c>
      <c r="F75" s="280">
        <v>597.79999999999995</v>
      </c>
      <c r="G75" s="280">
        <v>5.26</v>
      </c>
      <c r="H75" s="286"/>
    </row>
    <row r="76" spans="1:10" s="275" customFormat="1" ht="22.5" x14ac:dyDescent="0.25">
      <c r="A76" s="281" t="s">
        <v>349</v>
      </c>
      <c r="B76" s="282" t="s">
        <v>200</v>
      </c>
      <c r="C76" s="282" t="s">
        <v>356</v>
      </c>
      <c r="D76" s="283" t="s">
        <v>293</v>
      </c>
      <c r="E76" s="284">
        <v>2</v>
      </c>
      <c r="F76" s="285">
        <v>12.66</v>
      </c>
      <c r="G76" s="285">
        <v>25.32</v>
      </c>
      <c r="H76" s="286"/>
    </row>
    <row r="77" spans="1:10" s="275" customFormat="1" ht="22.5" x14ac:dyDescent="0.25">
      <c r="A77" s="281" t="s">
        <v>350</v>
      </c>
      <c r="B77" s="282" t="s">
        <v>200</v>
      </c>
      <c r="C77" s="282" t="s">
        <v>357</v>
      </c>
      <c r="D77" s="283" t="s">
        <v>205</v>
      </c>
      <c r="E77" s="284">
        <v>2.7</v>
      </c>
      <c r="F77" s="285">
        <v>73.63</v>
      </c>
      <c r="G77" s="285">
        <v>198.8</v>
      </c>
      <c r="H77" s="286"/>
    </row>
    <row r="78" spans="1:10" s="275" customFormat="1" x14ac:dyDescent="0.25">
      <c r="A78" s="281" t="s">
        <v>351</v>
      </c>
      <c r="B78" s="282" t="s">
        <v>352</v>
      </c>
      <c r="C78" s="282" t="s">
        <v>358</v>
      </c>
      <c r="D78" s="283" t="s">
        <v>293</v>
      </c>
      <c r="E78" s="284">
        <v>8</v>
      </c>
      <c r="F78" s="285">
        <v>0.6</v>
      </c>
      <c r="G78" s="285">
        <v>4.8</v>
      </c>
      <c r="H78" s="286"/>
    </row>
    <row r="79" spans="1:10" s="275" customFormat="1" ht="22.5" x14ac:dyDescent="0.25">
      <c r="A79" s="281" t="s">
        <v>353</v>
      </c>
      <c r="B79" s="282" t="s">
        <v>200</v>
      </c>
      <c r="C79" s="282" t="s">
        <v>359</v>
      </c>
      <c r="D79" s="283" t="s">
        <v>293</v>
      </c>
      <c r="E79" s="284">
        <v>1</v>
      </c>
      <c r="F79" s="285">
        <v>132</v>
      </c>
      <c r="G79" s="285">
        <v>132</v>
      </c>
      <c r="H79" s="286"/>
    </row>
    <row r="81" spans="1:8" x14ac:dyDescent="0.25">
      <c r="A81" s="293" t="s">
        <v>195</v>
      </c>
      <c r="B81" s="294" t="s">
        <v>250</v>
      </c>
      <c r="C81" s="294" t="s">
        <v>196</v>
      </c>
      <c r="D81" s="295" t="s">
        <v>251</v>
      </c>
      <c r="E81" s="293" t="s">
        <v>252</v>
      </c>
      <c r="F81" s="293" t="s">
        <v>253</v>
      </c>
      <c r="G81" s="293" t="s">
        <v>118</v>
      </c>
    </row>
    <row r="82" spans="1:8" ht="22.5" x14ac:dyDescent="0.25">
      <c r="A82" s="298">
        <v>93594</v>
      </c>
      <c r="B82" s="298" t="s">
        <v>200</v>
      </c>
      <c r="C82" s="294" t="s">
        <v>373</v>
      </c>
      <c r="D82" s="298" t="s">
        <v>254</v>
      </c>
      <c r="E82" s="299">
        <v>1</v>
      </c>
      <c r="F82" s="300">
        <v>2.0499999999999998</v>
      </c>
      <c r="G82" s="300">
        <v>2.0499999999999998</v>
      </c>
    </row>
    <row r="83" spans="1:8" ht="45" x14ac:dyDescent="0.25">
      <c r="A83" s="204" t="s">
        <v>255</v>
      </c>
      <c r="B83" s="204" t="s">
        <v>200</v>
      </c>
      <c r="C83" s="203" t="s">
        <v>311</v>
      </c>
      <c r="D83" s="204" t="s">
        <v>256</v>
      </c>
      <c r="E83" s="205">
        <v>7.0000000000000001E-3</v>
      </c>
      <c r="F83" s="209">
        <v>264.13</v>
      </c>
      <c r="G83" s="209">
        <v>1.84</v>
      </c>
    </row>
    <row r="84" spans="1:8" ht="45" x14ac:dyDescent="0.25">
      <c r="A84" s="204" t="s">
        <v>257</v>
      </c>
      <c r="B84" s="204" t="s">
        <v>200</v>
      </c>
      <c r="C84" s="203" t="s">
        <v>312</v>
      </c>
      <c r="D84" s="204" t="s">
        <v>258</v>
      </c>
      <c r="E84" s="205">
        <v>3.0000000000000001E-3</v>
      </c>
      <c r="F84" s="209">
        <v>70.709999999999994</v>
      </c>
      <c r="G84" s="209">
        <v>0.21</v>
      </c>
    </row>
    <row r="86" spans="1:8" x14ac:dyDescent="0.25">
      <c r="A86" s="293" t="s">
        <v>195</v>
      </c>
      <c r="B86" s="294" t="s">
        <v>250</v>
      </c>
      <c r="C86" s="294" t="s">
        <v>196</v>
      </c>
      <c r="D86" s="295" t="s">
        <v>251</v>
      </c>
      <c r="E86" s="293" t="s">
        <v>252</v>
      </c>
      <c r="F86" s="293" t="s">
        <v>253</v>
      </c>
      <c r="G86" s="293" t="s">
        <v>118</v>
      </c>
    </row>
    <row r="87" spans="1:8" ht="22.5" x14ac:dyDescent="0.25">
      <c r="A87" s="318" t="s">
        <v>393</v>
      </c>
      <c r="B87" s="319" t="s">
        <v>347</v>
      </c>
      <c r="C87" s="297" t="s">
        <v>310</v>
      </c>
      <c r="D87" s="298" t="s">
        <v>15</v>
      </c>
      <c r="E87" s="299">
        <v>1</v>
      </c>
      <c r="F87" s="300">
        <f>G88</f>
        <v>3.03</v>
      </c>
      <c r="G87" s="300">
        <f>G88</f>
        <v>3.03</v>
      </c>
      <c r="H87" s="286"/>
    </row>
    <row r="88" spans="1:8" x14ac:dyDescent="0.25">
      <c r="A88" s="287">
        <v>88316</v>
      </c>
      <c r="B88" s="204" t="s">
        <v>200</v>
      </c>
      <c r="C88" s="288" t="s">
        <v>215</v>
      </c>
      <c r="D88" s="287" t="s">
        <v>202</v>
      </c>
      <c r="E88" s="289">
        <v>0.14000000000000001</v>
      </c>
      <c r="F88" s="290">
        <v>21.71</v>
      </c>
      <c r="G88" s="290">
        <v>3.03</v>
      </c>
      <c r="H88" s="286"/>
    </row>
  </sheetData>
  <sheetProtection algorithmName="SHA-512" hashValue="T/t67pH/qxYIiVlwi862/vnIuorPsXNONtDUpVRwNv4pieAt1ZVDZPQ/4THrD9z9XDBU7qI9gN4KIlvtGHlxFg==" saltValue="oSplbcTtwoCrDZJjJRisIg==" spinCount="100000" sheet="1" objects="1" scenarios="1" selectLockedCells="1" selectUnlockedCells="1"/>
  <mergeCells count="22">
    <mergeCell ref="A23:G23"/>
    <mergeCell ref="A17:B17"/>
    <mergeCell ref="A16:F16"/>
    <mergeCell ref="E20:F20"/>
    <mergeCell ref="E21:F21"/>
    <mergeCell ref="E22:F22"/>
    <mergeCell ref="A1:G2"/>
    <mergeCell ref="A3:C3"/>
    <mergeCell ref="F3:F4"/>
    <mergeCell ref="G3:G4"/>
    <mergeCell ref="A5:G5"/>
    <mergeCell ref="D4:E4"/>
    <mergeCell ref="A42:F42"/>
    <mergeCell ref="A43:B43"/>
    <mergeCell ref="A46:B46"/>
    <mergeCell ref="E47:F47"/>
    <mergeCell ref="A31:F31"/>
    <mergeCell ref="A32:B32"/>
    <mergeCell ref="A41:G41"/>
    <mergeCell ref="D38:F38"/>
    <mergeCell ref="D39:F39"/>
    <mergeCell ref="D40:F40"/>
  </mergeCells>
  <pageMargins left="0.51181102362204722" right="0.51181102362204722" top="1.7716535433070868" bottom="1.5748031496062993" header="0.51181102362204722" footer="0.51181102362204722"/>
  <pageSetup paperSize="9" scale="71" fitToHeight="0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K74"/>
  <sheetViews>
    <sheetView workbookViewId="0">
      <selection activeCell="A4" sqref="A4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445" t="s">
        <v>376</v>
      </c>
      <c r="B1" s="446"/>
      <c r="C1" s="446"/>
      <c r="D1" s="446"/>
      <c r="E1" s="446"/>
      <c r="F1" s="446"/>
      <c r="G1" s="446"/>
      <c r="H1" s="446"/>
    </row>
    <row r="2" spans="1:11" x14ac:dyDescent="0.25">
      <c r="A2" s="447" t="s">
        <v>371</v>
      </c>
      <c r="B2" s="447"/>
      <c r="C2" s="447"/>
      <c r="D2" s="447"/>
      <c r="E2" s="447"/>
      <c r="F2" s="447"/>
      <c r="G2" s="447"/>
      <c r="H2" s="447"/>
    </row>
    <row r="3" spans="1:11" x14ac:dyDescent="0.25">
      <c r="A3" s="447" t="s">
        <v>398</v>
      </c>
      <c r="B3" s="447"/>
      <c r="C3" s="447"/>
      <c r="D3" s="447"/>
      <c r="E3" s="447"/>
      <c r="F3" s="447"/>
      <c r="G3" s="447"/>
      <c r="H3" s="447"/>
    </row>
    <row r="5" spans="1:11" x14ac:dyDescent="0.25">
      <c r="A5" s="448" t="s">
        <v>43</v>
      </c>
      <c r="B5" s="449"/>
      <c r="C5" s="449"/>
      <c r="D5" s="449"/>
      <c r="E5" s="449"/>
      <c r="F5" s="449"/>
      <c r="G5" s="449"/>
      <c r="H5" s="450"/>
    </row>
    <row r="6" spans="1:11" x14ac:dyDescent="0.25">
      <c r="A6" s="167"/>
      <c r="B6" s="451"/>
      <c r="C6" s="451"/>
      <c r="D6" s="451"/>
      <c r="E6" s="451"/>
      <c r="F6" s="168"/>
      <c r="G6" s="168"/>
      <c r="H6" s="169"/>
    </row>
    <row r="7" spans="1:11" x14ac:dyDescent="0.25">
      <c r="A7" s="170"/>
      <c r="B7" s="171"/>
      <c r="C7" s="171"/>
      <c r="D7" s="171"/>
      <c r="E7" s="171"/>
      <c r="F7" s="171"/>
      <c r="G7" s="171"/>
      <c r="H7" s="172"/>
      <c r="I7" s="39"/>
      <c r="J7" s="40"/>
      <c r="K7" s="40"/>
    </row>
    <row r="8" spans="1:11" x14ac:dyDescent="0.25">
      <c r="A8" s="452" t="s">
        <v>44</v>
      </c>
      <c r="B8" s="453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63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454" t="str">
        <f>IF(D12&gt;1,"SELECIONE SOMENTE UM TIPO DE BDI",IF(D12=0,"SELECIONE UM TIPO DE BDI",""))</f>
        <v/>
      </c>
      <c r="C12" s="454"/>
      <c r="D12" s="54">
        <f>SUM(D10:D11)</f>
        <v>1</v>
      </c>
      <c r="E12" s="455"/>
      <c r="F12" s="455"/>
      <c r="G12" s="455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439" t="s">
        <v>46</v>
      </c>
      <c r="B14" s="440"/>
      <c r="C14" s="165"/>
      <c r="D14" s="165"/>
      <c r="E14" s="165"/>
      <c r="F14" s="165"/>
      <c r="G14" s="56"/>
      <c r="H14" s="173"/>
      <c r="I14" s="39">
        <f>IF(H22&lt;&gt;0,VLOOKUP("x",G16:I21,3,FALSE),0)</f>
        <v>2</v>
      </c>
      <c r="J14" s="40"/>
      <c r="K14" s="40"/>
    </row>
    <row r="15" spans="1:11" x14ac:dyDescent="0.25">
      <c r="A15" s="163"/>
      <c r="B15" s="43"/>
      <c r="C15" s="41"/>
      <c r="D15" s="41"/>
      <c r="E15" s="41"/>
      <c r="F15" s="41"/>
      <c r="G15" s="57"/>
      <c r="H15" s="174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443" t="str">
        <f>IF(AND(C10="x",G21="x"),"NÃO HÁ DESONERAÇÃO PARA FORNECIMENTO DE MATERIAIS","")</f>
        <v/>
      </c>
      <c r="C21" s="443"/>
      <c r="D21" s="443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444" t="str">
        <f>IF(H22&gt;1,"SELECIONE SOMENTE UM TIPO DE SERVIÇO",IF(H22=0,"SELECIONE UM TIPO DE SERVIÇO",""))</f>
        <v/>
      </c>
      <c r="C22" s="444"/>
      <c r="D22" s="162"/>
      <c r="E22" s="162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64"/>
      <c r="F23" s="164"/>
      <c r="G23" s="50"/>
      <c r="H23" s="50"/>
      <c r="I23" s="39"/>
      <c r="J23" s="40"/>
      <c r="K23" s="40"/>
    </row>
    <row r="24" spans="1:11" x14ac:dyDescent="0.25">
      <c r="A24" s="439" t="s">
        <v>53</v>
      </c>
      <c r="B24" s="440"/>
      <c r="C24" s="165"/>
      <c r="D24" s="165"/>
      <c r="E24" s="441"/>
      <c r="F24" s="441"/>
      <c r="G24" s="63" t="s">
        <v>21</v>
      </c>
      <c r="H24" s="64"/>
      <c r="I24" s="39"/>
      <c r="J24" s="40"/>
      <c r="K24" s="40"/>
    </row>
    <row r="25" spans="1:11" x14ac:dyDescent="0.25">
      <c r="A25" s="65"/>
      <c r="B25" s="164"/>
      <c r="C25" s="164"/>
      <c r="D25" s="164"/>
      <c r="E25" s="164"/>
      <c r="F25" s="164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64"/>
      <c r="D27" s="164"/>
      <c r="E27" s="164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64"/>
      <c r="D29" s="164"/>
      <c r="E29" s="164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66"/>
      <c r="C31" s="164"/>
      <c r="D31" s="164" t="str">
        <f>IF(AND(G31&gt;=J31,G31&lt;=K31),"","FORA DO LIMITE")</f>
        <v/>
      </c>
      <c r="E31" s="164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64"/>
      <c r="C33" s="164"/>
      <c r="D33" s="164"/>
      <c r="E33" s="164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64"/>
      <c r="C35" s="164"/>
      <c r="D35" s="164"/>
      <c r="E35" s="164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64"/>
      <c r="D37" s="164"/>
      <c r="E37" s="164"/>
      <c r="F37" s="59" t="str">
        <f>IF(AND(C10="X",C10&lt;&gt;C11,I14&lt;&gt;6,F11&lt;&gt;"X"),"INSS =","")</f>
        <v/>
      </c>
      <c r="G37" s="88" t="str">
        <f>IF(AND(C10="x",I14&lt;&gt;6,B12&lt;&gt;"SELECIONE SOMENTE UM TIPO DE BDI"),K37,"")</f>
        <v/>
      </c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42" t="str">
        <f>IF(AND(G38&lt;&gt;"",I14=6),"APAGUE O PERCENTUAL DESTA LINHA","")</f>
        <v/>
      </c>
      <c r="C38" s="443"/>
      <c r="D38" s="164" t="str">
        <f>IF(B38="APAGUE O PERCENTUAL DESTA LINHA","",IF(AND(G38&gt;=J38,G38&lt;=K38),"","FORA DO LIMITE"))</f>
        <v/>
      </c>
      <c r="E38" s="164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66"/>
      <c r="C39" s="164"/>
      <c r="D39" s="164" t="str">
        <f>IF(AND(G39&gt;=J39,G39&lt;=K39),"","FORA DO LIMITE")</f>
        <v/>
      </c>
      <c r="E39" s="164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66"/>
      <c r="C40" s="164"/>
      <c r="D40" s="164" t="str">
        <f t="shared" ref="D40" si="2">IF(AND(G40&gt;=J40,G40&lt;=K40),"","FORA DO LIMITE")</f>
        <v/>
      </c>
      <c r="E40" s="164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83"/>
      <c r="C41" s="84"/>
      <c r="D41" s="84"/>
      <c r="E41" s="84"/>
      <c r="F41" s="85" t="s">
        <v>68</v>
      </c>
      <c r="G41" s="91">
        <f>SUM(G37:G40)</f>
        <v>6.6500000000000004E-2</v>
      </c>
      <c r="H41" s="82"/>
      <c r="I41" s="39"/>
      <c r="J41" s="40"/>
      <c r="K41" s="40"/>
    </row>
    <row r="42" spans="1:11" ht="15.75" thickBot="1" x14ac:dyDescent="0.3">
      <c r="A42" s="92"/>
      <c r="B42" s="60"/>
      <c r="C42" s="60"/>
      <c r="D42" s="60"/>
      <c r="E42" s="60"/>
      <c r="F42" s="93"/>
      <c r="G42" s="94"/>
      <c r="H42" s="95"/>
      <c r="I42" s="39"/>
      <c r="J42" s="40"/>
      <c r="K42" s="40"/>
    </row>
    <row r="43" spans="1:11" ht="15.75" thickBot="1" x14ac:dyDescent="0.3">
      <c r="A43" s="164"/>
      <c r="B43" s="164"/>
      <c r="C43" s="164"/>
      <c r="D43" s="164"/>
      <c r="E43" s="164"/>
      <c r="F43" s="175"/>
      <c r="G43" s="176"/>
      <c r="H43" s="177"/>
      <c r="I43" s="39"/>
      <c r="J43" s="40"/>
      <c r="K43" s="40"/>
    </row>
    <row r="44" spans="1:11" x14ac:dyDescent="0.25">
      <c r="A44" s="439" t="s">
        <v>69</v>
      </c>
      <c r="B44" s="440"/>
      <c r="C44" s="165"/>
      <c r="D44" s="165"/>
      <c r="E44" s="165"/>
      <c r="F44" s="165"/>
      <c r="G44" s="63"/>
      <c r="H44" s="64"/>
      <c r="I44" s="39"/>
      <c r="J44" s="40" t="s">
        <v>70</v>
      </c>
      <c r="K44" s="40"/>
    </row>
    <row r="45" spans="1:11" x14ac:dyDescent="0.25">
      <c r="A45" s="65"/>
      <c r="B45" s="164"/>
      <c r="C45" s="164"/>
      <c r="D45" s="164"/>
      <c r="E45" s="164"/>
      <c r="F45" s="164"/>
      <c r="G45" s="50"/>
      <c r="H45" s="66"/>
      <c r="I45" s="39"/>
      <c r="J45" s="96">
        <v>1</v>
      </c>
      <c r="K45" s="40" t="str">
        <f>IF(OR(B12="SELECIONE UM TIPO DE BDI",B12="SELECIONE SOMENTE UM TIPO DE BDI"),"VER TIPO DE BDI","OK")</f>
        <v>OK</v>
      </c>
    </row>
    <row r="46" spans="1:11" x14ac:dyDescent="0.25">
      <c r="A46" s="65"/>
      <c r="B46" s="164"/>
      <c r="C46" s="164"/>
      <c r="D46" s="164"/>
      <c r="E46" s="164"/>
      <c r="F46" s="164"/>
      <c r="G46" s="50"/>
      <c r="H46" s="66"/>
      <c r="I46" s="39"/>
      <c r="J46" s="96">
        <v>2</v>
      </c>
      <c r="K46" s="40" t="str">
        <f>IF(OR(B22="SELECIONE SOMENTE UM TIPO DE SERVIÇO",B22="SELECIONE UM TIPO DE SERVIÇO",B21="NÃO HÁ DESONERAÇÃO PARA FORNECIMENTO DE MATERIAIS"),"VER TIPO DE SERVIÇO","OK")</f>
        <v>OK</v>
      </c>
    </row>
    <row r="47" spans="1:11" x14ac:dyDescent="0.25">
      <c r="A47" s="65"/>
      <c r="B47" s="164"/>
      <c r="C47" s="164"/>
      <c r="D47" s="164"/>
      <c r="E47" s="164"/>
      <c r="F47" s="164"/>
      <c r="G47" s="50"/>
      <c r="H47" s="66"/>
      <c r="I47" s="39"/>
      <c r="J47" s="96">
        <v>3</v>
      </c>
      <c r="K47" s="40" t="str">
        <f t="shared" ref="K47:K48" si="3">IF(OR(B23="SELECIONE SOMENTE UM TIPO DE SERVIÇO",B23="SELECIONE UM TIPO DE SERVIÇO",B22="NÃO HÁ DESONERAÇÃO PARA FORNECIMENTO DE MATERIAIS"),"VER TIPO DE SERVIÇO","OK")</f>
        <v>OK</v>
      </c>
    </row>
    <row r="48" spans="1:11" x14ac:dyDescent="0.25">
      <c r="A48" s="65"/>
      <c r="B48" s="164"/>
      <c r="C48" s="164"/>
      <c r="D48" s="164"/>
      <c r="E48" s="164"/>
      <c r="F48" s="164"/>
      <c r="G48" s="50"/>
      <c r="H48" s="66"/>
      <c r="I48" s="39"/>
      <c r="J48" s="96">
        <v>4</v>
      </c>
      <c r="K48" s="40" t="str">
        <f t="shared" si="3"/>
        <v>OK</v>
      </c>
    </row>
    <row r="49" spans="1:11" x14ac:dyDescent="0.25">
      <c r="A49" s="65"/>
      <c r="B49" s="164"/>
      <c r="C49" s="164"/>
      <c r="D49" s="164"/>
      <c r="E49" s="164"/>
      <c r="F49" s="164"/>
      <c r="G49" s="50"/>
      <c r="H49" s="66"/>
      <c r="I49" s="39"/>
      <c r="J49" s="96"/>
      <c r="K49" s="40"/>
    </row>
    <row r="50" spans="1:11" x14ac:dyDescent="0.25">
      <c r="A50" s="65"/>
      <c r="B50" s="164"/>
      <c r="C50" s="164"/>
      <c r="D50" s="164"/>
      <c r="E50" s="164"/>
      <c r="F50" s="164"/>
      <c r="G50" s="50"/>
      <c r="H50" s="66"/>
      <c r="I50" s="39"/>
      <c r="J50" s="40"/>
      <c r="K50" s="40"/>
    </row>
    <row r="51" spans="1:11" x14ac:dyDescent="0.25">
      <c r="A51" s="65"/>
      <c r="B51" s="164"/>
      <c r="C51" s="164"/>
      <c r="D51" s="164"/>
      <c r="E51" s="164"/>
      <c r="F51" s="164"/>
      <c r="G51" s="50"/>
      <c r="H51" s="66"/>
      <c r="I51" s="39"/>
      <c r="J51" s="40"/>
      <c r="K51" s="40"/>
    </row>
    <row r="52" spans="1:11" x14ac:dyDescent="0.25">
      <c r="A52" s="65" t="s">
        <v>71</v>
      </c>
      <c r="B52" s="48" t="s">
        <v>72</v>
      </c>
      <c r="C52" s="164"/>
      <c r="D52" s="164"/>
      <c r="E52" s="164"/>
      <c r="F52" s="164"/>
      <c r="G52" s="50"/>
      <c r="H52" s="66"/>
      <c r="I52" s="39"/>
      <c r="J52" s="40"/>
      <c r="K52" s="40"/>
    </row>
    <row r="53" spans="1:11" x14ac:dyDescent="0.25">
      <c r="A53" s="65" t="s">
        <v>73</v>
      </c>
      <c r="B53" s="48" t="s">
        <v>74</v>
      </c>
      <c r="C53" s="164"/>
      <c r="D53" s="164"/>
      <c r="E53" s="164"/>
      <c r="F53" s="164"/>
      <c r="G53" s="50"/>
      <c r="H53" s="66"/>
      <c r="I53" s="39"/>
      <c r="J53" s="40"/>
      <c r="K53" s="40"/>
    </row>
    <row r="54" spans="1:11" x14ac:dyDescent="0.25">
      <c r="A54" s="65" t="s">
        <v>75</v>
      </c>
      <c r="B54" s="48" t="s">
        <v>76</v>
      </c>
      <c r="C54" s="164"/>
      <c r="D54" s="164"/>
      <c r="E54" s="164"/>
      <c r="F54" s="164"/>
      <c r="G54" s="50"/>
      <c r="H54" s="66"/>
      <c r="I54" s="39"/>
      <c r="J54" s="40"/>
      <c r="K54" s="40"/>
    </row>
    <row r="55" spans="1:11" x14ac:dyDescent="0.25">
      <c r="A55" s="65" t="s">
        <v>59</v>
      </c>
      <c r="B55" s="48" t="s">
        <v>77</v>
      </c>
      <c r="C55" s="164"/>
      <c r="D55" s="164"/>
      <c r="E55" s="164"/>
      <c r="F55" s="164"/>
      <c r="G55" s="50"/>
      <c r="H55" s="66"/>
      <c r="I55" s="39"/>
      <c r="J55" s="40"/>
      <c r="K55" s="40"/>
    </row>
    <row r="56" spans="1:11" x14ac:dyDescent="0.25">
      <c r="A56" s="65" t="s">
        <v>64</v>
      </c>
      <c r="B56" s="48" t="s">
        <v>78</v>
      </c>
      <c r="C56" s="164"/>
      <c r="D56" s="164"/>
      <c r="E56" s="164"/>
      <c r="F56" s="164"/>
      <c r="G56" s="50"/>
      <c r="H56" s="66"/>
      <c r="I56" s="39"/>
      <c r="J56" s="40"/>
      <c r="K56" s="40"/>
    </row>
    <row r="57" spans="1:11" x14ac:dyDescent="0.25">
      <c r="A57" s="65" t="s">
        <v>79</v>
      </c>
      <c r="B57" s="48" t="s">
        <v>80</v>
      </c>
      <c r="C57" s="164"/>
      <c r="D57" s="164"/>
      <c r="E57" s="164"/>
      <c r="F57" s="164"/>
      <c r="G57" s="50"/>
      <c r="H57" s="66"/>
      <c r="I57" s="39"/>
      <c r="J57" s="40"/>
      <c r="K57" s="40"/>
    </row>
    <row r="58" spans="1:11" ht="15.75" thickBot="1" x14ac:dyDescent="0.3">
      <c r="A58" s="92"/>
      <c r="B58" s="97"/>
      <c r="C58" s="60"/>
      <c r="D58" s="60"/>
      <c r="E58" s="60"/>
      <c r="F58" s="60"/>
      <c r="G58" s="98"/>
      <c r="H58" s="99"/>
      <c r="I58" s="39"/>
      <c r="J58" s="40"/>
      <c r="K58" s="40"/>
    </row>
    <row r="59" spans="1:11" ht="15.75" thickBot="1" x14ac:dyDescent="0.3">
      <c r="A59" s="164"/>
      <c r="B59" s="48"/>
      <c r="C59" s="164"/>
      <c r="D59" s="164"/>
      <c r="E59" s="164"/>
      <c r="F59" s="164"/>
      <c r="G59" s="50"/>
      <c r="H59" s="50"/>
      <c r="I59" s="39"/>
      <c r="J59" s="40"/>
      <c r="K59" s="40"/>
    </row>
    <row r="60" spans="1:11" x14ac:dyDescent="0.25">
      <c r="A60" s="439" t="s">
        <v>81</v>
      </c>
      <c r="B60" s="440"/>
      <c r="C60" s="100"/>
      <c r="D60" s="100"/>
      <c r="E60" s="440" t="s">
        <v>82</v>
      </c>
      <c r="F60" s="440"/>
      <c r="G60" s="63"/>
      <c r="H60" s="64"/>
      <c r="I60" s="101">
        <f>SUM(1+G26,G31,G32)</f>
        <v>1.0484000000000002</v>
      </c>
      <c r="J60" s="40"/>
      <c r="K60" s="40"/>
    </row>
    <row r="61" spans="1:11" x14ac:dyDescent="0.25">
      <c r="A61" s="163"/>
      <c r="B61" s="43"/>
      <c r="C61" s="164"/>
      <c r="D61" s="164"/>
      <c r="E61" s="164"/>
      <c r="F61" s="164"/>
      <c r="G61" s="50"/>
      <c r="H61" s="66"/>
      <c r="I61" s="39">
        <f>1+G28</f>
        <v>1.0102</v>
      </c>
      <c r="J61" s="40"/>
      <c r="K61" s="40"/>
    </row>
    <row r="62" spans="1:11" x14ac:dyDescent="0.25">
      <c r="A62" s="65"/>
      <c r="B62" s="102" t="s">
        <v>83</v>
      </c>
      <c r="C62" s="103">
        <v>0.19600000000000001</v>
      </c>
      <c r="D62" s="71" t="str">
        <f>IF(AND(C62&gt;I65,C11="X"),"BDI ABAIXO","")</f>
        <v/>
      </c>
      <c r="E62" s="102" t="s">
        <v>83</v>
      </c>
      <c r="F62" s="103">
        <v>0.25600000000000001</v>
      </c>
      <c r="G62" s="71" t="str">
        <f>IF(AND(F62&gt;I65,C10="X"),"BDI ABAIXO","")</f>
        <v/>
      </c>
      <c r="H62" s="66"/>
      <c r="I62" s="39">
        <f>1+G34</f>
        <v>1.075</v>
      </c>
      <c r="J62" s="40"/>
      <c r="K62" s="40"/>
    </row>
    <row r="63" spans="1:11" x14ac:dyDescent="0.25">
      <c r="A63" s="65"/>
      <c r="B63" s="102" t="s">
        <v>84</v>
      </c>
      <c r="C63" s="103">
        <v>0.24229999999999999</v>
      </c>
      <c r="D63" s="71" t="str">
        <f>IF(AND(C63&lt;I66,C11="X"),"BDI ACIMA","")</f>
        <v/>
      </c>
      <c r="E63" s="102" t="s">
        <v>84</v>
      </c>
      <c r="F63" s="103">
        <v>0.30520000000000003</v>
      </c>
      <c r="G63" s="71" t="str">
        <f>IF(AND(F63&lt;I65,C10="X"),"BDI ACIMA","")</f>
        <v/>
      </c>
      <c r="H63" s="66"/>
      <c r="I63" s="39">
        <f>1-G41</f>
        <v>0.9335</v>
      </c>
      <c r="J63" s="40"/>
      <c r="K63" s="40"/>
    </row>
    <row r="64" spans="1:11" ht="15.75" thickBot="1" x14ac:dyDescent="0.3">
      <c r="A64" s="92"/>
      <c r="B64" s="97"/>
      <c r="C64" s="60"/>
      <c r="D64" s="104"/>
      <c r="E64" s="60"/>
      <c r="F64" s="104"/>
      <c r="G64" s="98"/>
      <c r="H64" s="99"/>
      <c r="I64" s="39">
        <f>I60*I61*I62/I63</f>
        <v>1.2196311794322443</v>
      </c>
      <c r="J64" s="40"/>
      <c r="K64" s="40"/>
    </row>
    <row r="65" spans="1:11" ht="15.75" thickBot="1" x14ac:dyDescent="0.3">
      <c r="A65" s="164"/>
      <c r="B65" s="164"/>
      <c r="C65" s="164"/>
      <c r="D65" s="164"/>
      <c r="E65" s="164"/>
      <c r="F65" s="164"/>
      <c r="G65" s="50"/>
      <c r="H65" s="50"/>
      <c r="I65" s="39">
        <f>ROUND(I64-1,4)</f>
        <v>0.21959999999999999</v>
      </c>
      <c r="J65" s="40"/>
      <c r="K65" s="40"/>
    </row>
    <row r="66" spans="1:11" ht="15.75" thickBot="1" x14ac:dyDescent="0.3">
      <c r="A66" s="164"/>
      <c r="B66" s="164"/>
      <c r="C66" s="164"/>
      <c r="D66" s="178"/>
      <c r="E66" s="433" t="s">
        <v>85</v>
      </c>
      <c r="F66" s="434"/>
      <c r="G66" s="179">
        <f>IF(AND(K45="OK",K46="OK",K47="OK",K48="OK"),I65,IF(K45="VER TIPO DE BDI","VER TIPO DE BDI",IF(K46="VER TIPO DE SERVIÇO","VER TIPO DE SERVIÇO",IF(K47="VER PERCENTUAIS","VER PERCENTUAIS",IF(K48="BDI FORA DO LIMITE","BDI FORA DO LIMITE","VÁRIOS ERROS")))))</f>
        <v>0.21959999999999999</v>
      </c>
      <c r="H66" s="180" t="str">
        <f>IF(AND(M66&gt;=P66,M66&lt;=Q66),"","FORA DO LIMITE")</f>
        <v/>
      </c>
      <c r="I66" s="105">
        <f>G72</f>
        <v>0.21959999999999999</v>
      </c>
      <c r="J66" s="40"/>
      <c r="K66" s="40"/>
    </row>
    <row r="67" spans="1:11" x14ac:dyDescent="0.25">
      <c r="A67" s="164"/>
      <c r="B67" s="164"/>
      <c r="C67" s="164"/>
      <c r="D67" s="164"/>
      <c r="E67" s="41"/>
      <c r="F67" s="41"/>
      <c r="G67" s="181"/>
      <c r="H67" s="181"/>
      <c r="I67" s="106"/>
      <c r="J67" s="40"/>
      <c r="K67" s="40"/>
    </row>
    <row r="68" spans="1:11" x14ac:dyDescent="0.25">
      <c r="A68" s="41"/>
      <c r="B68" s="43" t="s">
        <v>86</v>
      </c>
      <c r="C68" s="41"/>
      <c r="D68" s="41"/>
      <c r="E68" s="164"/>
      <c r="F68" s="164"/>
      <c r="G68" s="164"/>
      <c r="H68" s="164"/>
      <c r="I68" s="106"/>
      <c r="J68" s="40"/>
      <c r="K68" s="40"/>
    </row>
    <row r="69" spans="1:11" x14ac:dyDescent="0.25">
      <c r="A69" s="48"/>
      <c r="B69" s="8" t="s">
        <v>87</v>
      </c>
      <c r="C69" s="8"/>
      <c r="D69" s="8"/>
      <c r="E69" s="164"/>
      <c r="F69" s="164"/>
      <c r="G69" s="435"/>
      <c r="H69" s="435"/>
      <c r="I69" s="39"/>
      <c r="J69" s="40"/>
      <c r="K69" s="40"/>
    </row>
    <row r="70" spans="1:11" x14ac:dyDescent="0.25">
      <c r="A70" s="164"/>
      <c r="B70" s="8" t="s">
        <v>88</v>
      </c>
      <c r="C70" s="182"/>
      <c r="D70" s="164"/>
      <c r="E70" s="164"/>
      <c r="F70" s="164"/>
      <c r="G70" s="436"/>
      <c r="H70" s="436"/>
      <c r="I70" s="39"/>
      <c r="J70" s="40"/>
      <c r="K70" s="40"/>
    </row>
    <row r="71" spans="1:11" x14ac:dyDescent="0.25">
      <c r="A71" s="164"/>
      <c r="B71" s="8" t="s">
        <v>89</v>
      </c>
      <c r="C71" s="164"/>
      <c r="D71" s="164"/>
      <c r="E71" s="164"/>
      <c r="F71" s="183"/>
      <c r="G71" s="50"/>
      <c r="H71" s="50"/>
      <c r="I71" s="39"/>
      <c r="J71" s="40"/>
      <c r="K71" s="40"/>
    </row>
    <row r="72" spans="1:11" x14ac:dyDescent="0.25">
      <c r="A72" s="164"/>
      <c r="B72" s="164"/>
      <c r="C72" s="164"/>
      <c r="D72" s="164"/>
      <c r="E72" s="164"/>
      <c r="F72" s="107" t="s">
        <v>90</v>
      </c>
      <c r="G72" s="437">
        <f>I65</f>
        <v>0.21959999999999999</v>
      </c>
      <c r="H72" s="438"/>
      <c r="I72" s="39"/>
      <c r="J72" s="40"/>
      <c r="K72" s="40"/>
    </row>
    <row r="73" spans="1:11" x14ac:dyDescent="0.25">
      <c r="A73" s="184"/>
      <c r="B73" s="184"/>
      <c r="C73" s="185"/>
      <c r="D73" s="186"/>
      <c r="E73" s="185"/>
      <c r="F73" s="185"/>
      <c r="G73" s="186"/>
      <c r="H73" s="186"/>
    </row>
    <row r="74" spans="1:11" x14ac:dyDescent="0.25">
      <c r="A74" s="184"/>
      <c r="B74" s="184"/>
      <c r="C74" s="185"/>
      <c r="D74" s="186"/>
      <c r="E74" s="185"/>
      <c r="F74" s="185"/>
      <c r="G74" s="186"/>
      <c r="H74" s="186"/>
    </row>
  </sheetData>
  <sheetProtection algorithmName="SHA-512" hashValue="akzVimTcQns8e73UXMV49Psyh7CTCRSJusFX5oxVrV6214U6LEAOVrmthzKovKQNfFHjqH7YQWUSCN7y2dndqQ==" saltValue="vXDWJIm9N4HV8Kh8pD1XCQ==" spinCount="100000" sheet="1" objects="1" scenarios="1" selectLockedCells="1" selectUnlockedCells="1"/>
  <mergeCells count="21"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  <mergeCell ref="E66:F66"/>
    <mergeCell ref="G69:H69"/>
    <mergeCell ref="G70:H70"/>
    <mergeCell ref="G72:H72"/>
    <mergeCell ref="A24:B24"/>
    <mergeCell ref="E24:F24"/>
    <mergeCell ref="B38:C38"/>
    <mergeCell ref="A44:B44"/>
    <mergeCell ref="A60:B60"/>
    <mergeCell ref="E60:F60"/>
  </mergeCells>
  <conditionalFormatting sqref="B12">
    <cfRule type="cellIs" dxfId="47" priority="19" operator="equal">
      <formula>"SELECIONE SOMENTE UM TIPO DE BDI"</formula>
    </cfRule>
  </conditionalFormatting>
  <conditionalFormatting sqref="B21">
    <cfRule type="cellIs" dxfId="46" priority="6" operator="equal">
      <formula>"NÃO HÁ DESONERAÇÃO PARA FORNECIMENTO DE MATERIAIS"</formula>
    </cfRule>
  </conditionalFormatting>
  <conditionalFormatting sqref="B22">
    <cfRule type="cellIs" dxfId="45" priority="25" operator="equal">
      <formula>"SELECIONE SOMENTE UM TIPO DE SERVIÇO"</formula>
    </cfRule>
  </conditionalFormatting>
  <conditionalFormatting sqref="B12:C12 E12:G12">
    <cfRule type="cellIs" dxfId="44" priority="9" operator="equal">
      <formula>"SELECIONE UM TIPO DE BDI"</formula>
    </cfRule>
  </conditionalFormatting>
  <conditionalFormatting sqref="B22:C22">
    <cfRule type="cellIs" dxfId="43" priority="8" operator="equal">
      <formula>"SELECIONE UM TIPO DE SERVIÇO"</formula>
    </cfRule>
  </conditionalFormatting>
  <conditionalFormatting sqref="B38:C38">
    <cfRule type="cellIs" dxfId="42" priority="18" operator="equal">
      <formula>"APAGUE O PERCENTUAL DESTA LINHA"</formula>
    </cfRule>
  </conditionalFormatting>
  <conditionalFormatting sqref="C10:C11 G16:G21 G26 G28 G31:G32 G34">
    <cfRule type="cellIs" dxfId="41" priority="16" operator="equal">
      <formula>0</formula>
    </cfRule>
  </conditionalFormatting>
  <conditionalFormatting sqref="D26 D38:D40">
    <cfRule type="cellIs" dxfId="40" priority="24" operator="equal">
      <formula>"FORA DO LIMITE"</formula>
    </cfRule>
  </conditionalFormatting>
  <conditionalFormatting sqref="D28">
    <cfRule type="cellIs" dxfId="39" priority="23" operator="equal">
      <formula>"FORA DO LIMITE"</formula>
    </cfRule>
  </conditionalFormatting>
  <conditionalFormatting sqref="D31:D32">
    <cfRule type="cellIs" dxfId="38" priority="21" operator="equal">
      <formula>"FORA DO LIMITE"</formula>
    </cfRule>
  </conditionalFormatting>
  <conditionalFormatting sqref="D34">
    <cfRule type="cellIs" dxfId="37" priority="20" operator="equal">
      <formula>"FORA DO LIMITE"</formula>
    </cfRule>
  </conditionalFormatting>
  <conditionalFormatting sqref="D62">
    <cfRule type="cellIs" dxfId="36" priority="5" operator="equal">
      <formula>"BDI ABAIXO"</formula>
    </cfRule>
  </conditionalFormatting>
  <conditionalFormatting sqref="D63">
    <cfRule type="cellIs" dxfId="35" priority="4" operator="equal">
      <formula>"BDI ACIMA"</formula>
    </cfRule>
  </conditionalFormatting>
  <conditionalFormatting sqref="E12">
    <cfRule type="cellIs" dxfId="34" priority="12" operator="equal">
      <formula>"SELECIONE SOMENTE UM TIPO DE BDI"</formula>
    </cfRule>
  </conditionalFormatting>
  <conditionalFormatting sqref="E12:G12">
    <cfRule type="cellIs" dxfId="33" priority="7" operator="equal">
      <formula>"SOMENTE HÁ DESONERAÇÃO PARA OBRAS"</formula>
    </cfRule>
    <cfRule type="cellIs" dxfId="32" priority="11" operator="equal">
      <formula>"NÃO HÁ PROJETO PARA FORNECIMENTO"</formula>
    </cfRule>
  </conditionalFormatting>
  <conditionalFormatting sqref="G38:G40">
    <cfRule type="cellIs" dxfId="31" priority="10" operator="equal">
      <formula>0</formula>
    </cfRule>
  </conditionalFormatting>
  <conditionalFormatting sqref="G62">
    <cfRule type="cellIs" dxfId="30" priority="3" operator="equal">
      <formula>"BDI ABAIXO"</formula>
    </cfRule>
  </conditionalFormatting>
  <conditionalFormatting sqref="G63">
    <cfRule type="cellIs" dxfId="29" priority="2" operator="equal">
      <formula>"BDI ACIMA"</formula>
    </cfRule>
  </conditionalFormatting>
  <conditionalFormatting sqref="G66:H67">
    <cfRule type="cellIs" dxfId="28" priority="1" operator="equal">
      <formula>"VER PERCENTUAIS"</formula>
    </cfRule>
    <cfRule type="cellIs" dxfId="27" priority="13" operator="equal">
      <formula>"VÁRIOS ERROS"</formula>
    </cfRule>
    <cfRule type="cellIs" dxfId="26" priority="14" operator="equal">
      <formula>"BDI FORA DO LIMITE"</formula>
    </cfRule>
    <cfRule type="cellIs" dxfId="25" priority="15" operator="equal">
      <formula>"VER TIPO DE BDI"</formula>
    </cfRule>
    <cfRule type="cellIs" dxfId="24" priority="17" operator="equal">
      <formula>"VER TIPO DE SERVIÇO"</formula>
    </cfRule>
  </conditionalFormatting>
  <dataValidations disablePrompts="1" count="3">
    <dataValidation type="list" allowBlank="1" showInputMessage="1" showErrorMessage="1" promptTitle="Alerta" prompt="Digite somente 'X'" sqref="G16:G21 C10:C11" xr:uid="{00000000-0002-0000-0400-000000000000}">
      <formula1>"x,X"</formula1>
    </dataValidation>
    <dataValidation type="decimal" allowBlank="1" showInputMessage="1" showErrorMessage="1" sqref="G38:G41 G26:G36" xr:uid="{00000000-0002-0000-0400-000001000000}">
      <formula1>0</formula1>
      <formula2>100</formula2>
    </dataValidation>
    <dataValidation allowBlank="1" promptTitle="Alerta" prompt="Digite somente 'X'" sqref="F10:F11" xr:uid="{00000000-0002-0000-0400-000002000000}"/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H23"/>
  <sheetViews>
    <sheetView topLeftCell="A20" workbookViewId="0">
      <selection activeCell="F11" sqref="F11"/>
    </sheetView>
  </sheetViews>
  <sheetFormatPr defaultRowHeight="15" x14ac:dyDescent="0.25"/>
  <cols>
    <col min="1" max="1" width="35.28515625" bestFit="1" customWidth="1"/>
    <col min="2" max="2" width="25.28515625" customWidth="1"/>
    <col min="3" max="3" width="16.7109375" bestFit="1" customWidth="1"/>
    <col min="4" max="4" width="15.42578125" customWidth="1"/>
    <col min="5" max="5" width="7.42578125" customWidth="1"/>
    <col min="6" max="6" width="8.140625" customWidth="1"/>
    <col min="7" max="7" width="22.5703125" bestFit="1" customWidth="1"/>
    <col min="8" max="8" width="11.5703125" bestFit="1" customWidth="1"/>
  </cols>
  <sheetData>
    <row r="1" spans="1:8" ht="15" customHeight="1" x14ac:dyDescent="0.25">
      <c r="A1" s="16" t="s">
        <v>0</v>
      </c>
      <c r="B1" s="460" t="s">
        <v>1</v>
      </c>
      <c r="C1" s="460"/>
      <c r="D1" s="463" t="s">
        <v>2</v>
      </c>
      <c r="E1" s="464"/>
      <c r="F1" s="458" t="s">
        <v>392</v>
      </c>
      <c r="G1" s="456" t="s">
        <v>3</v>
      </c>
      <c r="H1" s="458" t="s">
        <v>392</v>
      </c>
    </row>
    <row r="2" spans="1:8" x14ac:dyDescent="0.25">
      <c r="A2" s="16" t="s">
        <v>4</v>
      </c>
      <c r="B2" s="460" t="s">
        <v>365</v>
      </c>
      <c r="C2" s="460"/>
      <c r="D2" s="465"/>
      <c r="E2" s="466"/>
      <c r="F2" s="459"/>
      <c r="G2" s="457"/>
      <c r="H2" s="459"/>
    </row>
    <row r="3" spans="1:8" x14ac:dyDescent="0.25">
      <c r="A3" s="16" t="s">
        <v>5</v>
      </c>
      <c r="B3" s="461" t="s">
        <v>366</v>
      </c>
      <c r="C3" s="461"/>
      <c r="D3" s="462" t="s">
        <v>6</v>
      </c>
      <c r="E3" s="462"/>
      <c r="F3" s="1">
        <v>0.21959999999999999</v>
      </c>
      <c r="G3" s="11" t="s">
        <v>6</v>
      </c>
      <c r="H3" s="1">
        <v>0.26860000000000001</v>
      </c>
    </row>
    <row r="4" spans="1:8" x14ac:dyDescent="0.25">
      <c r="A4" s="16" t="s">
        <v>7</v>
      </c>
      <c r="B4" s="460" t="s">
        <v>400</v>
      </c>
      <c r="C4" s="460"/>
      <c r="D4" s="462" t="s">
        <v>8</v>
      </c>
      <c r="E4" s="462"/>
      <c r="F4" s="1">
        <f>ENCARGOS!E42</f>
        <v>1.1333</v>
      </c>
      <c r="G4" s="12" t="s">
        <v>8</v>
      </c>
      <c r="H4" s="1">
        <f>ENCARGOS!C42</f>
        <v>0.90659999999999985</v>
      </c>
    </row>
    <row r="5" spans="1:8" x14ac:dyDescent="0.25">
      <c r="A5" s="2"/>
      <c r="B5" s="3" t="s">
        <v>9</v>
      </c>
      <c r="C5" s="3" t="s">
        <v>10</v>
      </c>
      <c r="D5" s="4"/>
      <c r="E5" s="4"/>
      <c r="F5" s="4"/>
      <c r="G5" s="4"/>
      <c r="H5" s="23"/>
    </row>
    <row r="6" spans="1:8" x14ac:dyDescent="0.25">
      <c r="A6" s="9" t="s">
        <v>11</v>
      </c>
      <c r="B6" s="22">
        <f>'RESUMO SD '!F13</f>
        <v>420762.70999999996</v>
      </c>
      <c r="C6" s="260">
        <f>'RESUMO CD'!F13</f>
        <v>416827.87</v>
      </c>
      <c r="D6" s="4"/>
      <c r="E6" s="4"/>
      <c r="F6" s="4"/>
      <c r="G6" s="5"/>
    </row>
    <row r="7" spans="1:8" x14ac:dyDescent="0.25">
      <c r="A7" s="9" t="s">
        <v>12</v>
      </c>
      <c r="B7" s="22">
        <f>B6/B12</f>
        <v>114.4932544217687</v>
      </c>
      <c r="C7" s="22">
        <f>C6/B12</f>
        <v>113.42254965986395</v>
      </c>
      <c r="D7" s="4"/>
      <c r="E7" s="4"/>
      <c r="F7" s="4"/>
      <c r="G7" s="332"/>
      <c r="H7" s="333"/>
    </row>
    <row r="8" spans="1:8" x14ac:dyDescent="0.25">
      <c r="A8" s="6"/>
      <c r="B8" s="5"/>
      <c r="C8" s="4"/>
      <c r="D8" s="4"/>
      <c r="E8" s="4"/>
      <c r="F8" s="4"/>
      <c r="G8" s="5"/>
    </row>
    <row r="9" spans="1:8" x14ac:dyDescent="0.25">
      <c r="A9" s="7" t="s">
        <v>13</v>
      </c>
      <c r="B9" s="334" t="s">
        <v>14</v>
      </c>
      <c r="C9" s="335"/>
      <c r="D9" s="338"/>
      <c r="E9" s="338"/>
      <c r="F9" s="4"/>
      <c r="G9" s="4"/>
    </row>
    <row r="10" spans="1:8" x14ac:dyDescent="0.25">
      <c r="A10" s="36" t="s">
        <v>369</v>
      </c>
      <c r="B10" s="13">
        <f>'ORÇAMENTO SD'!B7</f>
        <v>3675</v>
      </c>
      <c r="C10" s="14" t="s">
        <v>15</v>
      </c>
      <c r="D10" s="15"/>
      <c r="E10" s="15"/>
      <c r="F10" s="4"/>
      <c r="G10" s="5"/>
    </row>
    <row r="11" spans="1:8" x14ac:dyDescent="0.25">
      <c r="A11" s="6"/>
      <c r="B11" s="8"/>
      <c r="C11" s="4"/>
      <c r="D11" s="4"/>
      <c r="E11" s="4"/>
      <c r="F11" s="5"/>
      <c r="G11" s="5"/>
    </row>
    <row r="12" spans="1:8" x14ac:dyDescent="0.25">
      <c r="A12" s="16" t="s">
        <v>16</v>
      </c>
      <c r="B12" s="17">
        <f>SUM(B10:B10)</f>
        <v>3675</v>
      </c>
      <c r="C12" s="18" t="str">
        <f>C10</f>
        <v>m²</v>
      </c>
      <c r="D12" s="19"/>
      <c r="E12" s="8"/>
      <c r="F12" s="4"/>
      <c r="G12" s="4"/>
    </row>
    <row r="13" spans="1:8" x14ac:dyDescent="0.25">
      <c r="A13" s="6"/>
      <c r="B13" s="4"/>
      <c r="C13" s="4"/>
      <c r="D13" s="4"/>
      <c r="E13" s="4"/>
      <c r="F13" s="4"/>
      <c r="G13" s="4"/>
    </row>
    <row r="14" spans="1:8" x14ac:dyDescent="0.25">
      <c r="A14" s="336"/>
      <c r="B14" s="337"/>
      <c r="C14" s="337"/>
      <c r="D14" s="337"/>
      <c r="E14" s="337"/>
      <c r="F14" s="337"/>
      <c r="G14" s="4"/>
    </row>
    <row r="15" spans="1:8" x14ac:dyDescent="0.25">
      <c r="A15" s="471" t="s">
        <v>17</v>
      </c>
      <c r="B15" s="472"/>
      <c r="C15" s="472"/>
      <c r="D15" s="472"/>
      <c r="E15" s="472"/>
      <c r="F15" s="335"/>
      <c r="G15" s="9" t="s">
        <v>18</v>
      </c>
    </row>
    <row r="16" spans="1:8" x14ac:dyDescent="0.25">
      <c r="A16" s="467" t="s">
        <v>19</v>
      </c>
      <c r="B16" s="468"/>
      <c r="C16" s="10" t="s">
        <v>20</v>
      </c>
      <c r="D16" s="469" t="s">
        <v>11</v>
      </c>
      <c r="E16" s="470"/>
      <c r="F16" s="10" t="s">
        <v>21</v>
      </c>
      <c r="G16" s="208">
        <v>0.5</v>
      </c>
    </row>
    <row r="17" spans="1:7" ht="24.75" customHeight="1" x14ac:dyDescent="0.25">
      <c r="A17" s="473" t="s">
        <v>275</v>
      </c>
      <c r="B17" s="474"/>
      <c r="C17" s="20">
        <f>B12</f>
        <v>3675</v>
      </c>
      <c r="D17" s="475">
        <f>'ORÇAMENTO SD'!H19</f>
        <v>316527.75</v>
      </c>
      <c r="E17" s="476"/>
      <c r="F17" s="21">
        <f>D17/B6</f>
        <v>0.75227139306142421</v>
      </c>
      <c r="G17" s="20">
        <f>G16*C17</f>
        <v>1837.5</v>
      </c>
    </row>
    <row r="18" spans="1:7" ht="30.75" customHeight="1" x14ac:dyDescent="0.25">
      <c r="A18" s="473" t="s">
        <v>23</v>
      </c>
      <c r="B18" s="474"/>
      <c r="C18" s="20">
        <f>'ORÇAMENTO SD'!E23</f>
        <v>1062</v>
      </c>
      <c r="D18" s="475">
        <f>'ORÇAMENTO SD'!H23</f>
        <v>59620.68</v>
      </c>
      <c r="E18" s="476"/>
      <c r="F18" s="21">
        <f>D18/B6</f>
        <v>0.14169668219885742</v>
      </c>
      <c r="G18" s="20">
        <f>G16*C18</f>
        <v>531</v>
      </c>
    </row>
    <row r="19" spans="1:7" x14ac:dyDescent="0.25">
      <c r="A19" s="6"/>
      <c r="B19" s="4"/>
      <c r="C19" s="4"/>
      <c r="D19" s="4"/>
      <c r="E19" s="4"/>
      <c r="F19" s="4"/>
      <c r="G19" s="4"/>
    </row>
    <row r="20" spans="1:7" x14ac:dyDescent="0.25">
      <c r="A20" s="471" t="s">
        <v>22</v>
      </c>
      <c r="B20" s="472"/>
      <c r="C20" s="472"/>
      <c r="D20" s="472"/>
      <c r="E20" s="472"/>
      <c r="F20" s="335"/>
      <c r="G20" s="9" t="s">
        <v>18</v>
      </c>
    </row>
    <row r="21" spans="1:7" ht="15.75" customHeight="1" x14ac:dyDescent="0.25">
      <c r="A21" s="467" t="s">
        <v>19</v>
      </c>
      <c r="B21" s="468"/>
      <c r="C21" s="10" t="s">
        <v>20</v>
      </c>
      <c r="D21" s="469" t="s">
        <v>11</v>
      </c>
      <c r="E21" s="470"/>
      <c r="F21" s="10" t="s">
        <v>21</v>
      </c>
      <c r="G21" s="208">
        <v>0.5</v>
      </c>
    </row>
    <row r="22" spans="1:7" ht="32.25" customHeight="1" x14ac:dyDescent="0.25">
      <c r="A22" s="473" t="s">
        <v>275</v>
      </c>
      <c r="B22" s="474"/>
      <c r="C22" s="20">
        <f>C17</f>
        <v>3675</v>
      </c>
      <c r="D22" s="475">
        <f>'ORÇAMENTO CD'!H19</f>
        <v>312375</v>
      </c>
      <c r="E22" s="476"/>
      <c r="F22" s="21">
        <f>D22/C6</f>
        <v>0.74941006223984019</v>
      </c>
      <c r="G22" s="20">
        <f>G21*C22</f>
        <v>1837.5</v>
      </c>
    </row>
    <row r="23" spans="1:7" ht="33" customHeight="1" x14ac:dyDescent="0.25">
      <c r="A23" s="473" t="str">
        <f>A18</f>
        <v>Assentamento de guia (meio-fio), confeccionada em concreto pré-fabricado, dimensões 100x15x13x30 (comprimento x base inferiror x base superior x altura), para vias urbanas ( m )</v>
      </c>
      <c r="B23" s="474"/>
      <c r="C23" s="20">
        <f>C18</f>
        <v>1062</v>
      </c>
      <c r="D23" s="475">
        <f>'ORÇAMENTO CD'!H23</f>
        <v>60788.88</v>
      </c>
      <c r="E23" s="476"/>
      <c r="F23" s="21">
        <f>D23/C6</f>
        <v>0.14583688945751155</v>
      </c>
      <c r="G23" s="20">
        <f>G21*C23</f>
        <v>531</v>
      </c>
    </row>
  </sheetData>
  <sheetProtection algorithmName="SHA-512" hashValue="Pdsotplw/2Oel+E2SLozzBWelUCDuIn87X8stNQxqyUesffsN4JjymdvPBGEnNpfWYfmQKpOPiKXDR3I5g2iCA==" saltValue="BAiKfrOItpsN+QB5f8FiWw==" spinCount="100000" sheet="1" objects="1" scenarios="1" selectLockedCells="1" selectUnlockedCells="1"/>
  <mergeCells count="27">
    <mergeCell ref="A16:B16"/>
    <mergeCell ref="D16:E16"/>
    <mergeCell ref="A15:F15"/>
    <mergeCell ref="A22:B22"/>
    <mergeCell ref="A23:B23"/>
    <mergeCell ref="A17:B17"/>
    <mergeCell ref="D22:E22"/>
    <mergeCell ref="A18:B18"/>
    <mergeCell ref="D23:E23"/>
    <mergeCell ref="A20:F20"/>
    <mergeCell ref="A21:B21"/>
    <mergeCell ref="D21:E21"/>
    <mergeCell ref="D17:E17"/>
    <mergeCell ref="D18:E18"/>
    <mergeCell ref="A14:F14"/>
    <mergeCell ref="B2:C2"/>
    <mergeCell ref="B3:C3"/>
    <mergeCell ref="D3:E3"/>
    <mergeCell ref="B4:C4"/>
    <mergeCell ref="D4:E4"/>
    <mergeCell ref="D1:E2"/>
    <mergeCell ref="G1:G2"/>
    <mergeCell ref="F1:F2"/>
    <mergeCell ref="H1:H2"/>
    <mergeCell ref="B1:C1"/>
    <mergeCell ref="B9:C9"/>
    <mergeCell ref="D9:E9"/>
  </mergeCells>
  <phoneticPr fontId="20" type="noConversion"/>
  <pageMargins left="0.51181102362204722" right="0.51181102362204722" top="1.7716535433070868" bottom="1.1811023622047245" header="0.51181102362204722" footer="0.51181102362204722"/>
  <pageSetup paperSize="9" scale="64" fitToHeight="0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1E80-CFFF-435A-BF47-39A456F3EBC1}">
  <sheetPr>
    <tabColor theme="0" tint="-0.14999847407452621"/>
    <pageSetUpPr fitToPage="1"/>
  </sheetPr>
  <dimension ref="A1:H13"/>
  <sheetViews>
    <sheetView workbookViewId="0">
      <selection activeCell="E3" sqref="E3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7.855468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8" x14ac:dyDescent="0.25">
      <c r="A1" s="350" t="s">
        <v>362</v>
      </c>
      <c r="B1" s="350"/>
      <c r="C1" s="350"/>
      <c r="D1" s="350"/>
      <c r="E1" s="350"/>
      <c r="F1" s="350"/>
    </row>
    <row r="2" spans="1:8" ht="33.75" x14ac:dyDescent="0.25">
      <c r="A2" s="351" t="s">
        <v>378</v>
      </c>
      <c r="B2" s="352"/>
      <c r="C2" s="353" t="s">
        <v>391</v>
      </c>
      <c r="D2" s="353"/>
      <c r="E2" s="24" t="s">
        <v>395</v>
      </c>
      <c r="F2" s="25" t="s">
        <v>339</v>
      </c>
      <c r="G2" s="291"/>
      <c r="H2" s="291"/>
    </row>
    <row r="3" spans="1:8" x14ac:dyDescent="0.25">
      <c r="A3" s="354" t="s">
        <v>371</v>
      </c>
      <c r="B3" s="355"/>
      <c r="C3" s="355"/>
      <c r="D3" s="355"/>
      <c r="E3" s="26" t="s">
        <v>24</v>
      </c>
      <c r="F3" s="27">
        <f>'GERAL '!B12</f>
        <v>3675</v>
      </c>
    </row>
    <row r="4" spans="1:8" x14ac:dyDescent="0.25">
      <c r="A4" s="346" t="s">
        <v>25</v>
      </c>
      <c r="B4" s="346" t="s">
        <v>26</v>
      </c>
      <c r="C4" s="346" t="s">
        <v>27</v>
      </c>
      <c r="D4" s="348" t="s">
        <v>28</v>
      </c>
      <c r="E4" s="356" t="s">
        <v>29</v>
      </c>
      <c r="F4" s="357"/>
    </row>
    <row r="5" spans="1:8" x14ac:dyDescent="0.25">
      <c r="A5" s="347"/>
      <c r="B5" s="347"/>
      <c r="C5" s="347"/>
      <c r="D5" s="349"/>
      <c r="E5" s="358"/>
      <c r="F5" s="359"/>
    </row>
    <row r="6" spans="1:8" x14ac:dyDescent="0.25">
      <c r="A6" s="28" t="s">
        <v>30</v>
      </c>
      <c r="B6" s="342" t="s">
        <v>31</v>
      </c>
      <c r="C6" s="343"/>
      <c r="D6" s="343"/>
      <c r="E6" s="344">
        <f>SUM(E7:F9)</f>
        <v>30194.02</v>
      </c>
      <c r="F6" s="345"/>
    </row>
    <row r="7" spans="1:8" x14ac:dyDescent="0.25">
      <c r="A7" s="29" t="s">
        <v>32</v>
      </c>
      <c r="B7" s="36" t="s">
        <v>38</v>
      </c>
      <c r="C7" s="30" t="s">
        <v>15</v>
      </c>
      <c r="D7" s="37">
        <v>6</v>
      </c>
      <c r="E7" s="339">
        <f>'ORÇAMENTO CD'!H11</f>
        <v>3508.32</v>
      </c>
      <c r="F7" s="340"/>
    </row>
    <row r="8" spans="1:8" x14ac:dyDescent="0.25">
      <c r="A8" s="29" t="s">
        <v>172</v>
      </c>
      <c r="B8" s="36" t="s">
        <v>39</v>
      </c>
      <c r="C8" s="30" t="s">
        <v>40</v>
      </c>
      <c r="D8" s="37">
        <v>5</v>
      </c>
      <c r="E8" s="339">
        <f>'ORÇAMENTO CD'!H12</f>
        <v>13602.7</v>
      </c>
      <c r="F8" s="340"/>
    </row>
    <row r="9" spans="1:8" x14ac:dyDescent="0.25">
      <c r="A9" s="29" t="s">
        <v>361</v>
      </c>
      <c r="B9" s="292" t="s">
        <v>310</v>
      </c>
      <c r="C9" s="30" t="s">
        <v>15</v>
      </c>
      <c r="D9" s="37">
        <f>'ORÇAMENTO CD'!E13</f>
        <v>3675</v>
      </c>
      <c r="E9" s="339">
        <f>'ORÇAMENTO CD'!H13</f>
        <v>13083</v>
      </c>
      <c r="F9" s="340"/>
    </row>
    <row r="10" spans="1:8" x14ac:dyDescent="0.25">
      <c r="A10" s="28" t="s">
        <v>33</v>
      </c>
      <c r="B10" s="342" t="s">
        <v>34</v>
      </c>
      <c r="C10" s="343"/>
      <c r="D10" s="343"/>
      <c r="E10" s="344">
        <f>SUM(E11:F11)</f>
        <v>386633.85</v>
      </c>
      <c r="F10" s="345"/>
    </row>
    <row r="11" spans="1:8" x14ac:dyDescent="0.25">
      <c r="A11" s="29" t="s">
        <v>35</v>
      </c>
      <c r="B11" s="36" t="s">
        <v>369</v>
      </c>
      <c r="C11" s="30" t="s">
        <v>36</v>
      </c>
      <c r="D11" s="38">
        <v>1</v>
      </c>
      <c r="E11" s="339">
        <f>SUM('ORÇAMENTO CD'!H15,'ORÇAMENTO CD'!H18,'ORÇAMENTO CD'!H22,'ORÇAMENTO CD'!H26,'ORÇAMENTO CD'!H29)</f>
        <v>386633.85</v>
      </c>
      <c r="F11" s="340"/>
    </row>
    <row r="12" spans="1:8" x14ac:dyDescent="0.25">
      <c r="A12" s="31"/>
      <c r="B12" s="32"/>
      <c r="C12" s="32"/>
      <c r="D12" s="33"/>
      <c r="E12" s="33"/>
      <c r="F12" s="34"/>
    </row>
    <row r="13" spans="1:8" x14ac:dyDescent="0.25">
      <c r="A13" s="341" t="s">
        <v>37</v>
      </c>
      <c r="B13" s="341"/>
      <c r="C13" s="341"/>
      <c r="D13" s="341"/>
      <c r="E13" s="341"/>
      <c r="F13" s="35">
        <f>E6+E10</f>
        <v>416827.87</v>
      </c>
    </row>
  </sheetData>
  <sheetProtection algorithmName="SHA-512" hashValue="vxB2U0c9qIWzVcbaQxZOlEnc+FhnY4cdZcJY9YAulu+tSYqir/01WftayQWBpcWlEmrHRZntH/SjPbqDyGWGqw==" saltValue="c5pNnY6JhCHNIANcFgM+tg==" spinCount="100000" sheet="1" objects="1" scenarios="1" selectLockedCells="1" selectUnlockedCells="1"/>
  <mergeCells count="18">
    <mergeCell ref="A1:F1"/>
    <mergeCell ref="A2:B2"/>
    <mergeCell ref="C2:D2"/>
    <mergeCell ref="A3:D3"/>
    <mergeCell ref="A4:A5"/>
    <mergeCell ref="B4:B5"/>
    <mergeCell ref="C4:C5"/>
    <mergeCell ref="D4:D5"/>
    <mergeCell ref="E4:F5"/>
    <mergeCell ref="A13:E13"/>
    <mergeCell ref="E9:F9"/>
    <mergeCell ref="E11:F11"/>
    <mergeCell ref="B6:D6"/>
    <mergeCell ref="E6:F6"/>
    <mergeCell ref="E7:F7"/>
    <mergeCell ref="E8:F8"/>
    <mergeCell ref="B10:D10"/>
    <mergeCell ref="E10:F10"/>
  </mergeCells>
  <phoneticPr fontId="20" type="noConversion"/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EA9C0-7891-47DA-8B84-CFB759E3D2D3}">
  <sheetPr>
    <tabColor theme="0" tint="-0.14999847407452621"/>
    <pageSetUpPr fitToPage="1"/>
  </sheetPr>
  <dimension ref="A1:F33"/>
  <sheetViews>
    <sheetView topLeftCell="A24" workbookViewId="0">
      <selection activeCell="B17" sqref="B17"/>
    </sheetView>
  </sheetViews>
  <sheetFormatPr defaultRowHeight="15" x14ac:dyDescent="0.25"/>
  <cols>
    <col min="1" max="1" width="9.140625" style="23"/>
    <col min="2" max="2" width="32.42578125" bestFit="1" customWidth="1"/>
    <col min="3" max="3" width="7.28515625" customWidth="1"/>
    <col min="4" max="4" width="15.28515625" customWidth="1"/>
    <col min="5" max="6" width="14.42578125" bestFit="1" customWidth="1"/>
  </cols>
  <sheetData>
    <row r="1" spans="1:6" x14ac:dyDescent="0.25">
      <c r="A1" s="378" t="s">
        <v>185</v>
      </c>
      <c r="B1" s="379"/>
      <c r="C1" s="379"/>
      <c r="D1" s="379"/>
      <c r="E1" s="379"/>
      <c r="F1" s="380"/>
    </row>
    <row r="2" spans="1:6" ht="15" customHeight="1" x14ac:dyDescent="0.25">
      <c r="A2" s="381" t="str">
        <f>'RESUMO CD'!A2:B2</f>
        <v>OBJETO:  PAVIMENTAÇÃO DE VIAS PÚBLICAS NO MUNÍCIO DE PAJEÚ DO PIAUI -PI</v>
      </c>
      <c r="B2" s="382"/>
      <c r="C2" s="382"/>
      <c r="D2" s="382"/>
      <c r="E2" s="382"/>
      <c r="F2" s="383"/>
    </row>
    <row r="3" spans="1:6" x14ac:dyDescent="0.25">
      <c r="A3" s="384"/>
      <c r="B3" s="385"/>
      <c r="C3" s="385"/>
      <c r="D3" s="385"/>
      <c r="E3" s="385"/>
      <c r="F3" s="386"/>
    </row>
    <row r="4" spans="1:6" ht="15.75" customHeight="1" x14ac:dyDescent="0.25">
      <c r="A4" s="387" t="s">
        <v>25</v>
      </c>
      <c r="B4" s="387" t="s">
        <v>186</v>
      </c>
      <c r="C4" s="388" t="s">
        <v>190</v>
      </c>
      <c r="D4" s="389" t="s">
        <v>235</v>
      </c>
      <c r="E4" s="390" t="s">
        <v>187</v>
      </c>
      <c r="F4" s="390"/>
    </row>
    <row r="5" spans="1:6" ht="23.25" customHeight="1" x14ac:dyDescent="0.25">
      <c r="A5" s="387"/>
      <c r="B5" s="387"/>
      <c r="C5" s="388"/>
      <c r="D5" s="389"/>
      <c r="E5" s="274">
        <v>30</v>
      </c>
      <c r="F5" s="274">
        <v>60</v>
      </c>
    </row>
    <row r="6" spans="1:6" x14ac:dyDescent="0.25">
      <c r="A6" s="273" t="s">
        <v>30</v>
      </c>
      <c r="B6" s="371" t="s">
        <v>31</v>
      </c>
      <c r="C6" s="372"/>
      <c r="D6" s="372"/>
      <c r="E6" s="372"/>
      <c r="F6" s="373"/>
    </row>
    <row r="7" spans="1:6" x14ac:dyDescent="0.25">
      <c r="A7" s="374" t="s">
        <v>32</v>
      </c>
      <c r="B7" s="375" t="s">
        <v>38</v>
      </c>
      <c r="C7" s="376">
        <f>D7/$D$30</f>
        <v>8.4167116752533848E-3</v>
      </c>
      <c r="D7" s="377">
        <f>'ORÇAMENTO CD'!H11</f>
        <v>3508.32</v>
      </c>
      <c r="E7" s="133">
        <f>D7*E8</f>
        <v>3508.32</v>
      </c>
      <c r="F7" s="134"/>
    </row>
    <row r="8" spans="1:6" x14ac:dyDescent="0.25">
      <c r="A8" s="374"/>
      <c r="B8" s="375"/>
      <c r="C8" s="376"/>
      <c r="D8" s="377"/>
      <c r="E8" s="135">
        <v>1</v>
      </c>
      <c r="F8" s="135"/>
    </row>
    <row r="9" spans="1:6" x14ac:dyDescent="0.25">
      <c r="A9" s="374" t="s">
        <v>172</v>
      </c>
      <c r="B9" s="375" t="s">
        <v>39</v>
      </c>
      <c r="C9" s="376">
        <f>D9/$D$30</f>
        <v>3.2633854353356938E-2</v>
      </c>
      <c r="D9" s="377">
        <f>'ORÇAMENTO CD'!H12</f>
        <v>13602.7</v>
      </c>
      <c r="E9" s="133">
        <f>D9/2</f>
        <v>6801.35</v>
      </c>
      <c r="F9" s="133">
        <f>D9/2</f>
        <v>6801.35</v>
      </c>
    </row>
    <row r="10" spans="1:6" x14ac:dyDescent="0.25">
      <c r="A10" s="374"/>
      <c r="B10" s="375"/>
      <c r="C10" s="376"/>
      <c r="D10" s="377"/>
      <c r="E10" s="135">
        <f>E9/D9</f>
        <v>0.5</v>
      </c>
      <c r="F10" s="135">
        <f>F9/D9</f>
        <v>0.5</v>
      </c>
    </row>
    <row r="11" spans="1:6" x14ac:dyDescent="0.25">
      <c r="A11" s="374" t="s">
        <v>361</v>
      </c>
      <c r="B11" s="375" t="s">
        <v>310</v>
      </c>
      <c r="C11" s="376">
        <f>D11/$D$30</f>
        <v>3.138705672439801E-2</v>
      </c>
      <c r="D11" s="377">
        <f>'ORÇAMENTO CD'!H13</f>
        <v>13083</v>
      </c>
      <c r="E11" s="133"/>
      <c r="F11" s="133">
        <f>D11</f>
        <v>13083</v>
      </c>
    </row>
    <row r="12" spans="1:6" x14ac:dyDescent="0.25">
      <c r="A12" s="374"/>
      <c r="B12" s="375"/>
      <c r="C12" s="376"/>
      <c r="D12" s="377"/>
      <c r="E12" s="135"/>
      <c r="F12" s="135">
        <f>F11/D11</f>
        <v>1</v>
      </c>
    </row>
    <row r="13" spans="1:6" x14ac:dyDescent="0.25">
      <c r="A13" s="31"/>
      <c r="B13" s="136"/>
      <c r="C13" s="137"/>
      <c r="D13" s="33"/>
      <c r="E13" s="138"/>
      <c r="F13" s="139"/>
    </row>
    <row r="14" spans="1:6" x14ac:dyDescent="0.25">
      <c r="A14" s="273" t="s">
        <v>33</v>
      </c>
      <c r="B14" s="371" t="s">
        <v>369</v>
      </c>
      <c r="C14" s="372"/>
      <c r="D14" s="372"/>
      <c r="E14" s="372"/>
      <c r="F14" s="373"/>
    </row>
    <row r="15" spans="1:6" x14ac:dyDescent="0.25">
      <c r="A15" s="374" t="s">
        <v>35</v>
      </c>
      <c r="B15" s="375" t="s">
        <v>247</v>
      </c>
      <c r="C15" s="376">
        <f>D15/$D$30</f>
        <v>6.2597781669445473E-3</v>
      </c>
      <c r="D15" s="377">
        <f>'ORÇAMENTO CD'!H15</f>
        <v>2609.25</v>
      </c>
      <c r="E15" s="133">
        <f>D15</f>
        <v>2609.25</v>
      </c>
      <c r="F15" s="134"/>
    </row>
    <row r="16" spans="1:6" x14ac:dyDescent="0.25">
      <c r="A16" s="374"/>
      <c r="B16" s="375"/>
      <c r="C16" s="376"/>
      <c r="D16" s="377"/>
      <c r="E16" s="135">
        <f>E15/D15</f>
        <v>1</v>
      </c>
      <c r="F16" s="135"/>
    </row>
    <row r="17" spans="1:6" x14ac:dyDescent="0.25">
      <c r="A17" s="257"/>
      <c r="B17" s="258"/>
      <c r="C17" s="258"/>
      <c r="D17" s="258"/>
      <c r="E17" s="258"/>
      <c r="F17" s="259"/>
    </row>
    <row r="18" spans="1:6" x14ac:dyDescent="0.25">
      <c r="A18" s="374" t="s">
        <v>341</v>
      </c>
      <c r="B18" s="477" t="s">
        <v>176</v>
      </c>
      <c r="C18" s="376">
        <f>D18/$D$30</f>
        <v>0.76951188508580293</v>
      </c>
      <c r="D18" s="377">
        <f>'ORÇAMENTO CD'!H18</f>
        <v>320754</v>
      </c>
      <c r="E18" s="133">
        <f>D18/2</f>
        <v>160377</v>
      </c>
      <c r="F18" s="133">
        <f>D18/2</f>
        <v>160377</v>
      </c>
    </row>
    <row r="19" spans="1:6" x14ac:dyDescent="0.25">
      <c r="A19" s="374"/>
      <c r="B19" s="477"/>
      <c r="C19" s="376"/>
      <c r="D19" s="377"/>
      <c r="E19" s="135">
        <f>E18/D18</f>
        <v>0.5</v>
      </c>
      <c r="F19" s="135">
        <f>F18/D18</f>
        <v>0.5</v>
      </c>
    </row>
    <row r="20" spans="1:6" x14ac:dyDescent="0.25">
      <c r="A20" s="140"/>
      <c r="B20" s="141"/>
      <c r="C20" s="141"/>
      <c r="D20" s="141"/>
      <c r="E20" s="141"/>
      <c r="F20" s="142"/>
    </row>
    <row r="21" spans="1:6" x14ac:dyDescent="0.25">
      <c r="A21" s="374" t="s">
        <v>342</v>
      </c>
      <c r="B21" s="375" t="s">
        <v>249</v>
      </c>
      <c r="C21" s="376">
        <f>D21/$D$30</f>
        <v>0.14596951014815779</v>
      </c>
      <c r="D21" s="377">
        <f>'ORÇAMENTO CD'!H22</f>
        <v>60844.159999999996</v>
      </c>
      <c r="E21" s="133">
        <f>D21/2</f>
        <v>30422.079999999998</v>
      </c>
      <c r="F21" s="133">
        <f>D21/2</f>
        <v>30422.079999999998</v>
      </c>
    </row>
    <row r="22" spans="1:6" x14ac:dyDescent="0.25">
      <c r="A22" s="374"/>
      <c r="B22" s="375"/>
      <c r="C22" s="376"/>
      <c r="D22" s="377"/>
      <c r="E22" s="135">
        <f>E21/D21</f>
        <v>0.5</v>
      </c>
      <c r="F22" s="135">
        <f>F21/D21</f>
        <v>0.5</v>
      </c>
    </row>
    <row r="23" spans="1:6" x14ac:dyDescent="0.25">
      <c r="A23" s="140"/>
      <c r="B23" s="141"/>
      <c r="C23" s="141"/>
      <c r="D23" s="141"/>
      <c r="E23" s="141"/>
      <c r="F23" s="142"/>
    </row>
    <row r="24" spans="1:6" x14ac:dyDescent="0.25">
      <c r="A24" s="374" t="s">
        <v>343</v>
      </c>
      <c r="B24" s="375" t="s">
        <v>237</v>
      </c>
      <c r="C24" s="376">
        <f>D24/$D$30</f>
        <v>4.6946956785783069E-3</v>
      </c>
      <c r="D24" s="377">
        <f>'ORÇAMENTO CD'!H26</f>
        <v>1956.88</v>
      </c>
      <c r="E24" s="133">
        <f>D24/2</f>
        <v>978.44</v>
      </c>
      <c r="F24" s="133">
        <f>D24/2</f>
        <v>978.44</v>
      </c>
    </row>
    <row r="25" spans="1:6" x14ac:dyDescent="0.25">
      <c r="A25" s="374"/>
      <c r="B25" s="375"/>
      <c r="C25" s="376"/>
      <c r="D25" s="377"/>
      <c r="E25" s="135">
        <f>E24/D24</f>
        <v>0.5</v>
      </c>
      <c r="F25" s="135">
        <f>F24/D24</f>
        <v>0.5</v>
      </c>
    </row>
    <row r="26" spans="1:6" x14ac:dyDescent="0.25">
      <c r="A26" s="140"/>
      <c r="B26" s="141"/>
      <c r="C26" s="141"/>
      <c r="D26" s="141"/>
      <c r="E26" s="141"/>
      <c r="F26" s="142"/>
    </row>
    <row r="27" spans="1:6" x14ac:dyDescent="0.25">
      <c r="A27" s="374" t="s">
        <v>344</v>
      </c>
      <c r="B27" s="375" t="s">
        <v>324</v>
      </c>
      <c r="C27" s="376">
        <f>D27/$D$30</f>
        <v>1.1265081675080892E-3</v>
      </c>
      <c r="D27" s="377">
        <f>'ORÇAMENTO CD'!H29</f>
        <v>469.56</v>
      </c>
      <c r="E27" s="134"/>
      <c r="F27" s="133">
        <f>D27</f>
        <v>469.56</v>
      </c>
    </row>
    <row r="28" spans="1:6" x14ac:dyDescent="0.25">
      <c r="A28" s="374"/>
      <c r="B28" s="375"/>
      <c r="C28" s="376"/>
      <c r="D28" s="377"/>
      <c r="E28" s="135"/>
      <c r="F28" s="135">
        <f>F27/D27</f>
        <v>1</v>
      </c>
    </row>
    <row r="29" spans="1:6" x14ac:dyDescent="0.25">
      <c r="A29" s="140"/>
      <c r="B29" s="141"/>
      <c r="C29" s="141"/>
      <c r="D29" s="141"/>
      <c r="E29" s="141"/>
      <c r="F29" s="142"/>
    </row>
    <row r="30" spans="1:6" x14ac:dyDescent="0.25">
      <c r="A30" s="360" t="s">
        <v>188</v>
      </c>
      <c r="B30" s="361"/>
      <c r="C30" s="366"/>
      <c r="D30" s="364">
        <f>SUM(D27,D24,D21,D18,D15,D11,D9,D7)</f>
        <v>416827.87</v>
      </c>
      <c r="E30" s="271">
        <f>SUM(E27,E24,E21,E18,E15,E11,E9,E7)</f>
        <v>204696.44</v>
      </c>
      <c r="F30" s="271">
        <f>SUM(F27,F24,F21,F18,F15,F11,F9,F7)</f>
        <v>212131.43</v>
      </c>
    </row>
    <row r="31" spans="1:6" x14ac:dyDescent="0.25">
      <c r="A31" s="362"/>
      <c r="B31" s="363"/>
      <c r="C31" s="367"/>
      <c r="D31" s="365"/>
      <c r="E31" s="271">
        <f>E30</f>
        <v>204696.44</v>
      </c>
      <c r="F31" s="271">
        <f>E31+F30</f>
        <v>416827.87</v>
      </c>
    </row>
    <row r="32" spans="1:6" x14ac:dyDescent="0.25">
      <c r="A32" s="360" t="s">
        <v>189</v>
      </c>
      <c r="B32" s="361"/>
      <c r="C32" s="367"/>
      <c r="D32" s="369">
        <f t="shared" ref="D32:F32" si="0">D30/$D$30</f>
        <v>1</v>
      </c>
      <c r="E32" s="272">
        <f t="shared" si="0"/>
        <v>0.49108146247514595</v>
      </c>
      <c r="F32" s="272">
        <f t="shared" si="0"/>
        <v>0.50891853752485405</v>
      </c>
    </row>
    <row r="33" spans="1:6" x14ac:dyDescent="0.25">
      <c r="A33" s="362"/>
      <c r="B33" s="363"/>
      <c r="C33" s="368"/>
      <c r="D33" s="370"/>
      <c r="E33" s="272">
        <f>E31/$D$30</f>
        <v>0.49108146247514595</v>
      </c>
      <c r="F33" s="272">
        <f>F31/$D$30</f>
        <v>1</v>
      </c>
    </row>
  </sheetData>
  <sheetProtection algorithmName="SHA-512" hashValue="dWjG0mnRHrWVfICGHi8OTqjFOyZscElSyHAePh8k51iVotLg/N9BqFIgZ0PYFFE/VS23I97o7fLe2VVU7AJY6Q==" saltValue="azgC74iqhZGxJeixKznnuQ==" spinCount="100000" sheet="1" objects="1" scenarios="1" selectLockedCells="1" selectUnlockedCells="1"/>
  <mergeCells count="47">
    <mergeCell ref="A1:F1"/>
    <mergeCell ref="A2:F2"/>
    <mergeCell ref="A3:F3"/>
    <mergeCell ref="A4:A5"/>
    <mergeCell ref="B4:B5"/>
    <mergeCell ref="C4:C5"/>
    <mergeCell ref="D4:D5"/>
    <mergeCell ref="E4:F4"/>
    <mergeCell ref="A9:A10"/>
    <mergeCell ref="B9:B10"/>
    <mergeCell ref="C9:C10"/>
    <mergeCell ref="D9:D10"/>
    <mergeCell ref="A11:A12"/>
    <mergeCell ref="B11:B12"/>
    <mergeCell ref="C11:C12"/>
    <mergeCell ref="D11:D12"/>
    <mergeCell ref="B6:F6"/>
    <mergeCell ref="A7:A8"/>
    <mergeCell ref="B7:B8"/>
    <mergeCell ref="C7:C8"/>
    <mergeCell ref="D7:D8"/>
    <mergeCell ref="B14:F14"/>
    <mergeCell ref="A18:A19"/>
    <mergeCell ref="B18:B19"/>
    <mergeCell ref="C18:C19"/>
    <mergeCell ref="D18:D19"/>
    <mergeCell ref="A15:A16"/>
    <mergeCell ref="B15:B16"/>
    <mergeCell ref="C15:C16"/>
    <mergeCell ref="D15:D16"/>
    <mergeCell ref="A21:A22"/>
    <mergeCell ref="B21:B22"/>
    <mergeCell ref="C21:C22"/>
    <mergeCell ref="D21:D22"/>
    <mergeCell ref="A24:A25"/>
    <mergeCell ref="B24:B25"/>
    <mergeCell ref="C24:C25"/>
    <mergeCell ref="D24:D25"/>
    <mergeCell ref="A27:A28"/>
    <mergeCell ref="B27:B28"/>
    <mergeCell ref="C27:C28"/>
    <mergeCell ref="D27:D28"/>
    <mergeCell ref="A30:B31"/>
    <mergeCell ref="C30:C33"/>
    <mergeCell ref="D30:D31"/>
    <mergeCell ref="A32:B33"/>
    <mergeCell ref="D32:D33"/>
  </mergeCells>
  <conditionalFormatting sqref="E17:F17 E20:F20 E23:F23 E26:F26 E29:F29">
    <cfRule type="expression" dxfId="23" priority="6" stopIfTrue="1">
      <formula>LEN(TRIM(E17))&gt;0</formula>
    </cfRule>
  </conditionalFormatting>
  <pageMargins left="0.51181102362204722" right="0.51181102362204722" top="1.7716535433070868" bottom="1.5748031496062993" header="0.51181102362204722" footer="0.51181102362204722"/>
  <pageSetup paperSize="9" scale="99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9</vt:i4>
      </vt:variant>
    </vt:vector>
  </HeadingPairs>
  <TitlesOfParts>
    <vt:vector size="24" baseType="lpstr">
      <vt:lpstr>GERAL  (2)</vt:lpstr>
      <vt:lpstr>RESUMO SD </vt:lpstr>
      <vt:lpstr>CRONOGRAMA SD</vt:lpstr>
      <vt:lpstr>ORÇAMENTO SD</vt:lpstr>
      <vt:lpstr>COMPOSIÇÕES UNITÁRIAS SD</vt:lpstr>
      <vt:lpstr>BDI SD</vt:lpstr>
      <vt:lpstr>GERAL </vt:lpstr>
      <vt:lpstr>RESUMO CD</vt:lpstr>
      <vt:lpstr>CRONOGRAMA CD</vt:lpstr>
      <vt:lpstr>ORÇAMENTO CD</vt:lpstr>
      <vt:lpstr>Memoria de Calculo </vt:lpstr>
      <vt:lpstr>COMPOSIÇÕES UNITÁRIAS CD</vt:lpstr>
      <vt:lpstr>BDI CD</vt:lpstr>
      <vt:lpstr>ENCARGOS</vt:lpstr>
      <vt:lpstr>QCI </vt:lpstr>
      <vt:lpstr>'COMPOSIÇÕES UNITÁRIAS SD'!Area_de_impressao</vt:lpstr>
      <vt:lpstr>'CRONOGRAMA CD'!Area_de_impressao</vt:lpstr>
      <vt:lpstr>'CRONOGRAMA SD'!Area_de_impressao</vt:lpstr>
      <vt:lpstr>'GERAL '!Area_de_impressao</vt:lpstr>
      <vt:lpstr>'GERAL  (2)'!Area_de_impressao</vt:lpstr>
      <vt:lpstr>'Memoria de Calculo '!Area_de_impressao</vt:lpstr>
      <vt:lpstr>'QCI '!Area_de_impressao</vt:lpstr>
      <vt:lpstr>'RESUMO CD'!Area_de_impressao</vt:lpstr>
      <vt:lpstr>'RESUMO SD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2026-01-22T13:38:22Z</dcterms:modified>
</cp:coreProperties>
</file>