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7AAEE35C-C5D2-4423-B16B-89805C1C663F}" xr6:coauthVersionLast="47" xr6:coauthVersionMax="47" xr10:uidLastSave="{00000000-0000-0000-0000-000000000000}"/>
  <bookViews>
    <workbookView xWindow="-108" yWindow="-108" windowWidth="23256" windowHeight="12456" xr2:uid="{0F1DFAAB-E633-4B93-9CB1-71DDA9AE1D7D}"/>
  </bookViews>
  <sheets>
    <sheet name="GERAL " sheetId="1" r:id="rId1"/>
    <sheet name="QCI " sheetId="15" r:id="rId2"/>
    <sheet name="RESUMO SD " sheetId="2" r:id="rId3"/>
    <sheet name="ORÇAMENTO SD" sheetId="6" r:id="rId4"/>
    <sheet name="COMPOSIÇÕES UNITÁRIAS SD" sheetId="19" r:id="rId5"/>
    <sheet name="CRONOGRAMA SD" sheetId="7" r:id="rId6"/>
    <sheet name="MC" sheetId="16" r:id="rId7"/>
    <sheet name="BDI SD" sheetId="3" r:id="rId8"/>
    <sheet name="ENCARGOS" sheetId="4" r:id="rId9"/>
    <sheet name="RESUMO CD" sheetId="11" r:id="rId10"/>
    <sheet name="ORÇAMENTO CD" sheetId="17" r:id="rId11"/>
    <sheet name="COMPOSIÇÕES UNITÁRIAS CD" sheetId="18" r:id="rId12"/>
    <sheet name="BDI CD" sheetId="5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________________OUT98" hidden="1">{#N/A,#N/A,TRUE,"Serviços"}</definedName>
    <definedName name="______________OUT98" hidden="1">{#N/A,#N/A,TRUE,"Serviços"}</definedName>
    <definedName name="_____________OUT98" hidden="1">{#N/A,#N/A,TRUE,"Serviços"}</definedName>
    <definedName name="____________OUT98" hidden="1">{#N/A,#N/A,TRUE,"Serviços"}</definedName>
    <definedName name="____________OUT988" hidden="1">{#N/A,#N/A,TRUE,"Serviços"}</definedName>
    <definedName name="___________OUT98" hidden="1">{#N/A,#N/A,TRUE,"Serviços"}</definedName>
    <definedName name="___________OUT988" hidden="1">{#N/A,#N/A,TRUE,"Serviços"}</definedName>
    <definedName name="___________OUT9888" hidden="1">{#N/A,#N/A,TRUE,"Serviços"}</definedName>
    <definedName name="__________OUT98" hidden="1">{#N/A,#N/A,TRUE,"Serviços"}</definedName>
    <definedName name="_________OUT98" hidden="1">{#N/A,#N/A,TRUE,"Serviços"}</definedName>
    <definedName name="_________OUTT98" hidden="1">{#N/A,#N/A,TRUE,"Serviços"}</definedName>
    <definedName name="_________OUTT988" hidden="1">{#N/A,#N/A,TRUE,"Serviços"}</definedName>
    <definedName name="________OUT98" hidden="1">{#N/A,#N/A,TRUE,"Serviços"}</definedName>
    <definedName name="________OUTTT98" hidden="1">{#N/A,#N/A,TRUE,"Serviços"}</definedName>
    <definedName name="_______OUT98" hidden="1">{#N/A,#N/A,TRUE,"Serviços"}</definedName>
    <definedName name="_______OUT9888" hidden="1">{#N/A,#N/A,TRUE,"Serviços"}</definedName>
    <definedName name="______OUT98" hidden="1">{#N/A,#N/A,TRUE,"Serviços"}</definedName>
    <definedName name="______OUTT98888" hidden="1">{#N/A,#N/A,TRUE,"Serviços"}</definedName>
    <definedName name="_____OUT98" hidden="1">{#N/A,#N/A,TRUE,"Serviços"}</definedName>
    <definedName name="_____OUTTT988" hidden="1">{#N/A,#N/A,TRUE,"Serviços"}</definedName>
    <definedName name="____OUT98" hidden="1">{#N/A,#N/A,TRUE,"Serviços"}</definedName>
    <definedName name="____out99" hidden="1">{#N/A,#N/A,TRUE,"Serviços"}</definedName>
    <definedName name="____OUTTT98" hidden="1">{#N/A,#N/A,TRUE,"Serviços"}</definedName>
    <definedName name="___OUT98" hidden="1">{#N/A,#N/A,TRUE,"Serviços"}</definedName>
    <definedName name="___out99" hidden="1">{#N/A,#N/A,TRUE,"Serviços"}</definedName>
    <definedName name="__123Graph_A" hidden="1">[1]A!$B$4:$E$4</definedName>
    <definedName name="__123Graph_AGraph1" hidden="1">[1]A!$B$4:$B$8</definedName>
    <definedName name="__123Graph_AGraph10" hidden="1">[2]aux!$I$24:$M$24</definedName>
    <definedName name="__123Graph_AGraph11" hidden="1">[2]aux!$I$26:$M$26</definedName>
    <definedName name="__123Graph_AGraph12" hidden="1">[2]aux!$I$28:$M$28</definedName>
    <definedName name="__123Graph_AGraph2" hidden="1">[1]A!$C$4:$C$8</definedName>
    <definedName name="__123Graph_AGraph3" hidden="1">[1]A!$D$4:$D$8</definedName>
    <definedName name="__123Graph_AGraph4" hidden="1">[1]A!$B$4:$B$9</definedName>
    <definedName name="__123Graph_AGraph5" hidden="1">[1]A!$B$4:$B$9</definedName>
    <definedName name="__123Graph_AGraph6" hidden="1">[1]A!$E$4:$E$8</definedName>
    <definedName name="__123Graph_AGraph7" hidden="1">[1]A!$B$4:$E$4</definedName>
    <definedName name="__123Graph_AGraph8" hidden="1">[1]A!$B$4:$E$4</definedName>
    <definedName name="__123Graph_AGraph9" hidden="1">[2]aux!$I$22:$M$22</definedName>
    <definedName name="__123Graph_B" hidden="1">[1]A!$B$5:$E$5</definedName>
    <definedName name="__123Graph_BGraph1" hidden="1">[2]aux!$B$6:$F$6</definedName>
    <definedName name="__123Graph_BGraph10" hidden="1">[2]aux!$B$24:$F$24</definedName>
    <definedName name="__123Graph_BGraph11" hidden="1">[2]aux!$B$26:$F$26</definedName>
    <definedName name="__123Graph_BGraph12" hidden="1">[2]aux!$B$28:$F$28</definedName>
    <definedName name="__123Graph_BGraph2" hidden="1">[2]aux!$B$8:$F$8</definedName>
    <definedName name="__123Graph_BGraph3" hidden="1">[2]aux!$B$10:$F$10</definedName>
    <definedName name="__123Graph_BGraph4" hidden="1">[2]aux!$B$12:$F$12</definedName>
    <definedName name="__123Graph_BGraph5" hidden="1">[2]aux!$B$14:$F$14</definedName>
    <definedName name="__123Graph_BGraph6" hidden="1">[2]aux!$B$16:$F$16</definedName>
    <definedName name="__123Graph_BGraph7" hidden="1">[1]A!$B$5:$E$5</definedName>
    <definedName name="__123Graph_BGraph8" hidden="1">[1]A!$B$5:$E$5</definedName>
    <definedName name="__123Graph_BGraph9" hidden="1">[2]aux!$B$22:$F$22</definedName>
    <definedName name="__123Graph_C" hidden="1">[1]A!$B$6:$E$6</definedName>
    <definedName name="__123Graph_CGraph7" hidden="1">[1]A!$B$6:$E$6</definedName>
    <definedName name="__123Graph_CGraph8" hidden="1">[1]A!$B$6:$E$6</definedName>
    <definedName name="__123Graph_D" hidden="1">[1]A!$B$7:$E$7</definedName>
    <definedName name="__123Graph_DGraph7" hidden="1">[1]A!$B$7:$E$7</definedName>
    <definedName name="__123Graph_DGraph8" hidden="1">[1]A!$B$7:$E$7</definedName>
    <definedName name="__123Graph_E" hidden="1">[1]A!$B$8:$E$8</definedName>
    <definedName name="__123Graph_EGraph7" hidden="1">[1]A!$B$8:$E$8</definedName>
    <definedName name="__123Graph_EGraph8" hidden="1">[1]A!$B$8:$E$8</definedName>
    <definedName name="__123Graph_X" hidden="1">[1]A!$B$3:$E$3</definedName>
    <definedName name="__123Graph_XGraph1" hidden="1">[1]A!$A$4:$A$8</definedName>
    <definedName name="__123Graph_XGraph10" hidden="1">[2]aux!$B$25:$F$25</definedName>
    <definedName name="__123Graph_XGraph11" hidden="1">[2]aux!$B$27:$F$27</definedName>
    <definedName name="__123Graph_XGraph12" hidden="1">[2]aux!$B$29:$F$29</definedName>
    <definedName name="__123Graph_XGraph2" hidden="1">[1]A!$A$4:$A$8</definedName>
    <definedName name="__123Graph_XGraph3" hidden="1">[1]A!$A$4:$A$8</definedName>
    <definedName name="__123Graph_XGraph4" hidden="1">[1]A!$A$4:$A$9</definedName>
    <definedName name="__123Graph_XGraph5" hidden="1">[1]A!$A$4:$A$9</definedName>
    <definedName name="__123Graph_XGraph6" hidden="1">[1]A!$A$4:$A$8</definedName>
    <definedName name="__123Graph_XGraph7" hidden="1">[1]A!$B$3:$E$3</definedName>
    <definedName name="__123Graph_XGraph8" hidden="1">[1]A!$B$3:$E$3</definedName>
    <definedName name="__123Graph_XGraph9" hidden="1">[2]aux!$B$23:$F$23</definedName>
    <definedName name="__IntlFixup" hidden="1">TRUE</definedName>
    <definedName name="__OUT98" hidden="1">{#N/A,#N/A,TRUE,"Serviços"}</definedName>
    <definedName name="__OUT988888" hidden="1">{#N/A,#N/A,TRUE,"Serviços"}</definedName>
    <definedName name="__xlfn.AVERAGEIF" hidden="1">#NAME?</definedName>
    <definedName name="__xlfn.RTD" hidden="1">#NAME?</definedName>
    <definedName name="_1830201" hidden="1">#N/A</definedName>
    <definedName name="_Fill" hidden="1">#REF!</definedName>
    <definedName name="_Key1" hidden="1">'[3]1.6'!$A$11</definedName>
    <definedName name="_Key2" hidden="1">#REF!</definedName>
    <definedName name="_Order1" hidden="1">255</definedName>
    <definedName name="_Order2" hidden="1">0</definedName>
    <definedName name="_OUT98" hidden="1">{#N/A,#N/A,TRUE,"Serviços"}</definedName>
    <definedName name="_OUT98_" hidden="1">{#N/A,#N/A,TRUE,"Serviços"}</definedName>
    <definedName name="_OUTTTT9888" hidden="1">{#N/A,#N/A,TRUE,"Serviços"}</definedName>
    <definedName name="_Parse_On" hidden="1">#REF!</definedName>
    <definedName name="_Parse_Out" hidden="1">#REF!</definedName>
    <definedName name="_Regression_Int" hidden="1">1</definedName>
    <definedName name="_Sort" hidden="1">#REF!</definedName>
    <definedName name="aaaa" hidden="1">#REF!</definedName>
    <definedName name="AccessDatabase" hidden="1">"D:\Arquivos do excel\Planilha modelo1.mdb"</definedName>
    <definedName name="acost" hidden="1">{#N/A,#N/A,TRUE,"Serviços"}</definedName>
    <definedName name="AGORA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AGORA2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alex" hidden="1">{#N/A,#N/A,FALSE,"MO (2)"}</definedName>
    <definedName name="alex_1" hidden="1">{#N/A,#N/A,FALSE,"MO (2)"}</definedName>
    <definedName name="Anexo" hidden="1">{#N/A,#N/A,FALSE,"Planilha";#N/A,#N/A,FALSE,"Resumo";#N/A,#N/A,FALSE,"Fisico";#N/A,#N/A,FALSE,"Financeiro";#N/A,#N/A,FALSE,"Financeiro"}</definedName>
    <definedName name="anscount" hidden="1">3</definedName>
    <definedName name="ant" hidden="1">{#N/A,#N/A,FALSE,"MO (2)"}</definedName>
    <definedName name="ant_1" hidden="1">{#N/A,#N/A,FALSE,"MO (2)"}</definedName>
    <definedName name="_xlnm.Print_Area" localSheetId="5">'CRONOGRAMA SD'!$A$1:$F$33</definedName>
    <definedName name="_xlnm.Print_Area" localSheetId="0">'GERAL '!$A$1:$H$29</definedName>
    <definedName name="_xlnm.Print_Area" localSheetId="6">MC!$A$1:$E$72</definedName>
    <definedName name="_xlnm.Print_Area" localSheetId="1">'QCI '!$A$1:$D$32</definedName>
    <definedName name="_xlnm.Print_Area" localSheetId="9">'RESUMO CD'!$A$1:$F$12</definedName>
    <definedName name="_xlnm.Print_Area" localSheetId="2">'RESUMO SD '!$A$1:$F$14</definedName>
    <definedName name="ASDFG" hidden="1">{#N/A,#N/A,TRUE,"Serviços"}</definedName>
    <definedName name="ASFGG" hidden="1">{#N/A,#N/A,TRUE,"Serviços"}</definedName>
    <definedName name="batista" hidden="1">{#N/A,#N/A,FALSE,"SS 1";#N/A,#N/A,FALSE,"SS 2";#N/A,#N/A,FALSE,"TER 1 (1)";#N/A,#N/A,FALSE,"TER 1 (2)";#N/A,#N/A,FALSE,"TER 2 ";#N/A,#N/A,FALSE,"TP  (1)";#N/A,#N/A,FALSE,"TP  (2)";#N/A,#N/A,FALSE,"CM BAR"}</definedName>
    <definedName name="bbbb" hidden="1">{#N/A,#N/A,FALSE,"MO (2)"}</definedName>
    <definedName name="bbbb_1" hidden="1">{#N/A,#N/A,FALSE,"MO (2)"}</definedName>
    <definedName name="BDI">[4]DADOS!$B$7</definedName>
    <definedName name="Bloco" hidden="1">#REF!</definedName>
    <definedName name="Bloco2" hidden="1">#REF!</definedName>
    <definedName name="cadeira" hidden="1">{#N/A,#N/A,TRUE,"Serviços"}</definedName>
    <definedName name="CadIns" hidden="1">#REF!</definedName>
    <definedName name="CadSrv" hidden="1">#REF!</definedName>
    <definedName name="CAPA" hidden="1">{#N/A,#N/A,TRUE,"Serviços"}</definedName>
    <definedName name="capa1" hidden="1">{#N/A,#N/A,TRUE,"Serviços"}</definedName>
    <definedName name="capa11" hidden="1">{#N/A,#N/A,TRUE,"Serviços"}</definedName>
    <definedName name="capa22" hidden="1">{#N/A,#N/A,TRUE,"Serviços"}</definedName>
    <definedName name="CAPAA" hidden="1">{#N/A,#N/A,TRUE,"Serviços"}</definedName>
    <definedName name="CARLA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cch" hidden="1">#N/A</definedName>
    <definedName name="CdQtEqA" hidden="1">2</definedName>
    <definedName name="CdQtEqP" hidden="1">2</definedName>
    <definedName name="CdQtMoA" hidden="1">2</definedName>
    <definedName name="CdQtMoP" hidden="1">2</definedName>
    <definedName name="CdQtMpA" hidden="1">5</definedName>
    <definedName name="CdQtMpP" hidden="1">5</definedName>
    <definedName name="CdQtTrA" hidden="1">2</definedName>
    <definedName name="CdQtTrP" hidden="1">2</definedName>
    <definedName name="Chave" hidden="1">#REF!</definedName>
    <definedName name="Chave1" hidden="1">#REF!</definedName>
    <definedName name="Clas" hidden="1">MAX(LEN(#REF!))</definedName>
    <definedName name="Clas_1" hidden="1">MAX(LEN(#REF!))</definedName>
    <definedName name="Cliente" hidden="1">""</definedName>
    <definedName name="Cls" hidden="1">#N/A</definedName>
    <definedName name="Coluna" hidden="1">#REF!</definedName>
    <definedName name="Comp" hidden="1">#REF!</definedName>
    <definedName name="CpuAux" hidden="1">#REF!</definedName>
    <definedName name="CPUs" hidden="1">#REF!</definedName>
    <definedName name="CRIT" hidden="1">#REF!</definedName>
    <definedName name="Cron" hidden="1">{#N/A,#N/A,FALSE,"MO (2)"}</definedName>
    <definedName name="Cron_1" hidden="1">{#N/A,#N/A,FALSE,"MO (2)"}</definedName>
    <definedName name="cronograma" hidden="1">{#N/A,#N/A,TRUE,"Plan1"}</definedName>
    <definedName name="Cun" hidden="1">#N/A</definedName>
    <definedName name="CunEq" hidden="1">SUM(IF(#REF! =#REF!,(#REF!)*(#REF!="EQ")))</definedName>
    <definedName name="CunEq_1" hidden="1">SUM(IF(#REF! =#REF!,(#REF!)*(#REF!="EQ")))</definedName>
    <definedName name="CunMo" hidden="1">SUM(IF(#REF! =#REF!,(#REF!)*(#REF!="MO")))</definedName>
    <definedName name="CunMo_1" hidden="1">SUM(IF(#REF! =#REF!,(#REF!)*(#REF!="MO")))</definedName>
    <definedName name="CunMp" hidden="1">SUM(IF(#REF! =#REF!,(#REF!)*(#REF!="MP")))</definedName>
    <definedName name="CunMp_1" hidden="1">SUM(IF(#REF! =#REF!,(#REF!)*(#REF!="MP")))</definedName>
    <definedName name="DAER1" hidden="1">{#N/A,#N/A,TRUE,"Serviços"}</definedName>
    <definedName name="DAER11" hidden="1">{#N/A,#N/A,TRUE,"Serviços"}</definedName>
    <definedName name="DescAux" hidden="1">#N/A</definedName>
    <definedName name="dfgs" hidden="1">{#N/A,#N/A,TRUE,"Serviços"}</definedName>
    <definedName name="dfgss" hidden="1">{#N/A,#N/A,TRUE,"Serviços"}</definedName>
    <definedName name="DGF" hidden="1">{#N/A,#N/A,FALSE,"MO (2)"}</definedName>
    <definedName name="DGF_1" hidden="1">{#N/A,#N/A,FALSE,"MO (2)"}</definedName>
    <definedName name="Dom_Páscoa" hidden="1">#N/A</definedName>
    <definedName name="Dsc" hidden="1">#N/A</definedName>
    <definedName name="Edit" hidden="1">#REF!</definedName>
    <definedName name="EmpAux" hidden="1">""</definedName>
    <definedName name="Empr" hidden="1">#REF!</definedName>
    <definedName name="EQ" hidden="1">#REF!</definedName>
    <definedName name="ES" hidden="1">#REF!</definedName>
    <definedName name="EU" hidden="1">{#N/A,#N/A,FALSE,"MO (2)"}</definedName>
    <definedName name="EU_1" hidden="1">{#N/A,#N/A,FALSE,"MO (2)"}</definedName>
    <definedName name="FATUR" hidden="1">{#N/A,#N/A,FALSE,"Planilha";#N/A,#N/A,FALSE,"Resumo";#N/A,#N/A,FALSE,"Fisico";#N/A,#N/A,FALSE,"Financeiro";#N/A,#N/A,FALSE,"Financeiro"}</definedName>
    <definedName name="FATURAS2002" hidden="1">{#N/A,#N/A,TRUE,"Serviços"}</definedName>
    <definedName name="FATURAS20022" hidden="1">{#N/A,#N/A,TRUE,"Serviços"}</definedName>
    <definedName name="fernanda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fgff" hidden="1">{#N/A,#N/A,FALSE,"MO (2)"}</definedName>
    <definedName name="fgff_1" hidden="1">{#N/A,#N/A,FALSE,"MO (2)"}</definedName>
    <definedName name="figura1">"Figura 1"</definedName>
    <definedName name="FOLHA01" hidden="1">{#N/A,#N/A,TRUE,"Serviços"}</definedName>
    <definedName name="FOLHA011" hidden="1">{#N/A,#N/A,TRUE,"Serviços"}</definedName>
    <definedName name="folha1" hidden="1">{#N/A,#N/A,TRUE,"Serviços"}</definedName>
    <definedName name="folha11" hidden="1">{#N/A,#N/A,TRUE,"Serviços"}</definedName>
    <definedName name="Fresagem01" hidden="1">{#N/A,#N/A,TRUE,"Serviços"}</definedName>
    <definedName name="Fresagem011" hidden="1">{#N/A,#N/A,TRUE,"Serviços"}</definedName>
    <definedName name="gtryfj" hidden="1">{#N/A,#N/A,TRUE,"Serviços"}</definedName>
    <definedName name="gtryfjj" hidden="1">{#N/A,#N/A,TRUE,"Serviços"}</definedName>
    <definedName name="Guia">"Figura 1"</definedName>
    <definedName name="Insumos" hidden="1">#REF!</definedName>
    <definedName name="Itens" hidden="1">#REF!</definedName>
    <definedName name="JANEIRO2003" hidden="1">{#N/A,#N/A,TRUE,"Serviços"}</definedName>
    <definedName name="JANEIRO20033" hidden="1">{#N/A,#N/A,TRUE,"Serviços"}</definedName>
    <definedName name="JOAO" hidden="1">{#N/A,#N/A,FALSE,"SS 1";#N/A,#N/A,FALSE,"SS 2";#N/A,#N/A,FALSE,"TER 1 (1)";#N/A,#N/A,FALSE,"TER 1 (2)";#N/A,#N/A,FALSE,"TER 2 ";#N/A,#N/A,FALSE,"TP  (1)";#N/A,#N/A,FALSE,"TP  (2)";#N/A,#N/A,FALSE,"CM BAR"}</definedName>
    <definedName name="JOAO1" hidden="1">{#N/A,#N/A,FALSE,"LEVFER V2 P";#N/A,#N/A,FALSE,"LEVFER V2 P10%"}</definedName>
    <definedName name="JOSE" hidden="1">{#N/A,#N/A,FALSE,"LEVFER V2 P";#N/A,#N/A,FALSE,"LEVFER V2 P10%"}</definedName>
    <definedName name="juca" hidden="1">{#N/A,#N/A,FALSE,"SS 1";#N/A,#N/A,FALSE,"TER 1 (A)";#N/A,#N/A,FALSE,"SS 2";#N/A,#N/A,FALSE,"TER 1 (B)";#N/A,#N/A,FALSE,"TER 1 (C)";#N/A,#N/A,FALSE,"TER 1 (D)";#N/A,#N/A,FALSE,"TER 1 (E)";#N/A,#N/A,FALSE,"TER 2 "}</definedName>
    <definedName name="la" hidden="1">{#N/A,#N/A,FALSE,"MO (2)"}</definedName>
    <definedName name="la_1" hidden="1">{#N/A,#N/A,FALSE,"MO (2)"}</definedName>
    <definedName name="lab" hidden="1">{#N/A,#N/A,TRUE,"Serviços"}</definedName>
    <definedName name="labb" hidden="1">{#N/A,#N/A,TRUE,"Serviços"}</definedName>
    <definedName name="limcount" hidden="1">1</definedName>
    <definedName name="LOGOTIPO">"Figura 3"</definedName>
    <definedName name="Max" hidden="1">COUNTIF(#REF!,"&lt;&gt;0")+3</definedName>
    <definedName name="MO" hidden="1">#REF!</definedName>
    <definedName name="Mob" hidden="1">#REF!</definedName>
    <definedName name="MP" hidden="1">#REF!</definedName>
    <definedName name="NLEq" hidden="1">4</definedName>
    <definedName name="NLMo" hidden="1">6</definedName>
    <definedName name="NLMp" hidden="1">5</definedName>
    <definedName name="NLTr" hidden="1">3</definedName>
    <definedName name="Obra" hidden="1">""</definedName>
    <definedName name="OnOff" hidden="1">"ON"</definedName>
    <definedName name="orçamrest" hidden="1">{#N/A,#N/A,TRUE,"Serviços"}</definedName>
    <definedName name="orçamrestt" hidden="1">{#N/A,#N/A,TRUE,"Serviços"}</definedName>
    <definedName name="Ordem" hidden="1">#REF!</definedName>
    <definedName name="Origem" hidden="1">#REF!</definedName>
    <definedName name="Payment_Needed">"Pagamento necessário"</definedName>
    <definedName name="pcf">[4]DADOS!$F$8</definedName>
    <definedName name="PISTA" hidden="1">{#N/A,#N/A,TRUE,"Serviços"}</definedName>
    <definedName name="Plan1" hidden="1">#REF!</definedName>
    <definedName name="PLANILHA" hidden="1">{#N/A,#N/A,TRUE,"Serviços"}</definedName>
    <definedName name="Posição" hidden="1">#REF!</definedName>
    <definedName name="Prd" hidden="1">#N/A</definedName>
    <definedName name="PrdAux" hidden="1">#N/A</definedName>
    <definedName name="PROD_1" hidden="1">{#N/A,#N/A,TRUE,"Serviços"}</definedName>
    <definedName name="PROD_11" hidden="1">{#N/A,#N/A,TRUE,"Serviços"}</definedName>
    <definedName name="Pto" hidden="1">ROUND([5]Planilha!$D1*[5]Planilha!$E1,2)</definedName>
    <definedName name="Pun" hidden="1">#N/A</definedName>
    <definedName name="QD" hidden="1">#REF!</definedName>
    <definedName name="QTD" hidden="1">#REF!</definedName>
    <definedName name="QtEq" hidden="1">#REF!</definedName>
    <definedName name="QtMo" hidden="1">#REF!</definedName>
    <definedName name="QtMp" hidden="1">#REF!</definedName>
    <definedName name="QtTr" hidden="1">#REF!</definedName>
    <definedName name="Reimbursement">"Reembolso"</definedName>
    <definedName name="REL" hidden="1">{#N/A,#N/A,TRUE,"Serviços"}</definedName>
    <definedName name="Relat" hidden="1">#REF!</definedName>
    <definedName name="RELL" hidden="1">{#N/A,#N/A,TRUE,"Serviços"}</definedName>
    <definedName name="RELMOBRA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sumou" hidden="1">{#N/A,#N/A,TRUE,"Plan1"}</definedName>
    <definedName name="Rod" hidden="1">#REF!</definedName>
    <definedName name="rrff" hidden="1">{#N/A,#N/A,TRUE,"Serviços"}</definedName>
    <definedName name="rrfff" hidden="1">{#N/A,#N/A,TRUE,"Serviços"}</definedName>
    <definedName name="rrr" hidden="1">{#N/A,#N/A,TRUE,"Serviços"}</definedName>
    <definedName name="SASASA" hidden="1">{#N/A,#N/A,FALSE,"MO (2)"}</definedName>
    <definedName name="SASASA_1" hidden="1">{#N/A,#N/A,FALSE,"MO (2)"}</definedName>
    <definedName name="sasda" hidden="1">{#N/A,#N/A,TRUE,"Serviços"}</definedName>
    <definedName name="sasdaa" hidden="1">{#N/A,#N/A,TRUE,"Serviços"}</definedName>
    <definedName name="SE" hidden="1">#REF!</definedName>
    <definedName name="sencount" hidden="1">1</definedName>
    <definedName name="SETEMBRO" hidden="1">{#N/A,#N/A,TRUE,"Serviços"}</definedName>
    <definedName name="SETEMBROO" hidden="1">{#N/A,#N/A,TRUE,"Serviços"}</definedName>
    <definedName name="SINTETICO" hidden="1">{#N/A,#N/A,TRUE,"TER  EXT";#N/A,#N/A,TRUE,"TER  EXT";#N/A,#N/A,TRUE,"LAT  ESQ";#N/A,#N/A,TRUE,"FRONTAL";#N/A,#N/A,TRUE,"POST";#N/A,#N/A,TRUE,"LAT  DIR"}</definedName>
    <definedName name="solver_lin" hidden="1">0</definedName>
    <definedName name="solver_num" hidden="1">0</definedName>
    <definedName name="solver_opt" hidden="1">'[6]61M-CBMI:MAT-BET'!$H$18</definedName>
    <definedName name="solver_typ" hidden="1">1</definedName>
    <definedName name="solver_val" hidden="1">0</definedName>
    <definedName name="SRV" hidden="1">#REF!</definedName>
    <definedName name="SS" hidden="1">#REF!</definedName>
    <definedName name="SSS_1" hidden="1">{#N/A,#N/A,FALSE,"MO (2)"}</definedName>
    <definedName name="sssssssssssssssssssss" hidden="1">{#N/A,#N/A,TRUE,"Plan1"}</definedName>
    <definedName name="sssssssssssssssssssss_1" hidden="1">{#N/A,#N/A,TRUE,"Plan1"}</definedName>
    <definedName name="sxcc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Tachas" hidden="1">{#N/A,#N/A,TRUE,"Plan1"}</definedName>
    <definedName name="Tachas_1" hidden="1">{#N/A,#N/A,TRUE,"Plan1"}</definedName>
    <definedName name="TYUIO" hidden="1">{#N/A,#N/A,TRUE,"Serviços"}</definedName>
    <definedName name="TYUIOO" hidden="1">{#N/A,#N/A,TRUE,"Serviços"}</definedName>
    <definedName name="un" hidden="1">#N/A</definedName>
    <definedName name="Und" hidden="1">#N/A</definedName>
    <definedName name="UnidAux" hidden="1">#N/A</definedName>
    <definedName name="uuu" hidden="1">{#N/A,#N/A,TRUE,"Serviços"}</definedName>
    <definedName name="vvv" hidden="1">{#N/A,#N/A,FALSE,"MO (2)"}</definedName>
    <definedName name="vvv_1" hidden="1">{#N/A,#N/A,FALSE,"MO (2)"}</definedName>
    <definedName name="wrn.ACABINT.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wrn.ACABINT._.TOT." hidden="1">{#N/A,#N/A,FALSE,"SS 1";#N/A,#N/A,FALSE,"TER 1 (A)";#N/A,#N/A,FALSE,"SS 2";#N/A,#N/A,FALSE,"TER 1 (B)";#N/A,#N/A,FALSE,"TER 1 (C)";#N/A,#N/A,FALSE,"TER 1 (D)";#N/A,#N/A,FALSE,"TER 1 (E)";#N/A,#N/A,FALSE,"TER 2 "}</definedName>
    <definedName name="wrn.FACHADA." hidden="1">{#N/A,#N/A,TRUE,"TER  EXT";#N/A,#N/A,TRUE,"TER  EXT";#N/A,#N/A,TRUE,"LAT  ESQ";#N/A,#N/A,TRUE,"FRONTAL";#N/A,#N/A,TRUE,"POST";#N/A,#N/A,TRUE,"LAT  DIR"}</definedName>
    <definedName name="wrn.LEVFER." hidden="1">{#N/A,#N/A,FALSE,"LEVFER V2 P";#N/A,#N/A,FALSE,"LEVFER V2 P10%"}</definedName>
    <definedName name="wrn.mo2." hidden="1">{#N/A,#N/A,FALSE,"MO (2)"}</definedName>
    <definedName name="wrn.mo2._1" hidden="1">{#N/A,#N/A,FALSE,"MO (2)"}</definedName>
    <definedName name="wrn.Orçamento." hidden="1">{#N/A,#N/A,FALSE,"Planilha";#N/A,#N/A,FALSE,"Resumo";#N/A,#N/A,FALSE,"Fisico";#N/A,#N/A,FALSE,"Financeiro";#N/A,#N/A,FALSE,"Financeiro"}</definedName>
    <definedName name="wrn.Orçamento._1" hidden="1">{#N/A,#N/A,FALSE,"Planilha";#N/A,#N/A,FALSE,"Resumo";#N/A,#N/A,FALSE,"Fisico";#N/A,#N/A,FALSE,"Financeiro";#N/A,#N/A,FALSE,"Financeiro"}</definedName>
    <definedName name="wrn.Orçamento._2" hidden="1">{#N/A,#N/A,FALSE,"Planilha";#N/A,#N/A,FALSE,"Resumo";#N/A,#N/A,FALSE,"Fisico";#N/A,#N/A,FALSE,"Financeiro";#N/A,#N/A,FALSE,"Financeiro"}</definedName>
    <definedName name="wrn.PENDENCIAS.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relext." hidden="1">{#N/A,#N/A,TRUE,"Plan1"}</definedName>
    <definedName name="wrn.relext._1" hidden="1">{#N/A,#N/A,TRUE,"Plan1"}</definedName>
    <definedName name="wrn.SERV._.PAVTO." hidden="1">{#N/A,#N/A,FALSE,"SS 1";#N/A,#N/A,FALSE,"SS 2";#N/A,#N/A,FALSE,"TER 1 (1)";#N/A,#N/A,FALSE,"TER 1 (2)";#N/A,#N/A,FALSE,"TER 2 ";#N/A,#N/A,FALSE,"TP  (1)";#N/A,#N/A,FALSE,"TP  (2)";#N/A,#N/A,FALSE,"CM BAR"}</definedName>
    <definedName name="wrn.Tipo." hidden="1">{#N/A,#N/A,TRUE,"Serviços"}</definedName>
    <definedName name="wrn.Tipo.." hidden="1">{#N/A,#N/A,TRUE,"Serviços"}</definedName>
    <definedName name="yy" hidden="1">{#N/A,#N/A,TRUE,"Serviços"}</definedName>
    <definedName name="z_1" hidden="1">{#N/A,#N/A,FALSE,"MO (2)"}</definedName>
    <definedName name="zaza" hidden="1">{#N/A,#N/A,FALSE,"MO (2)"}</definedName>
    <definedName name="zaza_1" hidden="1">{#N/A,#N/A,FALSE,"MO (2)"}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5" l="1"/>
  <c r="G12" i="2"/>
  <c r="H32" i="6"/>
  <c r="H30" i="6"/>
  <c r="H29" i="6"/>
  <c r="H26" i="6"/>
  <c r="H25" i="6"/>
  <c r="H22" i="6"/>
  <c r="H21" i="6"/>
  <c r="H18" i="6"/>
  <c r="H15" i="6"/>
  <c r="H12" i="6"/>
  <c r="H11" i="6"/>
  <c r="G30" i="6"/>
  <c r="F30" i="6"/>
  <c r="G29" i="6"/>
  <c r="F29" i="6"/>
  <c r="G26" i="6"/>
  <c r="F26" i="6"/>
  <c r="G25" i="6"/>
  <c r="F25" i="6"/>
  <c r="G22" i="6"/>
  <c r="F22" i="6"/>
  <c r="G21" i="6"/>
  <c r="F21" i="6"/>
  <c r="G18" i="6"/>
  <c r="F18" i="6"/>
  <c r="G15" i="6"/>
  <c r="F15" i="6"/>
  <c r="G12" i="6"/>
  <c r="F12" i="6"/>
  <c r="G11" i="6"/>
  <c r="F11" i="6"/>
  <c r="G48" i="19"/>
  <c r="G47" i="19"/>
  <c r="G46" i="19"/>
  <c r="G49" i="19" s="1"/>
  <c r="A4" i="19"/>
  <c r="G3" i="19"/>
  <c r="F3" i="19"/>
  <c r="A3" i="19"/>
  <c r="G12" i="11"/>
  <c r="H32" i="17"/>
  <c r="H12" i="17"/>
  <c r="H11" i="17"/>
  <c r="H15" i="17"/>
  <c r="H18" i="17"/>
  <c r="H22" i="17"/>
  <c r="H21" i="17"/>
  <c r="H26" i="17"/>
  <c r="H25" i="17"/>
  <c r="H30" i="17"/>
  <c r="H29" i="17"/>
  <c r="G30" i="17"/>
  <c r="F30" i="17"/>
  <c r="G29" i="17"/>
  <c r="F29" i="17"/>
  <c r="G26" i="17"/>
  <c r="F26" i="17"/>
  <c r="G25" i="17"/>
  <c r="F25" i="17"/>
  <c r="G22" i="17"/>
  <c r="F22" i="17"/>
  <c r="G21" i="17"/>
  <c r="F21" i="17"/>
  <c r="G18" i="17"/>
  <c r="F18" i="17"/>
  <c r="G15" i="17"/>
  <c r="F15" i="17"/>
  <c r="G12" i="17"/>
  <c r="F12" i="17"/>
  <c r="G11" i="17"/>
  <c r="F11" i="17"/>
  <c r="F3" i="6"/>
  <c r="A4" i="15"/>
  <c r="A3" i="15"/>
  <c r="C2" i="11"/>
  <c r="H3" i="17"/>
  <c r="G3" i="17"/>
  <c r="E7" i="6"/>
  <c r="E7" i="17" s="1"/>
  <c r="E6" i="6"/>
  <c r="E6" i="17" s="1"/>
  <c r="C16" i="16"/>
  <c r="F3" i="17" l="1"/>
  <c r="F3" i="18"/>
  <c r="C53" i="16"/>
  <c r="B18" i="16"/>
  <c r="A3" i="2" l="1"/>
  <c r="A2" i="2"/>
  <c r="A1" i="16" l="1"/>
  <c r="A2" i="15"/>
  <c r="A2" i="11"/>
  <c r="A2" i="16"/>
  <c r="A3" i="11"/>
  <c r="F41" i="4"/>
  <c r="E41" i="4"/>
  <c r="D41" i="4"/>
  <c r="C41" i="4"/>
  <c r="F37" i="4"/>
  <c r="E37" i="4"/>
  <c r="D37" i="4"/>
  <c r="C37" i="4"/>
  <c r="F30" i="4"/>
  <c r="E30" i="4"/>
  <c r="D30" i="4"/>
  <c r="C30" i="4"/>
  <c r="F18" i="4"/>
  <c r="E18" i="4"/>
  <c r="D18" i="4"/>
  <c r="C18" i="4"/>
  <c r="B15" i="15"/>
  <c r="B19" i="15"/>
  <c r="B18" i="15"/>
  <c r="B25" i="15"/>
  <c r="B24" i="15"/>
  <c r="B21" i="15"/>
  <c r="B22" i="15"/>
  <c r="F47" i="18"/>
  <c r="G47" i="18" s="1"/>
  <c r="G48" i="18"/>
  <c r="G46" i="18"/>
  <c r="E30" i="17"/>
  <c r="E29" i="17"/>
  <c r="E12" i="17"/>
  <c r="A4" i="17"/>
  <c r="A3" i="17"/>
  <c r="C71" i="16"/>
  <c r="E30" i="6" s="1"/>
  <c r="C67" i="16"/>
  <c r="E29" i="6" s="1"/>
  <c r="E12" i="6"/>
  <c r="C32" i="16"/>
  <c r="C39" i="16" s="1"/>
  <c r="C31" i="16"/>
  <c r="C26" i="16"/>
  <c r="C25" i="16"/>
  <c r="C37" i="16" s="1"/>
  <c r="C12" i="16"/>
  <c r="E11" i="6" s="1"/>
  <c r="E11" i="17" l="1"/>
  <c r="C40" i="16"/>
  <c r="E21" i="6" s="1"/>
  <c r="C19" i="1" s="1"/>
  <c r="C24" i="1" s="1"/>
  <c r="E21" i="17"/>
  <c r="D24" i="1" s="1"/>
  <c r="F42" i="4"/>
  <c r="D6" i="15" s="1"/>
  <c r="D42" i="4"/>
  <c r="E42" i="4"/>
  <c r="D5" i="15" s="1"/>
  <c r="C42" i="4"/>
  <c r="G49" i="18"/>
  <c r="E7" i="11"/>
  <c r="C43" i="16"/>
  <c r="C45" i="16" s="1"/>
  <c r="C33" i="16"/>
  <c r="E18" i="17" s="1"/>
  <c r="C27" i="16"/>
  <c r="E15" i="17" l="1"/>
  <c r="H14" i="17" s="1"/>
  <c r="B7" i="6"/>
  <c r="B7" i="17" s="1"/>
  <c r="E22" i="6"/>
  <c r="E22" i="17"/>
  <c r="H20" i="17" s="1"/>
  <c r="H28" i="17"/>
  <c r="E18" i="6"/>
  <c r="C18" i="1" s="1"/>
  <c r="C23" i="1" s="1"/>
  <c r="C49" i="16"/>
  <c r="C54" i="16" s="1"/>
  <c r="E15" i="6"/>
  <c r="H10" i="17" l="1"/>
  <c r="H17" i="17"/>
  <c r="D23" i="1"/>
  <c r="E8" i="11"/>
  <c r="C57" i="16"/>
  <c r="C62" i="16" s="1"/>
  <c r="E25" i="6" l="1"/>
  <c r="E25" i="17"/>
  <c r="E26" i="6"/>
  <c r="E26" i="17"/>
  <c r="H24" i="17" l="1"/>
  <c r="H24" i="6"/>
  <c r="C21" i="15" l="1"/>
  <c r="D23" i="7"/>
  <c r="E10" i="11"/>
  <c r="E23" i="7" l="1"/>
  <c r="F23" i="7"/>
  <c r="H14" i="6" l="1"/>
  <c r="H28" i="6"/>
  <c r="C24" i="15" l="1"/>
  <c r="D26" i="7"/>
  <c r="F26" i="7" s="1"/>
  <c r="C13" i="15"/>
  <c r="D14" i="7"/>
  <c r="F14" i="7" s="1"/>
  <c r="B23" i="7"/>
  <c r="B10" i="11" l="1"/>
  <c r="E6" i="11" l="1"/>
  <c r="B20" i="7" l="1"/>
  <c r="B17" i="7"/>
  <c r="B14" i="7"/>
  <c r="B5" i="7"/>
  <c r="A2" i="7"/>
  <c r="B10" i="1" l="1"/>
  <c r="B13" i="1" s="1"/>
  <c r="H3" i="6"/>
  <c r="G3" i="6"/>
  <c r="A4" i="6"/>
  <c r="A4" i="18" s="1"/>
  <c r="A3" i="6"/>
  <c r="A3" i="18" s="1"/>
  <c r="H67" i="5"/>
  <c r="I63" i="5"/>
  <c r="I62" i="5"/>
  <c r="I61" i="5"/>
  <c r="K49" i="5"/>
  <c r="G42" i="5"/>
  <c r="I64" i="5" s="1"/>
  <c r="D40" i="5"/>
  <c r="D39" i="5"/>
  <c r="K34" i="5"/>
  <c r="J34" i="5"/>
  <c r="K32" i="5"/>
  <c r="J32" i="5"/>
  <c r="K31" i="5"/>
  <c r="J31" i="5"/>
  <c r="K28" i="5"/>
  <c r="J28" i="5"/>
  <c r="K26" i="5"/>
  <c r="J26" i="5"/>
  <c r="H21" i="5"/>
  <c r="B21" i="5"/>
  <c r="H20" i="5"/>
  <c r="H19" i="5"/>
  <c r="H18" i="5"/>
  <c r="H17" i="5"/>
  <c r="H16" i="5"/>
  <c r="H11" i="5"/>
  <c r="D11" i="5"/>
  <c r="H10" i="5"/>
  <c r="D10" i="5"/>
  <c r="H66" i="3"/>
  <c r="I62" i="3"/>
  <c r="I61" i="3"/>
  <c r="I60" i="3"/>
  <c r="K48" i="3"/>
  <c r="D40" i="3"/>
  <c r="D39" i="3"/>
  <c r="K34" i="3"/>
  <c r="J34" i="3"/>
  <c r="K32" i="3"/>
  <c r="J32" i="3"/>
  <c r="K31" i="3"/>
  <c r="J31" i="3"/>
  <c r="K28" i="3"/>
  <c r="J28" i="3"/>
  <c r="K26" i="3"/>
  <c r="J26" i="3"/>
  <c r="H21" i="3"/>
  <c r="B21" i="3"/>
  <c r="H20" i="3"/>
  <c r="H19" i="3"/>
  <c r="H18" i="3"/>
  <c r="H17" i="3"/>
  <c r="H16" i="3"/>
  <c r="H11" i="3"/>
  <c r="D11" i="3"/>
  <c r="H10" i="3"/>
  <c r="H12" i="3" s="1"/>
  <c r="D10" i="3"/>
  <c r="D12" i="5" l="1"/>
  <c r="B12" i="5" s="1"/>
  <c r="K46" i="5" s="1"/>
  <c r="D28" i="5"/>
  <c r="D28" i="3"/>
  <c r="D10" i="7"/>
  <c r="E8" i="2"/>
  <c r="G3" i="18"/>
  <c r="F4" i="1"/>
  <c r="D12" i="3"/>
  <c r="B12" i="3" s="1"/>
  <c r="K45" i="3" s="1"/>
  <c r="D34" i="5"/>
  <c r="H4" i="1"/>
  <c r="H22" i="5"/>
  <c r="B22" i="5" s="1"/>
  <c r="D31" i="5"/>
  <c r="D32" i="5"/>
  <c r="H22" i="3"/>
  <c r="B22" i="3" s="1"/>
  <c r="H12" i="5"/>
  <c r="I65" i="5"/>
  <c r="I66" i="5" s="1"/>
  <c r="G63" i="5" s="1"/>
  <c r="D32" i="3"/>
  <c r="D26" i="3"/>
  <c r="D26" i="5"/>
  <c r="D31" i="3"/>
  <c r="D34" i="3"/>
  <c r="D19" i="1"/>
  <c r="G64" i="5"/>
  <c r="D63" i="5"/>
  <c r="G73" i="5"/>
  <c r="I67" i="5" s="1"/>
  <c r="I14" i="5" l="1"/>
  <c r="D8" i="7"/>
  <c r="E7" i="2"/>
  <c r="I14" i="3"/>
  <c r="B38" i="3" s="1"/>
  <c r="D38" i="3" s="1"/>
  <c r="F10" i="7"/>
  <c r="E10" i="7"/>
  <c r="H20" i="6"/>
  <c r="C18" i="15" s="1"/>
  <c r="H10" i="6"/>
  <c r="C10" i="15" s="1"/>
  <c r="B38" i="5"/>
  <c r="D38" i="5" s="1"/>
  <c r="F38" i="5"/>
  <c r="G37" i="5"/>
  <c r="F37" i="5"/>
  <c r="K48" i="5"/>
  <c r="K47" i="5"/>
  <c r="G67" i="5" s="1"/>
  <c r="K46" i="3"/>
  <c r="K47" i="3"/>
  <c r="H17" i="6" l="1"/>
  <c r="E10" i="2" s="1"/>
  <c r="D18" i="1"/>
  <c r="D20" i="7"/>
  <c r="F3" i="2"/>
  <c r="F3" i="11"/>
  <c r="E14" i="7"/>
  <c r="F38" i="3"/>
  <c r="F37" i="3"/>
  <c r="G37" i="3"/>
  <c r="G41" i="3" s="1"/>
  <c r="I63" i="3" s="1"/>
  <c r="I64" i="3" s="1"/>
  <c r="I65" i="3" s="1"/>
  <c r="G63" i="3" s="1"/>
  <c r="E8" i="7"/>
  <c r="C15" i="15" l="1"/>
  <c r="C26" i="15" s="1"/>
  <c r="D24" i="15" s="1"/>
  <c r="D17" i="7"/>
  <c r="D29" i="7" s="1"/>
  <c r="E20" i="7"/>
  <c r="F20" i="7"/>
  <c r="E9" i="11"/>
  <c r="F12" i="11" s="1"/>
  <c r="E9" i="2"/>
  <c r="D62" i="3"/>
  <c r="G62" i="3"/>
  <c r="G72" i="3"/>
  <c r="I66" i="3" s="1"/>
  <c r="D63" i="3" s="1"/>
  <c r="G66" i="3"/>
  <c r="E6" i="2"/>
  <c r="B10" i="2"/>
  <c r="G19" i="1"/>
  <c r="A24" i="1"/>
  <c r="G18" i="1"/>
  <c r="C13" i="1"/>
  <c r="C26" i="7" l="1"/>
  <c r="E17" i="7"/>
  <c r="E29" i="7" s="1"/>
  <c r="E30" i="7" s="1"/>
  <c r="F17" i="7"/>
  <c r="F29" i="7" s="1"/>
  <c r="F31" i="7" s="1"/>
  <c r="C6" i="1"/>
  <c r="C7" i="1" s="1"/>
  <c r="D21" i="15"/>
  <c r="D10" i="15"/>
  <c r="D15" i="15"/>
  <c r="D13" i="15"/>
  <c r="D18" i="15"/>
  <c r="C23" i="7"/>
  <c r="B6" i="6"/>
  <c r="B6" i="17" s="1"/>
  <c r="C10" i="7"/>
  <c r="C8" i="7"/>
  <c r="C20" i="7"/>
  <c r="C14" i="7"/>
  <c r="C17" i="7"/>
  <c r="D31" i="7"/>
  <c r="F12" i="2"/>
  <c r="G23" i="1"/>
  <c r="G24" i="1"/>
  <c r="B6" i="1" l="1"/>
  <c r="B7" i="1" s="1"/>
  <c r="D34" i="7"/>
  <c r="D26" i="15"/>
  <c r="F23" i="1"/>
  <c r="F24" i="1"/>
  <c r="E31" i="7"/>
  <c r="F30" i="7"/>
  <c r="E32" i="7"/>
  <c r="A13" i="7"/>
  <c r="F18" i="1" l="1"/>
  <c r="F19" i="1"/>
  <c r="D36" i="7"/>
  <c r="D35" i="7"/>
  <c r="F32" i="7"/>
</calcChain>
</file>

<file path=xl/sharedStrings.xml><?xml version="1.0" encoding="utf-8"?>
<sst xmlns="http://schemas.openxmlformats.org/spreadsheetml/2006/main" count="1189" uniqueCount="389">
  <si>
    <t>OBRA</t>
  </si>
  <si>
    <t xml:space="preserve">PAVIMENTAÇÃO EM PARALELEPÍPEDO DE VIAS </t>
  </si>
  <si>
    <t>SINAPI SEM DESONERAÇÃO</t>
  </si>
  <si>
    <t>SINAPI COM DESONERAÇÃO</t>
  </si>
  <si>
    <t>MUNICÍPIO</t>
  </si>
  <si>
    <t>LOCALIDADE</t>
  </si>
  <si>
    <t>BDI</t>
  </si>
  <si>
    <t>ZONA</t>
  </si>
  <si>
    <t>LEIS SOCIAIS</t>
  </si>
  <si>
    <t>SEM DESONERAÇÃO</t>
  </si>
  <si>
    <t>COM DESONERAÇÃO</t>
  </si>
  <si>
    <t>VALOR TOTAL</t>
  </si>
  <si>
    <t>VALOR (m²)</t>
  </si>
  <si>
    <t>TRECHO</t>
  </si>
  <si>
    <t>ÁREA</t>
  </si>
  <si>
    <t>m²</t>
  </si>
  <si>
    <t xml:space="preserve">EXTENSÃO TOTAL </t>
  </si>
  <si>
    <t>PARCELA DE RELEVÂNCIA SEM DESONERAÇÃO</t>
  </si>
  <si>
    <t>EXIGÊNCIA MÁX.</t>
  </si>
  <si>
    <t>SERVIÇO</t>
  </si>
  <si>
    <t>QUANTIDADE</t>
  </si>
  <si>
    <t>%</t>
  </si>
  <si>
    <t>PARCELA DE RELEVÂNCIA COM DESONERAÇÃO</t>
  </si>
  <si>
    <t>Assentamento de guia (meio-fio), confeccionada em concreto pré-fabricado, dimensões 100x15x13x30 (comprimento x base inferiror x base superior x altura), para vias urbanas ( m )</t>
  </si>
  <si>
    <t>ÁREA TOTAL (m²):</t>
  </si>
  <si>
    <t>ITEM</t>
  </si>
  <si>
    <t>DISCRIMINAÇÃO</t>
  </si>
  <si>
    <t>UNID.</t>
  </si>
  <si>
    <t>QUANT.</t>
  </si>
  <si>
    <t>PREÇO TOTAL</t>
  </si>
  <si>
    <t>1.0</t>
  </si>
  <si>
    <t>SERVIÇOS PRELIMINARES</t>
  </si>
  <si>
    <t>1.1</t>
  </si>
  <si>
    <t>2.0</t>
  </si>
  <si>
    <t>PAVIMENTAÇÃO DE VIAS EM PARALELEPÍPEDO</t>
  </si>
  <si>
    <t>2.1</t>
  </si>
  <si>
    <t>unid.</t>
  </si>
  <si>
    <t>TOTAL GERAL ORÇAMENTÁRIO..................................................R$</t>
  </si>
  <si>
    <t>Placa de Obra em chapa de aço galvanizado</t>
  </si>
  <si>
    <t>Administração local da obra</t>
  </si>
  <si>
    <t>mês</t>
  </si>
  <si>
    <t xml:space="preserve">PLANILHA RESUMO - SEM DESONERAÇÃO </t>
  </si>
  <si>
    <t>COMPOSIÇÃO DA PARCELA DE BDI (BONIFICAÇÃO E DESPESAS INDIRETAS)</t>
  </si>
  <si>
    <t>TIPO DE BDI</t>
  </si>
  <si>
    <t>X</t>
  </si>
  <si>
    <t>TIPO DE SERVIÇO</t>
  </si>
  <si>
    <t>CONSTRUÇÃO DE EDIFICAÇÕES</t>
  </si>
  <si>
    <t>CONSTRUÇÃO DE RODOVIAS E FERROVIAS</t>
  </si>
  <si>
    <t>CONSTRUÇÃO DE REDES DE ABASTECIMENTO DE ÁGUA, COLETA DE ESGOTO E CONSTRUÇÕES DE CORRELATAS</t>
  </si>
  <si>
    <t>CONSTRUÇÃO E MANUTENÇÃO DE ESTAÇÕES E REDES DE DISTRIBUIÇÃO DE ENERGIA ELÉTRICA</t>
  </si>
  <si>
    <t>OBRAS PORTUÁRIAS, MARÍTIMAS E FLUVIAIS</t>
  </si>
  <si>
    <t>FORNECIMENTO DE MATERIAIS</t>
  </si>
  <si>
    <t>ÍNDICES PERCENTUAIS</t>
  </si>
  <si>
    <t>min</t>
  </si>
  <si>
    <t>max</t>
  </si>
  <si>
    <t>ADMINISTRAÇÃO CENTRAL</t>
  </si>
  <si>
    <t>A =</t>
  </si>
  <si>
    <t>DESPESAS FINANCEIRAS</t>
  </si>
  <si>
    <t>DF =</t>
  </si>
  <si>
    <t>SEGURO, GARANTIA E RISCOS</t>
  </si>
  <si>
    <t>SEGURO + GARANTIA  (S + G) =</t>
  </si>
  <si>
    <t>RISCO (R) =</t>
  </si>
  <si>
    <t>LUCRO</t>
  </si>
  <si>
    <t>L =</t>
  </si>
  <si>
    <t>IMPOSTOS</t>
  </si>
  <si>
    <t>PIS =</t>
  </si>
  <si>
    <t>COFINS =</t>
  </si>
  <si>
    <t xml:space="preserve">T = </t>
  </si>
  <si>
    <t>CÁLCULO</t>
  </si>
  <si>
    <t>LISTA DE ERROS</t>
  </si>
  <si>
    <t>AC =</t>
  </si>
  <si>
    <t>TAXA DE RATEIO DA ADMINISTRAÇÃO CENTRAL</t>
  </si>
  <si>
    <t>S + G =</t>
  </si>
  <si>
    <t>SEGURO E GARANTIA DO EMPREENDIMENTO</t>
  </si>
  <si>
    <t>R =</t>
  </si>
  <si>
    <t>TAXA DE RISCO</t>
  </si>
  <si>
    <t>TAXA DE DESPESAS FINANCEIRAS</t>
  </si>
  <si>
    <t>TAXA DE LUCRO</t>
  </si>
  <si>
    <t>T =</t>
  </si>
  <si>
    <t>TAXA DE TRIBUTOS</t>
  </si>
  <si>
    <t>BDI DE REFERÊNCIAS S/ INSS</t>
  </si>
  <si>
    <t>BDI DE REFERÊNCIAS C/ INSS</t>
  </si>
  <si>
    <t>MÍNIMO</t>
  </si>
  <si>
    <t>MÁXIMO</t>
  </si>
  <si>
    <t>BDI CALCULADO  =</t>
  </si>
  <si>
    <t>DE ACORDO COM:</t>
  </si>
  <si>
    <t>LEI Nº 12.546, DE 14 DE DEZEMBRO DE 2011</t>
  </si>
  <si>
    <t>LEI Nº 13.161, DE 31 DE AGOSTO DE 2015</t>
  </si>
  <si>
    <t>ACÓRDÃO Nº 2622/2013 – TCU – Plenário</t>
  </si>
  <si>
    <t>BDI CALCULADO</t>
  </si>
  <si>
    <r>
      <rPr>
        <b/>
        <sz val="8"/>
        <rFont val="Arial"/>
        <family val="2"/>
      </rPr>
      <t>ENCARGOS</t>
    </r>
    <r>
      <rPr>
        <sz val="8"/>
        <rFont val="Arial"/>
        <family val="2"/>
      </rPr>
      <t xml:space="preserve">   </t>
    </r>
    <r>
      <rPr>
        <b/>
        <sz val="8"/>
        <rFont val="Arial"/>
        <family val="2"/>
      </rPr>
      <t>SOCIAIS</t>
    </r>
    <r>
      <rPr>
        <sz val="8"/>
        <rFont val="Arial"/>
        <family val="2"/>
      </rPr>
      <t xml:space="preserve">   </t>
    </r>
    <r>
      <rPr>
        <b/>
        <sz val="8"/>
        <rFont val="Arial"/>
        <family val="2"/>
      </rPr>
      <t>SOBRE</t>
    </r>
    <r>
      <rPr>
        <sz val="8"/>
        <rFont val="Arial"/>
        <family val="2"/>
      </rPr>
      <t xml:space="preserve">   </t>
    </r>
    <r>
      <rPr>
        <b/>
        <sz val="8"/>
        <rFont val="Arial"/>
        <family val="2"/>
      </rPr>
      <t>A</t>
    </r>
    <r>
      <rPr>
        <sz val="8"/>
        <rFont val="Arial"/>
        <family val="2"/>
      </rPr>
      <t xml:space="preserve">   </t>
    </r>
    <r>
      <rPr>
        <b/>
        <sz val="8"/>
        <rFont val="Arial"/>
        <family val="2"/>
      </rPr>
      <t>MÃO</t>
    </r>
    <r>
      <rPr>
        <sz val="8"/>
        <rFont val="Arial"/>
        <family val="2"/>
      </rPr>
      <t xml:space="preserve">   </t>
    </r>
    <r>
      <rPr>
        <b/>
        <sz val="8"/>
        <rFont val="Arial"/>
        <family val="2"/>
      </rPr>
      <t>DE</t>
    </r>
    <r>
      <rPr>
        <sz val="8"/>
        <rFont val="Arial"/>
        <family val="2"/>
      </rPr>
      <t xml:space="preserve">   </t>
    </r>
    <r>
      <rPr>
        <b/>
        <sz val="8"/>
        <rFont val="Arial"/>
        <family val="2"/>
      </rPr>
      <t>OBRA</t>
    </r>
  </si>
  <si>
    <t>CÓDIGO</t>
  </si>
  <si>
    <t>DESCRIÇÃO</t>
  </si>
  <si>
    <r>
      <rPr>
        <b/>
        <sz val="8"/>
        <rFont val="Arial"/>
        <family val="2"/>
      </rPr>
      <t>COM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DESONERAÇÃO</t>
    </r>
  </si>
  <si>
    <r>
      <rPr>
        <b/>
        <sz val="8"/>
        <rFont val="Arial"/>
        <family val="2"/>
      </rPr>
      <t>SEM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DESONERAÇÃO</t>
    </r>
  </si>
  <si>
    <r>
      <rPr>
        <b/>
        <sz val="8"/>
        <rFont val="Arial"/>
        <family val="2"/>
      </rPr>
      <t>HORISTA
%</t>
    </r>
  </si>
  <si>
    <r>
      <rPr>
        <b/>
        <sz val="8"/>
        <rFont val="Arial"/>
        <family val="2"/>
      </rPr>
      <t>MENSALISTA
%</t>
    </r>
  </si>
  <si>
    <r>
      <rPr>
        <b/>
        <sz val="8"/>
        <rFont val="Arial"/>
        <family val="2"/>
      </rPr>
      <t>GRUPO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A</t>
    </r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</si>
  <si>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</si>
  <si>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</si>
  <si>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</si>
  <si>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</si>
  <si>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</si>
  <si>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</si>
  <si>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</si>
  <si>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</si>
  <si>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</si>
  <si>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</si>
  <si>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</si>
  <si>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</si>
  <si>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</si>
  <si>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</si>
  <si>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</si>
  <si>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</si>
  <si>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</si>
  <si>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</si>
  <si>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</si>
  <si>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</t>
  </si>
  <si>
    <r>
      <rPr>
        <b/>
        <sz val="8"/>
        <rFont val="Arial"/>
        <family val="2"/>
      </rPr>
      <t>GRUPO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B</t>
    </r>
  </si>
  <si>
    <t>B1</t>
  </si>
  <si>
    <t>Repouso Semanal Remunerado</t>
  </si>
  <si>
    <t>Não incide</t>
  </si>
  <si>
    <t>B2</t>
  </si>
  <si>
    <t>Feriados</t>
  </si>
  <si>
    <t>B3</t>
  </si>
  <si>
    <t>Auxílio - Enfermidade</t>
  </si>
  <si>
    <t>B4</t>
  </si>
  <si>
    <t>13º Salário</t>
  </si>
  <si>
    <t>B5</t>
  </si>
  <si>
    <t>Licença Paternidade</t>
  </si>
  <si>
    <t>B6</t>
  </si>
  <si>
    <t>Faltas Justificadas</t>
  </si>
  <si>
    <t>B7</t>
  </si>
  <si>
    <t>Dias de Chuvas</t>
  </si>
  <si>
    <t>B8</t>
  </si>
  <si>
    <t>Auxílio Acidente de Trabalho</t>
  </si>
  <si>
    <t>B9</t>
  </si>
  <si>
    <t>Férias Gozadas</t>
  </si>
  <si>
    <t>B10</t>
  </si>
  <si>
    <t>Salário Maternidade</t>
  </si>
  <si>
    <t>B</t>
  </si>
  <si>
    <r>
      <rPr>
        <b/>
        <sz val="8"/>
        <rFont val="Arial"/>
        <family val="2"/>
      </rPr>
      <t>GRUPO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C</t>
    </r>
  </si>
  <si>
    <t>C1</t>
  </si>
  <si>
    <t>Aviso Prévio Indenizado</t>
  </si>
  <si>
    <t>C2</t>
  </si>
  <si>
    <t>Aviso Prévio Trabalhado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</si>
  <si>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</si>
  <si>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</si>
  <si>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</si>
  <si>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</si>
  <si>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</si>
  <si>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</si>
  <si>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</si>
  <si>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r>
      <rPr>
        <b/>
        <sz val="8"/>
        <rFont val="Arial"/>
        <family val="2"/>
      </rPr>
      <t>GRUPO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D</t>
    </r>
  </si>
  <si>
    <t>D1</t>
  </si>
  <si>
    <t>Reincidência de Grupo A sobre Grupo B</t>
  </si>
  <si>
    <t>D2</t>
  </si>
  <si>
    <t>Reincidência de Grupo A sobre Aviso Prévio Trabalhado e Reincidência do FGTS sobre Aviso
Prévio Indenizado</t>
  </si>
  <si>
    <t>D</t>
  </si>
  <si>
    <t>TOTAL(A+B+C+D)</t>
  </si>
  <si>
    <t>CPRB=</t>
  </si>
  <si>
    <t xml:space="preserve">OBRA: PAVIMENTAÇÃO EM PARALELEPIPEDO </t>
  </si>
  <si>
    <t xml:space="preserve">PLANILHA ORÇAMENTÁRIA </t>
  </si>
  <si>
    <t>TRECHO:</t>
  </si>
  <si>
    <t>LARGURA (m):</t>
  </si>
  <si>
    <t>ÁREA (m²):</t>
  </si>
  <si>
    <t>EXTENSÃO (m):</t>
  </si>
  <si>
    <t>PREÇO</t>
  </si>
  <si>
    <t>UNIT. SEM BDI</t>
  </si>
  <si>
    <t>UNIT. COM BDI</t>
  </si>
  <si>
    <t>TOTAL</t>
  </si>
  <si>
    <t>1.2</t>
  </si>
  <si>
    <t>TERRAPLENAGEM</t>
  </si>
  <si>
    <t>Regularização em superficies em terra com motoniveladora</t>
  </si>
  <si>
    <t>3.0</t>
  </si>
  <si>
    <t>PAVIMENTAÇÃO</t>
  </si>
  <si>
    <t>3.1</t>
  </si>
  <si>
    <t>4.0</t>
  </si>
  <si>
    <t>SERVIÇOS COMPLEMENTARES</t>
  </si>
  <si>
    <t>4.1</t>
  </si>
  <si>
    <t>Assentamento de guia (meio-fio), confeccionada em concreto pré-fabricado, dimensões 100x15x13x30 (comprimento x base inferiror x base superior x altura), para vias urbanas</t>
  </si>
  <si>
    <t>m</t>
  </si>
  <si>
    <t>4.2</t>
  </si>
  <si>
    <t>und</t>
  </si>
  <si>
    <t>CRONOGRAMA FÍSICO-FINANCEIRO</t>
  </si>
  <si>
    <t>DISCRIMINAÇÃO DOS SERVIÇOS</t>
  </si>
  <si>
    <t>DIAS</t>
  </si>
  <si>
    <t>1.1.1</t>
  </si>
  <si>
    <t>1.1.2</t>
  </si>
  <si>
    <t>VALOR TOTAL (R$)</t>
  </si>
  <si>
    <t>TOTAL (%)</t>
  </si>
  <si>
    <t>PESO                      (%)</t>
  </si>
  <si>
    <t>PAVIMENTAÇÃO EM PARALELEPÍPEDO</t>
  </si>
  <si>
    <t>COMPOSIÇÕES DE CUSTO UNITÁRIOS - CCU</t>
  </si>
  <si>
    <t>BDI SERVIÇOS:</t>
  </si>
  <si>
    <t>Unid.: m²</t>
  </si>
  <si>
    <t>Código</t>
  </si>
  <si>
    <t>Descrição</t>
  </si>
  <si>
    <t>Unidade</t>
  </si>
  <si>
    <t>Coeficiente</t>
  </si>
  <si>
    <t>Preço</t>
  </si>
  <si>
    <t>SINAPI</t>
  </si>
  <si>
    <t xml:space="preserve"> 88262 </t>
  </si>
  <si>
    <t>H</t>
  </si>
  <si>
    <t xml:space="preserve"> 88316 </t>
  </si>
  <si>
    <t>m³</t>
  </si>
  <si>
    <t>M</t>
  </si>
  <si>
    <t xml:space="preserve"> 00004813 </t>
  </si>
  <si>
    <t>KG</t>
  </si>
  <si>
    <t>TOTAL:</t>
  </si>
  <si>
    <t>h</t>
  </si>
  <si>
    <t>Servente com encargos complementares</t>
  </si>
  <si>
    <t xml:space="preserve"> 88309 </t>
  </si>
  <si>
    <t xml:space="preserve"> 00000370 </t>
  </si>
  <si>
    <t xml:space="preserve"> 00004517 </t>
  </si>
  <si>
    <t xml:space="preserve"> 00034492 </t>
  </si>
  <si>
    <t xml:space="preserve"> 88629 </t>
  </si>
  <si>
    <t xml:space="preserve"> 00004059 </t>
  </si>
  <si>
    <t xml:space="preserve"> 00006212 </t>
  </si>
  <si>
    <t>COM DESONERAÇÃO
BDI: 28,14%</t>
  </si>
  <si>
    <t xml:space="preserve">OBRA: PAVIMENTAÇÃO EM PARALELEPÍPEDO </t>
  </si>
  <si>
    <t>VALOR DAS OBRAS E SERVIÇOS  (R$)</t>
  </si>
  <si>
    <t>TOTAL GERAL R$</t>
  </si>
  <si>
    <t>BANCA: SINAPI 01/2024 / ORSE 12/2023 - Sem desoneração - Horista: 114,54 % / Mensalista: 71,62% - BDI: 21,96 %</t>
  </si>
  <si>
    <t xml:space="preserve">TRANSPORTE </t>
  </si>
  <si>
    <t>t.Km</t>
  </si>
  <si>
    <t>5.0</t>
  </si>
  <si>
    <t>5.1</t>
  </si>
  <si>
    <t xml:space="preserve">QUADRO DE COMPOSIÇÃO DO INVESTIMENTO - QCI </t>
  </si>
  <si>
    <t>ENCARGOS HORISTAS:</t>
  </si>
  <si>
    <t>ENCARGOS MENSALISTAS:</t>
  </si>
  <si>
    <t xml:space="preserve">DISCRIMINAÇÃO </t>
  </si>
  <si>
    <t xml:space="preserve">ITEM </t>
  </si>
  <si>
    <t>VALOR R$</t>
  </si>
  <si>
    <t xml:space="preserve">TERRAPLENAGEM </t>
  </si>
  <si>
    <t xml:space="preserve">PAVIMENTAÇÃO </t>
  </si>
  <si>
    <t xml:space="preserve">SERVIÇOS COMPLEMENTARES </t>
  </si>
  <si>
    <t>Banco</t>
  </si>
  <si>
    <t>Und</t>
  </si>
  <si>
    <t>Quant.</t>
  </si>
  <si>
    <t>Valor Unit</t>
  </si>
  <si>
    <t>TXKM</t>
  </si>
  <si>
    <t xml:space="preserve"> 91386 </t>
  </si>
  <si>
    <t>CHP</t>
  </si>
  <si>
    <t xml:space="preserve"> 91387 </t>
  </si>
  <si>
    <t>CHI</t>
  </si>
  <si>
    <t xml:space="preserve">TCE PI - DESMONTE MANUAL DE ROCHA DE ORIGEM ARENITICA </t>
  </si>
  <si>
    <t xml:space="preserve">Unid.: milheiro </t>
  </si>
  <si>
    <t xml:space="preserve">Pedreiro com encargos complementares </t>
  </si>
  <si>
    <t>COTAÇÃO INDENIZAÇÃO</t>
  </si>
  <si>
    <t xml:space="preserve">Indenização de Jazida </t>
  </si>
  <si>
    <t>milheiro</t>
  </si>
  <si>
    <t>Quantidade</t>
  </si>
  <si>
    <t>mil/m²</t>
  </si>
  <si>
    <t>t/m³</t>
  </si>
  <si>
    <t>Km</t>
  </si>
  <si>
    <t>OBJETO:  PAVIMENTAÇÃO DE VIAS PÚBLICAS NO MUNÍCIO DE REDENÇÃO DO GURGUEIA  -PI</t>
  </si>
  <si>
    <t xml:space="preserve">LOCAL: BREJÃO DOS AIPINS </t>
  </si>
  <si>
    <t>103689/SINAPI PI</t>
  </si>
  <si>
    <t>COMP. SADA 01</t>
  </si>
  <si>
    <t>COMP. SADA 02</t>
  </si>
  <si>
    <t>Execução de pavimento em paralelepípedos, rejuntamento com argamassa traço 1:3 (cimento e areia)</t>
  </si>
  <si>
    <t>6.0</t>
  </si>
  <si>
    <t>SINALIZAÇÃO</t>
  </si>
  <si>
    <t>6.1</t>
  </si>
  <si>
    <t>COMP. SADA 03</t>
  </si>
  <si>
    <t>Execução de sarjeta de concreto usinado, moldada in loco em trecho reto, 30 cm base x  3 cm altura</t>
  </si>
  <si>
    <t xml:space="preserve">Placa esmaltada para identificação de nome de rua, dimensões 45 x 20 cm com tubo de aço - 2 placas </t>
  </si>
  <si>
    <t xml:space="preserve"> 103689 </t>
  </si>
  <si>
    <t xml:space="preserve"> 102234 </t>
  </si>
  <si>
    <t xml:space="preserve"> 00004509 </t>
  </si>
  <si>
    <t xml:space="preserve"> 00005065 </t>
  </si>
  <si>
    <t xml:space="preserve"> 00005069 </t>
  </si>
  <si>
    <t xml:space="preserve"> 100575 </t>
  </si>
  <si>
    <t xml:space="preserve"> 5932 </t>
  </si>
  <si>
    <t xml:space="preserve"> 5934 </t>
  </si>
  <si>
    <t xml:space="preserve"> 93244 </t>
  </si>
  <si>
    <t xml:space="preserve"> 94273 </t>
  </si>
  <si>
    <t>COMP. SADA 04</t>
  </si>
  <si>
    <t>UN</t>
  </si>
  <si>
    <t>COMP. SADA 05</t>
  </si>
  <si>
    <t>Fornecimento e instalação de suporte metálico galvanizado para placas de sinalização em solo, com h= de 2,5 m e diâmetro de 2''. af_03/2022</t>
  </si>
  <si>
    <t>EXECUÇÃO DE PAVIMENTO EM PARALELEPÍPEDOS, REJUNTAMENTO COM ARGAMASSA TRAÇO 1:3 (CIMENTO E AREIA). AF_05/2020 - ( SINAPI - 101169) - ADAPTADA - COMP. SADA 02</t>
  </si>
  <si>
    <t>5.2</t>
  </si>
  <si>
    <t>Transporte com caminhão basculante de 10 m³, em via urbana pavimentada, dmt até 30 km (unidade: txkm). af_07/2020</t>
  </si>
  <si>
    <t>Transporte com caminhão basculante de 10 m³, em via urbana pavimentada, adicional para dmt excedente a 30 km (unidade: txkm). af_07/2020</t>
  </si>
  <si>
    <t xml:space="preserve"> 95878 </t>
  </si>
  <si>
    <t xml:space="preserve"> 93596 </t>
  </si>
  <si>
    <t>Fornecimento e instalação de placa de obra com chapa galvanizada e estrutura de madeira. af_03/2022_ps</t>
  </si>
  <si>
    <t>Regularização de superfícies com motoniveladora. af_09/2024</t>
  </si>
  <si>
    <t>Execução de sarjeta de concreto usinado, moldada  in loco  em trecho reto, 30 cm base x 10 cm altura. af_01/2024</t>
  </si>
  <si>
    <t>MEMÓRIA DE CÁLCULO</t>
  </si>
  <si>
    <t>Comprimento</t>
  </si>
  <si>
    <t>Largura</t>
  </si>
  <si>
    <t>u n</t>
  </si>
  <si>
    <t>Área total (projeto)</t>
  </si>
  <si>
    <t xml:space="preserve">Quantidade </t>
  </si>
  <si>
    <t>Quantidade (medição atual)</t>
  </si>
  <si>
    <t>Comprimento =</t>
  </si>
  <si>
    <t>Largura da rua =</t>
  </si>
  <si>
    <t>Comprimento total (projeto)</t>
  </si>
  <si>
    <t>Execução de sarjeta de concreto usinado, moldada in loco em trecho reto, 30 cm base x 3 cm altura</t>
  </si>
  <si>
    <t xml:space="preserve">SINALIZAÇÃO </t>
  </si>
  <si>
    <t>Quantidade projeto</t>
  </si>
  <si>
    <t>Área</t>
  </si>
  <si>
    <t xml:space="preserve">Consumo </t>
  </si>
  <si>
    <t xml:space="preserve">Volume </t>
  </si>
  <si>
    <t>m³/m²</t>
  </si>
  <si>
    <t xml:space="preserve">Peso Específico </t>
  </si>
  <si>
    <t xml:space="preserve">DMT </t>
  </si>
  <si>
    <t>6.2</t>
  </si>
  <si>
    <t xml:space="preserve">Área total </t>
  </si>
  <si>
    <t xml:space="preserve">DMT Obra à Jazida </t>
  </si>
  <si>
    <t xml:space="preserve">Km </t>
  </si>
  <si>
    <t xml:space="preserve">Contenção </t>
  </si>
  <si>
    <t>Quantidade total (medição atual)</t>
  </si>
  <si>
    <t xml:space="preserve">Total </t>
  </si>
  <si>
    <t>txKm</t>
  </si>
  <si>
    <t>BANCA: SINAPI - 02/2025</t>
  </si>
  <si>
    <t>LOCAL: REDENÇÃO DO GURGUEIA - PI</t>
  </si>
  <si>
    <t>LOCAL: REDENÇÃO DO GURGUEIA- PI</t>
  </si>
  <si>
    <t>BANCA: SINAPI 02/2025 - Com desoneração - Horista: 90,66 % / Mensalista: 52,90% - BDI: 28,14 %</t>
  </si>
  <si>
    <t>HORISTA: 90,66%
MENSALISTA: 52,90%</t>
  </si>
  <si>
    <t>HORISTA: 113,33%
MENSALISTA: 71,12%</t>
  </si>
  <si>
    <t>PEDRO LAURENTINO</t>
  </si>
  <si>
    <t>RURAL</t>
  </si>
  <si>
    <t>RUA PROJETADA I - ASSENTAMENTO MOCAMBO</t>
  </si>
  <si>
    <t>ASSENTAMENTO MOCAMBO</t>
  </si>
  <si>
    <t xml:space="preserve">serão duas vias separadas na mesma rua </t>
  </si>
  <si>
    <t>SEM DESONERAÇÃO 
BDI: 21,96%</t>
  </si>
  <si>
    <t>SINAPI 11/2025</t>
  </si>
  <si>
    <t>FONTE:  
SINAPI 11/2025</t>
  </si>
  <si>
    <t>SERVENTE COM ENCARGOS COMPLEMENTARES</t>
  </si>
  <si>
    <t>CARPINTEIRO DE FORMAS COM ENCARGOS COMPLEMENTARES</t>
  </si>
  <si>
    <t>PINTURA IMUNIZANTE PARA MADEIRA, 2 DEMÃOS. AF_01/2021</t>
  </si>
  <si>
    <t>PREGO DE ACO POLIDO COM CABECA 17 X 27 (2 1/2 X 11)</t>
  </si>
  <si>
    <t>PLACA DE OBRA (PARA CONSTRUCAO CIVIL) EM CHAPA GALVANIZADA *N. 22*, ADESIVADA, DE *2,4 X 1,2* M (SEM POSTES PARA FIXACAO)</t>
  </si>
  <si>
    <t>SARRAFO *2,5 X 10* CM EM PINUS, MISTA OU EQUIVALENTE DA REGIAO - BRUTA</t>
  </si>
  <si>
    <t>PREGO DE ACO POLIDO COM CABECA 10 X 10 (7/8 X 17)</t>
  </si>
  <si>
    <t xml:space="preserve"> 90767 </t>
  </si>
  <si>
    <t>APONTADOR OU APROPRIADOR COM ENCARGOS COMPLEMENTARES</t>
  </si>
  <si>
    <t xml:space="preserve"> 90776 </t>
  </si>
  <si>
    <t>ENCARREGADO GERAL COM ENCARGOS COMPLEMENTARES</t>
  </si>
  <si>
    <t xml:space="preserve"> 90777 </t>
  </si>
  <si>
    <t>ENGENHEIRO CIVIL DE OBRA JUNIOR COM ENCARGOS COMPLEMENTARES</t>
  </si>
  <si>
    <t>Próprio</t>
  </si>
  <si>
    <t>mes</t>
  </si>
  <si>
    <t>ADMINISTRAÇÃO LOCAL DA OBRA</t>
  </si>
  <si>
    <t>ROLO COMPACTADOR VIBRATÓRIO PÉ DE CARNEIRO PARA SOLOS, POTÊNCIA 80 HP, PESO OPERACIONAL SEM/COM LASTRO 7,4 / 8,8 T, LARGURA DE TRABALHO 1,68 M - CHI DIURNO. AF_02/2016</t>
  </si>
  <si>
    <t>MOTONIVELADORA POTÊNCIA BÁSICA LÍQUIDA (PRIMEIRA MARCHA) 125 HP, PESO BRUTO 13032 KG, LARGURA DA LÂMINA DE 3,7 M - CHP DIURNO. AF_06/2014</t>
  </si>
  <si>
    <t>MOTONIVELADORA POTÊNCIA BÁSICA LÍQUIDA (PRIMEIRA MARCHA) 125 HP, PESO BRUTO 13032 KG, LARGURA DA LÂMINA DE 3,7 M - CHI DIURNO. AF_06/2014</t>
  </si>
  <si>
    <t xml:space="preserve"> 5684 </t>
  </si>
  <si>
    <t xml:space="preserve"> COMPOSIÇÃO SADA 05 </t>
  </si>
  <si>
    <t xml:space="preserve"> 88628 </t>
  </si>
  <si>
    <t xml:space="preserve"> 88260 </t>
  </si>
  <si>
    <t xml:space="preserve"> 5685 </t>
  </si>
  <si>
    <t xml:space="preserve"> 00000367 </t>
  </si>
  <si>
    <t>REFERÊNCIA SINAPI (101169) - EXECUÇÃO DE PAVIMENTO EM PARALELEPÍPEDOS, REJUNTAMENTO COM ARGAMASSA TRAÇO 1:3 (CIMENTO E AREIA). AF_05/2020</t>
  </si>
  <si>
    <t>ROLO COMPACTADOR VIBRATÓRIO DE UM CILINDRO AÇO LISO, POTÊNCIA 80 HP, PESO OPERACIONAL MÁXIMO 8,1 T, IMPACTO DINÂMICO 16,15 / 9,5 T, LARGURA DE TRABALHO 1,68 M - CHP DIURNO. AF_06/2014</t>
  </si>
  <si>
    <t>DESMONTE MANUAL DE ROCHA DE ORIGEM ARENÍTICA</t>
  </si>
  <si>
    <t>ARGAMASSA TRAÇO 1:3 (EM VOLUME DE CIMENTO E AREIA MÉDIA ÚMIDA), PREPARO MECÂNICO COM BETONEIRA 400 L. AF_08/2019</t>
  </si>
  <si>
    <t>CALCETEIRO COM ENCARGOS COMPLEMENTARES</t>
  </si>
  <si>
    <t>ROLO COMPACTADOR VIBRATÓRIO DE UM CILINDRO AÇO LISO, POTÊNCIA 80 HP, PESO OPERACIONAL MÁXIMO 8,1 T, IMPACTO DINÂMICO 16,15 / 9,5 T, LARGURA DE TRABALHO 1,68 M - CHI DIURNO. AF_06/2014</t>
  </si>
  <si>
    <t>AREIA GROSSA - POSTO JAZIDA/FORNECEDOR (RETIRADO NA JAZIDA, SEM TRANSPORTE)</t>
  </si>
  <si>
    <t>M²</t>
  </si>
  <si>
    <t>ASSENTAMENTO DE GUIA (MEIO-FIO) EM TRECHO RETO, CONFECCIONADA EM CONCRETO PRÉ-FABRICADO, DIMENSÕES 100X15X13X30 CM (COMPRIMENTO X BASE INFERIOR X BASE SUPERIOR X ALTURA). AF_01/2024</t>
  </si>
  <si>
    <t>ARGAMASSA TRAÇO 1:3 (EM VOLUME DE CIMENTO E AREIA MÉDIA ÚMIDA), PREPARO MANUAL. AF_08/2019</t>
  </si>
  <si>
    <t>PEDREIRO COM ENCARGOS COMPLEMENTARES</t>
  </si>
  <si>
    <t>AREIA MEDIA - POSTO JAZIDA/FORNECEDOR (RETIRADO NA JAZIDA, SEM TRANSPORTE)</t>
  </si>
  <si>
    <t>MEIO-FIO OU GUIA DE CONCRETO, PRE-MOLDADO, COMP 1 M, *30 X 12/15* CM (H X L1/L2)</t>
  </si>
  <si>
    <t>SARRAFO *2,5 X 7,5* CM EM PINUS, MISTA OU EQUIVALENTE DA REGIAO - BRUTA</t>
  </si>
  <si>
    <t>CONCRETO USINADO BOMBEAVEL, CLASSE DE RESISTENCIA C20, COM BRITA 0 E 1, SLUMP = 100 +/- 20 MM, EXCLUI SERVICO DE BOMBEAMENTO (NBR 8953)</t>
  </si>
  <si>
    <t>TABUA *2,5 X 30 CM EM PINUS, MISTA OU EQUIVALENTE DA REGIAO - BRUTA</t>
  </si>
  <si>
    <t>TRANSPORTE COM CAMINHÃO BASCULANTE DE 10 M³, EM VIA URBANA PAVIMENTADA, DMT ATÉ 30 KM (UNIDADE: TXKM). AF_07/2020</t>
  </si>
  <si>
    <t>CAMINHÃO BASCULANTE 10 M3, TRUCADO CABINE SIMPLES, PESO BRUTO TOTAL 23.000 KG, CARGA ÚTIL MÁXIMA 15.935 KG, DISTÂNCIA ENTRE EIXOS 4,80 M, POTÊNCIA 230 CV INCLUSIVE CAÇAMBA METÁLICA - CHI DIURNO. AF_06/2014</t>
  </si>
  <si>
    <t>CAMINHÃO BASCULANTE 10 M3, TRUCADO CABINE SIMPLES, PESO BRUTO TOTAL 23.000 KG, CARGA ÚTIL MÁXIMA 15.935 KG, DISTÂNCIA ENTRE EIXOS 4,80 M, POTÊNCIA 230 CV INCLUSIVE CAÇAMBA METÁLICA - CHP DIURNO. AF_06/2014</t>
  </si>
  <si>
    <t>TRANSPORTE COM CAMINHÃO BASCULANTE DE 10 M³, EM VIA URBANA PAVIMENTADA, ADICIONAL PARA DMT EXCEDENTE A 30 KM (UNIDADE: TXKM). AF_07/2020</t>
  </si>
  <si>
    <t>Placa esmaltada para identificação de nome de rua, dimensões 45 x 20 cm com tubo de aço - 2 placas</t>
  </si>
  <si>
    <t xml:space="preserve"> 88278 </t>
  </si>
  <si>
    <t>MONTADOR DE ESTRUTURAS METÁLICAS COM ENCARGOS COMPLEMENTARES</t>
  </si>
  <si>
    <t xml:space="preserve"> 00011927 </t>
  </si>
  <si>
    <t>ABRACADEIRA, GALVANIZADA/ZINCADA, ROSCA SEM FIM, PARAFUSO INOX, LARGURA FITA *12,6 A *14 MM, D = 2" A 2 1/2"</t>
  </si>
  <si>
    <t xml:space="preserve"> 00034723 </t>
  </si>
  <si>
    <t>PLACA DE SINALIZACAO EM CHAPA DE ACO NUM 16 COM PINTURA REFLETIVA</t>
  </si>
  <si>
    <t xml:space="preserve"> 102486 </t>
  </si>
  <si>
    <t>CONCRETO FCK = 15MPA, TRAÇO 1:3,4:3,4 (EM MASSA SECA DE CIMENTO/ AREIA MÉDIA/ SEIXO ROLADO) - PREPARO MANUAL. AF_05/2021</t>
  </si>
  <si>
    <t xml:space="preserve"> 00021148 </t>
  </si>
  <si>
    <t>TUBO ACO CARBONO SEM COSTURA 2", E= *3,91* MM, SCHEDULE 40, *5,43* KG/M</t>
  </si>
  <si>
    <t>Valor com BDI =&gt;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</si>
</sst>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General\ &quot;m²&quot;"/>
    <numFmt numFmtId="165" formatCode="#,##0.0000"/>
    <numFmt numFmtId="166" formatCode="#,##0.000"/>
    <numFmt numFmtId="167" formatCode="_(* #,##0.00_);_(* \(#,##0.00\);_(* &quot;-&quot;??_);_(@_)"/>
    <numFmt numFmtId="168" formatCode="&quot;R$&quot;\ #,##0.00"/>
    <numFmt numFmtId="169" formatCode="#,##0.00;[Red]#,##0.00"/>
    <numFmt numFmtId="170" formatCode="&quot;R$&quot;\ #,##0.00;[Red]&quot;R$&quot;\ #,##0.00"/>
    <numFmt numFmtId="171" formatCode="0.0000"/>
    <numFmt numFmtId="172" formatCode="0.0000%"/>
    <numFmt numFmtId="173" formatCode="_(&quot;R$ &quot;* #,##0.00_);_(&quot;R$ &quot;* \(#,##0.00\);_(&quot;R$ &quot;* &quot;-&quot;??_);_(@_)"/>
    <numFmt numFmtId="174" formatCode="#,##0.0000;[Red]#,##0.0000"/>
    <numFmt numFmtId="175" formatCode="#,##0.0000000"/>
    <numFmt numFmtId="176" formatCode="_(* #,##0.000_);_(* \(#,##0.000\);_(* &quot;-&quot;??_);_(@_)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8"/>
      <color theme="0"/>
      <name val="Arial"/>
      <family val="2"/>
    </font>
    <font>
      <sz val="8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0"/>
      <color rgb="FF000000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0"/>
      <color rgb="FF00B0F0"/>
      <name val="Arial"/>
      <family val="2"/>
    </font>
    <font>
      <sz val="10"/>
      <color rgb="FF00B0F0"/>
      <name val="Arial"/>
      <family val="2"/>
    </font>
    <font>
      <sz val="10"/>
      <name val="Arial"/>
      <family val="1"/>
    </font>
    <font>
      <b/>
      <sz val="8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rgb="FFFFFFFF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167" fontId="8" fillId="0" borderId="0" applyFont="0" applyFill="0" applyBorder="0" applyAlignment="0" applyProtection="0"/>
  </cellStyleXfs>
  <cellXfs count="478">
    <xf numFmtId="0" fontId="0" fillId="0" borderId="0" xfId="0"/>
    <xf numFmtId="0" fontId="2" fillId="0" borderId="5" xfId="0" applyFont="1" applyBorder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164" fontId="3" fillId="3" borderId="0" xfId="0" applyNumberFormat="1" applyFont="1" applyFill="1" applyAlignment="1">
      <alignment vertical="center"/>
    </xf>
    <xf numFmtId="0" fontId="3" fillId="3" borderId="5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164" fontId="3" fillId="0" borderId="6" xfId="0" applyNumberFormat="1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0" fontId="2" fillId="2" borderId="2" xfId="0" applyFont="1" applyFill="1" applyBorder="1" applyAlignment="1">
      <alignment vertical="center"/>
    </xf>
    <xf numFmtId="166" fontId="2" fillId="2" borderId="3" xfId="0" applyNumberFormat="1" applyFont="1" applyFill="1" applyBorder="1" applyAlignment="1">
      <alignment vertical="center"/>
    </xf>
    <xf numFmtId="4" fontId="2" fillId="2" borderId="4" xfId="0" applyNumberFormat="1" applyFont="1" applyFill="1" applyBorder="1" applyAlignment="1">
      <alignment vertical="center"/>
    </xf>
    <xf numFmtId="4" fontId="2" fillId="0" borderId="0" xfId="0" applyNumberFormat="1" applyFont="1" applyAlignment="1">
      <alignment vertical="center"/>
    </xf>
    <xf numFmtId="4" fontId="3" fillId="0" borderId="2" xfId="0" applyNumberFormat="1" applyFont="1" applyBorder="1" applyAlignment="1">
      <alignment vertical="center"/>
    </xf>
    <xf numFmtId="10" fontId="3" fillId="0" borderId="2" xfId="3" applyNumberFormat="1" applyFont="1" applyFill="1" applyBorder="1" applyAlignment="1">
      <alignment vertical="center"/>
    </xf>
    <xf numFmtId="44" fontId="2" fillId="0" borderId="2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167" fontId="4" fillId="0" borderId="4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169" fontId="7" fillId="0" borderId="8" xfId="1" applyNumberFormat="1" applyFont="1" applyFill="1" applyBorder="1" applyAlignment="1">
      <alignment horizontal="center" vertical="center" wrapText="1"/>
    </xf>
    <xf numFmtId="169" fontId="7" fillId="0" borderId="4" xfId="1" applyNumberFormat="1" applyFont="1" applyFill="1" applyBorder="1" applyAlignment="1">
      <alignment horizontal="center" vertical="center" wrapText="1"/>
    </xf>
    <xf numFmtId="170" fontId="5" fillId="5" borderId="2" xfId="1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43" fontId="7" fillId="0" borderId="2" xfId="1" applyFont="1" applyBorder="1" applyAlignment="1">
      <alignment horizontal="center" vertical="center" wrapText="1"/>
    </xf>
    <xf numFmtId="43" fontId="7" fillId="0" borderId="2" xfId="1" applyFont="1" applyFill="1" applyBorder="1" applyAlignment="1">
      <alignment horizontal="center" vertical="center" wrapText="1"/>
    </xf>
    <xf numFmtId="2" fontId="9" fillId="0" borderId="0" xfId="4" applyNumberFormat="1" applyFont="1" applyAlignment="1" applyProtection="1">
      <alignment horizontal="center" vertical="center"/>
      <protection hidden="1"/>
    </xf>
    <xf numFmtId="10" fontId="9" fillId="0" borderId="0" xfId="4" applyNumberFormat="1" applyFont="1" applyAlignment="1" applyProtection="1">
      <alignment horizontal="center" vertical="center"/>
      <protection hidden="1"/>
    </xf>
    <xf numFmtId="0" fontId="4" fillId="0" borderId="0" xfId="4" applyFont="1" applyAlignment="1" applyProtection="1">
      <alignment horizontal="center" vertical="center"/>
      <protection hidden="1"/>
    </xf>
    <xf numFmtId="0" fontId="4" fillId="0" borderId="16" xfId="4" applyFont="1" applyBorder="1" applyAlignment="1" applyProtection="1">
      <alignment horizontal="center" vertical="center"/>
      <protection hidden="1"/>
    </xf>
    <xf numFmtId="0" fontId="4" fillId="0" borderId="0" xfId="4" applyFont="1" applyAlignment="1" applyProtection="1">
      <alignment horizontal="left" vertical="center"/>
      <protection hidden="1"/>
    </xf>
    <xf numFmtId="0" fontId="4" fillId="0" borderId="5" xfId="4" applyFont="1" applyBorder="1" applyAlignment="1" applyProtection="1">
      <alignment vertical="center"/>
      <protection hidden="1"/>
    </xf>
    <xf numFmtId="0" fontId="6" fillId="0" borderId="3" xfId="4" applyFont="1" applyBorder="1" applyAlignment="1" applyProtection="1">
      <alignment vertical="center"/>
      <protection hidden="1"/>
    </xf>
    <xf numFmtId="2" fontId="4" fillId="0" borderId="2" xfId="4" applyNumberFormat="1" applyFont="1" applyBorder="1" applyAlignment="1" applyProtection="1">
      <alignment horizontal="center" vertical="center"/>
      <protection locked="0" hidden="1"/>
    </xf>
    <xf numFmtId="2" fontId="10" fillId="0" borderId="0" xfId="4" applyNumberFormat="1" applyFont="1" applyAlignment="1" applyProtection="1">
      <alignment horizontal="center" vertical="center"/>
      <protection hidden="1"/>
    </xf>
    <xf numFmtId="0" fontId="6" fillId="0" borderId="0" xfId="4" applyFont="1" applyAlignment="1" applyProtection="1">
      <alignment vertical="center"/>
      <protection hidden="1"/>
    </xf>
    <xf numFmtId="2" fontId="4" fillId="0" borderId="0" xfId="4" applyNumberFormat="1" applyFont="1" applyAlignment="1" applyProtection="1">
      <alignment horizontal="center" vertical="center"/>
      <protection locked="0" hidden="1"/>
    </xf>
    <xf numFmtId="2" fontId="6" fillId="0" borderId="0" xfId="4" applyNumberFormat="1" applyFont="1" applyAlignment="1" applyProtection="1">
      <alignment horizontal="center" vertical="center"/>
      <protection hidden="1"/>
    </xf>
    <xf numFmtId="2" fontId="10" fillId="0" borderId="16" xfId="4" applyNumberFormat="1" applyFont="1" applyBorder="1" applyAlignment="1" applyProtection="1">
      <alignment horizontal="center" vertical="center"/>
      <protection hidden="1"/>
    </xf>
    <xf numFmtId="0" fontId="6" fillId="0" borderId="0" xfId="4" applyFont="1" applyAlignment="1" applyProtection="1">
      <alignment vertical="center" wrapText="1"/>
      <protection hidden="1"/>
    </xf>
    <xf numFmtId="0" fontId="4" fillId="0" borderId="17" xfId="4" applyFont="1" applyBorder="1" applyAlignment="1" applyProtection="1">
      <alignment horizontal="center" vertical="center"/>
      <protection hidden="1"/>
    </xf>
    <xf numFmtId="2" fontId="10" fillId="0" borderId="19" xfId="4" applyNumberFormat="1" applyFont="1" applyBorder="1" applyAlignment="1" applyProtection="1">
      <alignment horizontal="center" vertical="center"/>
      <protection hidden="1"/>
    </xf>
    <xf numFmtId="2" fontId="10" fillId="0" borderId="20" xfId="4" applyNumberFormat="1" applyFont="1" applyBorder="1" applyAlignment="1" applyProtection="1">
      <alignment horizontal="center" vertical="center"/>
      <protection hidden="1"/>
    </xf>
    <xf numFmtId="2" fontId="4" fillId="0" borderId="22" xfId="4" applyNumberFormat="1" applyFont="1" applyBorder="1" applyAlignment="1" applyProtection="1">
      <alignment horizontal="center" vertical="center"/>
      <protection hidden="1"/>
    </xf>
    <xf numFmtId="2" fontId="4" fillId="0" borderId="0" xfId="4" applyNumberFormat="1" applyFont="1" applyAlignment="1" applyProtection="1">
      <alignment horizontal="center" vertical="center"/>
      <protection hidden="1"/>
    </xf>
    <xf numFmtId="0" fontId="4" fillId="0" borderId="5" xfId="4" applyFont="1" applyBorder="1" applyAlignment="1" applyProtection="1">
      <alignment horizontal="center" vertical="center"/>
      <protection hidden="1"/>
    </xf>
    <xf numFmtId="0" fontId="6" fillId="0" borderId="0" xfId="4" applyFont="1" applyAlignment="1" applyProtection="1">
      <alignment horizontal="right" vertical="center"/>
      <protection hidden="1"/>
    </xf>
    <xf numFmtId="0" fontId="6" fillId="0" borderId="19" xfId="4" applyFont="1" applyBorder="1" applyAlignment="1" applyProtection="1">
      <alignment horizontal="center" vertical="center"/>
      <protection hidden="1"/>
    </xf>
    <xf numFmtId="2" fontId="4" fillId="0" borderId="18" xfId="4" applyNumberFormat="1" applyFont="1" applyBorder="1" applyAlignment="1" applyProtection="1">
      <alignment horizontal="center" vertical="center"/>
      <protection hidden="1"/>
    </xf>
    <xf numFmtId="0" fontId="11" fillId="0" borderId="0" xfId="4" applyFont="1" applyAlignment="1" applyProtection="1">
      <alignment horizontal="center" vertical="center"/>
      <protection hidden="1"/>
    </xf>
    <xf numFmtId="2" fontId="6" fillId="0" borderId="22" xfId="4" applyNumberFormat="1" applyFont="1" applyBorder="1" applyAlignment="1" applyProtection="1">
      <alignment horizontal="center" vertical="center"/>
      <protection hidden="1"/>
    </xf>
    <xf numFmtId="2" fontId="6" fillId="0" borderId="23" xfId="4" applyNumberFormat="1" applyFont="1" applyBorder="1" applyAlignment="1" applyProtection="1">
      <alignment horizontal="center" vertical="center"/>
      <protection hidden="1"/>
    </xf>
    <xf numFmtId="0" fontId="6" fillId="0" borderId="5" xfId="4" applyFont="1" applyBorder="1" applyAlignment="1" applyProtection="1">
      <alignment horizontal="center" vertical="center"/>
      <protection hidden="1"/>
    </xf>
    <xf numFmtId="2" fontId="6" fillId="0" borderId="16" xfId="4" applyNumberFormat="1" applyFont="1" applyBorder="1" applyAlignment="1" applyProtection="1">
      <alignment horizontal="center" vertical="center"/>
      <protection hidden="1"/>
    </xf>
    <xf numFmtId="0" fontId="6" fillId="0" borderId="3" xfId="4" applyFont="1" applyBorder="1" applyAlignment="1" applyProtection="1">
      <alignment horizontal="left" vertical="center"/>
      <protection hidden="1"/>
    </xf>
    <xf numFmtId="0" fontId="6" fillId="0" borderId="8" xfId="4" applyFont="1" applyBorder="1" applyAlignment="1" applyProtection="1">
      <alignment horizontal="center" vertical="center"/>
      <protection hidden="1"/>
    </xf>
    <xf numFmtId="0" fontId="6" fillId="0" borderId="8" xfId="4" applyFont="1" applyBorder="1" applyAlignment="1" applyProtection="1">
      <alignment horizontal="right" vertical="center"/>
      <protection hidden="1"/>
    </xf>
    <xf numFmtId="10" fontId="6" fillId="0" borderId="4" xfId="4" applyNumberFormat="1" applyFont="1" applyBorder="1" applyAlignment="1" applyProtection="1">
      <alignment horizontal="center" vertical="center"/>
      <protection locked="0"/>
    </xf>
    <xf numFmtId="0" fontId="6" fillId="0" borderId="0" xfId="4" applyFont="1" applyAlignment="1" applyProtection="1">
      <alignment horizontal="left" vertical="center"/>
      <protection hidden="1"/>
    </xf>
    <xf numFmtId="10" fontId="6" fillId="0" borderId="0" xfId="4" applyNumberFormat="1" applyFont="1" applyAlignment="1" applyProtection="1">
      <alignment horizontal="center" vertical="center"/>
      <protection hidden="1"/>
    </xf>
    <xf numFmtId="10" fontId="6" fillId="0" borderId="4" xfId="5" applyNumberFormat="1" applyFont="1" applyFill="1" applyBorder="1" applyAlignment="1" applyProtection="1">
      <alignment horizontal="center" vertical="center"/>
      <protection locked="0"/>
    </xf>
    <xf numFmtId="171" fontId="6" fillId="0" borderId="16" xfId="5" applyNumberFormat="1" applyFont="1" applyFill="1" applyBorder="1" applyAlignment="1" applyProtection="1">
      <alignment horizontal="center" vertical="center"/>
      <protection hidden="1"/>
    </xf>
    <xf numFmtId="10" fontId="6" fillId="0" borderId="0" xfId="5" applyNumberFormat="1" applyFont="1" applyFill="1" applyBorder="1" applyAlignment="1" applyProtection="1">
      <alignment horizontal="center" vertical="center"/>
      <protection hidden="1"/>
    </xf>
    <xf numFmtId="0" fontId="6" fillId="0" borderId="10" xfId="4" applyFont="1" applyBorder="1" applyAlignment="1" applyProtection="1">
      <alignment vertical="center"/>
      <protection hidden="1"/>
    </xf>
    <xf numFmtId="0" fontId="6" fillId="0" borderId="15" xfId="4" applyFont="1" applyBorder="1" applyAlignment="1" applyProtection="1">
      <alignment horizontal="center" vertical="center"/>
      <protection hidden="1"/>
    </xf>
    <xf numFmtId="0" fontId="6" fillId="0" borderId="15" xfId="4" applyFont="1" applyBorder="1" applyAlignment="1" applyProtection="1">
      <alignment horizontal="right" vertical="center"/>
      <protection hidden="1"/>
    </xf>
    <xf numFmtId="10" fontId="6" fillId="0" borderId="11" xfId="5" applyNumberFormat="1" applyFont="1" applyFill="1" applyBorder="1" applyAlignment="1" applyProtection="1">
      <alignment horizontal="center" vertical="center"/>
      <protection hidden="1"/>
    </xf>
    <xf numFmtId="171" fontId="4" fillId="0" borderId="16" xfId="5" applyNumberFormat="1" applyFont="1" applyFill="1" applyBorder="1" applyAlignment="1" applyProtection="1">
      <alignment horizontal="center" vertical="center"/>
      <protection hidden="1"/>
    </xf>
    <xf numFmtId="10" fontId="6" fillId="0" borderId="25" xfId="5" applyNumberFormat="1" applyFont="1" applyFill="1" applyBorder="1" applyAlignment="1" applyProtection="1">
      <alignment horizontal="center" vertical="center"/>
      <protection locked="0"/>
    </xf>
    <xf numFmtId="2" fontId="4" fillId="0" borderId="16" xfId="5" applyNumberFormat="1" applyFont="1" applyFill="1" applyBorder="1" applyAlignment="1" applyProtection="1">
      <alignment horizontal="center" vertical="center"/>
      <protection hidden="1"/>
    </xf>
    <xf numFmtId="0" fontId="6" fillId="0" borderId="13" xfId="4" applyFont="1" applyBorder="1" applyAlignment="1" applyProtection="1">
      <alignment horizontal="center" vertical="center"/>
      <protection hidden="1"/>
    </xf>
    <xf numFmtId="0" fontId="6" fillId="0" borderId="14" xfId="4" applyFont="1" applyBorder="1" applyAlignment="1" applyProtection="1">
      <alignment horizontal="center" vertical="center"/>
      <protection hidden="1"/>
    </xf>
    <xf numFmtId="0" fontId="6" fillId="0" borderId="14" xfId="4" applyFont="1" applyBorder="1" applyAlignment="1" applyProtection="1">
      <alignment horizontal="right" vertical="center"/>
      <protection hidden="1"/>
    </xf>
    <xf numFmtId="10" fontId="6" fillId="0" borderId="6" xfId="4" applyNumberFormat="1" applyFont="1" applyBorder="1" applyAlignment="1" applyProtection="1">
      <alignment horizontal="center" vertical="center"/>
      <protection locked="0"/>
    </xf>
    <xf numFmtId="0" fontId="6" fillId="0" borderId="24" xfId="4" applyFont="1" applyBorder="1" applyAlignment="1" applyProtection="1">
      <alignment vertical="center"/>
      <protection hidden="1"/>
    </xf>
    <xf numFmtId="10" fontId="6" fillId="0" borderId="25" xfId="5" applyNumberFormat="1" applyFont="1" applyFill="1" applyBorder="1" applyAlignment="1" applyProtection="1">
      <alignment horizontal="center" vertical="center"/>
      <protection hidden="1"/>
    </xf>
    <xf numFmtId="2" fontId="6" fillId="0" borderId="16" xfId="5" applyNumberFormat="1" applyFont="1" applyFill="1" applyBorder="1" applyAlignment="1" applyProtection="1">
      <alignment horizontal="center" vertical="center"/>
      <protection hidden="1"/>
    </xf>
    <xf numFmtId="10" fontId="6" fillId="0" borderId="25" xfId="5" applyNumberFormat="1" applyFont="1" applyFill="1" applyBorder="1" applyAlignment="1" applyProtection="1">
      <alignment horizontal="center" vertical="center"/>
    </xf>
    <xf numFmtId="10" fontId="6" fillId="0" borderId="6" xfId="5" applyNumberFormat="1" applyFont="1" applyFill="1" applyBorder="1" applyAlignment="1" applyProtection="1">
      <alignment horizontal="center" vertical="center"/>
      <protection hidden="1"/>
    </xf>
    <xf numFmtId="0" fontId="6" fillId="0" borderId="17" xfId="4" applyFont="1" applyBorder="1" applyAlignment="1" applyProtection="1">
      <alignment horizontal="center" vertical="center"/>
      <protection hidden="1"/>
    </xf>
    <xf numFmtId="167" fontId="6" fillId="0" borderId="19" xfId="5" applyFont="1" applyFill="1" applyBorder="1" applyAlignment="1" applyProtection="1">
      <alignment horizontal="center" vertical="center"/>
      <protection hidden="1"/>
    </xf>
    <xf numFmtId="2" fontId="6" fillId="0" borderId="19" xfId="5" applyNumberFormat="1" applyFont="1" applyFill="1" applyBorder="1" applyAlignment="1" applyProtection="1">
      <alignment horizontal="center" vertical="center"/>
      <protection hidden="1"/>
    </xf>
    <xf numFmtId="2" fontId="4" fillId="0" borderId="20" xfId="5" applyNumberFormat="1" applyFont="1" applyFill="1" applyBorder="1" applyAlignment="1" applyProtection="1">
      <alignment horizontal="center" vertical="center"/>
      <protection hidden="1"/>
    </xf>
    <xf numFmtId="1" fontId="9" fillId="0" borderId="0" xfId="4" applyNumberFormat="1" applyFont="1" applyAlignment="1" applyProtection="1">
      <alignment horizontal="center" vertical="center"/>
      <protection hidden="1"/>
    </xf>
    <xf numFmtId="0" fontId="6" fillId="0" borderId="19" xfId="4" applyFont="1" applyBorder="1" applyAlignment="1" applyProtection="1">
      <alignment vertical="center"/>
      <protection hidden="1"/>
    </xf>
    <xf numFmtId="2" fontId="6" fillId="0" borderId="19" xfId="4" applyNumberFormat="1" applyFont="1" applyBorder="1" applyAlignment="1" applyProtection="1">
      <alignment horizontal="center" vertical="center"/>
      <protection hidden="1"/>
    </xf>
    <xf numFmtId="2" fontId="6" fillId="0" borderId="20" xfId="4" applyNumberFormat="1" applyFont="1" applyBorder="1" applyAlignment="1" applyProtection="1">
      <alignment horizontal="center" vertical="center"/>
      <protection hidden="1"/>
    </xf>
    <xf numFmtId="0" fontId="6" fillId="0" borderId="22" xfId="4" applyFont="1" applyBorder="1" applyAlignment="1" applyProtection="1">
      <alignment horizontal="center" vertical="center"/>
      <protection hidden="1"/>
    </xf>
    <xf numFmtId="171" fontId="9" fillId="0" borderId="0" xfId="4" applyNumberFormat="1" applyFont="1" applyAlignment="1" applyProtection="1">
      <alignment horizontal="center" vertical="center"/>
      <protection hidden="1"/>
    </xf>
    <xf numFmtId="0" fontId="6" fillId="0" borderId="2" xfId="4" applyFont="1" applyBorder="1" applyAlignment="1" applyProtection="1">
      <alignment horizontal="center" vertical="center"/>
      <protection hidden="1"/>
    </xf>
    <xf numFmtId="10" fontId="6" fillId="0" borderId="2" xfId="4" applyNumberFormat="1" applyFont="1" applyBorder="1" applyAlignment="1" applyProtection="1">
      <alignment horizontal="center" vertical="center"/>
      <protection hidden="1"/>
    </xf>
    <xf numFmtId="10" fontId="6" fillId="0" borderId="19" xfId="4" applyNumberFormat="1" applyFont="1" applyBorder="1" applyAlignment="1" applyProtection="1">
      <alignment horizontal="center" vertical="center"/>
      <protection hidden="1"/>
    </xf>
    <xf numFmtId="172" fontId="9" fillId="0" borderId="0" xfId="4" applyNumberFormat="1" applyFont="1" applyAlignment="1" applyProtection="1">
      <alignment horizontal="center" vertical="center"/>
      <protection hidden="1"/>
    </xf>
    <xf numFmtId="0" fontId="9" fillId="0" borderId="0" xfId="4" applyFont="1" applyAlignment="1" applyProtection="1">
      <alignment horizontal="center" vertical="center"/>
      <protection hidden="1"/>
    </xf>
    <xf numFmtId="0" fontId="6" fillId="0" borderId="3" xfId="4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10" fontId="6" fillId="0" borderId="2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10" fontId="4" fillId="0" borderId="2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43" fontId="4" fillId="5" borderId="2" xfId="1" applyFont="1" applyFill="1" applyBorder="1" applyAlignment="1">
      <alignment horizontal="center" vertical="center" wrapText="1"/>
    </xf>
    <xf numFmtId="169" fontId="5" fillId="2" borderId="2" xfId="1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169" fontId="7" fillId="0" borderId="2" xfId="1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43" fontId="7" fillId="0" borderId="2" xfId="1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44" fontId="7" fillId="5" borderId="2" xfId="2" applyFont="1" applyFill="1" applyBorder="1" applyAlignment="1">
      <alignment horizontal="center" vertical="center" wrapText="1"/>
    </xf>
    <xf numFmtId="10" fontId="7" fillId="5" borderId="2" xfId="1" applyNumberFormat="1" applyFont="1" applyFill="1" applyBorder="1" applyAlignment="1">
      <alignment horizontal="center" vertical="center" wrapText="1"/>
    </xf>
    <xf numFmtId="44" fontId="7" fillId="3" borderId="2" xfId="2" applyFont="1" applyFill="1" applyBorder="1" applyAlignment="1">
      <alignment horizontal="center" vertical="center" wrapText="1"/>
    </xf>
    <xf numFmtId="44" fontId="7" fillId="0" borderId="2" xfId="2" applyFont="1" applyFill="1" applyBorder="1" applyAlignment="1">
      <alignment horizontal="center" vertical="center" wrapText="1"/>
    </xf>
    <xf numFmtId="10" fontId="7" fillId="0" borderId="2" xfId="1" applyNumberFormat="1" applyFont="1" applyFill="1" applyBorder="1" applyAlignment="1">
      <alignment horizontal="center" vertical="center" wrapText="1"/>
    </xf>
    <xf numFmtId="1" fontId="4" fillId="5" borderId="2" xfId="1" applyNumberFormat="1" applyFont="1" applyFill="1" applyBorder="1" applyAlignment="1">
      <alignment horizontal="center" vertical="center" wrapText="1"/>
    </xf>
    <xf numFmtId="10" fontId="4" fillId="0" borderId="0" xfId="0" applyNumberFormat="1" applyFont="1" applyAlignment="1">
      <alignment horizontal="left" vertical="center" wrapText="1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5" fillId="5" borderId="2" xfId="4" applyFont="1" applyFill="1" applyBorder="1" applyAlignment="1">
      <alignment horizontal="center" vertical="center"/>
    </xf>
    <xf numFmtId="0" fontId="7" fillId="6" borderId="2" xfId="4" applyFont="1" applyFill="1" applyBorder="1" applyAlignment="1">
      <alignment horizontal="center" vertical="center" wrapText="1"/>
    </xf>
    <xf numFmtId="0" fontId="7" fillId="6" borderId="2" xfId="4" applyFont="1" applyFill="1" applyBorder="1" applyAlignment="1">
      <alignment vertical="center" wrapText="1"/>
    </xf>
    <xf numFmtId="174" fontId="7" fillId="6" borderId="2" xfId="5" applyNumberFormat="1" applyFont="1" applyFill="1" applyBorder="1" applyAlignment="1">
      <alignment horizontal="center" vertical="center" wrapText="1"/>
    </xf>
    <xf numFmtId="169" fontId="7" fillId="6" borderId="2" xfId="4" applyNumberFormat="1" applyFont="1" applyFill="1" applyBorder="1" applyAlignment="1">
      <alignment horizontal="center" vertical="center" wrapText="1"/>
    </xf>
    <xf numFmtId="0" fontId="5" fillId="6" borderId="15" xfId="4" applyFont="1" applyFill="1" applyBorder="1" applyAlignment="1">
      <alignment vertical="center" wrapText="1"/>
    </xf>
    <xf numFmtId="0" fontId="5" fillId="6" borderId="11" xfId="4" applyFont="1" applyFill="1" applyBorder="1" applyAlignment="1">
      <alignment vertical="center" wrapText="1"/>
    </xf>
    <xf numFmtId="169" fontId="5" fillId="0" borderId="4" xfId="4" applyNumberFormat="1" applyFont="1" applyBorder="1" applyAlignment="1">
      <alignment horizontal="center" vertical="center" wrapText="1"/>
    </xf>
    <xf numFmtId="0" fontId="7" fillId="6" borderId="2" xfId="4" applyFont="1" applyFill="1" applyBorder="1" applyAlignment="1">
      <alignment horizontal="left" vertical="center" wrapText="1"/>
    </xf>
    <xf numFmtId="0" fontId="12" fillId="0" borderId="0" xfId="0" applyFont="1"/>
    <xf numFmtId="169" fontId="7" fillId="0" borderId="2" xfId="4" applyNumberFormat="1" applyFont="1" applyBorder="1" applyAlignment="1">
      <alignment horizontal="center" vertical="center" wrapText="1"/>
    </xf>
    <xf numFmtId="0" fontId="4" fillId="0" borderId="19" xfId="4" applyFont="1" applyBorder="1" applyAlignment="1" applyProtection="1">
      <alignment horizontal="center" vertical="center"/>
      <protection hidden="1"/>
    </xf>
    <xf numFmtId="0" fontId="4" fillId="0" borderId="5" xfId="4" applyFont="1" applyBorder="1" applyAlignment="1" applyProtection="1">
      <alignment horizontal="left" vertical="center"/>
      <protection hidden="1"/>
    </xf>
    <xf numFmtId="0" fontId="6" fillId="0" borderId="0" xfId="4" applyFont="1" applyAlignment="1" applyProtection="1">
      <alignment horizontal="center" vertical="center"/>
      <protection hidden="1"/>
    </xf>
    <xf numFmtId="0" fontId="4" fillId="0" borderId="22" xfId="4" applyFont="1" applyBorder="1" applyAlignment="1" applyProtection="1">
      <alignment horizontal="center" vertical="center"/>
      <protection hidden="1"/>
    </xf>
    <xf numFmtId="0" fontId="6" fillId="0" borderId="24" xfId="4" applyFont="1" applyBorder="1" applyAlignment="1" applyProtection="1">
      <alignment horizontal="center" vertical="center"/>
      <protection hidden="1"/>
    </xf>
    <xf numFmtId="173" fontId="4" fillId="3" borderId="2" xfId="2" applyNumberFormat="1" applyFont="1" applyFill="1" applyBorder="1" applyAlignment="1">
      <alignment horizontal="center" vertical="center" wrapText="1"/>
    </xf>
    <xf numFmtId="10" fontId="4" fillId="3" borderId="2" xfId="3" applyNumberFormat="1" applyFont="1" applyFill="1" applyBorder="1" applyAlignment="1">
      <alignment horizontal="center" vertical="center" wrapText="1"/>
    </xf>
    <xf numFmtId="0" fontId="3" fillId="0" borderId="10" xfId="0" applyFont="1" applyBorder="1"/>
    <xf numFmtId="0" fontId="3" fillId="0" borderId="15" xfId="0" applyFont="1" applyBorder="1"/>
    <xf numFmtId="0" fontId="3" fillId="0" borderId="11" xfId="0" applyFont="1" applyBorder="1"/>
    <xf numFmtId="0" fontId="4" fillId="0" borderId="13" xfId="4" applyFont="1" applyBorder="1" applyAlignment="1" applyProtection="1">
      <alignment horizontal="center" vertical="center"/>
      <protection hidden="1"/>
    </xf>
    <xf numFmtId="0" fontId="4" fillId="0" borderId="14" xfId="4" applyFont="1" applyBorder="1" applyAlignment="1" applyProtection="1">
      <alignment horizontal="center" vertical="center"/>
      <protection hidden="1"/>
    </xf>
    <xf numFmtId="0" fontId="4" fillId="0" borderId="6" xfId="4" applyFont="1" applyBorder="1" applyAlignment="1" applyProtection="1">
      <alignment horizontal="center" vertical="center"/>
      <protection hidden="1"/>
    </xf>
    <xf numFmtId="2" fontId="4" fillId="0" borderId="23" xfId="4" applyNumberFormat="1" applyFont="1" applyBorder="1" applyAlignment="1" applyProtection="1">
      <alignment horizontal="center" vertical="center"/>
      <protection hidden="1"/>
    </xf>
    <xf numFmtId="2" fontId="4" fillId="0" borderId="16" xfId="4" applyNumberFormat="1" applyFont="1" applyBorder="1" applyAlignment="1" applyProtection="1">
      <alignment horizontal="center" vertical="center"/>
      <protection hidden="1"/>
    </xf>
    <xf numFmtId="167" fontId="6" fillId="0" borderId="0" xfId="5" applyFont="1" applyFill="1" applyBorder="1" applyAlignment="1" applyProtection="1">
      <alignment horizontal="center" vertical="center"/>
      <protection hidden="1"/>
    </xf>
    <xf numFmtId="2" fontId="6" fillId="0" borderId="0" xfId="5" applyNumberFormat="1" applyFont="1" applyFill="1" applyBorder="1" applyAlignment="1" applyProtection="1">
      <alignment horizontal="center" vertical="center"/>
      <protection hidden="1"/>
    </xf>
    <xf numFmtId="2" fontId="4" fillId="0" borderId="0" xfId="5" applyNumberFormat="1" applyFont="1" applyFill="1" applyBorder="1" applyAlignment="1" applyProtection="1">
      <alignment horizontal="center" vertical="center"/>
      <protection hidden="1"/>
    </xf>
    <xf numFmtId="0" fontId="6" fillId="0" borderId="16" xfId="4" applyFont="1" applyBorder="1" applyAlignment="1" applyProtection="1">
      <alignment horizontal="center" vertical="center"/>
      <protection hidden="1"/>
    </xf>
    <xf numFmtId="10" fontId="4" fillId="0" borderId="27" xfId="5" applyNumberFormat="1" applyFont="1" applyFill="1" applyBorder="1" applyAlignment="1" applyProtection="1">
      <alignment horizontal="center" vertical="center"/>
      <protection hidden="1"/>
    </xf>
    <xf numFmtId="10" fontId="4" fillId="0" borderId="28" xfId="5" applyNumberFormat="1" applyFont="1" applyFill="1" applyBorder="1" applyAlignment="1" applyProtection="1">
      <alignment horizontal="center" vertical="center"/>
      <protection hidden="1"/>
    </xf>
    <xf numFmtId="10" fontId="4" fillId="0" borderId="0" xfId="5" applyNumberFormat="1" applyFont="1" applyFill="1" applyBorder="1" applyAlignment="1" applyProtection="1">
      <alignment horizontal="center" vertical="center"/>
      <protection hidden="1"/>
    </xf>
    <xf numFmtId="172" fontId="6" fillId="0" borderId="0" xfId="4" applyNumberFormat="1" applyFont="1" applyAlignment="1" applyProtection="1">
      <alignment horizontal="center" vertical="center"/>
      <protection locked="0" hidden="1"/>
    </xf>
    <xf numFmtId="172" fontId="6" fillId="0" borderId="0" xfId="4" applyNumberFormat="1" applyFont="1" applyAlignment="1" applyProtection="1">
      <alignment horizontal="center" vertical="center"/>
      <protection hidden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10" fontId="15" fillId="4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justify" vertical="center"/>
    </xf>
    <xf numFmtId="0" fontId="16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justify" vertical="center" wrapText="1"/>
    </xf>
    <xf numFmtId="44" fontId="8" fillId="0" borderId="9" xfId="0" applyNumberFormat="1" applyFont="1" applyBorder="1" applyAlignment="1">
      <alignment horizontal="center" vertical="center"/>
    </xf>
    <xf numFmtId="10" fontId="8" fillId="0" borderId="9" xfId="3" applyNumberFormat="1" applyFont="1" applyFill="1" applyBorder="1" applyAlignment="1">
      <alignment horizontal="center" vertical="center"/>
    </xf>
    <xf numFmtId="0" fontId="15" fillId="3" borderId="2" xfId="0" quotePrefix="1" applyFont="1" applyFill="1" applyBorder="1" applyAlignment="1">
      <alignment horizontal="justify" vertical="center" wrapText="1"/>
    </xf>
    <xf numFmtId="0" fontId="15" fillId="3" borderId="2" xfId="0" applyFont="1" applyFill="1" applyBorder="1" applyAlignment="1">
      <alignment horizontal="justify" vertical="center" wrapText="1"/>
    </xf>
    <xf numFmtId="44" fontId="14" fillId="4" borderId="2" xfId="0" applyNumberFormat="1" applyFont="1" applyFill="1" applyBorder="1" applyAlignment="1">
      <alignment vertical="center"/>
    </xf>
    <xf numFmtId="10" fontId="14" fillId="4" borderId="2" xfId="3" applyNumberFormat="1" applyFont="1" applyFill="1" applyBorder="1" applyAlignment="1">
      <alignment horizontal="center" vertical="center"/>
    </xf>
    <xf numFmtId="43" fontId="4" fillId="5" borderId="2" xfId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2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9" fontId="2" fillId="2" borderId="2" xfId="0" applyNumberFormat="1" applyFont="1" applyFill="1" applyBorder="1" applyAlignment="1">
      <alignment horizontal="center" vertical="center"/>
    </xf>
    <xf numFmtId="9" fontId="2" fillId="4" borderId="2" xfId="3" applyFont="1" applyFill="1" applyBorder="1" applyAlignment="1">
      <alignment horizontal="center" vertical="center"/>
    </xf>
    <xf numFmtId="175" fontId="6" fillId="0" borderId="2" xfId="0" applyNumberFormat="1" applyFont="1" applyBorder="1" applyAlignment="1">
      <alignment horizontal="center" vertical="center" wrapText="1"/>
    </xf>
    <xf numFmtId="43" fontId="6" fillId="0" borderId="2" xfId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20" fillId="3" borderId="10" xfId="11" applyFont="1" applyFill="1" applyBorder="1" applyAlignment="1">
      <alignment vertical="center"/>
    </xf>
    <xf numFmtId="0" fontId="21" fillId="3" borderId="15" xfId="11" applyFont="1" applyFill="1" applyBorder="1" applyAlignment="1">
      <alignment vertical="center"/>
    </xf>
    <xf numFmtId="0" fontId="19" fillId="0" borderId="0" xfId="11" applyAlignment="1">
      <alignment horizontal="left" vertical="top"/>
    </xf>
    <xf numFmtId="0" fontId="20" fillId="3" borderId="13" xfId="11" applyFont="1" applyFill="1" applyBorder="1" applyAlignment="1">
      <alignment vertical="center"/>
    </xf>
    <xf numFmtId="0" fontId="22" fillId="3" borderId="0" xfId="11" applyFont="1" applyFill="1" applyAlignment="1">
      <alignment horizontal="left" vertical="center"/>
    </xf>
    <xf numFmtId="43" fontId="0" fillId="0" borderId="0" xfId="12" applyFont="1" applyAlignment="1">
      <alignment horizontal="left" vertical="top"/>
    </xf>
    <xf numFmtId="167" fontId="16" fillId="0" borderId="0" xfId="4" applyNumberFormat="1" applyFont="1" applyAlignment="1">
      <alignment horizontal="center" vertical="top"/>
    </xf>
    <xf numFmtId="0" fontId="16" fillId="0" borderId="0" xfId="4" applyFont="1" applyAlignment="1">
      <alignment horizontal="justify" wrapText="1"/>
    </xf>
    <xf numFmtId="0" fontId="8" fillId="0" borderId="0" xfId="4" applyAlignment="1">
      <alignment vertical="center"/>
    </xf>
    <xf numFmtId="167" fontId="8" fillId="0" borderId="0" xfId="4" applyNumberFormat="1" applyAlignment="1">
      <alignment vertical="center"/>
    </xf>
    <xf numFmtId="167" fontId="16" fillId="0" borderId="0" xfId="4" applyNumberFormat="1" applyFont="1" applyAlignment="1">
      <alignment horizontal="center"/>
    </xf>
    <xf numFmtId="167" fontId="8" fillId="0" borderId="3" xfId="4" applyNumberFormat="1" applyBorder="1" applyAlignment="1">
      <alignment horizontal="center" vertical="top"/>
    </xf>
    <xf numFmtId="49" fontId="8" fillId="0" borderId="8" xfId="4" applyNumberFormat="1" applyBorder="1"/>
    <xf numFmtId="0" fontId="8" fillId="0" borderId="8" xfId="4" applyBorder="1"/>
    <xf numFmtId="167" fontId="8" fillId="0" borderId="8" xfId="4" applyNumberFormat="1" applyBorder="1"/>
    <xf numFmtId="167" fontId="8" fillId="0" borderId="4" xfId="4" applyNumberFormat="1" applyBorder="1" applyAlignment="1">
      <alignment horizontal="center"/>
    </xf>
    <xf numFmtId="167" fontId="8" fillId="0" borderId="0" xfId="4" applyNumberFormat="1" applyAlignment="1">
      <alignment horizontal="center"/>
    </xf>
    <xf numFmtId="0" fontId="8" fillId="0" borderId="0" xfId="4" applyAlignment="1">
      <alignment horizontal="justify" wrapText="1"/>
    </xf>
    <xf numFmtId="167" fontId="8" fillId="0" borderId="0" xfId="13" applyFont="1" applyBorder="1" applyAlignment="1"/>
    <xf numFmtId="167" fontId="8" fillId="0" borderId="0" xfId="4" applyNumberFormat="1"/>
    <xf numFmtId="167" fontId="16" fillId="2" borderId="2" xfId="13" applyFont="1" applyFill="1" applyBorder="1" applyAlignment="1"/>
    <xf numFmtId="167" fontId="16" fillId="2" borderId="2" xfId="4" applyNumberFormat="1" applyFont="1" applyFill="1" applyBorder="1"/>
    <xf numFmtId="167" fontId="16" fillId="0" borderId="0" xfId="13" applyFont="1" applyFill="1" applyBorder="1" applyAlignment="1"/>
    <xf numFmtId="167" fontId="23" fillId="0" borderId="0" xfId="13" applyFont="1" applyBorder="1" applyAlignment="1"/>
    <xf numFmtId="0" fontId="16" fillId="0" borderId="0" xfId="4" applyFont="1" applyAlignment="1">
      <alignment vertical="top"/>
    </xf>
    <xf numFmtId="49" fontId="8" fillId="0" borderId="0" xfId="4" applyNumberFormat="1" applyAlignment="1">
      <alignment vertical="center"/>
    </xf>
    <xf numFmtId="167" fontId="8" fillId="0" borderId="0" xfId="13" applyFont="1" applyBorder="1" applyAlignment="1">
      <alignment vertical="center"/>
    </xf>
    <xf numFmtId="49" fontId="16" fillId="0" borderId="0" xfId="4" applyNumberFormat="1" applyFont="1" applyAlignment="1">
      <alignment wrapText="1"/>
    </xf>
    <xf numFmtId="167" fontId="16" fillId="0" borderId="0" xfId="4" applyNumberFormat="1" applyFont="1" applyAlignment="1">
      <alignment horizontal="center" vertical="center"/>
    </xf>
    <xf numFmtId="167" fontId="16" fillId="0" borderId="0" xfId="4" applyNumberFormat="1" applyFont="1"/>
    <xf numFmtId="167" fontId="23" fillId="0" borderId="0" xfId="4" applyNumberFormat="1" applyFont="1" applyAlignment="1">
      <alignment horizontal="center"/>
    </xf>
    <xf numFmtId="0" fontId="23" fillId="0" borderId="0" xfId="4" applyFont="1" applyAlignment="1">
      <alignment horizontal="justify" wrapText="1"/>
    </xf>
    <xf numFmtId="167" fontId="23" fillId="0" borderId="0" xfId="4" applyNumberFormat="1" applyFont="1"/>
    <xf numFmtId="167" fontId="24" fillId="0" borderId="0" xfId="4" applyNumberFormat="1" applyFont="1" applyAlignment="1">
      <alignment horizontal="center"/>
    </xf>
    <xf numFmtId="167" fontId="8" fillId="0" borderId="3" xfId="4" applyNumberFormat="1" applyBorder="1" applyAlignment="1">
      <alignment horizontal="center" vertical="center"/>
    </xf>
    <xf numFmtId="49" fontId="19" fillId="0" borderId="0" xfId="11" applyNumberFormat="1"/>
    <xf numFmtId="0" fontId="19" fillId="0" borderId="0" xfId="11" applyAlignment="1">
      <alignment horizontal="center" vertical="center"/>
    </xf>
    <xf numFmtId="176" fontId="8" fillId="0" borderId="0" xfId="13" applyNumberFormat="1" applyFont="1" applyBorder="1" applyAlignment="1"/>
    <xf numFmtId="167" fontId="25" fillId="0" borderId="0" xfId="4" applyNumberFormat="1" applyFont="1" applyAlignment="1">
      <alignment horizontal="center"/>
    </xf>
    <xf numFmtId="167" fontId="26" fillId="0" borderId="0" xfId="4" applyNumberFormat="1" applyFont="1" applyAlignment="1">
      <alignment horizontal="center"/>
    </xf>
    <xf numFmtId="0" fontId="20" fillId="3" borderId="15" xfId="11" applyFont="1" applyFill="1" applyBorder="1" applyAlignment="1">
      <alignment vertical="center" wrapText="1"/>
    </xf>
    <xf numFmtId="0" fontId="20" fillId="3" borderId="14" xfId="11" applyFont="1" applyFill="1" applyBorder="1" applyAlignment="1">
      <alignment vertical="center" wrapText="1"/>
    </xf>
    <xf numFmtId="0" fontId="21" fillId="3" borderId="14" xfId="11" applyFont="1" applyFill="1" applyBorder="1" applyAlignment="1">
      <alignment vertical="center"/>
    </xf>
    <xf numFmtId="43" fontId="20" fillId="0" borderId="11" xfId="12" applyFont="1" applyFill="1" applyBorder="1" applyAlignment="1">
      <alignment horizontal="left" vertical="center"/>
    </xf>
    <xf numFmtId="43" fontId="20" fillId="0" borderId="6" xfId="12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165" fontId="3" fillId="0" borderId="0" xfId="0" applyNumberFormat="1" applyFont="1" applyBorder="1" applyAlignment="1">
      <alignment vertical="center"/>
    </xf>
    <xf numFmtId="164" fontId="3" fillId="0" borderId="0" xfId="0" applyNumberFormat="1" applyFont="1" applyBorder="1" applyAlignment="1">
      <alignment vertical="center"/>
    </xf>
    <xf numFmtId="0" fontId="16" fillId="7" borderId="0" xfId="4" applyFont="1" applyFill="1" applyAlignment="1">
      <alignment vertical="top"/>
    </xf>
    <xf numFmtId="0" fontId="16" fillId="7" borderId="0" xfId="4" applyNumberFormat="1" applyFont="1" applyFill="1" applyAlignment="1">
      <alignment vertical="center"/>
    </xf>
    <xf numFmtId="0" fontId="4" fillId="5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10" fontId="7" fillId="0" borderId="2" xfId="0" applyNumberFormat="1" applyFont="1" applyBorder="1" applyAlignment="1">
      <alignment horizontal="center" vertical="center" wrapText="1"/>
    </xf>
    <xf numFmtId="169" fontId="7" fillId="0" borderId="2" xfId="1" applyNumberFormat="1" applyFont="1" applyFill="1" applyBorder="1" applyAlignment="1">
      <alignment horizontal="center" vertical="center" wrapText="1"/>
    </xf>
    <xf numFmtId="167" fontId="8" fillId="0" borderId="0" xfId="13" applyFont="1" applyFill="1" applyBorder="1" applyAlignment="1">
      <alignment vertical="center"/>
    </xf>
    <xf numFmtId="167" fontId="8" fillId="0" borderId="0" xfId="13" applyFont="1" applyFill="1" applyBorder="1" applyAlignment="1"/>
    <xf numFmtId="10" fontId="3" fillId="0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10" fontId="6" fillId="0" borderId="2" xfId="0" applyNumberFormat="1" applyFont="1" applyBorder="1" applyAlignment="1">
      <alignment vertical="center"/>
    </xf>
    <xf numFmtId="0" fontId="4" fillId="8" borderId="24" xfId="0" applyFont="1" applyFill="1" applyBorder="1" applyAlignment="1">
      <alignment horizontal="center" vertical="center"/>
    </xf>
    <xf numFmtId="167" fontId="4" fillId="8" borderId="0" xfId="0" applyNumberFormat="1" applyFont="1" applyFill="1" applyAlignment="1">
      <alignment horizontal="left" vertical="center"/>
    </xf>
    <xf numFmtId="0" fontId="6" fillId="8" borderId="0" xfId="0" applyFont="1" applyFill="1" applyAlignment="1">
      <alignment vertical="center"/>
    </xf>
    <xf numFmtId="0" fontId="4" fillId="8" borderId="0" xfId="0" applyFont="1" applyFill="1" applyAlignment="1">
      <alignment horizontal="center" vertical="center" wrapText="1"/>
    </xf>
    <xf numFmtId="43" fontId="6" fillId="8" borderId="0" xfId="1" applyFont="1" applyFill="1" applyBorder="1" applyAlignment="1">
      <alignment horizontal="center" vertical="center"/>
    </xf>
    <xf numFmtId="0" fontId="4" fillId="8" borderId="0" xfId="0" applyFont="1" applyFill="1" applyAlignment="1">
      <alignment vertical="center" wrapText="1"/>
    </xf>
    <xf numFmtId="0" fontId="4" fillId="8" borderId="25" xfId="0" applyFont="1" applyFill="1" applyBorder="1" applyAlignment="1">
      <alignment horizontal="center" vertical="center" wrapText="1"/>
    </xf>
    <xf numFmtId="0" fontId="4" fillId="8" borderId="13" xfId="0" applyFont="1" applyFill="1" applyBorder="1" applyAlignment="1">
      <alignment horizontal="center" vertical="center"/>
    </xf>
    <xf numFmtId="4" fontId="6" fillId="8" borderId="14" xfId="0" applyNumberFormat="1" applyFont="1" applyFill="1" applyBorder="1" applyAlignment="1">
      <alignment horizontal="center" vertical="center"/>
    </xf>
    <xf numFmtId="0" fontId="6" fillId="8" borderId="14" xfId="0" applyFont="1" applyFill="1" applyBorder="1" applyAlignment="1">
      <alignment vertical="center"/>
    </xf>
    <xf numFmtId="0" fontId="4" fillId="8" borderId="14" xfId="0" applyFont="1" applyFill="1" applyBorder="1" applyAlignment="1">
      <alignment horizontal="center" vertical="center" wrapText="1"/>
    </xf>
    <xf numFmtId="43" fontId="6" fillId="8" borderId="14" xfId="1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vertical="center" wrapText="1"/>
    </xf>
    <xf numFmtId="0" fontId="4" fillId="8" borderId="6" xfId="0" applyFont="1" applyFill="1" applyBorder="1" applyAlignment="1">
      <alignment horizontal="center" vertical="center" wrapText="1"/>
    </xf>
    <xf numFmtId="167" fontId="28" fillId="2" borderId="2" xfId="13" applyFont="1" applyFill="1" applyBorder="1" applyAlignment="1"/>
    <xf numFmtId="44" fontId="2" fillId="0" borderId="2" xfId="0" applyNumberFormat="1" applyFont="1" applyFill="1" applyBorder="1" applyAlignment="1">
      <alignment vertical="center"/>
    </xf>
    <xf numFmtId="165" fontId="3" fillId="0" borderId="3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44" fontId="27" fillId="0" borderId="0" xfId="2" applyFont="1"/>
    <xf numFmtId="44" fontId="27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5" fillId="6" borderId="2" xfId="4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0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44" fontId="3" fillId="0" borderId="3" xfId="0" applyNumberFormat="1" applyFont="1" applyBorder="1" applyAlignment="1">
      <alignment vertical="center"/>
    </xf>
    <xf numFmtId="44" fontId="3" fillId="0" borderId="4" xfId="0" applyNumberFormat="1" applyFont="1" applyBorder="1" applyAlignment="1">
      <alignment vertical="center"/>
    </xf>
    <xf numFmtId="44" fontId="3" fillId="0" borderId="3" xfId="2" applyFont="1" applyFill="1" applyBorder="1" applyAlignment="1">
      <alignment vertical="center"/>
    </xf>
    <xf numFmtId="44" fontId="3" fillId="0" borderId="4" xfId="2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right" vertical="center"/>
    </xf>
    <xf numFmtId="0" fontId="14" fillId="4" borderId="2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left" vertical="center" wrapText="1"/>
    </xf>
    <xf numFmtId="0" fontId="15" fillId="3" borderId="12" xfId="0" applyFont="1" applyFill="1" applyBorder="1" applyAlignment="1">
      <alignment horizontal="left" vertical="center" wrapText="1"/>
    </xf>
    <xf numFmtId="44" fontId="8" fillId="3" borderId="9" xfId="0" applyNumberFormat="1" applyFont="1" applyFill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10" fontId="8" fillId="3" borderId="9" xfId="3" applyNumberFormat="1" applyFont="1" applyFill="1" applyBorder="1" applyAlignment="1">
      <alignment horizontal="center" vertical="center"/>
    </xf>
    <xf numFmtId="10" fontId="8" fillId="3" borderId="29" xfId="3" applyNumberFormat="1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44" fontId="15" fillId="0" borderId="9" xfId="0" applyNumberFormat="1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10" fontId="15" fillId="0" borderId="9" xfId="3" applyNumberFormat="1" applyFont="1" applyFill="1" applyBorder="1" applyAlignment="1">
      <alignment horizontal="center" vertical="center"/>
    </xf>
    <xf numFmtId="10" fontId="15" fillId="0" borderId="29" xfId="3" applyNumberFormat="1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horizontal="left" vertical="center"/>
    </xf>
    <xf numFmtId="0" fontId="16" fillId="4" borderId="8" xfId="0" applyFont="1" applyFill="1" applyBorder="1" applyAlignment="1">
      <alignment horizontal="left" vertical="center"/>
    </xf>
    <xf numFmtId="0" fontId="16" fillId="4" borderId="4" xfId="0" applyFont="1" applyFill="1" applyBorder="1" applyAlignment="1">
      <alignment horizontal="left" vertical="center"/>
    </xf>
    <xf numFmtId="0" fontId="14" fillId="4" borderId="3" xfId="0" applyFont="1" applyFill="1" applyBorder="1" applyAlignment="1">
      <alignment horizontal="left" vertical="center"/>
    </xf>
    <xf numFmtId="0" fontId="14" fillId="4" borderId="8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3" xfId="0" applyFont="1" applyFill="1" applyBorder="1" applyAlignment="1">
      <alignment horizontal="right" vertical="center"/>
    </xf>
    <xf numFmtId="0" fontId="14" fillId="4" borderId="4" xfId="0" applyFont="1" applyFill="1" applyBorder="1" applyAlignment="1">
      <alignment horizontal="right" vertical="center"/>
    </xf>
    <xf numFmtId="0" fontId="14" fillId="3" borderId="9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44" fontId="15" fillId="3" borderId="2" xfId="0" applyNumberFormat="1" applyFont="1" applyFill="1" applyBorder="1" applyAlignment="1">
      <alignment horizontal="center" vertical="center"/>
    </xf>
    <xf numFmtId="10" fontId="15" fillId="0" borderId="11" xfId="3" applyNumberFormat="1" applyFont="1" applyFill="1" applyBorder="1" applyAlignment="1">
      <alignment horizontal="center" vertical="center"/>
    </xf>
    <xf numFmtId="10" fontId="15" fillId="0" borderId="6" xfId="3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44" fontId="15" fillId="3" borderId="9" xfId="0" applyNumberFormat="1" applyFont="1" applyFill="1" applyBorder="1" applyAlignment="1">
      <alignment horizontal="center" vertical="center"/>
    </xf>
    <xf numFmtId="44" fontId="15" fillId="3" borderId="12" xfId="0" applyNumberFormat="1" applyFont="1" applyFill="1" applyBorder="1" applyAlignment="1">
      <alignment horizontal="center" vertical="center"/>
    </xf>
    <xf numFmtId="10" fontId="15" fillId="3" borderId="9" xfId="3" applyNumberFormat="1" applyFont="1" applyFill="1" applyBorder="1" applyAlignment="1">
      <alignment horizontal="center" vertical="center"/>
    </xf>
    <xf numFmtId="10" fontId="15" fillId="3" borderId="12" xfId="3" applyNumberFormat="1" applyFont="1" applyFill="1" applyBorder="1" applyAlignment="1">
      <alignment horizontal="center" vertical="center"/>
    </xf>
    <xf numFmtId="169" fontId="7" fillId="0" borderId="3" xfId="1" applyNumberFormat="1" applyFont="1" applyFill="1" applyBorder="1" applyAlignment="1">
      <alignment horizontal="center" vertical="center" wrapText="1"/>
    </xf>
    <xf numFmtId="169" fontId="7" fillId="0" borderId="4" xfId="1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168" fontId="5" fillId="2" borderId="8" xfId="0" applyNumberFormat="1" applyFont="1" applyFill="1" applyBorder="1" applyAlignment="1">
      <alignment horizontal="center" vertical="center" wrapText="1"/>
    </xf>
    <xf numFmtId="168" fontId="5" fillId="2" borderId="4" xfId="0" applyNumberFormat="1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43" fontId="4" fillId="5" borderId="9" xfId="1" applyFont="1" applyFill="1" applyBorder="1" applyAlignment="1">
      <alignment horizontal="center" vertical="center"/>
    </xf>
    <xf numFmtId="43" fontId="4" fillId="5" borderId="12" xfId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43" fontId="4" fillId="5" borderId="10" xfId="1" applyFont="1" applyFill="1" applyBorder="1" applyAlignment="1">
      <alignment horizontal="center" vertical="center"/>
    </xf>
    <xf numFmtId="43" fontId="4" fillId="5" borderId="11" xfId="1" applyFont="1" applyFill="1" applyBorder="1" applyAlignment="1">
      <alignment horizontal="center" vertical="center"/>
    </xf>
    <xf numFmtId="43" fontId="4" fillId="5" borderId="13" xfId="1" applyFont="1" applyFill="1" applyBorder="1" applyAlignment="1">
      <alignment horizontal="center" vertical="center"/>
    </xf>
    <xf numFmtId="43" fontId="4" fillId="5" borderId="6" xfId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4" fillId="5" borderId="10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3" fontId="4" fillId="5" borderId="2" xfId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3" fontId="5" fillId="3" borderId="2" xfId="2" applyNumberFormat="1" applyFont="1" applyFill="1" applyBorder="1" applyAlignment="1">
      <alignment horizontal="center" vertical="center" wrapText="1"/>
    </xf>
    <xf numFmtId="10" fontId="5" fillId="0" borderId="2" xfId="0" applyNumberFormat="1" applyFont="1" applyBorder="1" applyAlignment="1">
      <alignment horizontal="center" vertical="center" wrapText="1"/>
    </xf>
    <xf numFmtId="10" fontId="5" fillId="3" borderId="2" xfId="3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10" fontId="7" fillId="0" borderId="2" xfId="0" applyNumberFormat="1" applyFont="1" applyBorder="1" applyAlignment="1">
      <alignment horizontal="center" vertical="center" wrapText="1"/>
    </xf>
    <xf numFmtId="169" fontId="7" fillId="0" borderId="2" xfId="1" applyNumberFormat="1" applyFont="1" applyFill="1" applyBorder="1" applyAlignment="1">
      <alignment horizontal="center" vertical="center" wrapText="1"/>
    </xf>
    <xf numFmtId="10" fontId="6" fillId="0" borderId="2" xfId="0" applyNumberFormat="1" applyFont="1" applyBorder="1" applyAlignment="1">
      <alignment horizontal="center" vertical="center"/>
    </xf>
    <xf numFmtId="10" fontId="7" fillId="0" borderId="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 vertical="center" wrapText="1"/>
    </xf>
    <xf numFmtId="167" fontId="4" fillId="5" borderId="2" xfId="1" applyNumberFormat="1" applyFont="1" applyFill="1" applyBorder="1" applyAlignment="1">
      <alignment horizontal="center" vertical="center" wrapText="1"/>
    </xf>
    <xf numFmtId="167" fontId="4" fillId="5" borderId="2" xfId="1" applyNumberFormat="1" applyFont="1" applyFill="1" applyBorder="1" applyAlignment="1">
      <alignment horizontal="center" vertical="center"/>
    </xf>
    <xf numFmtId="169" fontId="7" fillId="5" borderId="2" xfId="1" applyNumberFormat="1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left" vertical="center" wrapText="1"/>
    </xf>
    <xf numFmtId="10" fontId="7" fillId="5" borderId="2" xfId="0" applyNumberFormat="1" applyFont="1" applyFill="1" applyBorder="1" applyAlignment="1">
      <alignment horizontal="center" vertical="center" wrapText="1"/>
    </xf>
    <xf numFmtId="167" fontId="16" fillId="2" borderId="2" xfId="4" applyNumberFormat="1" applyFont="1" applyFill="1" applyBorder="1" applyAlignment="1">
      <alignment horizontal="center" vertical="justify" wrapText="1"/>
    </xf>
    <xf numFmtId="49" fontId="8" fillId="0" borderId="8" xfId="4" applyNumberFormat="1" applyBorder="1" applyAlignment="1">
      <alignment horizontal="left" vertical="center" wrapText="1"/>
    </xf>
    <xf numFmtId="49" fontId="8" fillId="0" borderId="4" xfId="4" applyNumberFormat="1" applyBorder="1" applyAlignment="1">
      <alignment horizontal="left" vertical="center" wrapText="1"/>
    </xf>
    <xf numFmtId="0" fontId="16" fillId="4" borderId="2" xfId="4" applyFont="1" applyFill="1" applyBorder="1" applyAlignment="1">
      <alignment horizontal="center" vertical="center"/>
    </xf>
    <xf numFmtId="17" fontId="16" fillId="7" borderId="0" xfId="4" applyNumberFormat="1" applyFont="1" applyFill="1" applyAlignment="1">
      <alignment horizontal="left" vertical="center"/>
    </xf>
    <xf numFmtId="0" fontId="16" fillId="7" borderId="0" xfId="4" applyFont="1" applyFill="1" applyAlignment="1">
      <alignment horizontal="left" vertical="center"/>
    </xf>
    <xf numFmtId="167" fontId="29" fillId="0" borderId="0" xfId="4" applyNumberFormat="1" applyFont="1" applyAlignment="1">
      <alignment horizontal="center" wrapText="1"/>
    </xf>
    <xf numFmtId="0" fontId="5" fillId="5" borderId="3" xfId="4" applyFont="1" applyFill="1" applyBorder="1" applyAlignment="1">
      <alignment horizontal="center" vertical="center" wrapText="1"/>
    </xf>
    <xf numFmtId="0" fontId="5" fillId="5" borderId="8" xfId="4" applyFont="1" applyFill="1" applyBorder="1" applyAlignment="1">
      <alignment horizontal="center" vertical="center" wrapText="1"/>
    </xf>
    <xf numFmtId="0" fontId="5" fillId="5" borderId="4" xfId="4" applyFont="1" applyFill="1" applyBorder="1" applyAlignment="1">
      <alignment horizontal="center" vertical="center" wrapText="1"/>
    </xf>
    <xf numFmtId="0" fontId="5" fillId="6" borderId="3" xfId="4" applyFont="1" applyFill="1" applyBorder="1" applyAlignment="1">
      <alignment horizontal="center" vertical="center" wrapText="1"/>
    </xf>
    <xf numFmtId="0" fontId="5" fillId="6" borderId="4" xfId="4" applyFont="1" applyFill="1" applyBorder="1" applyAlignment="1">
      <alignment horizontal="center" vertical="center" wrapText="1"/>
    </xf>
    <xf numFmtId="0" fontId="7" fillId="6" borderId="3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5" fillId="6" borderId="3" xfId="4" applyFont="1" applyFill="1" applyBorder="1" applyAlignment="1">
      <alignment horizontal="right" vertical="center" wrapText="1"/>
    </xf>
    <xf numFmtId="0" fontId="5" fillId="6" borderId="8" xfId="4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26" xfId="4" applyFont="1" applyBorder="1" applyAlignment="1" applyProtection="1">
      <alignment horizontal="right" vertical="center"/>
      <protection hidden="1"/>
    </xf>
    <xf numFmtId="0" fontId="4" fillId="0" borderId="27" xfId="4" applyFont="1" applyBorder="1" applyAlignment="1" applyProtection="1">
      <alignment horizontal="right" vertical="center"/>
      <protection hidden="1"/>
    </xf>
    <xf numFmtId="172" fontId="6" fillId="0" borderId="0" xfId="4" applyNumberFormat="1" applyFont="1" applyAlignment="1" applyProtection="1">
      <alignment horizontal="center" vertical="center"/>
      <protection hidden="1"/>
    </xf>
    <xf numFmtId="2" fontId="6" fillId="0" borderId="0" xfId="4" applyNumberFormat="1" applyFont="1" applyAlignment="1" applyProtection="1">
      <alignment horizontal="center" vertical="center"/>
      <protection hidden="1"/>
    </xf>
    <xf numFmtId="172" fontId="6" fillId="0" borderId="8" xfId="4" applyNumberFormat="1" applyFont="1" applyBorder="1" applyAlignment="1" applyProtection="1">
      <alignment horizontal="center" vertical="center"/>
      <protection hidden="1"/>
    </xf>
    <xf numFmtId="172" fontId="6" fillId="0" borderId="4" xfId="4" applyNumberFormat="1" applyFont="1" applyBorder="1" applyAlignment="1" applyProtection="1">
      <alignment horizontal="center" vertical="center"/>
      <protection hidden="1"/>
    </xf>
    <xf numFmtId="0" fontId="4" fillId="0" borderId="21" xfId="4" applyFont="1" applyBorder="1" applyAlignment="1" applyProtection="1">
      <alignment horizontal="left" vertical="center"/>
      <protection hidden="1"/>
    </xf>
    <xf numFmtId="0" fontId="4" fillId="0" borderId="22" xfId="4" applyFont="1" applyBorder="1" applyAlignment="1" applyProtection="1">
      <alignment horizontal="left" vertical="center"/>
      <protection hidden="1"/>
    </xf>
    <xf numFmtId="0" fontId="4" fillId="0" borderId="22" xfId="4" applyFont="1" applyBorder="1" applyAlignment="1" applyProtection="1">
      <alignment horizontal="center" vertical="center"/>
      <protection hidden="1"/>
    </xf>
    <xf numFmtId="0" fontId="6" fillId="0" borderId="24" xfId="4" applyFont="1" applyBorder="1" applyAlignment="1" applyProtection="1">
      <alignment horizontal="center" vertical="center"/>
      <protection hidden="1"/>
    </xf>
    <xf numFmtId="0" fontId="6" fillId="0" borderId="0" xfId="4" applyFont="1" applyAlignment="1" applyProtection="1">
      <alignment horizontal="center" vertical="center"/>
      <protection hidden="1"/>
    </xf>
    <xf numFmtId="0" fontId="4" fillId="0" borderId="19" xfId="4" applyFont="1" applyBorder="1" applyAlignment="1" applyProtection="1">
      <alignment horizontal="center" vertical="center"/>
      <protection hidden="1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4" fillId="0" borderId="5" xfId="4" applyFont="1" applyBorder="1" applyAlignment="1" applyProtection="1">
      <alignment horizontal="left" vertical="center"/>
      <protection hidden="1"/>
    </xf>
    <xf numFmtId="0" fontId="4" fillId="0" borderId="0" xfId="4" applyFont="1" applyAlignment="1" applyProtection="1">
      <alignment horizontal="left" vertical="center"/>
      <protection hidden="1"/>
    </xf>
    <xf numFmtId="0" fontId="4" fillId="0" borderId="18" xfId="4" applyFont="1" applyBorder="1" applyAlignment="1" applyProtection="1">
      <alignment horizontal="left" vertical="center"/>
      <protection hidden="1"/>
    </xf>
    <xf numFmtId="0" fontId="4" fillId="0" borderId="19" xfId="4" applyFont="1" applyBorder="1" applyAlignment="1" applyProtection="1">
      <alignment horizontal="left" vertical="center"/>
      <protection hidden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6" borderId="2" xfId="4" applyFont="1" applyFill="1" applyBorder="1" applyAlignment="1">
      <alignment horizontal="left" vertical="center" wrapText="1"/>
    </xf>
    <xf numFmtId="174" fontId="5" fillId="6" borderId="2" xfId="5" applyNumberFormat="1" applyFont="1" applyFill="1" applyBorder="1" applyAlignment="1">
      <alignment horizontal="center" vertical="center" wrapText="1"/>
    </xf>
    <xf numFmtId="169" fontId="5" fillId="0" borderId="2" xfId="4" applyNumberFormat="1" applyFont="1" applyBorder="1" applyAlignment="1">
      <alignment horizontal="center" vertical="center" wrapText="1"/>
    </xf>
    <xf numFmtId="169" fontId="5" fillId="6" borderId="2" xfId="4" applyNumberFormat="1" applyFont="1" applyFill="1" applyBorder="1" applyAlignment="1">
      <alignment horizontal="center" vertical="center" wrapText="1"/>
    </xf>
    <xf numFmtId="0" fontId="5" fillId="6" borderId="2" xfId="4" applyFont="1" applyFill="1" applyBorder="1" applyAlignment="1">
      <alignment vertical="center" wrapText="1"/>
    </xf>
    <xf numFmtId="175" fontId="4" fillId="0" borderId="2" xfId="0" applyNumberFormat="1" applyFont="1" applyBorder="1" applyAlignment="1">
      <alignment horizontal="center" vertical="center" wrapText="1"/>
    </xf>
    <xf numFmtId="43" fontId="4" fillId="0" borderId="2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 wrapText="1"/>
    </xf>
    <xf numFmtId="0" fontId="13" fillId="0" borderId="0" xfId="0" applyFont="1" applyAlignment="1">
      <alignment horizontal="center"/>
    </xf>
    <xf numFmtId="0" fontId="13" fillId="0" borderId="0" xfId="0" applyFont="1"/>
    <xf numFmtId="0" fontId="31" fillId="0" borderId="2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left" vertical="center" wrapText="1"/>
    </xf>
    <xf numFmtId="175" fontId="31" fillId="0" borderId="2" xfId="0" applyNumberFormat="1" applyFont="1" applyBorder="1" applyAlignment="1">
      <alignment horizontal="center" vertical="center" wrapText="1"/>
    </xf>
    <xf numFmtId="43" fontId="31" fillId="0" borderId="2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175" fontId="6" fillId="0" borderId="0" xfId="0" applyNumberFormat="1" applyFont="1" applyBorder="1" applyAlignment="1">
      <alignment horizontal="center" vertical="center" wrapText="1"/>
    </xf>
    <xf numFmtId="43" fontId="6" fillId="0" borderId="0" xfId="1" applyFont="1" applyFill="1" applyBorder="1" applyAlignment="1">
      <alignment horizontal="center" vertical="center" wrapText="1"/>
    </xf>
    <xf numFmtId="0" fontId="7" fillId="6" borderId="0" xfId="4" applyFont="1" applyFill="1" applyBorder="1" applyAlignment="1">
      <alignment horizontal="center" vertical="center" wrapText="1"/>
    </xf>
    <xf numFmtId="0" fontId="7" fillId="6" borderId="0" xfId="4" applyFont="1" applyFill="1" applyBorder="1" applyAlignment="1">
      <alignment horizontal="left" vertical="center" wrapText="1"/>
    </xf>
    <xf numFmtId="0" fontId="30" fillId="9" borderId="0" xfId="0" applyFont="1" applyFill="1" applyAlignment="1">
      <alignment horizontal="right" vertical="top" wrapText="1"/>
    </xf>
    <xf numFmtId="4" fontId="30" fillId="9" borderId="0" xfId="0" applyNumberFormat="1" applyFont="1" applyFill="1" applyAlignment="1">
      <alignment horizontal="right" vertical="top" wrapText="1"/>
    </xf>
    <xf numFmtId="0" fontId="7" fillId="6" borderId="0" xfId="4" applyFont="1" applyFill="1" applyBorder="1" applyAlignment="1">
      <alignment vertical="center" wrapText="1"/>
    </xf>
    <xf numFmtId="0" fontId="5" fillId="6" borderId="0" xfId="4" applyFont="1" applyFill="1" applyBorder="1" applyAlignment="1">
      <alignment vertical="center" wrapText="1"/>
    </xf>
    <xf numFmtId="0" fontId="5" fillId="6" borderId="0" xfId="4" applyFont="1" applyFill="1" applyBorder="1" applyAlignment="1">
      <alignment horizontal="right" vertical="center" wrapText="1"/>
    </xf>
    <xf numFmtId="169" fontId="5" fillId="0" borderId="0" xfId="4" applyNumberFormat="1" applyFont="1" applyBorder="1" applyAlignment="1">
      <alignment horizontal="center" vertical="center" wrapText="1"/>
    </xf>
    <xf numFmtId="170" fontId="27" fillId="0" borderId="0" xfId="0" applyNumberFormat="1" applyFont="1"/>
  </cellXfs>
  <cellStyles count="14">
    <cellStyle name="Moeda" xfId="2" builtinId="4"/>
    <cellStyle name="Normal" xfId="0" builtinId="0"/>
    <cellStyle name="Normal 2" xfId="4" xr:uid="{00000000-0005-0000-0000-000002000000}"/>
    <cellStyle name="Normal 2 2 2 2" xfId="8" xr:uid="{26A06343-2AFA-43DE-8E79-C6E205D57E9C}"/>
    <cellStyle name="Normal 3" xfId="6" xr:uid="{00000000-0005-0000-0000-000003000000}"/>
    <cellStyle name="Normal 4" xfId="11" xr:uid="{1732E3E4-CCE5-48C0-B125-D197BED4EC01}"/>
    <cellStyle name="Porcentagem" xfId="3" builtinId="5"/>
    <cellStyle name="Porcentagem 2" xfId="7" xr:uid="{00000000-0005-0000-0000-000005000000}"/>
    <cellStyle name="Porcentagem 3" xfId="9" xr:uid="{B5282DD0-FE38-41AA-90B3-EF6BFF257EDD}"/>
    <cellStyle name="Separador de milhares 2" xfId="5" xr:uid="{00000000-0005-0000-0000-000006000000}"/>
    <cellStyle name="Vírgula" xfId="1" builtinId="3"/>
    <cellStyle name="Vírgula 2" xfId="12" xr:uid="{A61B760A-2E72-451A-8CEF-FC2B8B2FA3C3}"/>
    <cellStyle name="Vírgula 2 2" xfId="13" xr:uid="{BDFAD721-879A-4A65-B30C-5CA6B3434D86}"/>
    <cellStyle name="Vírgula 3" xfId="10" xr:uid="{020FCBDC-51E3-4886-B310-96EB08A6CE95}"/>
  </cellStyles>
  <dxfs count="51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color auto="1"/>
      </font>
      <fill>
        <patternFill patternType="lightDown"/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auto="1"/>
      </font>
      <fill>
        <patternFill patternType="lightDown"/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color auto="1"/>
      </font>
      <fill>
        <patternFill patternType="lightDown"/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auto="1"/>
      </font>
      <fill>
        <patternFill patternType="lightDown"/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45</xdr:row>
      <xdr:rowOff>28575</xdr:rowOff>
    </xdr:from>
    <xdr:to>
      <xdr:col>6</xdr:col>
      <xdr:colOff>110977</xdr:colOff>
      <xdr:row>49</xdr:row>
      <xdr:rowOff>133350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8848725"/>
          <a:ext cx="6187927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46</xdr:row>
      <xdr:rowOff>28575</xdr:rowOff>
    </xdr:from>
    <xdr:to>
      <xdr:col>6</xdr:col>
      <xdr:colOff>110977</xdr:colOff>
      <xdr:row>50</xdr:row>
      <xdr:rowOff>133350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9039225"/>
          <a:ext cx="6187927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rencia%20de%20Pavimentos\Paragon%20II%201.10\indices%20caracterizado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rencia%20de%20Pavimentos\Paragon%20II%201.10\Graficos\CARACT%20PAV%20EXISTENT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001\c\Meus%20documentos\Excel\DVOP\8_97%20-%20S&#227;o%20Vicente\Prod.%20Equip.%20Mec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alu/AppData/Local/Temp/b0b09fd2-5f33-4a3b-a2b8-cf450d6a7862_Reden&#231;&#227;o%20Sada%202%20Rural.zip.862/Reden&#231;&#227;o%20Sada%202%20Rural/Or&#231;amento/Reden&#231;&#227;o%20do%20Gurgueia%20Zona%20Rural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TACILIO\SharedDocs\Documents%20and%20Settings\OTACILIO_\Meus%20documentos\OR&#199;AMENTOS\SC-487\NATALINA\DNER\Br116_R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dre\castellar%20engenharia%20ltda\Documents%20and%20Settings\Castelar\Meus%20documentos\Backup%20Uni&#227;o%204-5%20(D)\OBRA%20CANOINHAS\Castellar%20Engenharia%20Ltda%20-%20CANOINHAS\FINAN&#199;AS\Uniao\Medi&#231;&#227;o%20Castellar\61MCBMI.DNI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Sarah/Desktop/IDEPI/ABASTECIMENTO%20-%20BALNE&#193;RIO%20-%20MELHORIAS%20SANIT&#193;RIAS%20-%20BUEIRO/AGRICOLANDIA%20-%20BURACO%20DAGUA/AGRICOLANDIA%20-%20BURACO%20DAGUA/BDI%202016%20SEINFRA%20INSS%204,5%25%20ONERADO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Planilha"/>
      <sheetName val="Vínculo"/>
      <sheetName val="BRASIL"/>
      <sheetName val="aux"/>
    </sheetNames>
    <sheetDataSet>
      <sheetData sheetId="0">
        <row r="3">
          <cell r="B3" t="str">
            <v>ISP</v>
          </cell>
          <cell r="C3" t="str">
            <v>ICDS</v>
          </cell>
          <cell r="D3" t="str">
            <v>ICDP</v>
          </cell>
          <cell r="E3" t="str">
            <v>ICDE</v>
          </cell>
        </row>
        <row r="4">
          <cell r="A4" t="str">
            <v>EXCELENTE</v>
          </cell>
          <cell r="B4">
            <v>0</v>
          </cell>
          <cell r="C4">
            <v>2.52</v>
          </cell>
          <cell r="D4">
            <v>1.1200000000000001</v>
          </cell>
          <cell r="E4">
            <v>0</v>
          </cell>
        </row>
        <row r="5">
          <cell r="A5" t="str">
            <v>BOM</v>
          </cell>
          <cell r="B5">
            <v>9.86</v>
          </cell>
          <cell r="C5">
            <v>32.18</v>
          </cell>
          <cell r="D5">
            <v>39.72</v>
          </cell>
          <cell r="E5">
            <v>8.2799999999999994</v>
          </cell>
        </row>
        <row r="6">
          <cell r="A6" t="str">
            <v>REGULAR</v>
          </cell>
          <cell r="B6">
            <v>75.14</v>
          </cell>
          <cell r="C6">
            <v>12.9</v>
          </cell>
          <cell r="D6">
            <v>44.48</v>
          </cell>
          <cell r="E6">
            <v>52.96</v>
          </cell>
        </row>
        <row r="7">
          <cell r="A7" t="str">
            <v>MAU</v>
          </cell>
          <cell r="B7">
            <v>0.32</v>
          </cell>
          <cell r="C7">
            <v>37.72</v>
          </cell>
          <cell r="D7">
            <v>0</v>
          </cell>
          <cell r="E7">
            <v>24.08</v>
          </cell>
        </row>
        <row r="8">
          <cell r="A8" t="str">
            <v>PÉSSIMO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</row>
        <row r="9">
          <cell r="A9" t="str">
            <v>Total</v>
          </cell>
          <cell r="B9">
            <v>85.32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"/>
      <sheetName val="aux"/>
      <sheetName val="graficos"/>
      <sheetName val="graficos (2)"/>
    </sheetNames>
    <sheetDataSet>
      <sheetData sheetId="0"/>
      <sheetData sheetId="1">
        <row r="6">
          <cell r="B6">
            <v>11.439114391143912</v>
          </cell>
          <cell r="C6">
            <v>33.210332103321036</v>
          </cell>
          <cell r="D6">
            <v>9.9630996309963091</v>
          </cell>
          <cell r="E6">
            <v>37.269372693726936</v>
          </cell>
          <cell r="F6">
            <v>8.1180811808118083</v>
          </cell>
        </row>
        <row r="8">
          <cell r="B8">
            <v>36.531365313653133</v>
          </cell>
          <cell r="C8">
            <v>14.760147601476014</v>
          </cell>
          <cell r="D8">
            <v>4.7970479704797047</v>
          </cell>
          <cell r="E8">
            <v>36.531365313653133</v>
          </cell>
          <cell r="F8">
            <v>7.3800738007380069</v>
          </cell>
        </row>
        <row r="10">
          <cell r="B10">
            <v>11.439114391143912</v>
          </cell>
          <cell r="C10">
            <v>23.247232472324722</v>
          </cell>
          <cell r="D10">
            <v>9.9630996309963091</v>
          </cell>
          <cell r="E10">
            <v>3.3210332103321036</v>
          </cell>
          <cell r="F10">
            <v>52.02952029520295</v>
          </cell>
        </row>
        <row r="12">
          <cell r="B12">
            <v>0</v>
          </cell>
          <cell r="C12">
            <v>45.38745387453875</v>
          </cell>
          <cell r="D12">
            <v>1.107011070110701</v>
          </cell>
          <cell r="E12">
            <v>53.505535055350549</v>
          </cell>
          <cell r="F12">
            <v>0</v>
          </cell>
        </row>
        <row r="14">
          <cell r="B14">
            <v>0</v>
          </cell>
          <cell r="C14">
            <v>45.38745387453875</v>
          </cell>
          <cell r="D14">
            <v>1.107011070110701</v>
          </cell>
          <cell r="E14">
            <v>53.505535055350549</v>
          </cell>
          <cell r="F14">
            <v>0</v>
          </cell>
        </row>
        <row r="16">
          <cell r="B16">
            <v>100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22">
          <cell r="B22">
            <v>0</v>
          </cell>
          <cell r="C22">
            <v>46.494464944649444</v>
          </cell>
          <cell r="D22">
            <v>53.505535055350549</v>
          </cell>
          <cell r="E22">
            <v>0</v>
          </cell>
          <cell r="F22">
            <v>0</v>
          </cell>
          <cell r="I22">
            <v>0</v>
          </cell>
          <cell r="J22">
            <v>2.52</v>
          </cell>
          <cell r="K22">
            <v>2.9</v>
          </cell>
          <cell r="L22">
            <v>0</v>
          </cell>
          <cell r="M22">
            <v>0</v>
          </cell>
        </row>
        <row r="23">
          <cell r="B23" t="str">
            <v xml:space="preserve">  4 - 5</v>
          </cell>
          <cell r="C23" t="str">
            <v xml:space="preserve">  3 -   4</v>
          </cell>
          <cell r="D23" t="str">
            <v xml:space="preserve">  2 -   3</v>
          </cell>
          <cell r="E23" t="str">
            <v xml:space="preserve">  1 -   2</v>
          </cell>
          <cell r="F23" t="str">
            <v>0 -  1</v>
          </cell>
        </row>
        <row r="24">
          <cell r="B24">
            <v>46.494464944649444</v>
          </cell>
          <cell r="C24">
            <v>0</v>
          </cell>
          <cell r="D24">
            <v>4.7970479704797047</v>
          </cell>
          <cell r="E24">
            <v>48.708487084870846</v>
          </cell>
          <cell r="F24">
            <v>0</v>
          </cell>
          <cell r="I24">
            <v>2.52</v>
          </cell>
          <cell r="J24">
            <v>0</v>
          </cell>
          <cell r="K24">
            <v>0.26</v>
          </cell>
          <cell r="L24">
            <v>2.64</v>
          </cell>
          <cell r="M24">
            <v>0</v>
          </cell>
        </row>
        <row r="25">
          <cell r="B25" t="str">
            <v xml:space="preserve">  4 - 5</v>
          </cell>
          <cell r="C25" t="str">
            <v xml:space="preserve">  3 -   4</v>
          </cell>
          <cell r="D25" t="str">
            <v xml:space="preserve">  2 -   3</v>
          </cell>
          <cell r="E25" t="str">
            <v xml:space="preserve">  1 -   2</v>
          </cell>
          <cell r="F25" t="str">
            <v>0 -  1</v>
          </cell>
        </row>
        <row r="26">
          <cell r="B26">
            <v>54.243542435424352</v>
          </cell>
          <cell r="C26">
            <v>45.756457564575648</v>
          </cell>
          <cell r="D26">
            <v>0</v>
          </cell>
          <cell r="E26">
            <v>0</v>
          </cell>
          <cell r="F26">
            <v>0</v>
          </cell>
          <cell r="I26">
            <v>2.94</v>
          </cell>
          <cell r="J26">
            <v>2.48</v>
          </cell>
          <cell r="K26">
            <v>0</v>
          </cell>
          <cell r="L26">
            <v>0</v>
          </cell>
          <cell r="M26">
            <v>0</v>
          </cell>
        </row>
        <row r="27">
          <cell r="B27" t="str">
            <v xml:space="preserve">  4 - 5</v>
          </cell>
          <cell r="C27" t="str">
            <v xml:space="preserve">  3 -   4</v>
          </cell>
          <cell r="D27" t="str">
            <v xml:space="preserve">  2 -   3</v>
          </cell>
          <cell r="E27" t="str">
            <v xml:space="preserve">  1 -   2</v>
          </cell>
          <cell r="F27" t="str">
            <v>0 -  1</v>
          </cell>
        </row>
        <row r="28">
          <cell r="B28">
            <v>0</v>
          </cell>
          <cell r="C28">
            <v>0</v>
          </cell>
          <cell r="D28">
            <v>49.815498154981555</v>
          </cell>
          <cell r="E28">
            <v>50.184501845018445</v>
          </cell>
          <cell r="F28">
            <v>0</v>
          </cell>
          <cell r="I28">
            <v>0</v>
          </cell>
          <cell r="J28">
            <v>0</v>
          </cell>
          <cell r="K28">
            <v>2.7</v>
          </cell>
          <cell r="L28">
            <v>2.72</v>
          </cell>
          <cell r="M28">
            <v>0</v>
          </cell>
        </row>
        <row r="29">
          <cell r="B29" t="str">
            <v xml:space="preserve">  4 - 5</v>
          </cell>
          <cell r="C29" t="str">
            <v xml:space="preserve">  3 -   4</v>
          </cell>
          <cell r="D29" t="str">
            <v xml:space="preserve">  2 -   3</v>
          </cell>
          <cell r="E29" t="str">
            <v xml:space="preserve">  1 -   2</v>
          </cell>
          <cell r="F29" t="str">
            <v>0 -  1</v>
          </cell>
        </row>
      </sheetData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1"/>
      <sheetName val="1.2"/>
      <sheetName val="1.3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,13"/>
      <sheetName val="1,14"/>
      <sheetName val="1.15"/>
      <sheetName val="1,16"/>
      <sheetName val="1,17"/>
      <sheetName val="aux1"/>
      <sheetName val="1,19"/>
      <sheetName val="1,20"/>
      <sheetName val="1,21"/>
      <sheetName val="1,22"/>
      <sheetName val="1,23"/>
      <sheetName val="1.24"/>
      <sheetName val="1.25"/>
      <sheetName val="1.26"/>
      <sheetName val="1.28"/>
      <sheetName val="1.29"/>
      <sheetName val="3.4"/>
      <sheetName val="D"/>
      <sheetName val="2.1"/>
      <sheetName val="H"/>
      <sheetName val="I"/>
      <sheetName val="J"/>
      <sheetName val="K"/>
      <sheetName val="L"/>
      <sheetName val="M"/>
      <sheetName val="N"/>
      <sheetName val="O"/>
      <sheetName val="aux. 2"/>
      <sheetName val="Q"/>
      <sheetName val="R"/>
      <sheetName val="S"/>
      <sheetName val="T"/>
      <sheetName val="U"/>
      <sheetName val="B"/>
      <sheetName val="G"/>
      <sheetName val="P"/>
      <sheetName val="DMT modelo"/>
      <sheetName val="RESUMO"/>
      <sheetName val="REAJU"/>
      <sheetName val="Quadro Resumo"/>
      <sheetName val="TSD-FOG"/>
      <sheetName val="Sub e base"/>
      <sheetName val="AGREGADOS"/>
      <sheetName val="RELATÓRIO"/>
      <sheetName val="Página 16"/>
      <sheetName val="Recuperação da Pista"/>
      <sheetName val="Anual"/>
      <sheetName val="1. Cadastro da LM"/>
      <sheetName val="4. Orçamento FD"/>
      <sheetName val="estgg"/>
    </sheetNames>
    <sheetDataSet>
      <sheetData sheetId="0"/>
      <sheetData sheetId="1"/>
      <sheetData sheetId="2"/>
      <sheetData sheetId="3"/>
      <sheetData sheetId="4"/>
      <sheetData sheetId="5" refreshError="1">
        <row r="11">
          <cell r="A11" t="str">
            <v>a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RESUMO"/>
      <sheetName val="CFF"/>
      <sheetName val="ORCAMENTO"/>
      <sheetName val="CO"/>
      <sheetName val="MEMORIA"/>
      <sheetName val="CPU"/>
      <sheetName val="CPUAUX1"/>
      <sheetName val="CPUAUX2"/>
      <sheetName val="CPUAUX3"/>
      <sheetName val="BDI"/>
      <sheetName val="LSINAPI"/>
      <sheetName val="ABC_S"/>
      <sheetName val="Plan1"/>
      <sheetName val="ABC_I"/>
      <sheetName val="COMPRAS"/>
      <sheetName val="CONTRATOS"/>
      <sheetName val="S"/>
      <sheetName val="I"/>
    </sheetNames>
    <sheetDataSet>
      <sheetData sheetId="0">
        <row r="7">
          <cell r="B7">
            <v>22.040000000000003</v>
          </cell>
        </row>
        <row r="8">
          <cell r="F8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Planilha"/>
      <sheetName val="Cpu"/>
      <sheetName val="CHE"/>
      <sheetName val="MObra"/>
      <sheetName val="Crono"/>
      <sheetName val="BDI"/>
      <sheetName val="EncSoc"/>
      <sheetName val="Cadastros"/>
      <sheetName val="QTR"/>
      <sheetName val="Dados"/>
      <sheetName val="TABELA"/>
      <sheetName val="QuQuant"/>
      <sheetName val="qorcamentodnerL1"/>
      <sheetName val="PROJETO"/>
      <sheetName val="A"/>
    </sheetNames>
    <sheetDataSet>
      <sheetData sheetId="0" refreshError="1"/>
      <sheetData sheetId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1M-CBMI"/>
      <sheetName val="MAT-BET"/>
      <sheetName val="REL-AC"/>
      <sheetName val="PLUVIOM"/>
      <sheetName val="TAPA BURACO"/>
      <sheetName val="RECOMP REVESTIMENTO"/>
      <sheetName val="LIMP MEIO FIO"/>
      <sheetName val="LIMP VALETAS"/>
      <sheetName val="REMOCAO MEC BAR"/>
      <sheetName val="REMOCAO MEC BAR (2)"/>
      <sheetName val="M.OBRA MARCO"/>
      <sheetName val="RESUMO "/>
      <sheetName val="WILSON"/>
      <sheetName val="H-HORAS MARCO"/>
      <sheetName val="acertos"/>
      <sheetName val="CONT MAT BET"/>
      <sheetName val="QUADRO COMPARATIVO"/>
      <sheetName val="61M_CBMI"/>
      <sheetName val="MAT_BET"/>
      <sheetName val="PLANO TRAB"/>
      <sheetName val="MATERIAIS"/>
      <sheetName val="matbet"/>
      <sheetName val="quantidades"/>
      <sheetName val="adequação"/>
      <sheetName val="comparativo"/>
      <sheetName val="CROQUI"/>
      <sheetName val="PEM"/>
      <sheetName val="CADASTRO"/>
      <sheetName val="Ativos"/>
      <sheetName val="61MCBMI.DNIT"/>
      <sheetName val="TAPA_BURACO"/>
      <sheetName val="RECOMP_REVESTIMENTO"/>
      <sheetName val="LIMP_MEIO_FIO"/>
      <sheetName val="LIMP_VALETAS"/>
      <sheetName val="REMOCAO_MEC_BAR"/>
      <sheetName val="REMOCAO_MEC_BAR_(2)"/>
      <sheetName val="M_OBRA_MARCO"/>
      <sheetName val="RESUMO_"/>
      <sheetName val="H-HORAS_MARCO"/>
      <sheetName val="CONT_MAT_BET"/>
      <sheetName val="QUADRO_COMPARATIVO"/>
      <sheetName val="PLANO_TRAB"/>
      <sheetName val="61MCBMI_DNIT"/>
      <sheetName val="Solicitação Interna de Fab"/>
      <sheetName val="Serviços"/>
      <sheetName val="Mat"/>
      <sheetName val="Faturamento 2016 (Diferimento)"/>
      <sheetName val="aux"/>
      <sheetName val="COMPOS1"/>
      <sheetName val="Calendário"/>
    </sheetNames>
    <sheetDataSet>
      <sheetData sheetId="0">
        <row r="18">
          <cell r="H18">
            <v>0</v>
          </cell>
        </row>
      </sheetData>
      <sheetData sheetId="1">
        <row r="18">
          <cell r="H18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erências"/>
      <sheetName val="BDI"/>
      <sheetName val="INFORMATIVO LEI"/>
      <sheetName val="ACÓRDÃO TCU 2622-37 P DE 2013"/>
    </sheetNames>
    <sheetDataSet>
      <sheetData sheetId="0" refreshError="1">
        <row r="11">
          <cell r="A11">
            <v>0</v>
          </cell>
        </row>
        <row r="13">
          <cell r="A13">
            <v>2</v>
          </cell>
          <cell r="B13">
            <v>3.7999999999999999E-2</v>
          </cell>
          <cell r="C13">
            <v>4.0099999999999997E-2</v>
          </cell>
          <cell r="D13">
            <v>4.6699999999999998E-2</v>
          </cell>
        </row>
        <row r="14">
          <cell r="A14">
            <v>3</v>
          </cell>
          <cell r="B14">
            <v>3.4299999999999997E-2</v>
          </cell>
          <cell r="C14">
            <v>4.9299999999999997E-2</v>
          </cell>
          <cell r="D14">
            <v>6.7100000000000007E-2</v>
          </cell>
        </row>
        <row r="15">
          <cell r="A15">
            <v>4</v>
          </cell>
          <cell r="B15">
            <v>5.2900000000000003E-2</v>
          </cell>
          <cell r="C15">
            <v>5.9200000000000003E-2</v>
          </cell>
          <cell r="D15">
            <v>7.9299999999999995E-2</v>
          </cell>
        </row>
        <row r="16">
          <cell r="A16">
            <v>5</v>
          </cell>
          <cell r="B16">
            <v>0.04</v>
          </cell>
          <cell r="C16">
            <v>5.5199999999999999E-2</v>
          </cell>
          <cell r="D16">
            <v>7.85E-2</v>
          </cell>
        </row>
        <row r="17">
          <cell r="A17">
            <v>6</v>
          </cell>
          <cell r="B17">
            <v>1.4999999999999999E-2</v>
          </cell>
          <cell r="C17">
            <v>3.4500000000000003E-2</v>
          </cell>
          <cell r="D17">
            <v>4.4900000000000002E-2</v>
          </cell>
        </row>
        <row r="18">
          <cell r="A18">
            <v>0</v>
          </cell>
          <cell r="B18">
            <v>0</v>
          </cell>
          <cell r="C18">
            <v>0</v>
          </cell>
          <cell r="D18">
            <v>1</v>
          </cell>
        </row>
        <row r="22">
          <cell r="A22">
            <v>2</v>
          </cell>
          <cell r="B22">
            <v>3.2000000000000002E-3</v>
          </cell>
          <cell r="C22">
            <v>4.0000000000000001E-3</v>
          </cell>
          <cell r="D22">
            <v>7.4000000000000003E-3</v>
          </cell>
        </row>
        <row r="23">
          <cell r="A23">
            <v>3</v>
          </cell>
          <cell r="B23">
            <v>2.8E-3</v>
          </cell>
          <cell r="C23">
            <v>4.8999999999999998E-3</v>
          </cell>
          <cell r="D23">
            <v>7.4999999999999997E-3</v>
          </cell>
        </row>
        <row r="24">
          <cell r="A24">
            <v>4</v>
          </cell>
          <cell r="B24">
            <v>2.5000000000000001E-3</v>
          </cell>
          <cell r="C24">
            <v>5.1000000000000004E-3</v>
          </cell>
          <cell r="D24">
            <v>5.5999999999999999E-3</v>
          </cell>
        </row>
        <row r="25">
          <cell r="A25">
            <v>5</v>
          </cell>
          <cell r="B25">
            <v>8.0999999999999996E-3</v>
          </cell>
          <cell r="C25">
            <v>1.2200000000000001E-2</v>
          </cell>
          <cell r="D25">
            <v>1.9900000000000001E-2</v>
          </cell>
        </row>
        <row r="26">
          <cell r="A26">
            <v>6</v>
          </cell>
          <cell r="B26">
            <v>3.0000000000000001E-3</v>
          </cell>
          <cell r="C26">
            <v>4.7999999999999996E-3</v>
          </cell>
          <cell r="D26">
            <v>8.2000000000000007E-3</v>
          </cell>
        </row>
        <row r="27">
          <cell r="A27">
            <v>0</v>
          </cell>
          <cell r="B27">
            <v>0</v>
          </cell>
          <cell r="C27">
            <v>0</v>
          </cell>
          <cell r="D27">
            <v>1</v>
          </cell>
        </row>
        <row r="31">
          <cell r="A31">
            <v>2</v>
          </cell>
          <cell r="B31">
            <v>5.0000000000000001E-3</v>
          </cell>
          <cell r="C31">
            <v>5.5999999999999999E-3</v>
          </cell>
          <cell r="D31">
            <v>9.7000000000000003E-3</v>
          </cell>
        </row>
        <row r="32">
          <cell r="A32">
            <v>3</v>
          </cell>
          <cell r="B32">
            <v>0.01</v>
          </cell>
          <cell r="C32">
            <v>1.3899999999999999E-2</v>
          </cell>
          <cell r="D32">
            <v>1.7399999999999999E-2</v>
          </cell>
        </row>
        <row r="33">
          <cell r="A33">
            <v>4</v>
          </cell>
          <cell r="B33">
            <v>0.01</v>
          </cell>
          <cell r="C33">
            <v>1.4800000000000001E-2</v>
          </cell>
          <cell r="D33">
            <v>1.9699999999999999E-2</v>
          </cell>
        </row>
        <row r="34">
          <cell r="A34">
            <v>5</v>
          </cell>
          <cell r="B34">
            <v>1.46E-2</v>
          </cell>
          <cell r="C34">
            <v>2.3199999999999998E-2</v>
          </cell>
          <cell r="D34">
            <v>3.1600000000000003E-2</v>
          </cell>
        </row>
        <row r="35">
          <cell r="A35">
            <v>6</v>
          </cell>
          <cell r="B35">
            <v>5.5999999999999999E-3</v>
          </cell>
          <cell r="C35">
            <v>8.5000000000000006E-3</v>
          </cell>
          <cell r="D35">
            <v>8.8999999999999999E-3</v>
          </cell>
        </row>
        <row r="36">
          <cell r="A36">
            <v>0</v>
          </cell>
          <cell r="B36">
            <v>0</v>
          </cell>
          <cell r="C36">
            <v>0</v>
          </cell>
          <cell r="D36">
            <v>1</v>
          </cell>
        </row>
        <row r="40">
          <cell r="A40">
            <v>2</v>
          </cell>
          <cell r="B40">
            <v>1.0200000000000001E-2</v>
          </cell>
          <cell r="C40">
            <v>1.11E-2</v>
          </cell>
          <cell r="D40">
            <v>1.21E-2</v>
          </cell>
        </row>
        <row r="41">
          <cell r="A41">
            <v>3</v>
          </cell>
          <cell r="B41">
            <v>9.4000000000000004E-3</v>
          </cell>
          <cell r="C41">
            <v>9.9000000000000008E-3</v>
          </cell>
          <cell r="D41">
            <v>1.17E-2</v>
          </cell>
        </row>
        <row r="42">
          <cell r="A42">
            <v>4</v>
          </cell>
          <cell r="B42">
            <v>1.01E-2</v>
          </cell>
          <cell r="C42">
            <v>1.0699999999999999E-2</v>
          </cell>
          <cell r="D42">
            <v>1.11E-2</v>
          </cell>
        </row>
        <row r="43">
          <cell r="A43">
            <v>5</v>
          </cell>
          <cell r="B43">
            <v>9.4000000000000004E-3</v>
          </cell>
          <cell r="C43">
            <v>1.0200000000000001E-2</v>
          </cell>
          <cell r="D43">
            <v>1.3299999999999999E-2</v>
          </cell>
        </row>
        <row r="44">
          <cell r="A44">
            <v>6</v>
          </cell>
          <cell r="B44">
            <v>8.5000000000000006E-3</v>
          </cell>
          <cell r="C44">
            <v>8.5000000000000006E-3</v>
          </cell>
          <cell r="D44">
            <v>1.11E-2</v>
          </cell>
        </row>
        <row r="45">
          <cell r="A45">
            <v>0</v>
          </cell>
          <cell r="B45">
            <v>0</v>
          </cell>
          <cell r="C45">
            <v>0</v>
          </cell>
          <cell r="D45">
            <v>1</v>
          </cell>
        </row>
        <row r="49">
          <cell r="A49">
            <v>2</v>
          </cell>
          <cell r="B49">
            <v>6.6400000000000001E-2</v>
          </cell>
          <cell r="C49">
            <v>7.2999999999999995E-2</v>
          </cell>
          <cell r="D49">
            <v>8.6900000000000005E-2</v>
          </cell>
        </row>
        <row r="50">
          <cell r="A50">
            <v>3</v>
          </cell>
          <cell r="B50">
            <v>6.7400000000000002E-2</v>
          </cell>
          <cell r="C50">
            <v>8.0399999999999999E-2</v>
          </cell>
          <cell r="D50">
            <v>9.4E-2</v>
          </cell>
        </row>
        <row r="51">
          <cell r="A51">
            <v>4</v>
          </cell>
          <cell r="B51">
            <v>0.08</v>
          </cell>
          <cell r="C51">
            <v>8.3099999999999993E-2</v>
          </cell>
          <cell r="D51">
            <v>9.5100000000000004E-2</v>
          </cell>
        </row>
        <row r="52">
          <cell r="A52">
            <v>5</v>
          </cell>
          <cell r="B52">
            <v>7.1400000000000005E-2</v>
          </cell>
          <cell r="C52">
            <v>8.4000000000000005E-2</v>
          </cell>
          <cell r="D52">
            <v>0.1043</v>
          </cell>
        </row>
        <row r="53">
          <cell r="A53">
            <v>6</v>
          </cell>
          <cell r="B53">
            <v>3.5000000000000003E-2</v>
          </cell>
          <cell r="C53">
            <v>5.11E-2</v>
          </cell>
          <cell r="D53">
            <v>6.2199999999999998E-2</v>
          </cell>
        </row>
        <row r="54">
          <cell r="A54">
            <v>0</v>
          </cell>
          <cell r="B54">
            <v>0</v>
          </cell>
          <cell r="C54">
            <v>0</v>
          </cell>
          <cell r="D54">
            <v>1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79998168889431442"/>
    <pageSetUpPr fitToPage="1"/>
  </sheetPr>
  <dimension ref="A1:H24"/>
  <sheetViews>
    <sheetView tabSelected="1" topLeftCell="A7" workbookViewId="0">
      <selection activeCell="G9" sqref="G9"/>
    </sheetView>
  </sheetViews>
  <sheetFormatPr defaultRowHeight="14.4" x14ac:dyDescent="0.3"/>
  <cols>
    <col min="1" max="1" width="35.33203125" bestFit="1" customWidth="1"/>
    <col min="2" max="2" width="25.33203125" customWidth="1"/>
    <col min="3" max="3" width="16.6640625" bestFit="1" customWidth="1"/>
    <col min="4" max="4" width="15.44140625" customWidth="1"/>
    <col min="5" max="5" width="7.44140625" customWidth="1"/>
    <col min="6" max="6" width="8.109375" customWidth="1"/>
    <col min="7" max="7" width="22.44140625" bestFit="1" customWidth="1"/>
    <col min="8" max="8" width="6.5546875" bestFit="1" customWidth="1"/>
  </cols>
  <sheetData>
    <row r="1" spans="1:8" x14ac:dyDescent="0.3">
      <c r="A1" s="14" t="s">
        <v>0</v>
      </c>
      <c r="B1" s="283" t="s">
        <v>1</v>
      </c>
      <c r="C1" s="283"/>
      <c r="D1" s="291" t="s">
        <v>2</v>
      </c>
      <c r="E1" s="292"/>
      <c r="F1" s="281" t="s">
        <v>330</v>
      </c>
      <c r="G1" s="279" t="s">
        <v>3</v>
      </c>
      <c r="H1" s="281" t="s">
        <v>330</v>
      </c>
    </row>
    <row r="2" spans="1:8" x14ac:dyDescent="0.3">
      <c r="A2" s="14" t="s">
        <v>4</v>
      </c>
      <c r="B2" s="283" t="s">
        <v>324</v>
      </c>
      <c r="C2" s="283"/>
      <c r="D2" s="293"/>
      <c r="E2" s="294"/>
      <c r="F2" s="282"/>
      <c r="G2" s="280"/>
      <c r="H2" s="282"/>
    </row>
    <row r="3" spans="1:8" x14ac:dyDescent="0.3">
      <c r="A3" s="14" t="s">
        <v>5</v>
      </c>
      <c r="B3" s="289" t="s">
        <v>327</v>
      </c>
      <c r="C3" s="289"/>
      <c r="D3" s="290" t="s">
        <v>6</v>
      </c>
      <c r="E3" s="290"/>
      <c r="F3" s="250">
        <v>0.21959999999999999</v>
      </c>
      <c r="G3" s="270" t="s">
        <v>6</v>
      </c>
      <c r="H3" s="250">
        <v>0.28139999999999998</v>
      </c>
    </row>
    <row r="4" spans="1:8" x14ac:dyDescent="0.3">
      <c r="A4" s="14" t="s">
        <v>7</v>
      </c>
      <c r="B4" s="283" t="s">
        <v>325</v>
      </c>
      <c r="C4" s="283"/>
      <c r="D4" s="290" t="s">
        <v>8</v>
      </c>
      <c r="E4" s="290"/>
      <c r="F4" s="250">
        <f>ENCARGOS!E42</f>
        <v>1.1333</v>
      </c>
      <c r="G4" s="11" t="s">
        <v>8</v>
      </c>
      <c r="H4" s="250">
        <f>ENCARGOS!C42</f>
        <v>0.90659999999999985</v>
      </c>
    </row>
    <row r="5" spans="1:8" x14ac:dyDescent="0.3">
      <c r="A5" s="1"/>
      <c r="B5" s="2" t="s">
        <v>9</v>
      </c>
      <c r="C5" s="2" t="s">
        <v>10</v>
      </c>
      <c r="D5" s="3"/>
      <c r="E5" s="3"/>
      <c r="F5" s="3"/>
      <c r="G5" s="3"/>
      <c r="H5" s="21"/>
    </row>
    <row r="6" spans="1:8" x14ac:dyDescent="0.3">
      <c r="A6" s="9" t="s">
        <v>11</v>
      </c>
      <c r="B6" s="268">
        <f>'RESUMO SD '!F12</f>
        <v>635255.34</v>
      </c>
      <c r="C6" s="268">
        <f>'RESUMO CD'!F12</f>
        <v>640392.63</v>
      </c>
      <c r="D6" s="3"/>
      <c r="E6" s="3"/>
      <c r="F6" s="3"/>
      <c r="G6" s="4"/>
    </row>
    <row r="7" spans="1:8" x14ac:dyDescent="0.3">
      <c r="A7" s="9" t="s">
        <v>12</v>
      </c>
      <c r="B7" s="20">
        <f>B6/B13</f>
        <v>162.88598461538461</v>
      </c>
      <c r="C7" s="20">
        <f>C6/B13</f>
        <v>164.20323846153846</v>
      </c>
      <c r="D7" s="3"/>
      <c r="E7" s="3"/>
      <c r="F7" s="3"/>
      <c r="G7" s="4"/>
    </row>
    <row r="8" spans="1:8" x14ac:dyDescent="0.3">
      <c r="A8" s="5"/>
      <c r="B8" s="4"/>
      <c r="C8" s="3"/>
      <c r="D8" s="3"/>
      <c r="E8" s="3"/>
      <c r="F8" s="3"/>
      <c r="G8" s="4"/>
    </row>
    <row r="9" spans="1:8" x14ac:dyDescent="0.3">
      <c r="A9" s="6" t="s">
        <v>13</v>
      </c>
      <c r="B9" s="284" t="s">
        <v>14</v>
      </c>
      <c r="C9" s="285"/>
      <c r="D9" s="286"/>
      <c r="E9" s="286"/>
      <c r="F9" s="3"/>
      <c r="G9" s="3"/>
    </row>
    <row r="10" spans="1:8" ht="20.399999999999999" x14ac:dyDescent="0.3">
      <c r="A10" s="7" t="s">
        <v>326</v>
      </c>
      <c r="B10" s="269">
        <f>'ORÇAMENTO SD'!B7</f>
        <v>3900</v>
      </c>
      <c r="C10" s="12" t="s">
        <v>15</v>
      </c>
      <c r="D10" s="13"/>
      <c r="E10" s="13"/>
      <c r="F10" s="3"/>
      <c r="G10" s="4"/>
    </row>
    <row r="11" spans="1:8" x14ac:dyDescent="0.3">
      <c r="A11" s="238"/>
      <c r="B11" s="239"/>
      <c r="C11" s="240"/>
      <c r="D11" s="13"/>
      <c r="E11" s="13"/>
      <c r="F11" s="236"/>
      <c r="G11" s="4"/>
    </row>
    <row r="12" spans="1:8" x14ac:dyDescent="0.3">
      <c r="A12" s="5"/>
      <c r="B12" s="8"/>
      <c r="C12" s="3"/>
      <c r="D12" s="3"/>
      <c r="E12" s="3"/>
      <c r="F12" s="4"/>
      <c r="G12" s="4"/>
    </row>
    <row r="13" spans="1:8" x14ac:dyDescent="0.3">
      <c r="A13" s="14" t="s">
        <v>16</v>
      </c>
      <c r="B13" s="15">
        <f>SUM(B10:B10)</f>
        <v>3900</v>
      </c>
      <c r="C13" s="16" t="str">
        <f>C10</f>
        <v>m²</v>
      </c>
      <c r="D13" s="17"/>
      <c r="E13" s="8"/>
      <c r="F13" s="3"/>
      <c r="G13" s="3"/>
    </row>
    <row r="14" spans="1:8" x14ac:dyDescent="0.3">
      <c r="A14" s="5"/>
      <c r="B14" s="3"/>
      <c r="C14" s="3"/>
      <c r="D14" s="3"/>
      <c r="E14" s="3"/>
      <c r="F14" s="3"/>
      <c r="G14" s="3"/>
    </row>
    <row r="15" spans="1:8" x14ac:dyDescent="0.3">
      <c r="A15" s="287"/>
      <c r="B15" s="288"/>
      <c r="C15" s="288"/>
      <c r="D15" s="288"/>
      <c r="E15" s="288"/>
      <c r="F15" s="288"/>
      <c r="G15" s="3"/>
    </row>
    <row r="16" spans="1:8" x14ac:dyDescent="0.3">
      <c r="A16" s="300" t="s">
        <v>17</v>
      </c>
      <c r="B16" s="301"/>
      <c r="C16" s="301"/>
      <c r="D16" s="301"/>
      <c r="E16" s="301"/>
      <c r="F16" s="285"/>
      <c r="G16" s="9" t="s">
        <v>18</v>
      </c>
    </row>
    <row r="17" spans="1:7" x14ac:dyDescent="0.3">
      <c r="A17" s="302" t="s">
        <v>19</v>
      </c>
      <c r="B17" s="303"/>
      <c r="C17" s="10" t="s">
        <v>20</v>
      </c>
      <c r="D17" s="304" t="s">
        <v>11</v>
      </c>
      <c r="E17" s="305"/>
      <c r="F17" s="10" t="s">
        <v>21</v>
      </c>
      <c r="G17" s="187">
        <v>0.5</v>
      </c>
    </row>
    <row r="18" spans="1:7" ht="24.75" customHeight="1" x14ac:dyDescent="0.3">
      <c r="A18" s="295" t="s">
        <v>261</v>
      </c>
      <c r="B18" s="289"/>
      <c r="C18" s="18">
        <f>'ORÇAMENTO SD'!E18</f>
        <v>3900</v>
      </c>
      <c r="D18" s="298">
        <f>'ORÇAMENTO SD'!H18</f>
        <v>379392</v>
      </c>
      <c r="E18" s="299"/>
      <c r="F18" s="19">
        <f>D18/B6</f>
        <v>0.59722756521810583</v>
      </c>
      <c r="G18" s="18">
        <f>G17*C18</f>
        <v>1950</v>
      </c>
    </row>
    <row r="19" spans="1:7" ht="30.75" customHeight="1" x14ac:dyDescent="0.3">
      <c r="A19" s="295" t="s">
        <v>23</v>
      </c>
      <c r="B19" s="289"/>
      <c r="C19" s="18">
        <f>'ORÇAMENTO SD'!E21</f>
        <v>2624</v>
      </c>
      <c r="D19" s="298">
        <f>'ORÇAMENTO SD'!H21</f>
        <v>147337.60000000001</v>
      </c>
      <c r="E19" s="299"/>
      <c r="F19" s="19">
        <f>D19/B6</f>
        <v>0.23193445331762189</v>
      </c>
      <c r="G19" s="18">
        <f>G17*C19</f>
        <v>1312</v>
      </c>
    </row>
    <row r="20" spans="1:7" x14ac:dyDescent="0.3">
      <c r="A20" s="5"/>
      <c r="B20" s="3"/>
      <c r="C20" s="3"/>
      <c r="D20" s="3"/>
      <c r="E20" s="3"/>
      <c r="F20" s="3"/>
      <c r="G20" s="3"/>
    </row>
    <row r="21" spans="1:7" x14ac:dyDescent="0.3">
      <c r="A21" s="300" t="s">
        <v>22</v>
      </c>
      <c r="B21" s="301"/>
      <c r="C21" s="301"/>
      <c r="D21" s="301"/>
      <c r="E21" s="301"/>
      <c r="F21" s="285"/>
      <c r="G21" s="9" t="s">
        <v>18</v>
      </c>
    </row>
    <row r="22" spans="1:7" ht="15.75" customHeight="1" x14ac:dyDescent="0.3">
      <c r="A22" s="302" t="s">
        <v>19</v>
      </c>
      <c r="B22" s="303"/>
      <c r="C22" s="10" t="s">
        <v>20</v>
      </c>
      <c r="D22" s="304" t="s">
        <v>11</v>
      </c>
      <c r="E22" s="305"/>
      <c r="F22" s="10" t="s">
        <v>21</v>
      </c>
      <c r="G22" s="187">
        <v>0.5</v>
      </c>
    </row>
    <row r="23" spans="1:7" ht="32.25" customHeight="1" x14ac:dyDescent="0.3">
      <c r="A23" s="295" t="s">
        <v>261</v>
      </c>
      <c r="B23" s="289"/>
      <c r="C23" s="18">
        <f>C18</f>
        <v>3900</v>
      </c>
      <c r="D23" s="298">
        <f>'ORÇAMENTO CD'!H18</f>
        <v>379041</v>
      </c>
      <c r="E23" s="299"/>
      <c r="F23" s="19">
        <f>D23/C6</f>
        <v>0.59188844818529529</v>
      </c>
      <c r="G23" s="18">
        <f>G22*C23</f>
        <v>1950</v>
      </c>
    </row>
    <row r="24" spans="1:7" ht="33" customHeight="1" x14ac:dyDescent="0.3">
      <c r="A24" s="295" t="str">
        <f>A19</f>
        <v>Assentamento de guia (meio-fio), confeccionada em concreto pré-fabricado, dimensões 100x15x13x30 (comprimento x base inferiror x base superior x altura), para vias urbanas ( m )</v>
      </c>
      <c r="B24" s="289"/>
      <c r="C24" s="18">
        <f>C19</f>
        <v>2624</v>
      </c>
      <c r="D24" s="296">
        <f>'ORÇAMENTO CD'!H21</f>
        <v>151772.16</v>
      </c>
      <c r="E24" s="297"/>
      <c r="F24" s="19">
        <f>D24/C6</f>
        <v>0.23699860505889958</v>
      </c>
      <c r="G24" s="18">
        <f>G22*C24</f>
        <v>1312</v>
      </c>
    </row>
  </sheetData>
  <mergeCells count="27">
    <mergeCell ref="A17:B17"/>
    <mergeCell ref="D17:E17"/>
    <mergeCell ref="A16:F16"/>
    <mergeCell ref="A23:B23"/>
    <mergeCell ref="D23:E23"/>
    <mergeCell ref="A24:B24"/>
    <mergeCell ref="D24:E24"/>
    <mergeCell ref="A18:B18"/>
    <mergeCell ref="D18:E18"/>
    <mergeCell ref="A19:B19"/>
    <mergeCell ref="D19:E19"/>
    <mergeCell ref="A21:F21"/>
    <mergeCell ref="A22:B22"/>
    <mergeCell ref="D22:E22"/>
    <mergeCell ref="A15:F15"/>
    <mergeCell ref="B2:C2"/>
    <mergeCell ref="B3:C3"/>
    <mergeCell ref="D3:E3"/>
    <mergeCell ref="B4:C4"/>
    <mergeCell ref="D4:E4"/>
    <mergeCell ref="D1:E2"/>
    <mergeCell ref="G1:G2"/>
    <mergeCell ref="F1:F2"/>
    <mergeCell ref="H1:H2"/>
    <mergeCell ref="B1:C1"/>
    <mergeCell ref="B9:C9"/>
    <mergeCell ref="D9:E9"/>
  </mergeCells>
  <pageMargins left="0.51181102362204722" right="0.51181102362204722" top="1.7716535433070868" bottom="1.1811023622047245" header="0.51181102362204722" footer="0.51181102362204722"/>
  <pageSetup paperSize="9" scale="67" fitToHeight="0" orientation="portrait" r:id="rId1"/>
  <headerFooter>
    <oddHeader>&amp;C&amp;G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79998168889431442"/>
    <pageSetUpPr fitToPage="1"/>
  </sheetPr>
  <dimension ref="A1:G12"/>
  <sheetViews>
    <sheetView view="pageBreakPreview" zoomScale="130" zoomScaleNormal="100" zoomScaleSheetLayoutView="130" workbookViewId="0">
      <selection activeCell="G15" sqref="G15"/>
    </sheetView>
  </sheetViews>
  <sheetFormatPr defaultRowHeight="14.4" x14ac:dyDescent="0.3"/>
  <cols>
    <col min="1" max="1" width="4.6640625" bestFit="1" customWidth="1"/>
    <col min="2" max="2" width="56.88671875" customWidth="1"/>
    <col min="3" max="3" width="4.88671875" bestFit="1" customWidth="1"/>
    <col min="4" max="4" width="7.88671875" bestFit="1" customWidth="1"/>
    <col min="5" max="5" width="16.33203125" bestFit="1" customWidth="1"/>
    <col min="6" max="6" width="14.6640625" bestFit="1" customWidth="1"/>
    <col min="7" max="7" width="22.44140625" bestFit="1" customWidth="1"/>
  </cols>
  <sheetData>
    <row r="1" spans="1:7" x14ac:dyDescent="0.3">
      <c r="A1" s="358" t="s">
        <v>41</v>
      </c>
      <c r="B1" s="358"/>
      <c r="C1" s="358"/>
      <c r="D1" s="358"/>
      <c r="E1" s="358"/>
      <c r="F1" s="358"/>
    </row>
    <row r="2" spans="1:7" ht="30.6" x14ac:dyDescent="0.3">
      <c r="A2" s="359" t="str">
        <f>'RESUMO SD '!A2:B2</f>
        <v>PAVIMENTAÇÃO DE VIAS PÚBLICAS NO MUNÍCIO DE PEDRO LAURENTINO - PI</v>
      </c>
      <c r="B2" s="360"/>
      <c r="C2" s="361" t="str">
        <f>'RESUMO SD '!C2:D2</f>
        <v>FONTE:  
SINAPI 11/2025</v>
      </c>
      <c r="D2" s="361"/>
      <c r="E2" s="22" t="s">
        <v>219</v>
      </c>
      <c r="F2" s="23" t="s">
        <v>322</v>
      </c>
    </row>
    <row r="3" spans="1:7" x14ac:dyDescent="0.3">
      <c r="A3" s="362" t="str">
        <f>'RESUMO SD '!A3:D3</f>
        <v>LOCAL: ASSENTAMENTO MOCAMBO</v>
      </c>
      <c r="B3" s="363"/>
      <c r="C3" s="363"/>
      <c r="D3" s="363"/>
      <c r="E3" s="24" t="s">
        <v>24</v>
      </c>
      <c r="F3" s="25">
        <f>'GERAL '!B13</f>
        <v>3900</v>
      </c>
    </row>
    <row r="4" spans="1:7" x14ac:dyDescent="0.3">
      <c r="A4" s="354" t="s">
        <v>25</v>
      </c>
      <c r="B4" s="354" t="s">
        <v>26</v>
      </c>
      <c r="C4" s="354" t="s">
        <v>27</v>
      </c>
      <c r="D4" s="356" t="s">
        <v>28</v>
      </c>
      <c r="E4" s="364" t="s">
        <v>29</v>
      </c>
      <c r="F4" s="365"/>
    </row>
    <row r="5" spans="1:7" x14ac:dyDescent="0.3">
      <c r="A5" s="355"/>
      <c r="B5" s="355"/>
      <c r="C5" s="355"/>
      <c r="D5" s="357"/>
      <c r="E5" s="366"/>
      <c r="F5" s="367"/>
    </row>
    <row r="6" spans="1:7" x14ac:dyDescent="0.3">
      <c r="A6" s="26" t="s">
        <v>30</v>
      </c>
      <c r="B6" s="350" t="s">
        <v>31</v>
      </c>
      <c r="C6" s="351"/>
      <c r="D6" s="351"/>
      <c r="E6" s="352">
        <f>SUM(E7:F8)</f>
        <v>15639.419999999998</v>
      </c>
      <c r="F6" s="353"/>
    </row>
    <row r="7" spans="1:7" x14ac:dyDescent="0.3">
      <c r="A7" s="27" t="s">
        <v>32</v>
      </c>
      <c r="B7" s="34" t="s">
        <v>38</v>
      </c>
      <c r="C7" s="28" t="s">
        <v>15</v>
      </c>
      <c r="D7" s="35">
        <v>6.48</v>
      </c>
      <c r="E7" s="347">
        <f>'ORÇAMENTO CD'!H11</f>
        <v>3540.96</v>
      </c>
      <c r="F7" s="348"/>
    </row>
    <row r="8" spans="1:7" x14ac:dyDescent="0.3">
      <c r="A8" s="27" t="s">
        <v>32</v>
      </c>
      <c r="B8" s="34" t="s">
        <v>39</v>
      </c>
      <c r="C8" s="28" t="s">
        <v>40</v>
      </c>
      <c r="D8" s="35">
        <v>3</v>
      </c>
      <c r="E8" s="347">
        <f>'ORÇAMENTO CD'!H12</f>
        <v>12098.46</v>
      </c>
      <c r="F8" s="348"/>
    </row>
    <row r="9" spans="1:7" x14ac:dyDescent="0.3">
      <c r="A9" s="26" t="s">
        <v>33</v>
      </c>
      <c r="B9" s="350" t="s">
        <v>34</v>
      </c>
      <c r="C9" s="351"/>
      <c r="D9" s="351"/>
      <c r="E9" s="352">
        <f>SUM(E10:F10)</f>
        <v>624753.21</v>
      </c>
      <c r="F9" s="353"/>
    </row>
    <row r="10" spans="1:7" ht="16.5" customHeight="1" x14ac:dyDescent="0.3">
      <c r="A10" s="27" t="s">
        <v>35</v>
      </c>
      <c r="B10" s="34" t="str">
        <f>'GERAL '!A10</f>
        <v>RUA PROJETADA I - ASSENTAMENTO MOCAMBO</v>
      </c>
      <c r="C10" s="28" t="s">
        <v>36</v>
      </c>
      <c r="D10" s="36">
        <v>1</v>
      </c>
      <c r="E10" s="347">
        <f>'ORÇAMENTO CD'!H28+'ORÇAMENTO CD'!H24+'ORÇAMENTO CD'!H20+'ORÇAMENTO CD'!H17+'ORÇAMENTO CD'!H14</f>
        <v>624753.21</v>
      </c>
      <c r="F10" s="348"/>
    </row>
    <row r="11" spans="1:7" x14ac:dyDescent="0.3">
      <c r="A11" s="29"/>
      <c r="B11" s="30"/>
      <c r="C11" s="30"/>
      <c r="D11" s="31"/>
      <c r="E11" s="31"/>
      <c r="F11" s="32"/>
    </row>
    <row r="12" spans="1:7" x14ac:dyDescent="0.3">
      <c r="A12" s="349" t="s">
        <v>37</v>
      </c>
      <c r="B12" s="349"/>
      <c r="C12" s="349"/>
      <c r="D12" s="349"/>
      <c r="E12" s="349"/>
      <c r="F12" s="33">
        <f>E6+E9</f>
        <v>640392.63</v>
      </c>
      <c r="G12" s="477">
        <f>'ORÇAMENTO CD'!H32-'RESUMO CD'!F12</f>
        <v>0</v>
      </c>
    </row>
  </sheetData>
  <mergeCells count="17">
    <mergeCell ref="A12:E12"/>
    <mergeCell ref="B6:D6"/>
    <mergeCell ref="E6:F6"/>
    <mergeCell ref="E7:F7"/>
    <mergeCell ref="E8:F8"/>
    <mergeCell ref="B9:D9"/>
    <mergeCell ref="E9:F9"/>
    <mergeCell ref="E10:F10"/>
    <mergeCell ref="A1:F1"/>
    <mergeCell ref="A2:B2"/>
    <mergeCell ref="C2:D2"/>
    <mergeCell ref="A3:D3"/>
    <mergeCell ref="A4:A5"/>
    <mergeCell ref="B4:B5"/>
    <mergeCell ref="C4:C5"/>
    <mergeCell ref="D4:D5"/>
    <mergeCell ref="E4:F5"/>
  </mergeCells>
  <pageMargins left="0.51181102362204722" right="0.51181102362204722" top="1.7716535433070868" bottom="1.1811023622047245" header="0.51181102362204722" footer="0.51181102362204722"/>
  <pageSetup paperSize="9" scale="87" fitToHeight="0" orientation="portrait" r:id="rId1"/>
  <headerFooter>
    <oddHeader>&amp;C&amp;G</oddHeader>
    <oddFooter>&amp;C&amp;G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C8347-BD10-46F6-9CC6-746296C19ADC}">
  <sheetPr>
    <tabColor theme="4" tint="0.79998168889431442"/>
    <pageSetUpPr fitToPage="1"/>
  </sheetPr>
  <dimension ref="A1:H36"/>
  <sheetViews>
    <sheetView workbookViewId="0">
      <selection activeCell="H33" sqref="H33"/>
    </sheetView>
  </sheetViews>
  <sheetFormatPr defaultRowHeight="14.4" x14ac:dyDescent="0.3"/>
  <cols>
    <col min="1" max="1" width="9.33203125" style="106" bestFit="1" customWidth="1"/>
    <col min="2" max="2" width="17.5546875" style="107" customWidth="1"/>
    <col min="3" max="3" width="44.6640625" style="107" bestFit="1" customWidth="1"/>
    <col min="4" max="4" width="12.5546875" style="107" bestFit="1" customWidth="1"/>
    <col min="5" max="5" width="8.6640625" style="107" bestFit="1" customWidth="1"/>
    <col min="6" max="6" width="12" style="107" bestFit="1" customWidth="1"/>
    <col min="7" max="7" width="16.33203125" style="107" bestFit="1" customWidth="1"/>
    <col min="8" max="8" width="17.33203125" style="106" bestFit="1" customWidth="1"/>
  </cols>
  <sheetData>
    <row r="1" spans="1:8" ht="15" customHeight="1" x14ac:dyDescent="0.3">
      <c r="A1" s="358" t="s">
        <v>162</v>
      </c>
      <c r="B1" s="358"/>
      <c r="C1" s="358"/>
      <c r="D1" s="358"/>
      <c r="E1" s="358"/>
      <c r="F1" s="358"/>
      <c r="G1" s="358"/>
      <c r="H1" s="358"/>
    </row>
    <row r="2" spans="1:8" ht="15" customHeight="1" x14ac:dyDescent="0.3">
      <c r="A2" s="358"/>
      <c r="B2" s="358"/>
      <c r="C2" s="358"/>
      <c r="D2" s="358"/>
      <c r="E2" s="358"/>
      <c r="F2" s="358"/>
      <c r="G2" s="358"/>
      <c r="H2" s="358"/>
    </row>
    <row r="3" spans="1:8" ht="23.25" customHeight="1" x14ac:dyDescent="0.3">
      <c r="A3" s="381" t="str">
        <f>'RESUMO SD '!A2:B2</f>
        <v>PAVIMENTAÇÃO DE VIAS PÚBLICAS NO MUNÍCIO DE PEDRO LAURENTINO - PI</v>
      </c>
      <c r="B3" s="382"/>
      <c r="C3" s="382"/>
      <c r="D3" s="382"/>
      <c r="E3" s="382"/>
      <c r="F3" s="383" t="str">
        <f>'ORÇAMENTO SD'!F3:F4</f>
        <v>FONTE:  
SINAPI 11/2025</v>
      </c>
      <c r="G3" s="383" t="str">
        <f>'RESUMO CD'!E2</f>
        <v>COM DESONERAÇÃO
BDI: 28,14%</v>
      </c>
      <c r="H3" s="369" t="str">
        <f>'RESUMO CD'!F2</f>
        <v>HORISTA: 90,66%
MENSALISTA: 52,90%</v>
      </c>
    </row>
    <row r="4" spans="1:8" x14ac:dyDescent="0.3">
      <c r="A4" s="171" t="str">
        <f>'RESUMO SD '!A3:D3</f>
        <v>LOCAL: ASSENTAMENTO MOCAMBO</v>
      </c>
      <c r="B4" s="115"/>
      <c r="C4" s="115"/>
      <c r="D4" s="371"/>
      <c r="E4" s="371"/>
      <c r="F4" s="384"/>
      <c r="G4" s="384"/>
      <c r="H4" s="370"/>
    </row>
    <row r="5" spans="1:8" x14ac:dyDescent="0.3">
      <c r="A5" s="123"/>
      <c r="B5" s="115"/>
      <c r="C5" s="115"/>
      <c r="D5" s="185"/>
      <c r="E5" s="185"/>
      <c r="F5" s="183"/>
      <c r="G5" s="183"/>
      <c r="H5" s="184"/>
    </row>
    <row r="6" spans="1:8" x14ac:dyDescent="0.3">
      <c r="A6" s="253" t="s">
        <v>163</v>
      </c>
      <c r="B6" s="254" t="str">
        <f>'ORÇAMENTO SD'!B6</f>
        <v>RUA PROJETADA I - ASSENTAMENTO MOCAMBO</v>
      </c>
      <c r="C6" s="255"/>
      <c r="D6" s="256" t="s">
        <v>164</v>
      </c>
      <c r="E6" s="257">
        <f>'ORÇAMENTO SD'!E6</f>
        <v>6</v>
      </c>
      <c r="F6" s="258"/>
      <c r="G6" s="258"/>
      <c r="H6" s="259"/>
    </row>
    <row r="7" spans="1:8" x14ac:dyDescent="0.3">
      <c r="A7" s="260" t="s">
        <v>165</v>
      </c>
      <c r="B7" s="261">
        <f>'ORÇAMENTO SD'!B7</f>
        <v>3900</v>
      </c>
      <c r="C7" s="262"/>
      <c r="D7" s="263" t="s">
        <v>166</v>
      </c>
      <c r="E7" s="264">
        <f>'ORÇAMENTO SD'!E7</f>
        <v>650</v>
      </c>
      <c r="F7" s="265"/>
      <c r="G7" s="265"/>
      <c r="H7" s="266"/>
    </row>
    <row r="8" spans="1:8" x14ac:dyDescent="0.3">
      <c r="A8" s="358" t="s">
        <v>25</v>
      </c>
      <c r="B8" s="358" t="s">
        <v>91</v>
      </c>
      <c r="C8" s="358" t="s">
        <v>26</v>
      </c>
      <c r="D8" s="358" t="s">
        <v>27</v>
      </c>
      <c r="E8" s="379" t="s">
        <v>28</v>
      </c>
      <c r="F8" s="379" t="s">
        <v>167</v>
      </c>
      <c r="G8" s="379"/>
      <c r="H8" s="379"/>
    </row>
    <row r="9" spans="1:8" x14ac:dyDescent="0.3">
      <c r="A9" s="358"/>
      <c r="B9" s="358"/>
      <c r="C9" s="358"/>
      <c r="D9" s="358"/>
      <c r="E9" s="379"/>
      <c r="F9" s="117" t="s">
        <v>168</v>
      </c>
      <c r="G9" s="117" t="s">
        <v>169</v>
      </c>
      <c r="H9" s="182" t="s">
        <v>170</v>
      </c>
    </row>
    <row r="10" spans="1:8" x14ac:dyDescent="0.3">
      <c r="A10" s="26" t="s">
        <v>30</v>
      </c>
      <c r="B10" s="350" t="s">
        <v>31</v>
      </c>
      <c r="C10" s="351"/>
      <c r="D10" s="351"/>
      <c r="E10" s="351"/>
      <c r="F10" s="380"/>
      <c r="G10" s="380"/>
      <c r="H10" s="118">
        <f>SUM(H11:H12)</f>
        <v>15639.419999999998</v>
      </c>
    </row>
    <row r="11" spans="1:8" x14ac:dyDescent="0.3">
      <c r="A11" s="27" t="s">
        <v>32</v>
      </c>
      <c r="B11" s="109" t="s">
        <v>258</v>
      </c>
      <c r="C11" s="119" t="s">
        <v>38</v>
      </c>
      <c r="D11" s="109" t="s">
        <v>15</v>
      </c>
      <c r="E11" s="120">
        <f>MC!C12</f>
        <v>6</v>
      </c>
      <c r="F11" s="120">
        <f>'COMPOSIÇÕES UNITÁRIAS CD'!G7</f>
        <v>460.56</v>
      </c>
      <c r="G11" s="122">
        <f>'COMPOSIÇÕES UNITÁRIAS CD'!G15</f>
        <v>590.16</v>
      </c>
      <c r="H11" s="122">
        <f>TRUNC(E11*G11,2)</f>
        <v>3540.96</v>
      </c>
    </row>
    <row r="12" spans="1:8" x14ac:dyDescent="0.3">
      <c r="A12" s="27" t="s">
        <v>171</v>
      </c>
      <c r="B12" s="109" t="s">
        <v>259</v>
      </c>
      <c r="C12" s="119" t="s">
        <v>39</v>
      </c>
      <c r="D12" s="109" t="s">
        <v>40</v>
      </c>
      <c r="E12" s="120">
        <f>MC!C16</f>
        <v>2</v>
      </c>
      <c r="F12" s="120">
        <f>'COMPOSIÇÕES UNITÁRIAS CD'!G18</f>
        <v>4720.8</v>
      </c>
      <c r="G12" s="122">
        <f>'COMPOSIÇÕES UNITÁRIAS CD'!G22</f>
        <v>6049.23</v>
      </c>
      <c r="H12" s="122">
        <f>TRUNC(E12*G12,2)</f>
        <v>12098.46</v>
      </c>
    </row>
    <row r="13" spans="1:8" x14ac:dyDescent="0.3">
      <c r="A13" s="376"/>
      <c r="B13" s="377"/>
      <c r="C13" s="377"/>
      <c r="D13" s="377"/>
      <c r="E13" s="377"/>
      <c r="F13" s="377"/>
      <c r="G13" s="377"/>
      <c r="H13" s="378"/>
    </row>
    <row r="14" spans="1:8" x14ac:dyDescent="0.3">
      <c r="A14" s="26" t="s">
        <v>33</v>
      </c>
      <c r="B14" s="372" t="s">
        <v>172</v>
      </c>
      <c r="C14" s="372"/>
      <c r="D14" s="372"/>
      <c r="E14" s="372"/>
      <c r="F14" s="372"/>
      <c r="G14" s="372"/>
      <c r="H14" s="118">
        <f>H15</f>
        <v>2769</v>
      </c>
    </row>
    <row r="15" spans="1:8" x14ac:dyDescent="0.3">
      <c r="A15" s="27" t="s">
        <v>35</v>
      </c>
      <c r="B15" s="109">
        <v>100575</v>
      </c>
      <c r="C15" s="121" t="s">
        <v>173</v>
      </c>
      <c r="D15" s="28" t="s">
        <v>15</v>
      </c>
      <c r="E15" s="120">
        <f>MC!C27</f>
        <v>3900</v>
      </c>
      <c r="F15" s="120">
        <f>'COMPOSIÇÕES UNITÁRIAS CD'!G25</f>
        <v>0.56000000000000005</v>
      </c>
      <c r="G15" s="122">
        <f>'COMPOSIÇÕES UNITÁRIAS CD'!G30</f>
        <v>0.71</v>
      </c>
      <c r="H15" s="122">
        <f>TRUNC(E15*G15,2)</f>
        <v>2769</v>
      </c>
    </row>
    <row r="16" spans="1:8" x14ac:dyDescent="0.3">
      <c r="A16" s="368"/>
      <c r="B16" s="368"/>
      <c r="C16" s="368"/>
      <c r="D16" s="368"/>
      <c r="E16" s="368"/>
      <c r="F16" s="368"/>
      <c r="G16" s="368"/>
      <c r="H16" s="368"/>
    </row>
    <row r="17" spans="1:8" x14ac:dyDescent="0.3">
      <c r="A17" s="26" t="s">
        <v>174</v>
      </c>
      <c r="B17" s="372" t="s">
        <v>175</v>
      </c>
      <c r="C17" s="372"/>
      <c r="D17" s="372"/>
      <c r="E17" s="372"/>
      <c r="F17" s="372"/>
      <c r="G17" s="372"/>
      <c r="H17" s="118">
        <f>SUM(H18:H18)</f>
        <v>379041</v>
      </c>
    </row>
    <row r="18" spans="1:8" ht="20.399999999999999" x14ac:dyDescent="0.3">
      <c r="A18" s="27" t="s">
        <v>176</v>
      </c>
      <c r="B18" s="109" t="s">
        <v>260</v>
      </c>
      <c r="C18" s="121" t="s">
        <v>261</v>
      </c>
      <c r="D18" s="28" t="s">
        <v>15</v>
      </c>
      <c r="E18" s="120">
        <f>MC!C33</f>
        <v>3900</v>
      </c>
      <c r="F18" s="120">
        <f>'COMPOSIÇÕES UNITÁRIAS CD'!G34</f>
        <v>75.849999999999994</v>
      </c>
      <c r="G18" s="122">
        <f>'COMPOSIÇÕES UNITÁRIAS CD'!G42</f>
        <v>97.19</v>
      </c>
      <c r="H18" s="122">
        <f>TRUNC(E18*G18,2)</f>
        <v>379041</v>
      </c>
    </row>
    <row r="19" spans="1:8" x14ac:dyDescent="0.3">
      <c r="A19" s="368"/>
      <c r="B19" s="368"/>
      <c r="C19" s="368"/>
      <c r="D19" s="368"/>
      <c r="E19" s="368"/>
      <c r="F19" s="368"/>
      <c r="G19" s="368"/>
      <c r="H19" s="368"/>
    </row>
    <row r="20" spans="1:8" x14ac:dyDescent="0.3">
      <c r="A20" s="26" t="s">
        <v>177</v>
      </c>
      <c r="B20" s="372" t="s">
        <v>178</v>
      </c>
      <c r="C20" s="372"/>
      <c r="D20" s="372"/>
      <c r="E20" s="372"/>
      <c r="F20" s="372"/>
      <c r="G20" s="372"/>
      <c r="H20" s="118">
        <f>SUM(H21:H22)</f>
        <v>224234.16</v>
      </c>
    </row>
    <row r="21" spans="1:8" ht="30.6" x14ac:dyDescent="0.3">
      <c r="A21" s="27" t="s">
        <v>179</v>
      </c>
      <c r="B21" s="109">
        <v>94273</v>
      </c>
      <c r="C21" s="121" t="s">
        <v>180</v>
      </c>
      <c r="D21" s="28" t="s">
        <v>181</v>
      </c>
      <c r="E21" s="120">
        <f>MC!C40</f>
        <v>2624</v>
      </c>
      <c r="F21" s="120">
        <f>'COMPOSIÇÕES UNITÁRIAS CD'!G53</f>
        <v>45.14</v>
      </c>
      <c r="G21" s="122">
        <f>'COMPOSIÇÕES UNITÁRIAS CD'!G59</f>
        <v>57.84</v>
      </c>
      <c r="H21" s="122">
        <f>TRUNC(E21*G21,2)</f>
        <v>151772.16</v>
      </c>
    </row>
    <row r="22" spans="1:8" ht="20.399999999999999" x14ac:dyDescent="0.3">
      <c r="A22" s="27" t="s">
        <v>182</v>
      </c>
      <c r="B22" s="109" t="s">
        <v>265</v>
      </c>
      <c r="C22" s="121" t="s">
        <v>266</v>
      </c>
      <c r="D22" s="28" t="s">
        <v>181</v>
      </c>
      <c r="E22" s="120">
        <f>MC!C45</f>
        <v>2600</v>
      </c>
      <c r="F22" s="120">
        <f>'COMPOSIÇÕES UNITÁRIAS CD'!G62</f>
        <v>21.75</v>
      </c>
      <c r="G22" s="122">
        <f>'COMPOSIÇÕES UNITÁRIAS CD'!G69</f>
        <v>27.87</v>
      </c>
      <c r="H22" s="122">
        <f>TRUNC(E22*G22,2)</f>
        <v>72462</v>
      </c>
    </row>
    <row r="23" spans="1:8" x14ac:dyDescent="0.3">
      <c r="A23" s="368"/>
      <c r="B23" s="368"/>
      <c r="C23" s="368"/>
      <c r="D23" s="368"/>
      <c r="E23" s="368"/>
      <c r="F23" s="368"/>
      <c r="G23" s="368"/>
      <c r="H23" s="368"/>
    </row>
    <row r="24" spans="1:8" x14ac:dyDescent="0.3">
      <c r="A24" s="26" t="s">
        <v>226</v>
      </c>
      <c r="B24" s="372" t="s">
        <v>224</v>
      </c>
      <c r="C24" s="372"/>
      <c r="D24" s="372"/>
      <c r="E24" s="372"/>
      <c r="F24" s="372"/>
      <c r="G24" s="372"/>
      <c r="H24" s="118">
        <f>SUM(H25:H26)</f>
        <v>17346.490000000002</v>
      </c>
    </row>
    <row r="25" spans="1:8" ht="20.399999999999999" x14ac:dyDescent="0.3">
      <c r="A25" s="27" t="s">
        <v>227</v>
      </c>
      <c r="B25" s="109">
        <v>95878</v>
      </c>
      <c r="C25" s="121" t="s">
        <v>284</v>
      </c>
      <c r="D25" s="28" t="s">
        <v>225</v>
      </c>
      <c r="E25" s="120">
        <f>MC!C54</f>
        <v>8420.6299999999992</v>
      </c>
      <c r="F25" s="120">
        <f>'COMPOSIÇÕES UNITÁRIAS CD'!G72</f>
        <v>1.61</v>
      </c>
      <c r="G25" s="122">
        <f>'COMPOSIÇÕES UNITÁRIAS CD'!G75</f>
        <v>2.06</v>
      </c>
      <c r="H25" s="122">
        <f>TRUNC(E25*G25,2)</f>
        <v>17346.490000000002</v>
      </c>
    </row>
    <row r="26" spans="1:8" ht="30.6" x14ac:dyDescent="0.3">
      <c r="A26" s="27" t="s">
        <v>283</v>
      </c>
      <c r="B26" s="109">
        <v>93596</v>
      </c>
      <c r="C26" s="121" t="s">
        <v>285</v>
      </c>
      <c r="D26" s="28" t="s">
        <v>225</v>
      </c>
      <c r="E26" s="120">
        <f>MC!C62</f>
        <v>0</v>
      </c>
      <c r="F26" s="120">
        <f>'COMPOSIÇÕES UNITÁRIAS CD'!G78</f>
        <v>0.63</v>
      </c>
      <c r="G26" s="122">
        <f>'COMPOSIÇÕES UNITÁRIAS CD'!G81</f>
        <v>0.8</v>
      </c>
      <c r="H26" s="122">
        <f>TRUNC(E26*G26,2)</f>
        <v>0</v>
      </c>
    </row>
    <row r="27" spans="1:8" x14ac:dyDescent="0.3">
      <c r="A27" s="368"/>
      <c r="B27" s="368"/>
      <c r="C27" s="368"/>
      <c r="D27" s="368"/>
      <c r="E27" s="368"/>
      <c r="F27" s="368"/>
      <c r="G27" s="368"/>
      <c r="H27" s="368"/>
    </row>
    <row r="28" spans="1:8" x14ac:dyDescent="0.3">
      <c r="A28" s="26" t="s">
        <v>262</v>
      </c>
      <c r="B28" s="372" t="s">
        <v>263</v>
      </c>
      <c r="C28" s="372"/>
      <c r="D28" s="372"/>
      <c r="E28" s="372"/>
      <c r="F28" s="372"/>
      <c r="G28" s="372"/>
      <c r="H28" s="118">
        <f>SUM(H29:H30)</f>
        <v>1362.56</v>
      </c>
    </row>
    <row r="29" spans="1:8" ht="20.399999999999999" x14ac:dyDescent="0.3">
      <c r="A29" s="27" t="s">
        <v>264</v>
      </c>
      <c r="B29" s="109" t="s">
        <v>278</v>
      </c>
      <c r="C29" s="121" t="s">
        <v>267</v>
      </c>
      <c r="D29" s="28" t="s">
        <v>15</v>
      </c>
      <c r="E29" s="120">
        <f>MC!C67</f>
        <v>0.23</v>
      </c>
      <c r="F29" s="120">
        <f>'COMPOSIÇÕES UNITÁRIAS CD'!G84</f>
        <v>974.51</v>
      </c>
      <c r="G29" s="122">
        <f>'COMPOSIÇÕES UNITÁRIAS CD'!G89</f>
        <v>1248.73</v>
      </c>
      <c r="H29" s="122">
        <f>TRUNC(E29*G29,2)</f>
        <v>287.2</v>
      </c>
    </row>
    <row r="30" spans="1:8" ht="30.6" x14ac:dyDescent="0.3">
      <c r="A30" s="27" t="s">
        <v>264</v>
      </c>
      <c r="B30" s="109" t="s">
        <v>280</v>
      </c>
      <c r="C30" s="121" t="s">
        <v>281</v>
      </c>
      <c r="D30" s="28" t="s">
        <v>183</v>
      </c>
      <c r="E30" s="120">
        <f>MC!C71</f>
        <v>2</v>
      </c>
      <c r="F30" s="120">
        <f>'COMPOSIÇÕES UNITÁRIAS CD'!G92</f>
        <v>419.61</v>
      </c>
      <c r="G30" s="122">
        <f>'COMPOSIÇÕES UNITÁRIAS CD'!G97</f>
        <v>537.67999999999995</v>
      </c>
      <c r="H30" s="122">
        <f>TRUNC(E30*G30,2)</f>
        <v>1075.3599999999999</v>
      </c>
    </row>
    <row r="31" spans="1:8" x14ac:dyDescent="0.3">
      <c r="A31" s="368"/>
      <c r="B31" s="368"/>
      <c r="C31" s="368"/>
      <c r="D31" s="368"/>
      <c r="E31" s="368"/>
      <c r="F31" s="368"/>
      <c r="G31" s="368"/>
      <c r="H31" s="368"/>
    </row>
    <row r="32" spans="1:8" x14ac:dyDescent="0.3">
      <c r="A32" s="375" t="s">
        <v>222</v>
      </c>
      <c r="B32" s="375"/>
      <c r="C32" s="375"/>
      <c r="D32" s="375"/>
      <c r="E32" s="375"/>
      <c r="F32" s="375"/>
      <c r="G32" s="375"/>
      <c r="H32" s="186">
        <f>SUM(H28,H24,H20,H17,H14,H10)</f>
        <v>640392.63</v>
      </c>
    </row>
    <row r="36" spans="8:8" x14ac:dyDescent="0.3">
      <c r="H36" s="190"/>
    </row>
  </sheetData>
  <mergeCells count="25">
    <mergeCell ref="A32:G32"/>
    <mergeCell ref="B20:G20"/>
    <mergeCell ref="A23:H23"/>
    <mergeCell ref="B24:G24"/>
    <mergeCell ref="A27:H27"/>
    <mergeCell ref="B28:G28"/>
    <mergeCell ref="A31:H31"/>
    <mergeCell ref="A19:H19"/>
    <mergeCell ref="A8:A9"/>
    <mergeCell ref="B8:B9"/>
    <mergeCell ref="C8:C9"/>
    <mergeCell ref="D8:D9"/>
    <mergeCell ref="E8:E9"/>
    <mergeCell ref="F8:H8"/>
    <mergeCell ref="B10:G10"/>
    <mergeCell ref="A13:H13"/>
    <mergeCell ref="B14:G14"/>
    <mergeCell ref="A16:H16"/>
    <mergeCell ref="B17:G17"/>
    <mergeCell ref="A1:H2"/>
    <mergeCell ref="A3:E3"/>
    <mergeCell ref="F3:F4"/>
    <mergeCell ref="G3:G4"/>
    <mergeCell ref="H3:H4"/>
    <mergeCell ref="D4:E4"/>
  </mergeCells>
  <pageMargins left="0.51181102362204722" right="0.51181102362204722" top="1.7716535433070868" bottom="1.1811023622047245" header="0.51181102362204722" footer="0.51181102362204722"/>
  <pageSetup paperSize="9" scale="66" fitToHeight="0" orientation="portrait" r:id="rId1"/>
  <headerFooter>
    <oddHeader>&amp;C&amp;G</oddHead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44CC0-7FB0-478A-BC16-5EE5D74C0230}">
  <sheetPr>
    <tabColor theme="4" tint="0.79998168889431442"/>
    <pageSetUpPr fitToPage="1"/>
  </sheetPr>
  <dimension ref="A1:J97"/>
  <sheetViews>
    <sheetView zoomScale="90" zoomScaleNormal="90" workbookViewId="0">
      <selection activeCell="A5" sqref="A5:G5"/>
    </sheetView>
  </sheetViews>
  <sheetFormatPr defaultRowHeight="14.4" x14ac:dyDescent="0.3"/>
  <cols>
    <col min="1" max="1" width="10.6640625" style="459" customWidth="1"/>
    <col min="2" max="2" width="13.109375" style="459" bestFit="1" customWidth="1"/>
    <col min="3" max="3" width="46.109375" style="460" customWidth="1"/>
    <col min="4" max="4" width="12" style="460" bestFit="1" customWidth="1"/>
    <col min="5" max="5" width="13.109375" style="460" customWidth="1"/>
    <col min="6" max="6" width="18.5546875" style="460" customWidth="1"/>
    <col min="7" max="7" width="19.33203125" style="460" customWidth="1"/>
    <col min="8" max="8" width="17.33203125" bestFit="1" customWidth="1"/>
    <col min="9" max="9" width="0" hidden="1" customWidth="1"/>
  </cols>
  <sheetData>
    <row r="1" spans="1:8" x14ac:dyDescent="0.3">
      <c r="A1" s="373" t="s">
        <v>193</v>
      </c>
      <c r="B1" s="419"/>
      <c r="C1" s="419"/>
      <c r="D1" s="419"/>
      <c r="E1" s="419"/>
      <c r="F1" s="419"/>
      <c r="G1" s="420"/>
    </row>
    <row r="2" spans="1:8" x14ac:dyDescent="0.3">
      <c r="A2" s="374"/>
      <c r="B2" s="421"/>
      <c r="C2" s="421"/>
      <c r="D2" s="421"/>
      <c r="E2" s="421"/>
      <c r="F2" s="421"/>
      <c r="G2" s="422"/>
    </row>
    <row r="3" spans="1:8" x14ac:dyDescent="0.3">
      <c r="A3" s="381" t="str">
        <f>'ORÇAMENTO SD'!A3:E3</f>
        <v>PAVIMENTAÇÃO DE VIAS PÚBLICAS NO MUNÍCIO DE PEDRO LAURENTINO - PI</v>
      </c>
      <c r="B3" s="382"/>
      <c r="C3" s="382"/>
      <c r="D3" s="273" t="s">
        <v>194</v>
      </c>
      <c r="E3" s="130">
        <v>0.28139999999999998</v>
      </c>
      <c r="F3" s="384" t="str">
        <f>'ORÇAMENTO SD'!F3:F4</f>
        <v>FONTE:  
SINAPI 11/2025</v>
      </c>
      <c r="G3" s="370" t="str">
        <f>'ORÇAMENTO SD'!H3:H4</f>
        <v>HORISTA: 113,33%
MENSALISTA: 71,12%</v>
      </c>
    </row>
    <row r="4" spans="1:8" ht="25.5" customHeight="1" x14ac:dyDescent="0.3">
      <c r="A4" s="131" t="str">
        <f>'ORÇAMENTO SD'!A4</f>
        <v>LOCAL: ASSENTAMENTO MOCAMBO</v>
      </c>
      <c r="B4" s="132"/>
      <c r="C4" s="132"/>
      <c r="D4" s="425" t="s">
        <v>10</v>
      </c>
      <c r="E4" s="425"/>
      <c r="F4" s="423"/>
      <c r="G4" s="424"/>
    </row>
    <row r="5" spans="1:8" x14ac:dyDescent="0.3">
      <c r="A5" s="376"/>
      <c r="B5" s="377"/>
      <c r="C5" s="377"/>
      <c r="D5" s="377"/>
      <c r="E5" s="377"/>
      <c r="F5" s="377"/>
      <c r="G5" s="378"/>
    </row>
    <row r="6" spans="1:8" x14ac:dyDescent="0.3">
      <c r="A6" s="458" t="s">
        <v>196</v>
      </c>
      <c r="B6" s="274" t="s">
        <v>237</v>
      </c>
      <c r="C6" s="274" t="s">
        <v>197</v>
      </c>
      <c r="D6" s="278" t="s">
        <v>238</v>
      </c>
      <c r="E6" s="458" t="s">
        <v>239</v>
      </c>
      <c r="F6" s="458" t="s">
        <v>240</v>
      </c>
      <c r="G6" s="458" t="s">
        <v>117</v>
      </c>
    </row>
    <row r="7" spans="1:8" s="142" customFormat="1" ht="20.399999999999999" x14ac:dyDescent="0.3">
      <c r="A7" s="276" t="s">
        <v>268</v>
      </c>
      <c r="B7" s="276" t="s">
        <v>201</v>
      </c>
      <c r="C7" s="451" t="s">
        <v>288</v>
      </c>
      <c r="D7" s="276" t="s">
        <v>15</v>
      </c>
      <c r="E7" s="452">
        <v>1</v>
      </c>
      <c r="F7" s="453">
        <v>460.56</v>
      </c>
      <c r="G7" s="454">
        <v>460.56</v>
      </c>
      <c r="H7"/>
    </row>
    <row r="8" spans="1:8" x14ac:dyDescent="0.3">
      <c r="A8" s="134" t="s">
        <v>204</v>
      </c>
      <c r="B8" s="134" t="s">
        <v>201</v>
      </c>
      <c r="C8" s="141" t="s">
        <v>332</v>
      </c>
      <c r="D8" s="134" t="s">
        <v>203</v>
      </c>
      <c r="E8" s="136">
        <v>1.1186</v>
      </c>
      <c r="F8" s="143">
        <v>20.100000000000001</v>
      </c>
      <c r="G8" s="137">
        <v>22.48</v>
      </c>
    </row>
    <row r="9" spans="1:8" ht="20.399999999999999" x14ac:dyDescent="0.3">
      <c r="A9" s="134" t="s">
        <v>202</v>
      </c>
      <c r="B9" s="134" t="s">
        <v>201</v>
      </c>
      <c r="C9" s="141" t="s">
        <v>333</v>
      </c>
      <c r="D9" s="134" t="s">
        <v>203</v>
      </c>
      <c r="E9" s="136">
        <v>0.37290000000000001</v>
      </c>
      <c r="F9" s="143">
        <v>24.77</v>
      </c>
      <c r="G9" s="137">
        <v>9.23</v>
      </c>
    </row>
    <row r="10" spans="1:8" x14ac:dyDescent="0.3">
      <c r="A10" s="134" t="s">
        <v>269</v>
      </c>
      <c r="B10" s="134" t="s">
        <v>201</v>
      </c>
      <c r="C10" s="141" t="s">
        <v>334</v>
      </c>
      <c r="D10" s="134" t="s">
        <v>15</v>
      </c>
      <c r="E10" s="136">
        <v>0.5</v>
      </c>
      <c r="F10" s="143">
        <v>24.31</v>
      </c>
      <c r="G10" s="137">
        <v>12.15</v>
      </c>
    </row>
    <row r="11" spans="1:8" x14ac:dyDescent="0.3">
      <c r="A11" s="134" t="s">
        <v>272</v>
      </c>
      <c r="B11" s="134" t="s">
        <v>201</v>
      </c>
      <c r="C11" s="141" t="s">
        <v>335</v>
      </c>
      <c r="D11" s="134" t="s">
        <v>208</v>
      </c>
      <c r="E11" s="136">
        <v>1.32E-2</v>
      </c>
      <c r="F11" s="143">
        <v>20.74</v>
      </c>
      <c r="G11" s="137">
        <v>0.27</v>
      </c>
    </row>
    <row r="12" spans="1:8" ht="30.6" x14ac:dyDescent="0.3">
      <c r="A12" s="134" t="s">
        <v>207</v>
      </c>
      <c r="B12" s="134" t="s">
        <v>201</v>
      </c>
      <c r="C12" s="141" t="s">
        <v>336</v>
      </c>
      <c r="D12" s="134" t="s">
        <v>15</v>
      </c>
      <c r="E12" s="136">
        <v>1</v>
      </c>
      <c r="F12" s="143">
        <v>400</v>
      </c>
      <c r="G12" s="137">
        <v>400</v>
      </c>
    </row>
    <row r="13" spans="1:8" ht="20.399999999999999" x14ac:dyDescent="0.3">
      <c r="A13" s="134" t="s">
        <v>270</v>
      </c>
      <c r="B13" s="134" t="s">
        <v>201</v>
      </c>
      <c r="C13" s="141" t="s">
        <v>337</v>
      </c>
      <c r="D13" s="134" t="s">
        <v>206</v>
      </c>
      <c r="E13" s="136">
        <v>3.2082999999999999</v>
      </c>
      <c r="F13" s="143">
        <v>4.99</v>
      </c>
      <c r="G13" s="137">
        <v>16</v>
      </c>
    </row>
    <row r="14" spans="1:8" x14ac:dyDescent="0.3">
      <c r="A14" s="134" t="s">
        <v>271</v>
      </c>
      <c r="B14" s="134" t="s">
        <v>201</v>
      </c>
      <c r="C14" s="141" t="s">
        <v>338</v>
      </c>
      <c r="D14" s="134" t="s">
        <v>208</v>
      </c>
      <c r="E14" s="136">
        <v>1.1299999999999999E-2</v>
      </c>
      <c r="F14" s="143">
        <v>38.700000000000003</v>
      </c>
      <c r="G14" s="137">
        <v>0.43</v>
      </c>
    </row>
    <row r="15" spans="1:8" x14ac:dyDescent="0.3">
      <c r="A15" s="469"/>
      <c r="B15" s="469"/>
      <c r="C15" s="470"/>
      <c r="D15" s="469"/>
      <c r="E15" s="471" t="s">
        <v>388</v>
      </c>
      <c r="F15" s="471"/>
      <c r="G15" s="472">
        <v>590.16</v>
      </c>
    </row>
    <row r="17" spans="1:10" x14ac:dyDescent="0.3">
      <c r="A17" s="458" t="s">
        <v>196</v>
      </c>
      <c r="B17" s="274" t="s">
        <v>237</v>
      </c>
      <c r="C17" s="276" t="s">
        <v>197</v>
      </c>
      <c r="D17" s="276" t="s">
        <v>198</v>
      </c>
      <c r="E17" s="276" t="s">
        <v>199</v>
      </c>
      <c r="F17" s="276" t="s">
        <v>200</v>
      </c>
      <c r="G17" s="276" t="s">
        <v>117</v>
      </c>
    </row>
    <row r="18" spans="1:10" s="142" customFormat="1" x14ac:dyDescent="0.3">
      <c r="A18" s="276">
        <v>1</v>
      </c>
      <c r="B18" s="276" t="s">
        <v>345</v>
      </c>
      <c r="C18" s="451" t="s">
        <v>347</v>
      </c>
      <c r="D18" s="276" t="s">
        <v>346</v>
      </c>
      <c r="E18" s="452">
        <v>1</v>
      </c>
      <c r="F18" s="453">
        <v>4720.8</v>
      </c>
      <c r="G18" s="454">
        <v>4720.8</v>
      </c>
    </row>
    <row r="19" spans="1:10" ht="20.399999999999999" x14ac:dyDescent="0.3">
      <c r="A19" s="134" t="s">
        <v>339</v>
      </c>
      <c r="B19" s="134" t="s">
        <v>201</v>
      </c>
      <c r="C19" s="141" t="s">
        <v>340</v>
      </c>
      <c r="D19" s="134" t="s">
        <v>203</v>
      </c>
      <c r="E19" s="136">
        <v>40</v>
      </c>
      <c r="F19" s="143">
        <v>23.95</v>
      </c>
      <c r="G19" s="137">
        <v>958</v>
      </c>
    </row>
    <row r="20" spans="1:10" x14ac:dyDescent="0.3">
      <c r="A20" s="134" t="s">
        <v>341</v>
      </c>
      <c r="B20" s="134" t="s">
        <v>201</v>
      </c>
      <c r="C20" s="141" t="s">
        <v>342</v>
      </c>
      <c r="D20" s="134" t="s">
        <v>203</v>
      </c>
      <c r="E20" s="136">
        <v>40</v>
      </c>
      <c r="F20" s="143">
        <v>34.96</v>
      </c>
      <c r="G20" s="137">
        <v>1398.4</v>
      </c>
    </row>
    <row r="21" spans="1:10" ht="20.399999999999999" x14ac:dyDescent="0.3">
      <c r="A21" s="134" t="s">
        <v>343</v>
      </c>
      <c r="B21" s="134" t="s">
        <v>201</v>
      </c>
      <c r="C21" s="141" t="s">
        <v>344</v>
      </c>
      <c r="D21" s="134" t="s">
        <v>203</v>
      </c>
      <c r="E21" s="136">
        <v>20</v>
      </c>
      <c r="F21" s="143">
        <v>118.22</v>
      </c>
      <c r="G21" s="137">
        <v>2364.4</v>
      </c>
    </row>
    <row r="22" spans="1:10" x14ac:dyDescent="0.3">
      <c r="A22" s="469"/>
      <c r="B22" s="469"/>
      <c r="C22" s="470"/>
      <c r="D22" s="469"/>
      <c r="E22" s="471" t="s">
        <v>388</v>
      </c>
      <c r="F22" s="471"/>
      <c r="G22" s="472">
        <v>6049.23</v>
      </c>
    </row>
    <row r="23" spans="1:10" x14ac:dyDescent="0.3">
      <c r="A23" s="418"/>
      <c r="B23" s="418"/>
      <c r="C23" s="418"/>
      <c r="D23" s="418"/>
      <c r="E23" s="418"/>
      <c r="F23" s="418"/>
      <c r="G23" s="418"/>
    </row>
    <row r="24" spans="1:10" x14ac:dyDescent="0.3">
      <c r="A24" s="278" t="s">
        <v>196</v>
      </c>
      <c r="B24" s="278" t="s">
        <v>237</v>
      </c>
      <c r="C24" s="274" t="s">
        <v>197</v>
      </c>
      <c r="D24" s="278" t="s">
        <v>238</v>
      </c>
      <c r="E24" s="278" t="s">
        <v>239</v>
      </c>
      <c r="F24" s="278" t="s">
        <v>240</v>
      </c>
      <c r="G24" s="278" t="s">
        <v>117</v>
      </c>
    </row>
    <row r="25" spans="1:10" s="142" customFormat="1" x14ac:dyDescent="0.3">
      <c r="A25" s="276" t="s">
        <v>273</v>
      </c>
      <c r="B25" s="276" t="s">
        <v>201</v>
      </c>
      <c r="C25" s="451" t="s">
        <v>289</v>
      </c>
      <c r="D25" s="276" t="s">
        <v>15</v>
      </c>
      <c r="E25" s="452">
        <v>1</v>
      </c>
      <c r="F25" s="453">
        <v>0.56000000000000005</v>
      </c>
      <c r="G25" s="454">
        <v>0.56000000000000005</v>
      </c>
    </row>
    <row r="26" spans="1:10" x14ac:dyDescent="0.3">
      <c r="A26" s="134" t="s">
        <v>204</v>
      </c>
      <c r="B26" s="134" t="s">
        <v>201</v>
      </c>
      <c r="C26" s="141" t="s">
        <v>332</v>
      </c>
      <c r="D26" s="134" t="s">
        <v>203</v>
      </c>
      <c r="E26" s="136">
        <v>1.0342999999999999E-3</v>
      </c>
      <c r="F26" s="143">
        <v>20.100000000000001</v>
      </c>
      <c r="G26" s="137">
        <v>0.02</v>
      </c>
    </row>
    <row r="27" spans="1:10" ht="40.799999999999997" x14ac:dyDescent="0.3">
      <c r="A27" s="134" t="s">
        <v>276</v>
      </c>
      <c r="B27" s="134" t="s">
        <v>201</v>
      </c>
      <c r="C27" s="141" t="s">
        <v>348</v>
      </c>
      <c r="D27" s="134" t="s">
        <v>245</v>
      </c>
      <c r="E27" s="136">
        <v>6.0956999999999999E-3</v>
      </c>
      <c r="F27" s="143">
        <v>64.09</v>
      </c>
      <c r="G27" s="137">
        <v>0.39</v>
      </c>
      <c r="J27" s="142"/>
    </row>
    <row r="28" spans="1:10" ht="30.6" x14ac:dyDescent="0.3">
      <c r="A28" s="134" t="s">
        <v>274</v>
      </c>
      <c r="B28" s="134" t="s">
        <v>201</v>
      </c>
      <c r="C28" s="141" t="s">
        <v>349</v>
      </c>
      <c r="D28" s="134" t="s">
        <v>243</v>
      </c>
      <c r="E28" s="136">
        <v>3.0249999999999998E-4</v>
      </c>
      <c r="F28" s="143">
        <v>265.93</v>
      </c>
      <c r="G28" s="137">
        <v>0.08</v>
      </c>
    </row>
    <row r="29" spans="1:10" ht="45" customHeight="1" x14ac:dyDescent="0.3">
      <c r="A29" s="134" t="s">
        <v>275</v>
      </c>
      <c r="B29" s="134" t="s">
        <v>201</v>
      </c>
      <c r="C29" s="141" t="s">
        <v>350</v>
      </c>
      <c r="D29" s="134" t="s">
        <v>245</v>
      </c>
      <c r="E29" s="136">
        <v>7.3180000000000001E-4</v>
      </c>
      <c r="F29" s="143">
        <v>106.42</v>
      </c>
      <c r="G29" s="137">
        <v>7.0000000000000007E-2</v>
      </c>
    </row>
    <row r="30" spans="1:10" ht="15" customHeight="1" x14ac:dyDescent="0.3">
      <c r="A30" s="469"/>
      <c r="B30" s="469"/>
      <c r="C30" s="470"/>
      <c r="D30" s="469"/>
      <c r="E30" s="471" t="s">
        <v>388</v>
      </c>
      <c r="F30" s="471"/>
      <c r="G30" s="472">
        <v>0.71</v>
      </c>
    </row>
    <row r="32" spans="1:10" s="142" customFormat="1" ht="25.5" customHeight="1" x14ac:dyDescent="0.3">
      <c r="A32" s="409" t="s">
        <v>282</v>
      </c>
      <c r="B32" s="410"/>
      <c r="C32" s="410"/>
      <c r="D32" s="410"/>
      <c r="E32" s="410"/>
      <c r="F32" s="411"/>
      <c r="G32" s="133" t="s">
        <v>195</v>
      </c>
      <c r="H32"/>
      <c r="I32"/>
      <c r="J32"/>
    </row>
    <row r="33" spans="1:10" x14ac:dyDescent="0.3">
      <c r="A33" s="412" t="s">
        <v>196</v>
      </c>
      <c r="B33" s="413"/>
      <c r="C33" s="276" t="s">
        <v>197</v>
      </c>
      <c r="D33" s="276" t="s">
        <v>198</v>
      </c>
      <c r="E33" s="276" t="s">
        <v>199</v>
      </c>
      <c r="F33" s="276" t="s">
        <v>200</v>
      </c>
      <c r="G33" s="276" t="s">
        <v>117</v>
      </c>
    </row>
    <row r="34" spans="1:10" ht="30.6" x14ac:dyDescent="0.3">
      <c r="A34" s="276">
        <v>2</v>
      </c>
      <c r="B34" s="276" t="s">
        <v>345</v>
      </c>
      <c r="C34" s="455" t="s">
        <v>357</v>
      </c>
      <c r="D34" s="276" t="s">
        <v>364</v>
      </c>
      <c r="E34" s="452">
        <v>1</v>
      </c>
      <c r="F34" s="453">
        <v>75.849999999999994</v>
      </c>
      <c r="G34" s="454">
        <v>75.849999999999994</v>
      </c>
    </row>
    <row r="35" spans="1:10" s="142" customFormat="1" ht="40.799999999999997" x14ac:dyDescent="0.3">
      <c r="A35" s="134" t="s">
        <v>351</v>
      </c>
      <c r="B35" s="134" t="s">
        <v>201</v>
      </c>
      <c r="C35" s="135" t="s">
        <v>358</v>
      </c>
      <c r="D35" s="134" t="s">
        <v>243</v>
      </c>
      <c r="E35" s="136">
        <v>3.0999999999999999E-3</v>
      </c>
      <c r="F35" s="143">
        <v>156.93</v>
      </c>
      <c r="G35" s="137">
        <v>0.48</v>
      </c>
    </row>
    <row r="36" spans="1:10" ht="30.6" x14ac:dyDescent="0.3">
      <c r="A36" s="134" t="s">
        <v>352</v>
      </c>
      <c r="B36" s="134" t="s">
        <v>345</v>
      </c>
      <c r="C36" s="135" t="s">
        <v>359</v>
      </c>
      <c r="D36" s="134" t="s">
        <v>251</v>
      </c>
      <c r="E36" s="136">
        <v>4.2000000000000003E-2</v>
      </c>
      <c r="F36" s="143">
        <v>566.24</v>
      </c>
      <c r="G36" s="137">
        <v>23.78</v>
      </c>
    </row>
    <row r="37" spans="1:10" ht="30.6" x14ac:dyDescent="0.3">
      <c r="A37" s="134" t="s">
        <v>353</v>
      </c>
      <c r="B37" s="134" t="s">
        <v>201</v>
      </c>
      <c r="C37" s="135" t="s">
        <v>360</v>
      </c>
      <c r="D37" s="134" t="s">
        <v>205</v>
      </c>
      <c r="E37" s="136">
        <v>2.0400000000000001E-2</v>
      </c>
      <c r="F37" s="143">
        <v>702.38</v>
      </c>
      <c r="G37" s="137">
        <v>14.32</v>
      </c>
    </row>
    <row r="38" spans="1:10" x14ac:dyDescent="0.3">
      <c r="A38" s="134" t="s">
        <v>354</v>
      </c>
      <c r="B38" s="134" t="s">
        <v>201</v>
      </c>
      <c r="C38" s="135" t="s">
        <v>361</v>
      </c>
      <c r="D38" s="134" t="s">
        <v>203</v>
      </c>
      <c r="E38" s="136">
        <v>0.40210000000000001</v>
      </c>
      <c r="F38" s="143">
        <v>24.99</v>
      </c>
      <c r="G38" s="137">
        <v>10.039999999999999</v>
      </c>
    </row>
    <row r="39" spans="1:10" x14ac:dyDescent="0.3">
      <c r="A39" s="134" t="s">
        <v>204</v>
      </c>
      <c r="B39" s="134" t="s">
        <v>201</v>
      </c>
      <c r="C39" s="135" t="s">
        <v>332</v>
      </c>
      <c r="D39" s="134" t="s">
        <v>203</v>
      </c>
      <c r="E39" s="136">
        <v>0.40210000000000001</v>
      </c>
      <c r="F39" s="143">
        <v>20.100000000000001</v>
      </c>
      <c r="G39" s="137">
        <v>8.08</v>
      </c>
    </row>
    <row r="40" spans="1:10" ht="40.799999999999997" x14ac:dyDescent="0.3">
      <c r="A40" s="134" t="s">
        <v>355</v>
      </c>
      <c r="B40" s="134" t="s">
        <v>201</v>
      </c>
      <c r="C40" s="135" t="s">
        <v>362</v>
      </c>
      <c r="D40" s="134" t="s">
        <v>245</v>
      </c>
      <c r="E40" s="136">
        <v>0.13089999999999999</v>
      </c>
      <c r="F40" s="143">
        <v>62.51</v>
      </c>
      <c r="G40" s="137">
        <v>8.18</v>
      </c>
    </row>
    <row r="41" spans="1:10" ht="20.399999999999999" x14ac:dyDescent="0.3">
      <c r="A41" s="134" t="s">
        <v>356</v>
      </c>
      <c r="B41" s="134" t="s">
        <v>201</v>
      </c>
      <c r="C41" s="135" t="s">
        <v>363</v>
      </c>
      <c r="D41" s="134" t="s">
        <v>205</v>
      </c>
      <c r="E41" s="136">
        <v>0.114</v>
      </c>
      <c r="F41" s="143">
        <v>96.24</v>
      </c>
      <c r="G41" s="137">
        <v>10.97</v>
      </c>
    </row>
    <row r="42" spans="1:10" x14ac:dyDescent="0.3">
      <c r="A42" s="469"/>
      <c r="B42" s="469"/>
      <c r="C42" s="473"/>
      <c r="D42" s="469"/>
      <c r="E42" s="471" t="s">
        <v>388</v>
      </c>
      <c r="F42" s="471"/>
      <c r="G42" s="472">
        <v>97.19</v>
      </c>
    </row>
    <row r="43" spans="1:10" x14ac:dyDescent="0.3">
      <c r="A43" s="418"/>
      <c r="B43" s="418"/>
      <c r="C43" s="418"/>
      <c r="D43" s="418"/>
      <c r="E43" s="418"/>
      <c r="F43" s="418"/>
      <c r="G43" s="418"/>
    </row>
    <row r="44" spans="1:10" x14ac:dyDescent="0.3">
      <c r="A44" s="409" t="s">
        <v>246</v>
      </c>
      <c r="B44" s="410"/>
      <c r="C44" s="410"/>
      <c r="D44" s="410"/>
      <c r="E44" s="410"/>
      <c r="F44" s="411"/>
      <c r="G44" s="133" t="s">
        <v>247</v>
      </c>
      <c r="J44" s="142"/>
    </row>
    <row r="45" spans="1:10" x14ac:dyDescent="0.3">
      <c r="A45" s="412" t="s">
        <v>196</v>
      </c>
      <c r="B45" s="413"/>
      <c r="C45" s="276" t="s">
        <v>197</v>
      </c>
      <c r="D45" s="276" t="s">
        <v>198</v>
      </c>
      <c r="E45" s="276" t="s">
        <v>199</v>
      </c>
      <c r="F45" s="276" t="s">
        <v>200</v>
      </c>
      <c r="G45" s="276" t="s">
        <v>117</v>
      </c>
    </row>
    <row r="46" spans="1:10" x14ac:dyDescent="0.3">
      <c r="A46" s="134" t="s">
        <v>201</v>
      </c>
      <c r="B46" s="134">
        <v>88309</v>
      </c>
      <c r="C46" s="135" t="s">
        <v>248</v>
      </c>
      <c r="D46" s="134" t="s">
        <v>210</v>
      </c>
      <c r="E46" s="136">
        <v>12</v>
      </c>
      <c r="F46" s="143">
        <v>25.17</v>
      </c>
      <c r="G46" s="137">
        <f t="shared" ref="G46:G48" si="0">TRUNC(F46*E46,2)</f>
        <v>302.04000000000002</v>
      </c>
    </row>
    <row r="47" spans="1:10" x14ac:dyDescent="0.3">
      <c r="A47" s="134" t="s">
        <v>201</v>
      </c>
      <c r="B47" s="134">
        <v>88316</v>
      </c>
      <c r="C47" s="135" t="s">
        <v>211</v>
      </c>
      <c r="D47" s="134" t="s">
        <v>210</v>
      </c>
      <c r="E47" s="136">
        <v>12</v>
      </c>
      <c r="F47" s="143">
        <f>F38</f>
        <v>24.99</v>
      </c>
      <c r="G47" s="137">
        <f t="shared" si="0"/>
        <v>299.88</v>
      </c>
    </row>
    <row r="48" spans="1:10" x14ac:dyDescent="0.3">
      <c r="A48" s="414" t="s">
        <v>249</v>
      </c>
      <c r="B48" s="415"/>
      <c r="C48" s="135" t="s">
        <v>250</v>
      </c>
      <c r="D48" s="134" t="s">
        <v>251</v>
      </c>
      <c r="E48" s="136">
        <v>1</v>
      </c>
      <c r="F48" s="143">
        <v>23</v>
      </c>
      <c r="G48" s="137">
        <f t="shared" si="0"/>
        <v>23</v>
      </c>
    </row>
    <row r="49" spans="1:10" s="142" customFormat="1" x14ac:dyDescent="0.3">
      <c r="A49" s="116"/>
      <c r="B49" s="116"/>
      <c r="C49" s="138"/>
      <c r="D49" s="139"/>
      <c r="E49" s="416" t="s">
        <v>209</v>
      </c>
      <c r="F49" s="417"/>
      <c r="G49" s="140">
        <f>SUM(G46:G48)</f>
        <v>624.92000000000007</v>
      </c>
      <c r="H49"/>
      <c r="I49"/>
      <c r="J49"/>
    </row>
    <row r="50" spans="1:10" s="142" customFormat="1" x14ac:dyDescent="0.3">
      <c r="A50" s="116"/>
      <c r="B50" s="116"/>
      <c r="C50" s="474"/>
      <c r="D50" s="474"/>
      <c r="E50" s="475"/>
      <c r="F50" s="475"/>
      <c r="G50" s="476"/>
      <c r="H50"/>
      <c r="I50"/>
      <c r="J50"/>
    </row>
    <row r="51" spans="1:10" x14ac:dyDescent="0.3">
      <c r="A51" s="275"/>
      <c r="B51" s="275"/>
      <c r="C51" s="275"/>
      <c r="D51" s="275"/>
      <c r="E51" s="275"/>
      <c r="F51" s="275"/>
      <c r="G51" s="275"/>
    </row>
    <row r="52" spans="1:10" x14ac:dyDescent="0.3">
      <c r="A52" s="278" t="s">
        <v>196</v>
      </c>
      <c r="B52" s="278" t="s">
        <v>237</v>
      </c>
      <c r="C52" s="274" t="s">
        <v>197</v>
      </c>
      <c r="D52" s="278" t="s">
        <v>238</v>
      </c>
      <c r="E52" s="278" t="s">
        <v>239</v>
      </c>
      <c r="F52" s="457" t="s">
        <v>240</v>
      </c>
      <c r="G52" s="457" t="s">
        <v>117</v>
      </c>
    </row>
    <row r="53" spans="1:10" ht="40.799999999999997" x14ac:dyDescent="0.3">
      <c r="A53" s="461" t="s">
        <v>277</v>
      </c>
      <c r="B53" s="461" t="s">
        <v>201</v>
      </c>
      <c r="C53" s="462" t="s">
        <v>365</v>
      </c>
      <c r="D53" s="461" t="s">
        <v>206</v>
      </c>
      <c r="E53" s="463">
        <v>1</v>
      </c>
      <c r="F53" s="464">
        <v>45.14</v>
      </c>
      <c r="G53" s="464">
        <v>45.14</v>
      </c>
      <c r="I53" s="142"/>
      <c r="J53" s="142"/>
    </row>
    <row r="54" spans="1:10" ht="20.399999999999999" x14ac:dyDescent="0.3">
      <c r="A54" s="277" t="s">
        <v>216</v>
      </c>
      <c r="B54" s="277" t="s">
        <v>201</v>
      </c>
      <c r="C54" s="110" t="s">
        <v>366</v>
      </c>
      <c r="D54" s="277" t="s">
        <v>205</v>
      </c>
      <c r="E54" s="188">
        <v>1.8E-3</v>
      </c>
      <c r="F54" s="189">
        <v>785.83</v>
      </c>
      <c r="G54" s="189">
        <v>1.41</v>
      </c>
    </row>
    <row r="55" spans="1:10" x14ac:dyDescent="0.3">
      <c r="A55" s="277" t="s">
        <v>212</v>
      </c>
      <c r="B55" s="277" t="s">
        <v>201</v>
      </c>
      <c r="C55" s="110" t="s">
        <v>367</v>
      </c>
      <c r="D55" s="277" t="s">
        <v>203</v>
      </c>
      <c r="E55" s="188">
        <v>0.2296</v>
      </c>
      <c r="F55" s="189">
        <v>25.17</v>
      </c>
      <c r="G55" s="189">
        <v>5.77</v>
      </c>
    </row>
    <row r="56" spans="1:10" x14ac:dyDescent="0.3">
      <c r="A56" s="277" t="s">
        <v>204</v>
      </c>
      <c r="B56" s="277" t="s">
        <v>201</v>
      </c>
      <c r="C56" s="110" t="s">
        <v>332</v>
      </c>
      <c r="D56" s="277" t="s">
        <v>203</v>
      </c>
      <c r="E56" s="188">
        <v>0.2296</v>
      </c>
      <c r="F56" s="189">
        <v>20.100000000000001</v>
      </c>
      <c r="G56" s="189">
        <v>4.6100000000000003</v>
      </c>
    </row>
    <row r="57" spans="1:10" ht="20.399999999999999" x14ac:dyDescent="0.3">
      <c r="A57" s="277" t="s">
        <v>213</v>
      </c>
      <c r="B57" s="277" t="s">
        <v>201</v>
      </c>
      <c r="C57" s="110" t="s">
        <v>368</v>
      </c>
      <c r="D57" s="277" t="s">
        <v>205</v>
      </c>
      <c r="E57" s="188">
        <v>6.6E-3</v>
      </c>
      <c r="F57" s="189">
        <v>95</v>
      </c>
      <c r="G57" s="189">
        <v>0.62</v>
      </c>
    </row>
    <row r="58" spans="1:10" ht="20.399999999999999" x14ac:dyDescent="0.3">
      <c r="A58" s="277" t="s">
        <v>217</v>
      </c>
      <c r="B58" s="277" t="s">
        <v>201</v>
      </c>
      <c r="C58" s="110" t="s">
        <v>369</v>
      </c>
      <c r="D58" s="277" t="s">
        <v>206</v>
      </c>
      <c r="E58" s="188">
        <v>1.0049999999999999</v>
      </c>
      <c r="F58" s="189">
        <v>32.57</v>
      </c>
      <c r="G58" s="189">
        <v>32.729999999999997</v>
      </c>
    </row>
    <row r="59" spans="1:10" x14ac:dyDescent="0.3">
      <c r="A59" s="465"/>
      <c r="B59" s="465"/>
      <c r="C59" s="466"/>
      <c r="D59" s="465"/>
      <c r="E59" s="471" t="s">
        <v>388</v>
      </c>
      <c r="F59" s="471"/>
      <c r="G59" s="472">
        <v>57.84</v>
      </c>
    </row>
    <row r="60" spans="1:10" ht="13.8" customHeight="1" x14ac:dyDescent="0.3"/>
    <row r="61" spans="1:10" x14ac:dyDescent="0.3">
      <c r="A61" s="278" t="s">
        <v>196</v>
      </c>
      <c r="B61" s="278" t="s">
        <v>237</v>
      </c>
      <c r="C61" s="274" t="s">
        <v>197</v>
      </c>
      <c r="D61" s="278" t="s">
        <v>238</v>
      </c>
      <c r="E61" s="278" t="s">
        <v>239</v>
      </c>
      <c r="F61" s="457" t="s">
        <v>240</v>
      </c>
      <c r="G61" s="457" t="s">
        <v>117</v>
      </c>
    </row>
    <row r="62" spans="1:10" ht="20.399999999999999" x14ac:dyDescent="0.3">
      <c r="A62" s="461">
        <v>3</v>
      </c>
      <c r="B62" s="461" t="s">
        <v>345</v>
      </c>
      <c r="C62" s="462" t="s">
        <v>290</v>
      </c>
      <c r="D62" s="461" t="s">
        <v>181</v>
      </c>
      <c r="E62" s="463">
        <v>1</v>
      </c>
      <c r="F62" s="464">
        <v>21.75</v>
      </c>
      <c r="G62" s="464">
        <v>21.75</v>
      </c>
      <c r="I62" s="142"/>
    </row>
    <row r="63" spans="1:10" x14ac:dyDescent="0.3">
      <c r="A63" s="277" t="s">
        <v>204</v>
      </c>
      <c r="B63" s="277" t="s">
        <v>201</v>
      </c>
      <c r="C63" s="110" t="s">
        <v>332</v>
      </c>
      <c r="D63" s="277" t="s">
        <v>203</v>
      </c>
      <c r="E63" s="188">
        <v>0.2326</v>
      </c>
      <c r="F63" s="189">
        <v>20.100000000000001</v>
      </c>
      <c r="G63" s="189">
        <v>4.67</v>
      </c>
      <c r="J63" s="142"/>
    </row>
    <row r="64" spans="1:10" x14ac:dyDescent="0.3">
      <c r="A64" s="277" t="s">
        <v>212</v>
      </c>
      <c r="B64" s="277" t="s">
        <v>201</v>
      </c>
      <c r="C64" s="110" t="s">
        <v>367</v>
      </c>
      <c r="D64" s="277" t="s">
        <v>203</v>
      </c>
      <c r="E64" s="188">
        <v>0.2326</v>
      </c>
      <c r="F64" s="189">
        <v>25.17</v>
      </c>
      <c r="G64" s="189">
        <v>5.85</v>
      </c>
    </row>
    <row r="65" spans="1:7" ht="20.399999999999999" x14ac:dyDescent="0.3">
      <c r="A65" s="277" t="s">
        <v>214</v>
      </c>
      <c r="B65" s="277" t="s">
        <v>201</v>
      </c>
      <c r="C65" s="110" t="s">
        <v>370</v>
      </c>
      <c r="D65" s="277" t="s">
        <v>206</v>
      </c>
      <c r="E65" s="188">
        <v>0.2</v>
      </c>
      <c r="F65" s="189">
        <v>3.44</v>
      </c>
      <c r="G65" s="189">
        <v>0.68</v>
      </c>
    </row>
    <row r="66" spans="1:7" ht="30.6" x14ac:dyDescent="0.3">
      <c r="A66" s="277" t="s">
        <v>215</v>
      </c>
      <c r="B66" s="277" t="s">
        <v>201</v>
      </c>
      <c r="C66" s="110" t="s">
        <v>371</v>
      </c>
      <c r="D66" s="277" t="s">
        <v>205</v>
      </c>
      <c r="E66" s="188">
        <v>1.4999999999999999E-2</v>
      </c>
      <c r="F66" s="189">
        <v>550</v>
      </c>
      <c r="G66" s="189">
        <v>8.25</v>
      </c>
    </row>
    <row r="67" spans="1:7" ht="20.399999999999999" x14ac:dyDescent="0.3">
      <c r="A67" s="277" t="s">
        <v>213</v>
      </c>
      <c r="B67" s="277" t="s">
        <v>201</v>
      </c>
      <c r="C67" s="110" t="s">
        <v>368</v>
      </c>
      <c r="D67" s="277" t="s">
        <v>205</v>
      </c>
      <c r="E67" s="188">
        <v>9.9000000000000008E-3</v>
      </c>
      <c r="F67" s="189">
        <v>95</v>
      </c>
      <c r="G67" s="189">
        <v>0.94</v>
      </c>
    </row>
    <row r="68" spans="1:7" ht="20.399999999999999" x14ac:dyDescent="0.3">
      <c r="A68" s="277" t="s">
        <v>218</v>
      </c>
      <c r="B68" s="277" t="s">
        <v>201</v>
      </c>
      <c r="C68" s="110" t="s">
        <v>372</v>
      </c>
      <c r="D68" s="277" t="s">
        <v>206</v>
      </c>
      <c r="E68" s="188">
        <v>8.3299999999999999E-2</v>
      </c>
      <c r="F68" s="189">
        <v>16.329999999999998</v>
      </c>
      <c r="G68" s="189">
        <v>1.36</v>
      </c>
    </row>
    <row r="69" spans="1:7" x14ac:dyDescent="0.3">
      <c r="A69" s="465"/>
      <c r="B69" s="465"/>
      <c r="C69" s="466"/>
      <c r="D69" s="465"/>
      <c r="E69" s="471" t="s">
        <v>388</v>
      </c>
      <c r="F69" s="471"/>
      <c r="G69" s="472">
        <v>27.87</v>
      </c>
    </row>
    <row r="70" spans="1:7" x14ac:dyDescent="0.3">
      <c r="A70" s="465"/>
      <c r="B70" s="465"/>
      <c r="C70" s="466"/>
      <c r="D70" s="465"/>
      <c r="E70" s="467"/>
      <c r="F70" s="468"/>
      <c r="G70" s="468"/>
    </row>
    <row r="71" spans="1:7" x14ac:dyDescent="0.3">
      <c r="A71" s="278" t="s">
        <v>196</v>
      </c>
      <c r="B71" s="278" t="s">
        <v>237</v>
      </c>
      <c r="C71" s="274" t="s">
        <v>197</v>
      </c>
      <c r="D71" s="278" t="s">
        <v>238</v>
      </c>
      <c r="E71" s="278" t="s">
        <v>239</v>
      </c>
      <c r="F71" s="457" t="s">
        <v>240</v>
      </c>
      <c r="G71" s="457" t="s">
        <v>117</v>
      </c>
    </row>
    <row r="72" spans="1:7" ht="30.6" x14ac:dyDescent="0.3">
      <c r="A72" s="278" t="s">
        <v>286</v>
      </c>
      <c r="B72" s="278" t="s">
        <v>201</v>
      </c>
      <c r="C72" s="274" t="s">
        <v>373</v>
      </c>
      <c r="D72" s="278" t="s">
        <v>241</v>
      </c>
      <c r="E72" s="456">
        <v>1</v>
      </c>
      <c r="F72" s="457">
        <v>1.61</v>
      </c>
      <c r="G72" s="457">
        <v>1.61</v>
      </c>
    </row>
    <row r="73" spans="1:7" ht="40.799999999999997" x14ac:dyDescent="0.3">
      <c r="A73" s="277" t="s">
        <v>244</v>
      </c>
      <c r="B73" s="277" t="s">
        <v>201</v>
      </c>
      <c r="C73" s="110" t="s">
        <v>374</v>
      </c>
      <c r="D73" s="277" t="s">
        <v>245</v>
      </c>
      <c r="E73" s="188">
        <v>2.3999999999999998E-3</v>
      </c>
      <c r="F73" s="189">
        <v>68.459999999999994</v>
      </c>
      <c r="G73" s="189">
        <v>0.16</v>
      </c>
    </row>
    <row r="74" spans="1:7" ht="40.799999999999997" x14ac:dyDescent="0.3">
      <c r="A74" s="277" t="s">
        <v>242</v>
      </c>
      <c r="B74" s="277" t="s">
        <v>201</v>
      </c>
      <c r="C74" s="110" t="s">
        <v>375</v>
      </c>
      <c r="D74" s="277" t="s">
        <v>243</v>
      </c>
      <c r="E74" s="188">
        <v>5.5999999999999999E-3</v>
      </c>
      <c r="F74" s="189">
        <v>260.22000000000003</v>
      </c>
      <c r="G74" s="189">
        <v>1.45</v>
      </c>
    </row>
    <row r="75" spans="1:7" x14ac:dyDescent="0.3">
      <c r="A75" s="465"/>
      <c r="B75" s="465"/>
      <c r="C75" s="466"/>
      <c r="D75" s="465"/>
      <c r="E75" s="471" t="s">
        <v>388</v>
      </c>
      <c r="F75" s="471"/>
      <c r="G75" s="472">
        <v>2.06</v>
      </c>
    </row>
    <row r="77" spans="1:7" x14ac:dyDescent="0.3">
      <c r="A77" s="278" t="s">
        <v>196</v>
      </c>
      <c r="B77" s="278" t="s">
        <v>237</v>
      </c>
      <c r="C77" s="274" t="s">
        <v>197</v>
      </c>
      <c r="D77" s="278" t="s">
        <v>238</v>
      </c>
      <c r="E77" s="278" t="s">
        <v>239</v>
      </c>
      <c r="F77" s="457" t="s">
        <v>240</v>
      </c>
      <c r="G77" s="457" t="s">
        <v>117</v>
      </c>
    </row>
    <row r="78" spans="1:7" ht="30.6" x14ac:dyDescent="0.3">
      <c r="A78" s="278" t="s">
        <v>287</v>
      </c>
      <c r="B78" s="278" t="s">
        <v>201</v>
      </c>
      <c r="C78" s="274" t="s">
        <v>376</v>
      </c>
      <c r="D78" s="278" t="s">
        <v>241</v>
      </c>
      <c r="E78" s="456">
        <v>1</v>
      </c>
      <c r="F78" s="457">
        <v>0.63</v>
      </c>
      <c r="G78" s="457">
        <v>0.63</v>
      </c>
    </row>
    <row r="79" spans="1:7" ht="40.799999999999997" x14ac:dyDescent="0.3">
      <c r="A79" s="277" t="s">
        <v>244</v>
      </c>
      <c r="B79" s="277" t="s">
        <v>201</v>
      </c>
      <c r="C79" s="110" t="s">
        <v>374</v>
      </c>
      <c r="D79" s="277" t="s">
        <v>245</v>
      </c>
      <c r="E79" s="188">
        <v>1E-3</v>
      </c>
      <c r="F79" s="189">
        <v>68.459999999999994</v>
      </c>
      <c r="G79" s="189">
        <v>0.06</v>
      </c>
    </row>
    <row r="80" spans="1:7" ht="40.799999999999997" x14ac:dyDescent="0.3">
      <c r="A80" s="277" t="s">
        <v>242</v>
      </c>
      <c r="B80" s="277" t="s">
        <v>201</v>
      </c>
      <c r="C80" s="110" t="s">
        <v>375</v>
      </c>
      <c r="D80" s="277" t="s">
        <v>243</v>
      </c>
      <c r="E80" s="188">
        <v>2.2000000000000001E-3</v>
      </c>
      <c r="F80" s="189">
        <v>260.22000000000003</v>
      </c>
      <c r="G80" s="189">
        <v>0.56999999999999995</v>
      </c>
    </row>
    <row r="81" spans="1:7" x14ac:dyDescent="0.3">
      <c r="A81" s="465"/>
      <c r="B81" s="465"/>
      <c r="C81" s="466"/>
      <c r="D81" s="465"/>
      <c r="E81" s="471" t="s">
        <v>388</v>
      </c>
      <c r="F81" s="471"/>
      <c r="G81" s="472">
        <v>0.8</v>
      </c>
    </row>
    <row r="83" spans="1:7" x14ac:dyDescent="0.3">
      <c r="A83" s="278" t="s">
        <v>196</v>
      </c>
      <c r="B83" s="278" t="s">
        <v>237</v>
      </c>
      <c r="C83" s="274" t="s">
        <v>197</v>
      </c>
      <c r="D83" s="278" t="s">
        <v>238</v>
      </c>
      <c r="E83" s="278" t="s">
        <v>239</v>
      </c>
      <c r="F83" s="457" t="s">
        <v>240</v>
      </c>
      <c r="G83" s="457" t="s">
        <v>117</v>
      </c>
    </row>
    <row r="84" spans="1:7" ht="20.399999999999999" x14ac:dyDescent="0.3">
      <c r="A84" s="278">
        <v>4</v>
      </c>
      <c r="B84" s="278" t="s">
        <v>345</v>
      </c>
      <c r="C84" s="274" t="s">
        <v>377</v>
      </c>
      <c r="D84" s="278" t="s">
        <v>15</v>
      </c>
      <c r="E84" s="456">
        <v>1</v>
      </c>
      <c r="F84" s="457">
        <v>974.51</v>
      </c>
      <c r="G84" s="457">
        <v>974.51</v>
      </c>
    </row>
    <row r="85" spans="1:7" x14ac:dyDescent="0.3">
      <c r="A85" s="277" t="s">
        <v>204</v>
      </c>
      <c r="B85" s="277" t="s">
        <v>201</v>
      </c>
      <c r="C85" s="110" t="s">
        <v>332</v>
      </c>
      <c r="D85" s="277" t="s">
        <v>203</v>
      </c>
      <c r="E85" s="188">
        <v>0.75819999999999999</v>
      </c>
      <c r="F85" s="189">
        <v>20.100000000000001</v>
      </c>
      <c r="G85" s="189">
        <v>15.23</v>
      </c>
    </row>
    <row r="86" spans="1:7" ht="20.399999999999999" x14ac:dyDescent="0.3">
      <c r="A86" s="277" t="s">
        <v>378</v>
      </c>
      <c r="B86" s="277" t="s">
        <v>201</v>
      </c>
      <c r="C86" s="110" t="s">
        <v>379</v>
      </c>
      <c r="D86" s="277" t="s">
        <v>203</v>
      </c>
      <c r="E86" s="188">
        <v>0.25269999999999998</v>
      </c>
      <c r="F86" s="189">
        <v>20.59</v>
      </c>
      <c r="G86" s="189">
        <v>5.2</v>
      </c>
    </row>
    <row r="87" spans="1:7" ht="30.6" x14ac:dyDescent="0.3">
      <c r="A87" s="277" t="s">
        <v>380</v>
      </c>
      <c r="B87" s="277" t="s">
        <v>201</v>
      </c>
      <c r="C87" s="110" t="s">
        <v>381</v>
      </c>
      <c r="D87" s="277" t="s">
        <v>279</v>
      </c>
      <c r="E87" s="188">
        <v>4</v>
      </c>
      <c r="F87" s="189">
        <v>7.52</v>
      </c>
      <c r="G87" s="189">
        <v>30.08</v>
      </c>
    </row>
    <row r="88" spans="1:7" ht="20.399999999999999" x14ac:dyDescent="0.3">
      <c r="A88" s="277" t="s">
        <v>382</v>
      </c>
      <c r="B88" s="277" t="s">
        <v>201</v>
      </c>
      <c r="C88" s="110" t="s">
        <v>383</v>
      </c>
      <c r="D88" s="277" t="s">
        <v>15</v>
      </c>
      <c r="E88" s="188">
        <v>1</v>
      </c>
      <c r="F88" s="189">
        <v>924</v>
      </c>
      <c r="G88" s="189">
        <v>924</v>
      </c>
    </row>
    <row r="89" spans="1:7" x14ac:dyDescent="0.3">
      <c r="A89" s="465"/>
      <c r="B89" s="465"/>
      <c r="C89" s="466"/>
      <c r="D89" s="465"/>
      <c r="E89" s="471" t="s">
        <v>388</v>
      </c>
      <c r="F89" s="471"/>
      <c r="G89" s="472">
        <v>1248.73</v>
      </c>
    </row>
    <row r="90" spans="1:7" x14ac:dyDescent="0.3">
      <c r="A90" s="465"/>
      <c r="B90" s="465"/>
      <c r="C90" s="466"/>
      <c r="D90" s="465"/>
      <c r="E90" s="467"/>
      <c r="F90" s="468"/>
      <c r="G90" s="468"/>
    </row>
    <row r="91" spans="1:7" x14ac:dyDescent="0.3">
      <c r="A91" s="278" t="s">
        <v>196</v>
      </c>
      <c r="B91" s="278" t="s">
        <v>237</v>
      </c>
      <c r="C91" s="274" t="s">
        <v>197</v>
      </c>
      <c r="D91" s="278" t="s">
        <v>238</v>
      </c>
      <c r="E91" s="278" t="s">
        <v>239</v>
      </c>
      <c r="F91" s="457" t="s">
        <v>240</v>
      </c>
      <c r="G91" s="457" t="s">
        <v>117</v>
      </c>
    </row>
    <row r="92" spans="1:7" ht="30.6" x14ac:dyDescent="0.3">
      <c r="A92" s="278">
        <v>5</v>
      </c>
      <c r="B92" s="278" t="s">
        <v>345</v>
      </c>
      <c r="C92" s="274" t="s">
        <v>281</v>
      </c>
      <c r="D92" s="278" t="s">
        <v>183</v>
      </c>
      <c r="E92" s="456">
        <v>1</v>
      </c>
      <c r="F92" s="457">
        <v>419.61</v>
      </c>
      <c r="G92" s="457">
        <v>419.61</v>
      </c>
    </row>
    <row r="93" spans="1:7" ht="20.399999999999999" x14ac:dyDescent="0.3">
      <c r="A93" s="277" t="s">
        <v>378</v>
      </c>
      <c r="B93" s="277" t="s">
        <v>201</v>
      </c>
      <c r="C93" s="110" t="s">
        <v>379</v>
      </c>
      <c r="D93" s="277" t="s">
        <v>203</v>
      </c>
      <c r="E93" s="188">
        <v>0.21379999999999999</v>
      </c>
      <c r="F93" s="189">
        <v>20.59</v>
      </c>
      <c r="G93" s="189">
        <v>4.4000000000000004</v>
      </c>
    </row>
    <row r="94" spans="1:7" x14ac:dyDescent="0.3">
      <c r="A94" s="277" t="s">
        <v>204</v>
      </c>
      <c r="B94" s="277" t="s">
        <v>201</v>
      </c>
      <c r="C94" s="110" t="s">
        <v>332</v>
      </c>
      <c r="D94" s="277" t="s">
        <v>203</v>
      </c>
      <c r="E94" s="188">
        <v>0.64129999999999998</v>
      </c>
      <c r="F94" s="189">
        <v>20.100000000000001</v>
      </c>
      <c r="G94" s="189">
        <v>12.89</v>
      </c>
    </row>
    <row r="95" spans="1:7" ht="30.6" x14ac:dyDescent="0.3">
      <c r="A95" s="277" t="s">
        <v>384</v>
      </c>
      <c r="B95" s="277" t="s">
        <v>201</v>
      </c>
      <c r="C95" s="110" t="s">
        <v>385</v>
      </c>
      <c r="D95" s="277" t="s">
        <v>205</v>
      </c>
      <c r="E95" s="188">
        <v>2.3699999999999999E-2</v>
      </c>
      <c r="F95" s="189">
        <v>1015.08</v>
      </c>
      <c r="G95" s="189">
        <v>24.05</v>
      </c>
    </row>
    <row r="96" spans="1:7" ht="20.399999999999999" x14ac:dyDescent="0.3">
      <c r="A96" s="277" t="s">
        <v>386</v>
      </c>
      <c r="B96" s="277" t="s">
        <v>201</v>
      </c>
      <c r="C96" s="110" t="s">
        <v>387</v>
      </c>
      <c r="D96" s="277" t="s">
        <v>206</v>
      </c>
      <c r="E96" s="188">
        <v>3.3</v>
      </c>
      <c r="F96" s="189">
        <v>114.63</v>
      </c>
      <c r="G96" s="189">
        <v>378.27</v>
      </c>
    </row>
    <row r="97" spans="5:7" x14ac:dyDescent="0.3">
      <c r="E97" s="471" t="s">
        <v>388</v>
      </c>
      <c r="F97" s="471"/>
      <c r="G97" s="472">
        <v>537.67999999999995</v>
      </c>
    </row>
  </sheetData>
  <mergeCells count="24">
    <mergeCell ref="E75:F75"/>
    <mergeCell ref="E81:F81"/>
    <mergeCell ref="E89:F89"/>
    <mergeCell ref="E97:F97"/>
    <mergeCell ref="E30:F30"/>
    <mergeCell ref="E42:F42"/>
    <mergeCell ref="E59:F59"/>
    <mergeCell ref="E69:F69"/>
    <mergeCell ref="A44:F44"/>
    <mergeCell ref="A45:B45"/>
    <mergeCell ref="A48:B48"/>
    <mergeCell ref="E49:F49"/>
    <mergeCell ref="A32:F32"/>
    <mergeCell ref="A33:B33"/>
    <mergeCell ref="A43:G43"/>
    <mergeCell ref="A23:G23"/>
    <mergeCell ref="A1:G2"/>
    <mergeCell ref="A3:C3"/>
    <mergeCell ref="F3:F4"/>
    <mergeCell ref="G3:G4"/>
    <mergeCell ref="D4:E4"/>
    <mergeCell ref="A5:G5"/>
    <mergeCell ref="E22:F22"/>
    <mergeCell ref="E15:F15"/>
  </mergeCells>
  <pageMargins left="0.51181102362204722" right="0.51181102362204722" top="1.7716535433070868" bottom="1.1811023622047245" header="0.51181102362204722" footer="0.51181102362204722"/>
  <pageSetup paperSize="9" scale="71" fitToHeight="0" orientation="portrait" r:id="rId1"/>
  <headerFooter>
    <oddHeader>&amp;C&amp;G</oddHeader>
    <oddFooter xml:space="preserve">&amp;R
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3" tint="0.79998168889431442"/>
    <pageSetUpPr fitToPage="1"/>
  </sheetPr>
  <dimension ref="A1:K73"/>
  <sheetViews>
    <sheetView workbookViewId="0">
      <selection activeCell="D72" sqref="D72"/>
    </sheetView>
  </sheetViews>
  <sheetFormatPr defaultRowHeight="14.4" x14ac:dyDescent="0.3"/>
  <cols>
    <col min="1" max="1" width="15.6640625" style="106" customWidth="1"/>
    <col min="2" max="2" width="36.33203125" style="106" bestFit="1" customWidth="1"/>
    <col min="3" max="3" width="7.109375" style="107" bestFit="1" customWidth="1"/>
    <col min="4" max="4" width="13.44140625" style="108" bestFit="1" customWidth="1"/>
    <col min="5" max="5" width="15.6640625" style="107" customWidth="1"/>
    <col min="6" max="6" width="19.33203125" style="107" customWidth="1"/>
    <col min="7" max="7" width="13.5546875" style="108" bestFit="1" customWidth="1"/>
    <col min="8" max="8" width="9.109375" style="108"/>
    <col min="9" max="11" width="0" hidden="1" customWidth="1"/>
  </cols>
  <sheetData>
    <row r="1" spans="1:11" x14ac:dyDescent="0.3">
      <c r="A1" s="438" t="s">
        <v>220</v>
      </c>
      <c r="B1" s="439"/>
      <c r="C1" s="439"/>
      <c r="D1" s="439"/>
      <c r="E1" s="439"/>
      <c r="F1" s="439"/>
      <c r="G1" s="439"/>
      <c r="H1" s="439"/>
    </row>
    <row r="2" spans="1:11" x14ac:dyDescent="0.3">
      <c r="A2" s="440" t="s">
        <v>320</v>
      </c>
      <c r="B2" s="440"/>
      <c r="C2" s="440"/>
      <c r="D2" s="440"/>
      <c r="E2" s="440"/>
      <c r="F2" s="440"/>
      <c r="G2" s="440"/>
      <c r="H2" s="440"/>
    </row>
    <row r="3" spans="1:11" x14ac:dyDescent="0.3">
      <c r="A3" s="440" t="s">
        <v>321</v>
      </c>
      <c r="B3" s="440"/>
      <c r="C3" s="440"/>
      <c r="D3" s="440"/>
      <c r="E3" s="440"/>
      <c r="F3" s="440"/>
      <c r="G3" s="440"/>
      <c r="H3" s="440"/>
    </row>
    <row r="5" spans="1:11" x14ac:dyDescent="0.3">
      <c r="A5" s="441" t="s">
        <v>42</v>
      </c>
      <c r="B5" s="442"/>
      <c r="C5" s="442"/>
      <c r="D5" s="442"/>
      <c r="E5" s="442"/>
      <c r="F5" s="442"/>
      <c r="G5" s="442"/>
      <c r="H5" s="443"/>
    </row>
    <row r="6" spans="1:11" x14ac:dyDescent="0.3">
      <c r="A6" s="151"/>
      <c r="B6" s="444"/>
      <c r="C6" s="444"/>
      <c r="D6" s="444"/>
      <c r="E6" s="444"/>
      <c r="F6" s="152"/>
      <c r="G6" s="152"/>
      <c r="H6" s="153"/>
    </row>
    <row r="7" spans="1:11" x14ac:dyDescent="0.3">
      <c r="A7" s="154"/>
      <c r="B7" s="155"/>
      <c r="C7" s="155"/>
      <c r="D7" s="155"/>
      <c r="E7" s="155"/>
      <c r="F7" s="155"/>
      <c r="G7" s="155"/>
      <c r="H7" s="156"/>
      <c r="I7" s="37"/>
      <c r="J7" s="38"/>
      <c r="K7" s="38"/>
    </row>
    <row r="8" spans="1:11" x14ac:dyDescent="0.3">
      <c r="A8" s="445" t="s">
        <v>43</v>
      </c>
      <c r="B8" s="446"/>
      <c r="C8" s="39"/>
      <c r="D8" s="39"/>
      <c r="E8" s="39"/>
      <c r="F8" s="39"/>
      <c r="G8" s="39"/>
      <c r="H8" s="40"/>
      <c r="I8" s="37"/>
      <c r="J8" s="38"/>
      <c r="K8" s="38"/>
    </row>
    <row r="9" spans="1:11" x14ac:dyDescent="0.3">
      <c r="A9" s="145"/>
      <c r="B9" s="41"/>
      <c r="C9" s="39"/>
      <c r="D9" s="39"/>
      <c r="E9" s="39"/>
      <c r="F9" s="39"/>
      <c r="G9" s="39"/>
      <c r="H9" s="40"/>
      <c r="I9" s="37"/>
      <c r="J9" s="38"/>
      <c r="K9" s="38"/>
    </row>
    <row r="10" spans="1:11" x14ac:dyDescent="0.3">
      <c r="A10" s="42"/>
      <c r="B10" s="43" t="s">
        <v>10</v>
      </c>
      <c r="C10" s="44" t="s">
        <v>44</v>
      </c>
      <c r="D10" s="45">
        <f>IF(C10="x",1,0)</f>
        <v>1</v>
      </c>
      <c r="E10" s="46"/>
      <c r="F10" s="47"/>
      <c r="G10" s="48"/>
      <c r="H10" s="49">
        <f>IF(F10="x",1,0)</f>
        <v>0</v>
      </c>
      <c r="I10" s="37"/>
      <c r="J10" s="38"/>
      <c r="K10" s="38"/>
    </row>
    <row r="11" spans="1:11" x14ac:dyDescent="0.3">
      <c r="A11" s="42"/>
      <c r="B11" s="43" t="s">
        <v>9</v>
      </c>
      <c r="C11" s="44"/>
      <c r="D11" s="45">
        <f>IF(C11="x",1,0)</f>
        <v>0</v>
      </c>
      <c r="E11" s="50"/>
      <c r="F11" s="47"/>
      <c r="G11" s="48"/>
      <c r="H11" s="49">
        <f>IF(F11="x",1,0)</f>
        <v>0</v>
      </c>
      <c r="I11" s="37"/>
      <c r="J11" s="38"/>
      <c r="K11" s="38"/>
    </row>
    <row r="12" spans="1:11" ht="15" thickBot="1" x14ac:dyDescent="0.35">
      <c r="A12" s="51"/>
      <c r="B12" s="447" t="str">
        <f>IF(D12&gt;1,"SELECIONE SOMENTE UM TIPO DE BDI",IF(D12=0,"SELECIONE UM TIPO DE BDI",""))</f>
        <v/>
      </c>
      <c r="C12" s="447"/>
      <c r="D12" s="52">
        <f>SUM(D10:D11)</f>
        <v>1</v>
      </c>
      <c r="E12" s="448"/>
      <c r="F12" s="448"/>
      <c r="G12" s="448"/>
      <c r="H12" s="53">
        <f>SUM(H10:H11)</f>
        <v>0</v>
      </c>
      <c r="I12" s="37"/>
      <c r="J12" s="38"/>
      <c r="K12" s="38"/>
    </row>
    <row r="13" spans="1:11" ht="15" thickBot="1" x14ac:dyDescent="0.35">
      <c r="A13" s="39"/>
      <c r="B13" s="39"/>
      <c r="C13" s="39"/>
      <c r="D13" s="39"/>
      <c r="E13" s="39"/>
      <c r="F13" s="39"/>
      <c r="G13" s="55"/>
      <c r="H13" s="55"/>
      <c r="I13" s="37"/>
      <c r="J13" s="38"/>
      <c r="K13" s="38"/>
    </row>
    <row r="14" spans="1:11" x14ac:dyDescent="0.3">
      <c r="A14" s="432" t="s">
        <v>45</v>
      </c>
      <c r="B14" s="433"/>
      <c r="C14" s="147"/>
      <c r="D14" s="147"/>
      <c r="E14" s="147"/>
      <c r="F14" s="147"/>
      <c r="G14" s="54"/>
      <c r="H14" s="157"/>
      <c r="I14" s="37">
        <f>IF(H22&lt;&gt;0,VLOOKUP("x",G16:I21,3,FALSE),0)</f>
        <v>2</v>
      </c>
      <c r="J14" s="38"/>
      <c r="K14" s="38"/>
    </row>
    <row r="15" spans="1:11" x14ac:dyDescent="0.3">
      <c r="A15" s="145"/>
      <c r="B15" s="41"/>
      <c r="C15" s="39"/>
      <c r="D15" s="39"/>
      <c r="E15" s="39"/>
      <c r="F15" s="39"/>
      <c r="G15" s="55"/>
      <c r="H15" s="158"/>
      <c r="I15" s="37"/>
      <c r="J15" s="38"/>
      <c r="K15" s="38"/>
    </row>
    <row r="16" spans="1:11" x14ac:dyDescent="0.3">
      <c r="A16" s="56"/>
      <c r="B16" s="39"/>
      <c r="C16" s="39"/>
      <c r="D16" s="39"/>
      <c r="E16" s="39"/>
      <c r="F16" s="57" t="s">
        <v>46</v>
      </c>
      <c r="G16" s="44"/>
      <c r="H16" s="49">
        <f t="shared" ref="H16:H21" si="0">IF(G16="x",1,0)</f>
        <v>0</v>
      </c>
      <c r="I16" s="37">
        <v>1</v>
      </c>
      <c r="J16" s="38"/>
      <c r="K16" s="38"/>
    </row>
    <row r="17" spans="1:11" x14ac:dyDescent="0.3">
      <c r="A17" s="56"/>
      <c r="B17" s="39"/>
      <c r="C17" s="39"/>
      <c r="D17" s="39"/>
      <c r="E17" s="39"/>
      <c r="F17" s="57" t="s">
        <v>47</v>
      </c>
      <c r="G17" s="44" t="s">
        <v>44</v>
      </c>
      <c r="H17" s="49">
        <f t="shared" si="0"/>
        <v>1</v>
      </c>
      <c r="I17" s="37">
        <v>2</v>
      </c>
      <c r="J17" s="38"/>
      <c r="K17" s="38"/>
    </row>
    <row r="18" spans="1:11" x14ac:dyDescent="0.3">
      <c r="A18" s="56"/>
      <c r="B18" s="39"/>
      <c r="C18" s="39"/>
      <c r="D18" s="39"/>
      <c r="E18" s="39"/>
      <c r="F18" s="57" t="s">
        <v>48</v>
      </c>
      <c r="G18" s="44"/>
      <c r="H18" s="49">
        <f t="shared" si="0"/>
        <v>0</v>
      </c>
      <c r="I18" s="37">
        <v>3</v>
      </c>
      <c r="J18" s="38"/>
      <c r="K18" s="38"/>
    </row>
    <row r="19" spans="1:11" x14ac:dyDescent="0.3">
      <c r="A19" s="56"/>
      <c r="B19" s="39"/>
      <c r="C19" s="39"/>
      <c r="D19" s="39"/>
      <c r="E19" s="39"/>
      <c r="F19" s="57" t="s">
        <v>49</v>
      </c>
      <c r="G19" s="44"/>
      <c r="H19" s="49">
        <f t="shared" si="0"/>
        <v>0</v>
      </c>
      <c r="I19" s="37">
        <v>4</v>
      </c>
      <c r="J19" s="38"/>
      <c r="K19" s="38"/>
    </row>
    <row r="20" spans="1:11" x14ac:dyDescent="0.3">
      <c r="A20" s="56"/>
      <c r="B20" s="39"/>
      <c r="C20" s="39"/>
      <c r="D20" s="39"/>
      <c r="E20" s="39"/>
      <c r="F20" s="57" t="s">
        <v>50</v>
      </c>
      <c r="G20" s="44"/>
      <c r="H20" s="49">
        <f t="shared" si="0"/>
        <v>0</v>
      </c>
      <c r="I20" s="37">
        <v>5</v>
      </c>
      <c r="J20" s="38"/>
      <c r="K20" s="38"/>
    </row>
    <row r="21" spans="1:11" x14ac:dyDescent="0.3">
      <c r="A21" s="56"/>
      <c r="B21" s="436" t="str">
        <f>IF(AND(C10="x",G21="x"),"NÃO HÁ DESONERAÇÃO PARA FORNECIMENTO DE MATERIAIS","")</f>
        <v/>
      </c>
      <c r="C21" s="436"/>
      <c r="D21" s="436"/>
      <c r="E21" s="39"/>
      <c r="F21" s="57" t="s">
        <v>51</v>
      </c>
      <c r="G21" s="44"/>
      <c r="H21" s="49">
        <f t="shared" si="0"/>
        <v>0</v>
      </c>
      <c r="I21" s="37">
        <v>6</v>
      </c>
      <c r="J21" s="38"/>
      <c r="K21" s="38"/>
    </row>
    <row r="22" spans="1:11" ht="15" thickBot="1" x14ac:dyDescent="0.35">
      <c r="A22" s="51"/>
      <c r="B22" s="437" t="str">
        <f>IF(H22&gt;1,"SELECIONE SOMENTE UM TIPO DE SERVIÇO",IF(H22=0,"SELECIONE UM TIPO DE SERVIÇO",""))</f>
        <v/>
      </c>
      <c r="C22" s="437"/>
      <c r="D22" s="144"/>
      <c r="E22" s="144"/>
      <c r="F22" s="58"/>
      <c r="G22" s="59"/>
      <c r="H22" s="53">
        <f>SUM(H16:H21)</f>
        <v>1</v>
      </c>
      <c r="I22" s="37"/>
      <c r="J22" s="38"/>
      <c r="K22" s="38"/>
    </row>
    <row r="23" spans="1:11" ht="15" thickBot="1" x14ac:dyDescent="0.35">
      <c r="A23" s="39"/>
      <c r="B23" s="39"/>
      <c r="C23" s="39"/>
      <c r="D23" s="39"/>
      <c r="E23" s="146"/>
      <c r="F23" s="146"/>
      <c r="G23" s="48"/>
      <c r="H23" s="48"/>
      <c r="I23" s="37"/>
      <c r="J23" s="38"/>
      <c r="K23" s="38"/>
    </row>
    <row r="24" spans="1:11" x14ac:dyDescent="0.3">
      <c r="A24" s="432" t="s">
        <v>52</v>
      </c>
      <c r="B24" s="433"/>
      <c r="C24" s="147"/>
      <c r="D24" s="147"/>
      <c r="E24" s="434"/>
      <c r="F24" s="434"/>
      <c r="G24" s="61" t="s">
        <v>21</v>
      </c>
      <c r="H24" s="62"/>
      <c r="I24" s="37"/>
      <c r="J24" s="38"/>
      <c r="K24" s="38"/>
    </row>
    <row r="25" spans="1:11" x14ac:dyDescent="0.3">
      <c r="A25" s="63"/>
      <c r="B25" s="146"/>
      <c r="C25" s="146"/>
      <c r="D25" s="146"/>
      <c r="E25" s="146"/>
      <c r="F25" s="146"/>
      <c r="G25" s="48"/>
      <c r="H25" s="64"/>
      <c r="I25" s="37"/>
      <c r="J25" s="38" t="s">
        <v>53</v>
      </c>
      <c r="K25" s="38" t="s">
        <v>54</v>
      </c>
    </row>
    <row r="26" spans="1:11" x14ac:dyDescent="0.3">
      <c r="A26" s="63"/>
      <c r="B26" s="65" t="s">
        <v>55</v>
      </c>
      <c r="C26" s="66"/>
      <c r="D26" s="66" t="str">
        <f>IF(AND(G26&gt;=J26,G26&lt;=K26),"","FORA DO LIMITE")</f>
        <v/>
      </c>
      <c r="E26" s="66"/>
      <c r="F26" s="67" t="s">
        <v>56</v>
      </c>
      <c r="G26" s="68">
        <v>3.7999999999999999E-2</v>
      </c>
      <c r="H26" s="64"/>
      <c r="I26" s="37"/>
      <c r="J26" s="38">
        <f>VLOOKUP($I$13,[7]Referências!A13:D19,2,FALSE)</f>
        <v>0</v>
      </c>
      <c r="K26" s="38">
        <f>VLOOKUP($I$13,[7]Referências!A13:D19,4,FALSE)</f>
        <v>1</v>
      </c>
    </row>
    <row r="27" spans="1:11" x14ac:dyDescent="0.3">
      <c r="A27" s="63"/>
      <c r="B27" s="69"/>
      <c r="C27" s="146"/>
      <c r="D27" s="146"/>
      <c r="E27" s="146"/>
      <c r="F27" s="57"/>
      <c r="G27" s="70"/>
      <c r="H27" s="64"/>
      <c r="I27" s="37"/>
      <c r="J27" s="38"/>
      <c r="K27" s="38"/>
    </row>
    <row r="28" spans="1:11" x14ac:dyDescent="0.3">
      <c r="A28" s="63"/>
      <c r="B28" s="65" t="s">
        <v>57</v>
      </c>
      <c r="C28" s="66"/>
      <c r="D28" s="66" t="str">
        <f>IF(AND(G28&gt;=J28,G28&lt;=K28),"","FORA DO LIMITE")</f>
        <v/>
      </c>
      <c r="E28" s="66"/>
      <c r="F28" s="67" t="s">
        <v>58</v>
      </c>
      <c r="G28" s="71">
        <v>1.0200000000000001E-2</v>
      </c>
      <c r="H28" s="72"/>
      <c r="I28" s="37"/>
      <c r="J28" s="38">
        <f>VLOOKUP($I$13,[7]Referências!A40:D46,2,FALSE)</f>
        <v>0</v>
      </c>
      <c r="K28" s="38">
        <f>VLOOKUP($I$13,[7]Referências!A40:D46,4,FALSE)</f>
        <v>1</v>
      </c>
    </row>
    <row r="29" spans="1:11" x14ac:dyDescent="0.3">
      <c r="A29" s="63"/>
      <c r="B29" s="69"/>
      <c r="C29" s="146"/>
      <c r="D29" s="146"/>
      <c r="E29" s="146"/>
      <c r="F29" s="57"/>
      <c r="G29" s="73"/>
      <c r="H29" s="72"/>
      <c r="I29" s="37"/>
      <c r="J29" s="38"/>
      <c r="K29" s="38"/>
    </row>
    <row r="30" spans="1:11" x14ac:dyDescent="0.3">
      <c r="A30" s="63"/>
      <c r="B30" s="74" t="s">
        <v>59</v>
      </c>
      <c r="C30" s="75"/>
      <c r="D30" s="75"/>
      <c r="E30" s="75"/>
      <c r="F30" s="76"/>
      <c r="G30" s="77"/>
      <c r="H30" s="78"/>
      <c r="I30" s="37"/>
      <c r="J30" s="38"/>
      <c r="K30" s="38"/>
    </row>
    <row r="31" spans="1:11" x14ac:dyDescent="0.3">
      <c r="A31" s="63"/>
      <c r="B31" s="148"/>
      <c r="C31" s="146"/>
      <c r="D31" s="146" t="str">
        <f>IF(AND(G31&gt;=J31,G31&lt;=K31),"","FORA DO LIMITE")</f>
        <v/>
      </c>
      <c r="E31" s="146"/>
      <c r="F31" s="57" t="s">
        <v>60</v>
      </c>
      <c r="G31" s="79">
        <v>3.2000000000000002E-3</v>
      </c>
      <c r="H31" s="80"/>
      <c r="I31" s="37"/>
      <c r="J31" s="38">
        <f>VLOOKUP($I$13,[7]Referências!A22:D28,2,FALSE)</f>
        <v>0</v>
      </c>
      <c r="K31" s="38">
        <f>VLOOKUP($I$13,[7]Referências!A22:D28,4,FALSE)</f>
        <v>1</v>
      </c>
    </row>
    <row r="32" spans="1:11" x14ac:dyDescent="0.3">
      <c r="A32" s="63"/>
      <c r="B32" s="81"/>
      <c r="C32" s="82"/>
      <c r="D32" s="82" t="str">
        <f>IF(AND(G32&gt;=J32,G32&lt;=K32),"","FORA DO LIMITE")</f>
        <v/>
      </c>
      <c r="E32" s="82"/>
      <c r="F32" s="83" t="s">
        <v>61</v>
      </c>
      <c r="G32" s="84">
        <v>7.1999999999999998E-3</v>
      </c>
      <c r="H32" s="64"/>
      <c r="I32" s="37"/>
      <c r="J32" s="38">
        <f>VLOOKUP($I$13,[7]Referências!A31:D37,2,FALSE)</f>
        <v>0</v>
      </c>
      <c r="K32" s="38">
        <f>VLOOKUP($I$13,[7]Referências!A31:D37,4,FALSE)</f>
        <v>1</v>
      </c>
    </row>
    <row r="33" spans="1:11" x14ac:dyDescent="0.3">
      <c r="A33" s="63"/>
      <c r="B33" s="146"/>
      <c r="C33" s="146"/>
      <c r="D33" s="146"/>
      <c r="E33" s="146"/>
      <c r="F33" s="57"/>
      <c r="G33" s="73"/>
      <c r="H33" s="80"/>
      <c r="I33" s="37"/>
      <c r="J33" s="38"/>
      <c r="K33" s="38"/>
    </row>
    <row r="34" spans="1:11" x14ac:dyDescent="0.3">
      <c r="A34" s="63"/>
      <c r="B34" s="43" t="s">
        <v>62</v>
      </c>
      <c r="C34" s="66"/>
      <c r="D34" s="66" t="str">
        <f t="shared" ref="D34" si="1">IF(AND(G34&gt;=J34,G34&lt;=K34),"","FORA DO LIMITE")</f>
        <v/>
      </c>
      <c r="E34" s="66"/>
      <c r="F34" s="67" t="s">
        <v>63</v>
      </c>
      <c r="G34" s="71">
        <v>7.4999999999999997E-2</v>
      </c>
      <c r="H34" s="80"/>
      <c r="I34" s="37"/>
      <c r="J34" s="38">
        <f>VLOOKUP($I$13,[7]Referências!A49:D55,2,FALSE)</f>
        <v>0</v>
      </c>
      <c r="K34" s="38">
        <f>VLOOKUP($I$13,[7]Referências!A49:D55,4,FALSE)</f>
        <v>1</v>
      </c>
    </row>
    <row r="35" spans="1:11" x14ac:dyDescent="0.3">
      <c r="A35" s="63"/>
      <c r="B35" s="146"/>
      <c r="C35" s="146"/>
      <c r="D35" s="146"/>
      <c r="E35" s="146"/>
      <c r="F35" s="57"/>
      <c r="G35" s="73"/>
      <c r="H35" s="80"/>
      <c r="I35" s="37"/>
      <c r="J35" s="38"/>
      <c r="K35" s="38"/>
    </row>
    <row r="36" spans="1:11" x14ac:dyDescent="0.3">
      <c r="A36" s="63"/>
      <c r="B36" s="74" t="s">
        <v>64</v>
      </c>
      <c r="C36" s="75"/>
      <c r="D36" s="75"/>
      <c r="E36" s="75"/>
      <c r="F36" s="76"/>
      <c r="G36" s="77"/>
      <c r="H36" s="80"/>
      <c r="I36" s="37"/>
      <c r="J36" s="38"/>
      <c r="K36" s="38"/>
    </row>
    <row r="37" spans="1:11" x14ac:dyDescent="0.3">
      <c r="A37" s="63"/>
      <c r="B37" s="85"/>
      <c r="C37" s="146"/>
      <c r="D37" s="146"/>
      <c r="E37" s="146"/>
      <c r="F37" s="57" t="str">
        <f>IF(AND(C10="X",C10&lt;&gt;C11,I14&lt;&gt;6,F11&lt;&gt;"X"),"INSS =","")</f>
        <v>INSS =</v>
      </c>
      <c r="G37" s="86">
        <f>IF(AND(C10="x",I14&lt;&gt;6,B12&lt;&gt;"SELECIONE SOMENTE UM TIPO DE BDI"),K37,"")</f>
        <v>4.4999999999999998E-2</v>
      </c>
      <c r="H37" s="87"/>
      <c r="I37" s="37"/>
      <c r="J37" s="38">
        <v>0</v>
      </c>
      <c r="K37" s="38">
        <v>4.4999999999999998E-2</v>
      </c>
    </row>
    <row r="38" spans="1:11" x14ac:dyDescent="0.3">
      <c r="A38" s="63"/>
      <c r="B38" s="435" t="str">
        <f>IF(AND(G38&lt;&gt;"",I14=6),"APAGUE O PERCENTUAL DESTA LINHA","")</f>
        <v/>
      </c>
      <c r="C38" s="436"/>
      <c r="D38" s="146" t="str">
        <f>IF(B38="APAGUE O PERCENTUAL DESTA LINHA","",IF(AND(G38&gt;=J38,G38&lt;=K38),"","FORA DO LIMITE"))</f>
        <v/>
      </c>
      <c r="E38" s="146"/>
      <c r="F38" s="57" t="str">
        <f>IF(I14=6,"","ISSQN =")</f>
        <v>ISSQN =</v>
      </c>
      <c r="G38" s="79">
        <v>0.03</v>
      </c>
      <c r="H38" s="87"/>
      <c r="I38" s="37"/>
      <c r="J38" s="38">
        <v>1.2E-2</v>
      </c>
      <c r="K38" s="38">
        <v>0.03</v>
      </c>
    </row>
    <row r="39" spans="1:11" x14ac:dyDescent="0.3">
      <c r="A39" s="63"/>
      <c r="B39" s="148"/>
      <c r="C39" s="146"/>
      <c r="D39" s="146" t="str">
        <f>IF(AND(G39&gt;=J39,G39&lt;=K39),"","FORA DO LIMITE")</f>
        <v/>
      </c>
      <c r="E39" s="146"/>
      <c r="F39" s="57" t="s">
        <v>65</v>
      </c>
      <c r="G39" s="88">
        <v>6.4999999999999997E-3</v>
      </c>
      <c r="H39" s="87"/>
      <c r="I39" s="37"/>
      <c r="J39" s="38">
        <v>6.4999999999999997E-3</v>
      </c>
      <c r="K39" s="38">
        <v>6.4999999999999997E-3</v>
      </c>
    </row>
    <row r="40" spans="1:11" x14ac:dyDescent="0.3">
      <c r="A40" s="63"/>
      <c r="B40" s="148"/>
      <c r="C40" s="146"/>
      <c r="D40" s="146" t="str">
        <f t="shared" ref="D40" si="2">IF(AND(G40&gt;=J40,G40&lt;=K40),"","FORA DO LIMITE")</f>
        <v/>
      </c>
      <c r="E40" s="146"/>
      <c r="F40" s="57" t="s">
        <v>66</v>
      </c>
      <c r="G40" s="88">
        <v>0.03</v>
      </c>
      <c r="H40" s="87"/>
      <c r="I40" s="37"/>
      <c r="J40" s="38">
        <v>0.03</v>
      </c>
      <c r="K40" s="38">
        <v>0.03</v>
      </c>
    </row>
    <row r="41" spans="1:11" x14ac:dyDescent="0.3">
      <c r="A41" s="63"/>
      <c r="B41" s="148"/>
      <c r="C41" s="146"/>
      <c r="D41" s="146"/>
      <c r="E41" s="146"/>
      <c r="F41" s="57" t="s">
        <v>160</v>
      </c>
      <c r="G41" s="88">
        <v>4.4999999999999998E-2</v>
      </c>
      <c r="H41" s="87"/>
      <c r="I41" s="37"/>
      <c r="J41" s="38"/>
      <c r="K41" s="38"/>
    </row>
    <row r="42" spans="1:11" x14ac:dyDescent="0.3">
      <c r="A42" s="63"/>
      <c r="B42" s="81"/>
      <c r="C42" s="82"/>
      <c r="D42" s="82"/>
      <c r="E42" s="82"/>
      <c r="F42" s="83" t="s">
        <v>67</v>
      </c>
      <c r="G42" s="89">
        <f>SUM(G38:G41)</f>
        <v>0.1115</v>
      </c>
      <c r="H42" s="80"/>
      <c r="I42" s="37"/>
      <c r="J42" s="38"/>
      <c r="K42" s="38"/>
    </row>
    <row r="43" spans="1:11" ht="15" thickBot="1" x14ac:dyDescent="0.35">
      <c r="A43" s="90"/>
      <c r="B43" s="58"/>
      <c r="C43" s="58"/>
      <c r="D43" s="58"/>
      <c r="E43" s="58"/>
      <c r="F43" s="91"/>
      <c r="G43" s="92"/>
      <c r="H43" s="93"/>
      <c r="I43" s="37"/>
      <c r="J43" s="38"/>
      <c r="K43" s="38"/>
    </row>
    <row r="44" spans="1:11" ht="15" thickBot="1" x14ac:dyDescent="0.35">
      <c r="A44" s="146"/>
      <c r="B44" s="146"/>
      <c r="C44" s="146"/>
      <c r="D44" s="146"/>
      <c r="E44" s="146"/>
      <c r="F44" s="159"/>
      <c r="G44" s="160"/>
      <c r="H44" s="161"/>
      <c r="I44" s="37"/>
      <c r="J44" s="38"/>
      <c r="K44" s="38"/>
    </row>
    <row r="45" spans="1:11" x14ac:dyDescent="0.3">
      <c r="A45" s="432" t="s">
        <v>68</v>
      </c>
      <c r="B45" s="433"/>
      <c r="C45" s="147"/>
      <c r="D45" s="147"/>
      <c r="E45" s="147"/>
      <c r="F45" s="147"/>
      <c r="G45" s="61"/>
      <c r="H45" s="62"/>
      <c r="I45" s="37"/>
      <c r="J45" s="38" t="s">
        <v>69</v>
      </c>
      <c r="K45" s="38"/>
    </row>
    <row r="46" spans="1:11" x14ac:dyDescent="0.3">
      <c r="A46" s="63"/>
      <c r="B46" s="146"/>
      <c r="C46" s="146"/>
      <c r="D46" s="146"/>
      <c r="E46" s="146"/>
      <c r="F46" s="146"/>
      <c r="G46" s="48"/>
      <c r="H46" s="64"/>
      <c r="I46" s="37"/>
      <c r="J46" s="94">
        <v>1</v>
      </c>
      <c r="K46" s="38" t="str">
        <f>IF(OR(B12="SELECIONE UM TIPO DE BDI",B12="SELECIONE SOMENTE UM TIPO DE BDI"),"VER TIPO DE BDI","OK")</f>
        <v>OK</v>
      </c>
    </row>
    <row r="47" spans="1:11" x14ac:dyDescent="0.3">
      <c r="A47" s="63"/>
      <c r="B47" s="146"/>
      <c r="C47" s="146"/>
      <c r="D47" s="146"/>
      <c r="E47" s="146"/>
      <c r="F47" s="146"/>
      <c r="G47" s="48"/>
      <c r="H47" s="64"/>
      <c r="I47" s="37"/>
      <c r="J47" s="94">
        <v>2</v>
      </c>
      <c r="K47" s="38" t="str">
        <f>IF(OR(B22="SELECIONE SOMENTE UM TIPO DE SERVIÇO",B22="SELECIONE UM TIPO DE SERVIÇO",B21="NÃO HÁ DESONERAÇÃO PARA FORNECIMENTO DE MATERIAIS"),"VER TIPO DE SERVIÇO","OK")</f>
        <v>OK</v>
      </c>
    </row>
    <row r="48" spans="1:11" x14ac:dyDescent="0.3">
      <c r="A48" s="63"/>
      <c r="B48" s="146"/>
      <c r="C48" s="146"/>
      <c r="D48" s="146"/>
      <c r="E48" s="146"/>
      <c r="F48" s="146"/>
      <c r="G48" s="48"/>
      <c r="H48" s="64"/>
      <c r="I48" s="37"/>
      <c r="J48" s="94">
        <v>3</v>
      </c>
      <c r="K48" s="38" t="str">
        <f t="shared" ref="K48:K49" si="3">IF(OR(B23="SELECIONE SOMENTE UM TIPO DE SERVIÇO",B23="SELECIONE UM TIPO DE SERVIÇO",B22="NÃO HÁ DESONERAÇÃO PARA FORNECIMENTO DE MATERIAIS"),"VER TIPO DE SERVIÇO","OK")</f>
        <v>OK</v>
      </c>
    </row>
    <row r="49" spans="1:11" x14ac:dyDescent="0.3">
      <c r="A49" s="63"/>
      <c r="B49" s="146"/>
      <c r="C49" s="146"/>
      <c r="D49" s="146"/>
      <c r="E49" s="146"/>
      <c r="F49" s="146"/>
      <c r="G49" s="48"/>
      <c r="H49" s="64"/>
      <c r="I49" s="37"/>
      <c r="J49" s="94">
        <v>4</v>
      </c>
      <c r="K49" s="38" t="str">
        <f t="shared" si="3"/>
        <v>OK</v>
      </c>
    </row>
    <row r="50" spans="1:11" x14ac:dyDescent="0.3">
      <c r="A50" s="63"/>
      <c r="B50" s="146"/>
      <c r="C50" s="146"/>
      <c r="D50" s="146"/>
      <c r="E50" s="146"/>
      <c r="F50" s="146"/>
      <c r="G50" s="48"/>
      <c r="H50" s="64"/>
      <c r="I50" s="37"/>
      <c r="J50" s="94"/>
      <c r="K50" s="38"/>
    </row>
    <row r="51" spans="1:11" x14ac:dyDescent="0.3">
      <c r="A51" s="63"/>
      <c r="B51" s="146"/>
      <c r="C51" s="146"/>
      <c r="D51" s="146"/>
      <c r="E51" s="146"/>
      <c r="F51" s="146"/>
      <c r="G51" s="48"/>
      <c r="H51" s="64"/>
      <c r="I51" s="37"/>
      <c r="J51" s="38"/>
      <c r="K51" s="38"/>
    </row>
    <row r="52" spans="1:11" x14ac:dyDescent="0.3">
      <c r="A52" s="63"/>
      <c r="B52" s="146"/>
      <c r="C52" s="146"/>
      <c r="D52" s="146"/>
      <c r="E52" s="146"/>
      <c r="F52" s="146"/>
      <c r="G52" s="48"/>
      <c r="H52" s="64"/>
      <c r="I52" s="37"/>
      <c r="J52" s="38"/>
      <c r="K52" s="38"/>
    </row>
    <row r="53" spans="1:11" x14ac:dyDescent="0.3">
      <c r="A53" s="63" t="s">
        <v>70</v>
      </c>
      <c r="B53" s="46" t="s">
        <v>71</v>
      </c>
      <c r="C53" s="146"/>
      <c r="D53" s="146"/>
      <c r="E53" s="146"/>
      <c r="F53" s="146"/>
      <c r="G53" s="48"/>
      <c r="H53" s="64"/>
      <c r="I53" s="37"/>
      <c r="J53" s="38"/>
      <c r="K53" s="38"/>
    </row>
    <row r="54" spans="1:11" x14ac:dyDescent="0.3">
      <c r="A54" s="63" t="s">
        <v>72</v>
      </c>
      <c r="B54" s="46" t="s">
        <v>73</v>
      </c>
      <c r="C54" s="146"/>
      <c r="D54" s="146"/>
      <c r="E54" s="146"/>
      <c r="F54" s="146"/>
      <c r="G54" s="48"/>
      <c r="H54" s="64"/>
      <c r="I54" s="37"/>
      <c r="J54" s="38"/>
      <c r="K54" s="38"/>
    </row>
    <row r="55" spans="1:11" x14ac:dyDescent="0.3">
      <c r="A55" s="63" t="s">
        <v>74</v>
      </c>
      <c r="B55" s="46" t="s">
        <v>75</v>
      </c>
      <c r="C55" s="146"/>
      <c r="D55" s="146"/>
      <c r="E55" s="146"/>
      <c r="F55" s="146"/>
      <c r="G55" s="48"/>
      <c r="H55" s="64"/>
      <c r="I55" s="37"/>
      <c r="J55" s="38"/>
      <c r="K55" s="38"/>
    </row>
    <row r="56" spans="1:11" x14ac:dyDescent="0.3">
      <c r="A56" s="63" t="s">
        <v>58</v>
      </c>
      <c r="B56" s="46" t="s">
        <v>76</v>
      </c>
      <c r="C56" s="146"/>
      <c r="D56" s="146"/>
      <c r="E56" s="146"/>
      <c r="F56" s="146"/>
      <c r="G56" s="48"/>
      <c r="H56" s="64"/>
      <c r="I56" s="37"/>
      <c r="J56" s="38"/>
      <c r="K56" s="38"/>
    </row>
    <row r="57" spans="1:11" x14ac:dyDescent="0.3">
      <c r="A57" s="63" t="s">
        <v>63</v>
      </c>
      <c r="B57" s="46" t="s">
        <v>77</v>
      </c>
      <c r="C57" s="146"/>
      <c r="D57" s="146"/>
      <c r="E57" s="146"/>
      <c r="F57" s="146"/>
      <c r="G57" s="48"/>
      <c r="H57" s="64"/>
      <c r="I57" s="37"/>
      <c r="J57" s="38"/>
      <c r="K57" s="38"/>
    </row>
    <row r="58" spans="1:11" x14ac:dyDescent="0.3">
      <c r="A58" s="63" t="s">
        <v>78</v>
      </c>
      <c r="B58" s="46" t="s">
        <v>79</v>
      </c>
      <c r="C58" s="146"/>
      <c r="D58" s="146"/>
      <c r="E58" s="146"/>
      <c r="F58" s="146"/>
      <c r="G58" s="48"/>
      <c r="H58" s="64"/>
      <c r="I58" s="37"/>
      <c r="J58" s="38"/>
      <c r="K58" s="38"/>
    </row>
    <row r="59" spans="1:11" ht="15" thickBot="1" x14ac:dyDescent="0.35">
      <c r="A59" s="90"/>
      <c r="B59" s="95"/>
      <c r="C59" s="58"/>
      <c r="D59" s="58"/>
      <c r="E59" s="58"/>
      <c r="F59" s="58"/>
      <c r="G59" s="96"/>
      <c r="H59" s="97"/>
      <c r="I59" s="37"/>
      <c r="J59" s="38"/>
      <c r="K59" s="38"/>
    </row>
    <row r="60" spans="1:11" ht="15" thickBot="1" x14ac:dyDescent="0.35">
      <c r="A60" s="146"/>
      <c r="B60" s="46"/>
      <c r="C60" s="146"/>
      <c r="D60" s="146"/>
      <c r="E60" s="146"/>
      <c r="F60" s="146"/>
      <c r="G60" s="48"/>
      <c r="H60" s="48"/>
      <c r="I60" s="37"/>
      <c r="J60" s="38"/>
      <c r="K60" s="38"/>
    </row>
    <row r="61" spans="1:11" x14ac:dyDescent="0.3">
      <c r="A61" s="432" t="s">
        <v>80</v>
      </c>
      <c r="B61" s="433"/>
      <c r="C61" s="98"/>
      <c r="D61" s="98"/>
      <c r="E61" s="433" t="s">
        <v>81</v>
      </c>
      <c r="F61" s="433"/>
      <c r="G61" s="61"/>
      <c r="H61" s="62"/>
      <c r="I61" s="99">
        <f>SUM(1+G26,G31,G32)</f>
        <v>1.0484000000000002</v>
      </c>
      <c r="J61" s="38"/>
      <c r="K61" s="38"/>
    </row>
    <row r="62" spans="1:11" x14ac:dyDescent="0.3">
      <c r="A62" s="145"/>
      <c r="B62" s="41"/>
      <c r="C62" s="146"/>
      <c r="D62" s="146"/>
      <c r="E62" s="146"/>
      <c r="F62" s="146"/>
      <c r="G62" s="48"/>
      <c r="H62" s="64"/>
      <c r="I62" s="37">
        <f>1+G28</f>
        <v>1.0102</v>
      </c>
      <c r="J62" s="38"/>
      <c r="K62" s="38"/>
    </row>
    <row r="63" spans="1:11" x14ac:dyDescent="0.3">
      <c r="A63" s="63"/>
      <c r="B63" s="100" t="s">
        <v>82</v>
      </c>
      <c r="C63" s="101">
        <v>0.19600000000000001</v>
      </c>
      <c r="D63" s="69" t="str">
        <f>IF(AND(C63&gt;I66,C11="X"),"BDI ABAIXO","")</f>
        <v/>
      </c>
      <c r="E63" s="100" t="s">
        <v>82</v>
      </c>
      <c r="F63" s="101">
        <v>0.25600000000000001</v>
      </c>
      <c r="G63" s="69" t="str">
        <f>IF(AND(F63&gt;I66,C10="X"),"BDI ABAIXO","")</f>
        <v/>
      </c>
      <c r="H63" s="64"/>
      <c r="I63" s="37">
        <f>1+G34</f>
        <v>1.075</v>
      </c>
      <c r="J63" s="38"/>
      <c r="K63" s="38"/>
    </row>
    <row r="64" spans="1:11" x14ac:dyDescent="0.3">
      <c r="A64" s="63"/>
      <c r="B64" s="100" t="s">
        <v>83</v>
      </c>
      <c r="C64" s="101">
        <v>0.24229999999999999</v>
      </c>
      <c r="D64" s="146"/>
      <c r="E64" s="100" t="s">
        <v>83</v>
      </c>
      <c r="F64" s="101">
        <v>0.30520000000000003</v>
      </c>
      <c r="G64" s="69" t="str">
        <f>IF(AND(F64&lt;I66,C10="X"),"BDI ACIMA","")</f>
        <v/>
      </c>
      <c r="H64" s="64"/>
      <c r="I64" s="37">
        <f>1-G42</f>
        <v>0.88849999999999996</v>
      </c>
      <c r="J64" s="38"/>
      <c r="K64" s="38"/>
    </row>
    <row r="65" spans="1:11" ht="15" thickBot="1" x14ac:dyDescent="0.35">
      <c r="A65" s="90"/>
      <c r="B65" s="95"/>
      <c r="C65" s="58"/>
      <c r="D65" s="102"/>
      <c r="E65" s="58"/>
      <c r="F65" s="102"/>
      <c r="G65" s="96"/>
      <c r="H65" s="97"/>
      <c r="I65" s="37">
        <f>I61*I62*I63/I64</f>
        <v>1.2814020326392799</v>
      </c>
      <c r="J65" s="38"/>
      <c r="K65" s="38"/>
    </row>
    <row r="66" spans="1:11" ht="15" thickBot="1" x14ac:dyDescent="0.35">
      <c r="A66" s="146"/>
      <c r="B66" s="146"/>
      <c r="C66" s="146"/>
      <c r="D66" s="146"/>
      <c r="E66" s="146"/>
      <c r="F66" s="146"/>
      <c r="G66" s="48"/>
      <c r="H66" s="48"/>
      <c r="I66" s="37">
        <f>ROUND(I65-1,4)</f>
        <v>0.28139999999999998</v>
      </c>
      <c r="J66" s="38"/>
      <c r="K66" s="38"/>
    </row>
    <row r="67" spans="1:11" ht="15" thickBot="1" x14ac:dyDescent="0.35">
      <c r="A67" s="146"/>
      <c r="B67" s="146"/>
      <c r="C67" s="146"/>
      <c r="D67" s="162"/>
      <c r="E67" s="426" t="s">
        <v>84</v>
      </c>
      <c r="F67" s="427"/>
      <c r="G67" s="163">
        <f>IF(AND(K46="OK",K47="OK",K48="OK",K49="OK"),I66,IF(K46="VER TIPO DE BDI","VER TIPO DE BDI",IF(K47="VER TIPO DE SERVIÇO","VER TIPO DE SERVIÇO",IF(K48="VER PERCENTUAIS","VER PERCENTUAIS",IF(K49="BDI FORA DO LIMITE","BDI FORA DO LIMITE","VÁRIOS ERROS")))))</f>
        <v>0.28139999999999998</v>
      </c>
      <c r="H67" s="164" t="str">
        <f>IF(AND(M67&gt;=P67,M67&lt;=Q67),"","FORA DO LIMITE")</f>
        <v/>
      </c>
      <c r="I67" s="103">
        <f>G73</f>
        <v>0.28139999999999998</v>
      </c>
      <c r="J67" s="38"/>
      <c r="K67" s="38"/>
    </row>
    <row r="68" spans="1:11" x14ac:dyDescent="0.3">
      <c r="A68" s="146"/>
      <c r="B68" s="146"/>
      <c r="C68" s="146"/>
      <c r="D68" s="146"/>
      <c r="E68" s="39"/>
      <c r="F68" s="39"/>
      <c r="G68" s="165"/>
      <c r="H68" s="165"/>
      <c r="I68" s="104"/>
      <c r="J68" s="38"/>
      <c r="K68" s="38"/>
    </row>
    <row r="69" spans="1:11" x14ac:dyDescent="0.3">
      <c r="A69" s="39"/>
      <c r="B69" s="41" t="s">
        <v>85</v>
      </c>
      <c r="C69" s="39"/>
      <c r="D69" s="39"/>
      <c r="E69" s="146"/>
      <c r="F69" s="146"/>
      <c r="G69" s="146"/>
      <c r="H69" s="146"/>
      <c r="I69" s="104"/>
      <c r="J69" s="38"/>
      <c r="K69" s="38"/>
    </row>
    <row r="70" spans="1:11" x14ac:dyDescent="0.3">
      <c r="A70" s="46"/>
      <c r="B70" s="8" t="s">
        <v>86</v>
      </c>
      <c r="C70" s="8"/>
      <c r="D70" s="8"/>
      <c r="E70" s="146"/>
      <c r="F70" s="146"/>
      <c r="G70" s="428"/>
      <c r="H70" s="428"/>
      <c r="I70" s="37"/>
      <c r="J70" s="38"/>
      <c r="K70" s="38"/>
    </row>
    <row r="71" spans="1:11" x14ac:dyDescent="0.3">
      <c r="A71" s="146"/>
      <c r="B71" s="8" t="s">
        <v>87</v>
      </c>
      <c r="C71" s="166"/>
      <c r="D71" s="146"/>
      <c r="E71" s="146"/>
      <c r="F71" s="146"/>
      <c r="G71" s="429"/>
      <c r="H71" s="429"/>
      <c r="I71" s="37"/>
      <c r="J71" s="38"/>
      <c r="K71" s="38"/>
    </row>
    <row r="72" spans="1:11" x14ac:dyDescent="0.3">
      <c r="A72" s="146"/>
      <c r="B72" s="8" t="s">
        <v>88</v>
      </c>
      <c r="C72" s="146"/>
      <c r="D72" s="146"/>
      <c r="E72" s="146"/>
      <c r="F72" s="167"/>
      <c r="G72" s="48"/>
      <c r="H72" s="48"/>
      <c r="I72" s="37"/>
      <c r="J72" s="38"/>
      <c r="K72" s="38"/>
    </row>
    <row r="73" spans="1:11" x14ac:dyDescent="0.3">
      <c r="A73" s="60"/>
      <c r="B73" s="60"/>
      <c r="C73" s="60"/>
      <c r="D73" s="60"/>
      <c r="E73" s="60"/>
      <c r="F73" s="105" t="s">
        <v>89</v>
      </c>
      <c r="G73" s="430">
        <f>I66</f>
        <v>0.28139999999999998</v>
      </c>
      <c r="H73" s="431"/>
      <c r="I73" s="37"/>
      <c r="J73" s="38"/>
      <c r="K73" s="38"/>
    </row>
  </sheetData>
  <mergeCells count="21">
    <mergeCell ref="B22:C22"/>
    <mergeCell ref="A1:H1"/>
    <mergeCell ref="A2:H2"/>
    <mergeCell ref="A3:H3"/>
    <mergeCell ref="A5:H5"/>
    <mergeCell ref="B6:E6"/>
    <mergeCell ref="A8:B8"/>
    <mergeCell ref="B12:C12"/>
    <mergeCell ref="E12:G12"/>
    <mergeCell ref="A14:B14"/>
    <mergeCell ref="B21:D21"/>
    <mergeCell ref="E67:F67"/>
    <mergeCell ref="G70:H70"/>
    <mergeCell ref="G71:H71"/>
    <mergeCell ref="G73:H73"/>
    <mergeCell ref="A24:B24"/>
    <mergeCell ref="E24:F24"/>
    <mergeCell ref="B38:C38"/>
    <mergeCell ref="A45:B45"/>
    <mergeCell ref="A61:B61"/>
    <mergeCell ref="E61:F61"/>
  </mergeCells>
  <conditionalFormatting sqref="B12">
    <cfRule type="cellIs" dxfId="22" priority="18" operator="equal">
      <formula>"SELECIONE SOMENTE UM TIPO DE BDI"</formula>
    </cfRule>
  </conditionalFormatting>
  <conditionalFormatting sqref="B21">
    <cfRule type="cellIs" dxfId="21" priority="5" operator="equal">
      <formula>"NÃO HÁ DESONERAÇÃO PARA FORNECIMENTO DE MATERIAIS"</formula>
    </cfRule>
  </conditionalFormatting>
  <conditionalFormatting sqref="B22">
    <cfRule type="cellIs" dxfId="20" priority="24" operator="equal">
      <formula>"SELECIONE SOMENTE UM TIPO DE SERVIÇO"</formula>
    </cfRule>
  </conditionalFormatting>
  <conditionalFormatting sqref="B12:C12 E12:G12">
    <cfRule type="cellIs" dxfId="19" priority="8" operator="equal">
      <formula>"SELECIONE UM TIPO DE BDI"</formula>
    </cfRule>
  </conditionalFormatting>
  <conditionalFormatting sqref="B22:C22">
    <cfRule type="cellIs" dxfId="18" priority="7" operator="equal">
      <formula>"SELECIONE UM TIPO DE SERVIÇO"</formula>
    </cfRule>
  </conditionalFormatting>
  <conditionalFormatting sqref="B38:C38">
    <cfRule type="cellIs" dxfId="17" priority="17" operator="equal">
      <formula>"APAGUE O PERCENTUAL DESTA LINHA"</formula>
    </cfRule>
  </conditionalFormatting>
  <conditionalFormatting sqref="C10:C11 G16:G21 G26 G28 G31:G32 G34">
    <cfRule type="cellIs" dxfId="16" priority="15" operator="equal">
      <formula>0</formula>
    </cfRule>
  </conditionalFormatting>
  <conditionalFormatting sqref="D26 D38:D41">
    <cfRule type="cellIs" dxfId="15" priority="23" operator="equal">
      <formula>"FORA DO LIMITE"</formula>
    </cfRule>
  </conditionalFormatting>
  <conditionalFormatting sqref="D28">
    <cfRule type="cellIs" dxfId="14" priority="22" operator="equal">
      <formula>"FORA DO LIMITE"</formula>
    </cfRule>
  </conditionalFormatting>
  <conditionalFormatting sqref="D31:D32">
    <cfRule type="cellIs" dxfId="13" priority="20" operator="equal">
      <formula>"FORA DO LIMITE"</formula>
    </cfRule>
  </conditionalFormatting>
  <conditionalFormatting sqref="D34">
    <cfRule type="cellIs" dxfId="12" priority="19" operator="equal">
      <formula>"FORA DO LIMITE"</formula>
    </cfRule>
  </conditionalFormatting>
  <conditionalFormatting sqref="D63">
    <cfRule type="cellIs" dxfId="11" priority="4" operator="equal">
      <formula>"BDI ABAIXO"</formula>
    </cfRule>
  </conditionalFormatting>
  <conditionalFormatting sqref="E12">
    <cfRule type="cellIs" dxfId="10" priority="11" operator="equal">
      <formula>"SELECIONE SOMENTE UM TIPO DE BDI"</formula>
    </cfRule>
  </conditionalFormatting>
  <conditionalFormatting sqref="E12:G12">
    <cfRule type="cellIs" dxfId="9" priority="6" operator="equal">
      <formula>"SOMENTE HÁ DESONERAÇÃO PARA OBRAS"</formula>
    </cfRule>
    <cfRule type="cellIs" dxfId="8" priority="10" operator="equal">
      <formula>"NÃO HÁ PROJETO PARA FORNECIMENTO"</formula>
    </cfRule>
  </conditionalFormatting>
  <conditionalFormatting sqref="G38:G41">
    <cfRule type="cellIs" dxfId="7" priority="9" operator="equal">
      <formula>0</formula>
    </cfRule>
  </conditionalFormatting>
  <conditionalFormatting sqref="G63">
    <cfRule type="cellIs" dxfId="6" priority="3" operator="equal">
      <formula>"BDI ABAIXO"</formula>
    </cfRule>
  </conditionalFormatting>
  <conditionalFormatting sqref="G64">
    <cfRule type="cellIs" dxfId="5" priority="2" operator="equal">
      <formula>"BDI ACIMA"</formula>
    </cfRule>
  </conditionalFormatting>
  <conditionalFormatting sqref="G67:H68">
    <cfRule type="cellIs" dxfId="4" priority="1" operator="equal">
      <formula>"VER PERCENTUAIS"</formula>
    </cfRule>
    <cfRule type="cellIs" dxfId="3" priority="12" operator="equal">
      <formula>"VÁRIOS ERROS"</formula>
    </cfRule>
    <cfRule type="cellIs" dxfId="2" priority="13" operator="equal">
      <formula>"BDI FORA DO LIMITE"</formula>
    </cfRule>
    <cfRule type="cellIs" dxfId="1" priority="14" operator="equal">
      <formula>"VER TIPO DE BDI"</formula>
    </cfRule>
    <cfRule type="cellIs" dxfId="0" priority="16" operator="equal">
      <formula>"VER TIPO DE SERVIÇO"</formula>
    </cfRule>
  </conditionalFormatting>
  <dataValidations count="3">
    <dataValidation allowBlank="1" promptTitle="Alerta" prompt="Digite somente 'X'" sqref="F10:F11" xr:uid="{00000000-0002-0000-0B00-000000000000}"/>
    <dataValidation type="decimal" allowBlank="1" showInputMessage="1" showErrorMessage="1" sqref="G38:G42 G26:G36" xr:uid="{00000000-0002-0000-0B00-000001000000}">
      <formula1>0</formula1>
      <formula2>100</formula2>
    </dataValidation>
    <dataValidation type="list" allowBlank="1" showInputMessage="1" showErrorMessage="1" promptTitle="Alerta" prompt="Digite somente 'X'" sqref="G16:G21 C10:C11" xr:uid="{00000000-0002-0000-0B00-000002000000}">
      <formula1>"x,X"</formula1>
    </dataValidation>
  </dataValidations>
  <pageMargins left="0.51181102362204722" right="0.51181102362204722" top="1.7716535433070868" bottom="1.1811023622047245" header="0.51181102362204722" footer="0.51181102362204722"/>
  <pageSetup paperSize="9" scale="70" fitToHeight="0" orientation="portrait" r:id="rId1"/>
  <headerFooter>
    <oddHeader>&amp;C&amp;G</oddHeader>
    <oddFooter xml:space="preserve">&amp;R
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4" tint="0.39997558519241921"/>
    <pageSetUpPr fitToPage="1"/>
  </sheetPr>
  <dimension ref="A1:E26"/>
  <sheetViews>
    <sheetView view="pageBreakPreview" zoomScale="60" zoomScaleNormal="100" workbookViewId="0">
      <selection activeCell="G14" sqref="G14"/>
    </sheetView>
  </sheetViews>
  <sheetFormatPr defaultRowHeight="14.4" x14ac:dyDescent="0.3"/>
  <cols>
    <col min="1" max="1" width="25.5546875" bestFit="1" customWidth="1"/>
    <col min="2" max="2" width="68" bestFit="1" customWidth="1"/>
    <col min="3" max="3" width="19" customWidth="1"/>
    <col min="4" max="4" width="16.33203125" customWidth="1"/>
  </cols>
  <sheetData>
    <row r="1" spans="1:4" x14ac:dyDescent="0.3">
      <c r="A1" s="307" t="s">
        <v>228</v>
      </c>
      <c r="B1" s="307"/>
      <c r="C1" s="307"/>
      <c r="D1" s="307"/>
    </row>
    <row r="2" spans="1:4" x14ac:dyDescent="0.3">
      <c r="A2" s="308" t="str">
        <f>CONCATENATE("OBRA: ",'RESUMO SD '!A2)</f>
        <v>OBRA: PAVIMENTAÇÃO DE VIAS PÚBLICAS NO MUNÍCIO DE PEDRO LAURENTINO - PI</v>
      </c>
      <c r="B2" s="309"/>
      <c r="C2" s="309"/>
      <c r="D2" s="309"/>
    </row>
    <row r="3" spans="1:4" ht="15" customHeight="1" x14ac:dyDescent="0.3">
      <c r="A3" s="308" t="str">
        <f>CONCATENATE("BASE DE PREÇO: ",'GERAL '!F1)</f>
        <v>BASE DE PREÇO: SINAPI 11/2025</v>
      </c>
      <c r="B3" s="309"/>
      <c r="C3" s="309"/>
      <c r="D3" s="309"/>
    </row>
    <row r="4" spans="1:4" x14ac:dyDescent="0.3">
      <c r="A4" s="307" t="str">
        <f>'RESUMO SD '!E2</f>
        <v>SEM DESONERAÇÃO 
BDI: 21,96%</v>
      </c>
      <c r="B4" s="307"/>
      <c r="C4" s="307"/>
      <c r="D4" s="307"/>
    </row>
    <row r="5" spans="1:4" x14ac:dyDescent="0.3">
      <c r="A5" s="306" t="s">
        <v>229</v>
      </c>
      <c r="B5" s="306"/>
      <c r="C5" s="306"/>
      <c r="D5" s="172">
        <f>ENCARGOS!E42</f>
        <v>1.1333</v>
      </c>
    </row>
    <row r="6" spans="1:4" x14ac:dyDescent="0.3">
      <c r="A6" s="306" t="s">
        <v>230</v>
      </c>
      <c r="B6" s="306"/>
      <c r="C6" s="306"/>
      <c r="D6" s="172">
        <f>ENCARGOS!F42</f>
        <v>0.71120000000000005</v>
      </c>
    </row>
    <row r="7" spans="1:4" x14ac:dyDescent="0.3">
      <c r="A7" s="318"/>
      <c r="B7" s="319"/>
      <c r="C7" s="319"/>
      <c r="D7" s="320"/>
    </row>
    <row r="8" spans="1:4" x14ac:dyDescent="0.3">
      <c r="A8" s="307" t="s">
        <v>231</v>
      </c>
      <c r="B8" s="307" t="s">
        <v>232</v>
      </c>
      <c r="C8" s="307" t="s">
        <v>233</v>
      </c>
      <c r="D8" s="321" t="s">
        <v>21</v>
      </c>
    </row>
    <row r="9" spans="1:4" x14ac:dyDescent="0.3">
      <c r="A9" s="307"/>
      <c r="B9" s="307"/>
      <c r="C9" s="307"/>
      <c r="D9" s="322"/>
    </row>
    <row r="10" spans="1:4" x14ac:dyDescent="0.3">
      <c r="A10" s="323" t="s">
        <v>31</v>
      </c>
      <c r="B10" s="173" t="s">
        <v>38</v>
      </c>
      <c r="C10" s="325">
        <f>'ORÇAMENTO SD'!H10</f>
        <v>16119.76</v>
      </c>
      <c r="D10" s="327">
        <f>C10/$C$26</f>
        <v>2.5375245173066944E-2</v>
      </c>
    </row>
    <row r="11" spans="1:4" x14ac:dyDescent="0.3">
      <c r="A11" s="324"/>
      <c r="B11" s="173" t="s">
        <v>39</v>
      </c>
      <c r="C11" s="326"/>
      <c r="D11" s="328"/>
    </row>
    <row r="12" spans="1:4" x14ac:dyDescent="0.3">
      <c r="A12" s="329"/>
      <c r="B12" s="330"/>
      <c r="C12" s="330"/>
      <c r="D12" s="331"/>
    </row>
    <row r="13" spans="1:4" x14ac:dyDescent="0.3">
      <c r="A13" s="174" t="s">
        <v>234</v>
      </c>
      <c r="B13" s="175" t="s">
        <v>173</v>
      </c>
      <c r="C13" s="176">
        <f>'ORÇAMENTO SD'!H14</f>
        <v>2730</v>
      </c>
      <c r="D13" s="177">
        <f>C13/$C$26</f>
        <v>4.2974845359033112E-3</v>
      </c>
    </row>
    <row r="14" spans="1:4" x14ac:dyDescent="0.3">
      <c r="A14" s="332"/>
      <c r="B14" s="333"/>
      <c r="C14" s="333"/>
      <c r="D14" s="334"/>
    </row>
    <row r="15" spans="1:4" ht="25.5" customHeight="1" x14ac:dyDescent="0.3">
      <c r="A15" s="310" t="s">
        <v>235</v>
      </c>
      <c r="B15" s="312" t="str">
        <f>'ORÇAMENTO SD'!C18</f>
        <v>Execução de pavimento em paralelepípedos, rejuntamento com argamassa traço 1:3 (cimento e areia)</v>
      </c>
      <c r="C15" s="314">
        <f>'ORÇAMENTO SD'!H17</f>
        <v>379392</v>
      </c>
      <c r="D15" s="316">
        <f>C15/C26</f>
        <v>0.59722756521810583</v>
      </c>
    </row>
    <row r="16" spans="1:4" x14ac:dyDescent="0.3">
      <c r="A16" s="311"/>
      <c r="B16" s="313"/>
      <c r="C16" s="315"/>
      <c r="D16" s="317"/>
    </row>
    <row r="17" spans="1:5" x14ac:dyDescent="0.3">
      <c r="A17" s="332"/>
      <c r="B17" s="333"/>
      <c r="C17" s="333"/>
      <c r="D17" s="334"/>
    </row>
    <row r="18" spans="1:5" ht="39.6" x14ac:dyDescent="0.3">
      <c r="A18" s="337" t="s">
        <v>236</v>
      </c>
      <c r="B18" s="178" t="str">
        <f>'ORÇAMENTO SD'!C21</f>
        <v>Assentamento de guia (meio-fio), confeccionada em concreto pré-fabricado, dimensões 100x15x13x30 (comprimento x base inferiror x base superior x altura), para vias urbanas</v>
      </c>
      <c r="C18" s="339">
        <f>'ORÇAMENTO SD'!H20</f>
        <v>219123.6</v>
      </c>
      <c r="D18" s="340">
        <f>C18/C26</f>
        <v>0.34493783239980325</v>
      </c>
    </row>
    <row r="19" spans="1:5" ht="26.4" x14ac:dyDescent="0.3">
      <c r="A19" s="338"/>
      <c r="B19" s="178" t="str">
        <f>'ORÇAMENTO SD'!C22</f>
        <v>Execução de sarjeta de concreto usinado, moldada in loco em trecho reto, 30 cm base x  3 cm altura</v>
      </c>
      <c r="C19" s="339"/>
      <c r="D19" s="341"/>
    </row>
    <row r="20" spans="1:5" x14ac:dyDescent="0.3">
      <c r="A20" s="332"/>
      <c r="B20" s="333"/>
      <c r="C20" s="333"/>
      <c r="D20" s="334"/>
    </row>
    <row r="21" spans="1:5" ht="26.4" x14ac:dyDescent="0.3">
      <c r="A21" s="342" t="s">
        <v>224</v>
      </c>
      <c r="B21" s="179" t="str">
        <f>'ORÇAMENTO SD'!C25</f>
        <v>Transporte com caminhão basculante de 10 m³, em via urbana pavimentada, dmt até 30 km (unidade: txkm). af_07/2020</v>
      </c>
      <c r="C21" s="343">
        <f>'ORÇAMENTO SD'!H24</f>
        <v>16588.64</v>
      </c>
      <c r="D21" s="345">
        <f>C21/C26</f>
        <v>2.6113342077533738E-2</v>
      </c>
    </row>
    <row r="22" spans="1:5" ht="26.4" x14ac:dyDescent="0.3">
      <c r="A22" s="342"/>
      <c r="B22" s="179" t="str">
        <f>'ORÇAMENTO SD'!C26</f>
        <v>Transporte com caminhão basculante de 10 m³, em via urbana pavimentada, adicional para dmt excedente a 30 km (unidade: txkm). af_07/2020</v>
      </c>
      <c r="C22" s="344"/>
      <c r="D22" s="346"/>
    </row>
    <row r="23" spans="1:5" x14ac:dyDescent="0.3">
      <c r="A23" s="332"/>
      <c r="B23" s="333"/>
      <c r="C23" s="333"/>
      <c r="D23" s="334"/>
    </row>
    <row r="24" spans="1:5" ht="26.4" x14ac:dyDescent="0.3">
      <c r="A24" s="342" t="s">
        <v>263</v>
      </c>
      <c r="B24" s="179" t="str">
        <f>'ORÇAMENTO SD'!C29</f>
        <v xml:space="preserve">Placa esmaltada para identificação de nome de rua, dimensões 45 x 20 cm com tubo de aço - 2 placas </v>
      </c>
      <c r="C24" s="343">
        <f>'ORÇAMENTO SD'!H28</f>
        <v>1301.3399999999999</v>
      </c>
      <c r="D24" s="345">
        <f>C24/C26</f>
        <v>2.048530595586965E-3</v>
      </c>
    </row>
    <row r="25" spans="1:5" ht="26.4" x14ac:dyDescent="0.3">
      <c r="A25" s="342"/>
      <c r="B25" s="179" t="str">
        <f>'ORÇAMENTO SD'!C30</f>
        <v>Fornecimento e instalação de suporte metálico galvanizado para placas de sinalização em solo, com h= de 2,5 m e diâmetro de 2''. af_03/2022</v>
      </c>
      <c r="C25" s="344"/>
      <c r="D25" s="346"/>
    </row>
    <row r="26" spans="1:5" x14ac:dyDescent="0.3">
      <c r="A26" s="335" t="s">
        <v>209</v>
      </c>
      <c r="B26" s="336"/>
      <c r="C26" s="180">
        <f>SUM(C21,C18,C15,C13,C10,C24)</f>
        <v>635255.34</v>
      </c>
      <c r="D26" s="181">
        <f>SUM(D21,D18,D15,D13,D10,D24,)</f>
        <v>1.0000000000000002</v>
      </c>
      <c r="E26" s="272">
        <f>C26-'RESUMO SD '!F12</f>
        <v>0</v>
      </c>
    </row>
  </sheetData>
  <mergeCells count="33">
    <mergeCell ref="A26:B26"/>
    <mergeCell ref="A17:D17"/>
    <mergeCell ref="A18:A19"/>
    <mergeCell ref="C18:C19"/>
    <mergeCell ref="D18:D19"/>
    <mergeCell ref="A20:D20"/>
    <mergeCell ref="A21:A22"/>
    <mergeCell ref="C21:C22"/>
    <mergeCell ref="D21:D22"/>
    <mergeCell ref="A23:D23"/>
    <mergeCell ref="A24:A25"/>
    <mergeCell ref="C24:C25"/>
    <mergeCell ref="D24:D25"/>
    <mergeCell ref="A15:A16"/>
    <mergeCell ref="B15:B16"/>
    <mergeCell ref="C15:C16"/>
    <mergeCell ref="D15:D16"/>
    <mergeCell ref="A7:D7"/>
    <mergeCell ref="A8:A9"/>
    <mergeCell ref="B8:B9"/>
    <mergeCell ref="C8:C9"/>
    <mergeCell ref="D8:D9"/>
    <mergeCell ref="A10:A11"/>
    <mergeCell ref="C10:C11"/>
    <mergeCell ref="D10:D11"/>
    <mergeCell ref="A12:D12"/>
    <mergeCell ref="A14:D14"/>
    <mergeCell ref="A6:C6"/>
    <mergeCell ref="A1:D1"/>
    <mergeCell ref="A2:D2"/>
    <mergeCell ref="A3:D3"/>
    <mergeCell ref="A4:D4"/>
    <mergeCell ref="A5:C5"/>
  </mergeCells>
  <pageMargins left="0.39370078740157483" right="0.39370078740157483" top="1.1811023622047245" bottom="1.1811023622047245" header="0" footer="0"/>
  <pageSetup paperSize="9" scale="73" fitToHeight="0" orientation="portrait" r:id="rId1"/>
  <headerFooter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  <pageSetUpPr fitToPage="1"/>
  </sheetPr>
  <dimension ref="A1:G12"/>
  <sheetViews>
    <sheetView view="pageBreakPreview" zoomScale="110" zoomScaleNormal="100" zoomScaleSheetLayoutView="110" workbookViewId="0">
      <selection activeCell="F12" sqref="F12"/>
    </sheetView>
  </sheetViews>
  <sheetFormatPr defaultColWidth="6.5546875" defaultRowHeight="14.4" x14ac:dyDescent="0.3"/>
  <cols>
    <col min="1" max="1" width="10" customWidth="1"/>
    <col min="2" max="2" width="56.88671875" customWidth="1"/>
    <col min="3" max="4" width="10" customWidth="1"/>
    <col min="5" max="6" width="17.5546875" customWidth="1"/>
    <col min="7" max="7" width="22.44140625" bestFit="1" customWidth="1"/>
  </cols>
  <sheetData>
    <row r="1" spans="1:7" x14ac:dyDescent="0.3">
      <c r="A1" s="358" t="s">
        <v>41</v>
      </c>
      <c r="B1" s="358"/>
      <c r="C1" s="358"/>
      <c r="D1" s="358"/>
      <c r="E1" s="358"/>
      <c r="F1" s="358"/>
    </row>
    <row r="2" spans="1:7" ht="20.399999999999999" x14ac:dyDescent="0.3">
      <c r="A2" s="359" t="str">
        <f>CONCATENATE("PAVIMENTAÇÃO DE VIAS PÚBLICAS NO MUNÍCIO DE ",'GERAL '!B2," - PI")</f>
        <v>PAVIMENTAÇÃO DE VIAS PÚBLICAS NO MUNÍCIO DE PEDRO LAURENTINO - PI</v>
      </c>
      <c r="B2" s="360"/>
      <c r="C2" s="361" t="s">
        <v>331</v>
      </c>
      <c r="D2" s="361"/>
      <c r="E2" s="22" t="s">
        <v>329</v>
      </c>
      <c r="F2" s="23" t="s">
        <v>323</v>
      </c>
    </row>
    <row r="3" spans="1:7" x14ac:dyDescent="0.3">
      <c r="A3" s="362" t="str">
        <f>CONCATENATE("LOCAL: ", 'GERAL '!B3)</f>
        <v>LOCAL: ASSENTAMENTO MOCAMBO</v>
      </c>
      <c r="B3" s="363"/>
      <c r="C3" s="363"/>
      <c r="D3" s="363"/>
      <c r="E3" s="24" t="s">
        <v>24</v>
      </c>
      <c r="F3" s="25">
        <f>'GERAL '!B13</f>
        <v>3900</v>
      </c>
    </row>
    <row r="4" spans="1:7" x14ac:dyDescent="0.3">
      <c r="A4" s="354" t="s">
        <v>25</v>
      </c>
      <c r="B4" s="354" t="s">
        <v>26</v>
      </c>
      <c r="C4" s="354" t="s">
        <v>27</v>
      </c>
      <c r="D4" s="356" t="s">
        <v>28</v>
      </c>
      <c r="E4" s="364" t="s">
        <v>29</v>
      </c>
      <c r="F4" s="365"/>
    </row>
    <row r="5" spans="1:7" x14ac:dyDescent="0.3">
      <c r="A5" s="355"/>
      <c r="B5" s="355"/>
      <c r="C5" s="355"/>
      <c r="D5" s="357"/>
      <c r="E5" s="366"/>
      <c r="F5" s="367"/>
    </row>
    <row r="6" spans="1:7" x14ac:dyDescent="0.3">
      <c r="A6" s="26" t="s">
        <v>30</v>
      </c>
      <c r="B6" s="350" t="s">
        <v>31</v>
      </c>
      <c r="C6" s="351"/>
      <c r="D6" s="351"/>
      <c r="E6" s="352">
        <f>SUM(E7:F8)</f>
        <v>16119.76</v>
      </c>
      <c r="F6" s="353"/>
    </row>
    <row r="7" spans="1:7" x14ac:dyDescent="0.3">
      <c r="A7" s="27" t="s">
        <v>32</v>
      </c>
      <c r="B7" s="34" t="s">
        <v>38</v>
      </c>
      <c r="C7" s="28" t="s">
        <v>15</v>
      </c>
      <c r="D7" s="35">
        <v>6</v>
      </c>
      <c r="E7" s="347">
        <f>'ORÇAMENTO SD'!H11</f>
        <v>3393</v>
      </c>
      <c r="F7" s="348"/>
    </row>
    <row r="8" spans="1:7" x14ac:dyDescent="0.3">
      <c r="A8" s="27" t="s">
        <v>32</v>
      </c>
      <c r="B8" s="34" t="s">
        <v>39</v>
      </c>
      <c r="C8" s="28" t="s">
        <v>40</v>
      </c>
      <c r="D8" s="35">
        <v>3</v>
      </c>
      <c r="E8" s="347">
        <f>'ORÇAMENTO SD'!H12</f>
        <v>12726.76</v>
      </c>
      <c r="F8" s="348"/>
    </row>
    <row r="9" spans="1:7" x14ac:dyDescent="0.3">
      <c r="A9" s="26" t="s">
        <v>33</v>
      </c>
      <c r="B9" s="350" t="s">
        <v>34</v>
      </c>
      <c r="C9" s="351"/>
      <c r="D9" s="351"/>
      <c r="E9" s="352">
        <f>SUM(E10:F10)</f>
        <v>619135.57999999996</v>
      </c>
      <c r="F9" s="353"/>
    </row>
    <row r="10" spans="1:7" x14ac:dyDescent="0.3">
      <c r="A10" s="27" t="s">
        <v>35</v>
      </c>
      <c r="B10" s="237" t="str">
        <f>'GERAL '!A10</f>
        <v>RUA PROJETADA I - ASSENTAMENTO MOCAMBO</v>
      </c>
      <c r="C10" s="28" t="s">
        <v>36</v>
      </c>
      <c r="D10" s="36">
        <v>1</v>
      </c>
      <c r="E10" s="347">
        <f>'ORÇAMENTO SD'!H14+'ORÇAMENTO SD'!H17+'ORÇAMENTO SD'!H20+'ORÇAMENTO SD'!H24+'ORÇAMENTO SD'!H28</f>
        <v>619135.57999999996</v>
      </c>
      <c r="F10" s="348"/>
    </row>
    <row r="11" spans="1:7" x14ac:dyDescent="0.3">
      <c r="A11" s="29"/>
      <c r="B11" s="30"/>
      <c r="C11" s="30"/>
      <c r="D11" s="31"/>
      <c r="E11" s="31"/>
      <c r="F11" s="32"/>
    </row>
    <row r="12" spans="1:7" x14ac:dyDescent="0.3">
      <c r="A12" s="349" t="s">
        <v>37</v>
      </c>
      <c r="B12" s="349"/>
      <c r="C12" s="349"/>
      <c r="D12" s="349"/>
      <c r="E12" s="349"/>
      <c r="F12" s="33">
        <f>E6+E9</f>
        <v>635255.34</v>
      </c>
      <c r="G12" s="477">
        <f>F12-'ORÇAMENTO SD'!H32</f>
        <v>0</v>
      </c>
    </row>
  </sheetData>
  <mergeCells count="17">
    <mergeCell ref="A4:A5"/>
    <mergeCell ref="B4:B5"/>
    <mergeCell ref="C4:C5"/>
    <mergeCell ref="D4:D5"/>
    <mergeCell ref="A1:F1"/>
    <mergeCell ref="A2:B2"/>
    <mergeCell ref="C2:D2"/>
    <mergeCell ref="A3:D3"/>
    <mergeCell ref="E4:F5"/>
    <mergeCell ref="E10:F10"/>
    <mergeCell ref="A12:E12"/>
    <mergeCell ref="B6:D6"/>
    <mergeCell ref="E6:F6"/>
    <mergeCell ref="E8:F8"/>
    <mergeCell ref="B9:D9"/>
    <mergeCell ref="E9:F9"/>
    <mergeCell ref="E7:F7"/>
  </mergeCells>
  <pageMargins left="0.98425196850393704" right="0.51181102362204722" top="2.204724409448819" bottom="1.1811023622047245" header="0.51181102362204722" footer="0.51181102362204722"/>
  <pageSetup paperSize="9" orientation="landscape" r:id="rId1"/>
  <headerFooter>
    <oddHeader>&amp;C&amp;G</oddHeader>
    <oddFooter>&amp;C&amp;G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  <pageSetUpPr fitToPage="1"/>
  </sheetPr>
  <dimension ref="A1:H36"/>
  <sheetViews>
    <sheetView topLeftCell="A9" zoomScaleNormal="100" workbookViewId="0">
      <selection activeCell="J34" sqref="J34"/>
    </sheetView>
  </sheetViews>
  <sheetFormatPr defaultRowHeight="14.4" x14ac:dyDescent="0.3"/>
  <cols>
    <col min="1" max="1" width="9.33203125" style="106" bestFit="1" customWidth="1"/>
    <col min="2" max="2" width="17.5546875" style="107" customWidth="1"/>
    <col min="3" max="3" width="44.6640625" style="107" bestFit="1" customWidth="1"/>
    <col min="4" max="4" width="12.5546875" style="107" bestFit="1" customWidth="1"/>
    <col min="5" max="5" width="8.6640625" style="107" bestFit="1" customWidth="1"/>
    <col min="6" max="6" width="12" style="107" bestFit="1" customWidth="1"/>
    <col min="7" max="7" width="16.33203125" style="107" bestFit="1" customWidth="1"/>
    <col min="8" max="8" width="17.33203125" style="106" bestFit="1" customWidth="1"/>
  </cols>
  <sheetData>
    <row r="1" spans="1:8" ht="15" customHeight="1" x14ac:dyDescent="0.3">
      <c r="A1" s="358" t="s">
        <v>162</v>
      </c>
      <c r="B1" s="358"/>
      <c r="C1" s="358"/>
      <c r="D1" s="358"/>
      <c r="E1" s="358"/>
      <c r="F1" s="358"/>
      <c r="G1" s="358"/>
      <c r="H1" s="358"/>
    </row>
    <row r="2" spans="1:8" ht="15" customHeight="1" x14ac:dyDescent="0.3">
      <c r="A2" s="358"/>
      <c r="B2" s="358"/>
      <c r="C2" s="358"/>
      <c r="D2" s="358"/>
      <c r="E2" s="358"/>
      <c r="F2" s="358"/>
      <c r="G2" s="358"/>
      <c r="H2" s="358"/>
    </row>
    <row r="3" spans="1:8" ht="23.25" customHeight="1" x14ac:dyDescent="0.3">
      <c r="A3" s="381" t="str">
        <f>'RESUMO SD '!A2:B2</f>
        <v>PAVIMENTAÇÃO DE VIAS PÚBLICAS NO MUNÍCIO DE PEDRO LAURENTINO - PI</v>
      </c>
      <c r="B3" s="382"/>
      <c r="C3" s="382"/>
      <c r="D3" s="382"/>
      <c r="E3" s="382"/>
      <c r="F3" s="383" t="str">
        <f>'RESUMO SD '!C2</f>
        <v>FONTE:  
SINAPI 11/2025</v>
      </c>
      <c r="G3" s="383" t="str">
        <f>'RESUMO SD '!E2</f>
        <v>SEM DESONERAÇÃO 
BDI: 21,96%</v>
      </c>
      <c r="H3" s="369" t="str">
        <f>'RESUMO SD '!F2</f>
        <v>HORISTA: 113,33%
MENSALISTA: 71,12%</v>
      </c>
    </row>
    <row r="4" spans="1:8" x14ac:dyDescent="0.3">
      <c r="A4" s="171" t="str">
        <f>'RESUMO SD '!A3:D3</f>
        <v>LOCAL: ASSENTAMENTO MOCAMBO</v>
      </c>
      <c r="B4" s="115"/>
      <c r="C4" s="115"/>
      <c r="D4" s="371"/>
      <c r="E4" s="371"/>
      <c r="F4" s="384"/>
      <c r="G4" s="384"/>
      <c r="H4" s="370"/>
    </row>
    <row r="5" spans="1:8" x14ac:dyDescent="0.3">
      <c r="A5" s="123"/>
      <c r="B5" s="115"/>
      <c r="C5" s="115"/>
      <c r="D5" s="185"/>
      <c r="E5" s="185"/>
      <c r="F5" s="183"/>
      <c r="G5" s="183"/>
      <c r="H5" s="184"/>
    </row>
    <row r="6" spans="1:8" x14ac:dyDescent="0.3">
      <c r="A6" s="253" t="s">
        <v>163</v>
      </c>
      <c r="B6" s="254" t="str">
        <f>'RESUMO SD '!B10</f>
        <v>RUA PROJETADA I - ASSENTAMENTO MOCAMBO</v>
      </c>
      <c r="C6" s="255"/>
      <c r="D6" s="256" t="s">
        <v>164</v>
      </c>
      <c r="E6" s="257">
        <f>MC!C20</f>
        <v>6</v>
      </c>
      <c r="F6" s="258"/>
      <c r="G6" s="258"/>
      <c r="H6" s="259"/>
    </row>
    <row r="7" spans="1:8" x14ac:dyDescent="0.3">
      <c r="A7" s="260" t="s">
        <v>165</v>
      </c>
      <c r="B7" s="261">
        <f>MC!C27</f>
        <v>3900</v>
      </c>
      <c r="C7" s="262"/>
      <c r="D7" s="263" t="s">
        <v>166</v>
      </c>
      <c r="E7" s="264">
        <f>MC!C19</f>
        <v>650</v>
      </c>
      <c r="F7" s="265"/>
      <c r="G7" s="265"/>
      <c r="H7" s="266"/>
    </row>
    <row r="8" spans="1:8" x14ac:dyDescent="0.3">
      <c r="A8" s="358" t="s">
        <v>25</v>
      </c>
      <c r="B8" s="373" t="s">
        <v>91</v>
      </c>
      <c r="C8" s="358" t="s">
        <v>26</v>
      </c>
      <c r="D8" s="358" t="s">
        <v>27</v>
      </c>
      <c r="E8" s="379" t="s">
        <v>28</v>
      </c>
      <c r="F8" s="379" t="s">
        <v>167</v>
      </c>
      <c r="G8" s="379"/>
      <c r="H8" s="379"/>
    </row>
    <row r="9" spans="1:8" x14ac:dyDescent="0.3">
      <c r="A9" s="358"/>
      <c r="B9" s="374"/>
      <c r="C9" s="358"/>
      <c r="D9" s="358"/>
      <c r="E9" s="379"/>
      <c r="F9" s="117" t="s">
        <v>168</v>
      </c>
      <c r="G9" s="117" t="s">
        <v>169</v>
      </c>
      <c r="H9" s="182" t="s">
        <v>170</v>
      </c>
    </row>
    <row r="10" spans="1:8" x14ac:dyDescent="0.3">
      <c r="A10" s="26" t="s">
        <v>30</v>
      </c>
      <c r="B10" s="350" t="s">
        <v>31</v>
      </c>
      <c r="C10" s="351"/>
      <c r="D10" s="351"/>
      <c r="E10" s="351"/>
      <c r="F10" s="380"/>
      <c r="G10" s="380"/>
      <c r="H10" s="118">
        <f>SUM(H11:H12)</f>
        <v>16119.76</v>
      </c>
    </row>
    <row r="11" spans="1:8" x14ac:dyDescent="0.3">
      <c r="A11" s="27" t="s">
        <v>32</v>
      </c>
      <c r="B11" s="109" t="s">
        <v>258</v>
      </c>
      <c r="C11" s="119" t="s">
        <v>38</v>
      </c>
      <c r="D11" s="109" t="s">
        <v>15</v>
      </c>
      <c r="E11" s="120">
        <f>MC!C12</f>
        <v>6</v>
      </c>
      <c r="F11" s="120">
        <f>'COMPOSIÇÕES UNITÁRIAS SD'!G7</f>
        <v>463.68</v>
      </c>
      <c r="G11" s="122">
        <f>'COMPOSIÇÕES UNITÁRIAS SD'!G15</f>
        <v>565.5</v>
      </c>
      <c r="H11" s="122">
        <f>TRUNC(E11*G11,2)</f>
        <v>3393</v>
      </c>
    </row>
    <row r="12" spans="1:8" x14ac:dyDescent="0.3">
      <c r="A12" s="27" t="s">
        <v>171</v>
      </c>
      <c r="B12" s="109" t="s">
        <v>259</v>
      </c>
      <c r="C12" s="119" t="s">
        <v>39</v>
      </c>
      <c r="D12" s="109" t="s">
        <v>40</v>
      </c>
      <c r="E12" s="120">
        <f>MC!C16</f>
        <v>2</v>
      </c>
      <c r="F12" s="120">
        <f>'COMPOSIÇÕES UNITÁRIAS SD'!G18</f>
        <v>5217.6000000000004</v>
      </c>
      <c r="G12" s="122">
        <f>'COMPOSIÇÕES UNITÁRIAS SD'!G22</f>
        <v>6363.38</v>
      </c>
      <c r="H12" s="122">
        <f>TRUNC(E12*G12,2)</f>
        <v>12726.76</v>
      </c>
    </row>
    <row r="13" spans="1:8" x14ac:dyDescent="0.3">
      <c r="A13" s="376"/>
      <c r="B13" s="377"/>
      <c r="C13" s="377"/>
      <c r="D13" s="377"/>
      <c r="E13" s="377"/>
      <c r="F13" s="377"/>
      <c r="G13" s="377"/>
      <c r="H13" s="378"/>
    </row>
    <row r="14" spans="1:8" x14ac:dyDescent="0.3">
      <c r="A14" s="26" t="s">
        <v>33</v>
      </c>
      <c r="B14" s="372" t="s">
        <v>172</v>
      </c>
      <c r="C14" s="372"/>
      <c r="D14" s="372"/>
      <c r="E14" s="372"/>
      <c r="F14" s="372"/>
      <c r="G14" s="372"/>
      <c r="H14" s="118">
        <f>H15</f>
        <v>2730</v>
      </c>
    </row>
    <row r="15" spans="1:8" x14ac:dyDescent="0.3">
      <c r="A15" s="27" t="s">
        <v>35</v>
      </c>
      <c r="B15" s="109">
        <v>100575</v>
      </c>
      <c r="C15" s="121" t="s">
        <v>173</v>
      </c>
      <c r="D15" s="28" t="s">
        <v>15</v>
      </c>
      <c r="E15" s="120">
        <f>MC!C27</f>
        <v>3900</v>
      </c>
      <c r="F15" s="120">
        <f>'COMPOSIÇÕES UNITÁRIAS SD'!G25</f>
        <v>0.57999999999999996</v>
      </c>
      <c r="G15" s="122">
        <f>'COMPOSIÇÕES UNITÁRIAS SD'!G30</f>
        <v>0.7</v>
      </c>
      <c r="H15" s="122">
        <f>TRUNC(E15*G15,2)</f>
        <v>2730</v>
      </c>
    </row>
    <row r="16" spans="1:8" x14ac:dyDescent="0.3">
      <c r="A16" s="368"/>
      <c r="B16" s="368"/>
      <c r="C16" s="368"/>
      <c r="D16" s="368"/>
      <c r="E16" s="368"/>
      <c r="F16" s="368"/>
      <c r="G16" s="368"/>
      <c r="H16" s="368"/>
    </row>
    <row r="17" spans="1:8" x14ac:dyDescent="0.3">
      <c r="A17" s="26" t="s">
        <v>174</v>
      </c>
      <c r="B17" s="372" t="s">
        <v>175</v>
      </c>
      <c r="C17" s="372"/>
      <c r="D17" s="372"/>
      <c r="E17" s="372"/>
      <c r="F17" s="372"/>
      <c r="G17" s="372"/>
      <c r="H17" s="118">
        <f>SUM(H18:H18)</f>
        <v>379392</v>
      </c>
    </row>
    <row r="18" spans="1:8" ht="20.399999999999999" x14ac:dyDescent="0.3">
      <c r="A18" s="27" t="s">
        <v>176</v>
      </c>
      <c r="B18" s="109" t="s">
        <v>260</v>
      </c>
      <c r="C18" s="121" t="s">
        <v>261</v>
      </c>
      <c r="D18" s="28" t="s">
        <v>15</v>
      </c>
      <c r="E18" s="120">
        <f>MC!C33</f>
        <v>3900</v>
      </c>
      <c r="F18" s="120">
        <f>'COMPOSIÇÕES UNITÁRIAS SD'!G34</f>
        <v>79.77</v>
      </c>
      <c r="G18" s="122">
        <f>'COMPOSIÇÕES UNITÁRIAS SD'!G42</f>
        <v>97.28</v>
      </c>
      <c r="H18" s="122">
        <f>TRUNC(E18*G18,2)</f>
        <v>379392</v>
      </c>
    </row>
    <row r="19" spans="1:8" x14ac:dyDescent="0.3">
      <c r="A19" s="368"/>
      <c r="B19" s="368"/>
      <c r="C19" s="368"/>
      <c r="D19" s="368"/>
      <c r="E19" s="368"/>
      <c r="F19" s="368"/>
      <c r="G19" s="368"/>
      <c r="H19" s="368"/>
    </row>
    <row r="20" spans="1:8" x14ac:dyDescent="0.3">
      <c r="A20" s="26" t="s">
        <v>177</v>
      </c>
      <c r="B20" s="372" t="s">
        <v>178</v>
      </c>
      <c r="C20" s="372"/>
      <c r="D20" s="372"/>
      <c r="E20" s="372"/>
      <c r="F20" s="372"/>
      <c r="G20" s="372"/>
      <c r="H20" s="118">
        <f>SUM(H21:H22)</f>
        <v>219123.6</v>
      </c>
    </row>
    <row r="21" spans="1:8" ht="30.6" x14ac:dyDescent="0.3">
      <c r="A21" s="27" t="s">
        <v>179</v>
      </c>
      <c r="B21" s="109">
        <v>94273</v>
      </c>
      <c r="C21" s="121" t="s">
        <v>180</v>
      </c>
      <c r="D21" s="28" t="s">
        <v>181</v>
      </c>
      <c r="E21" s="120">
        <f>MC!C40</f>
        <v>2624</v>
      </c>
      <c r="F21" s="120">
        <f>'COMPOSIÇÕES UNITÁRIAS SD'!G53</f>
        <v>46.04</v>
      </c>
      <c r="G21" s="122">
        <f>'COMPOSIÇÕES UNITÁRIAS SD'!G59</f>
        <v>56.15</v>
      </c>
      <c r="H21" s="122">
        <f>TRUNC(E21*G21,2)</f>
        <v>147337.60000000001</v>
      </c>
    </row>
    <row r="22" spans="1:8" ht="20.399999999999999" x14ac:dyDescent="0.3">
      <c r="A22" s="27" t="s">
        <v>182</v>
      </c>
      <c r="B22" s="109" t="s">
        <v>265</v>
      </c>
      <c r="C22" s="121" t="s">
        <v>266</v>
      </c>
      <c r="D22" s="28" t="s">
        <v>181</v>
      </c>
      <c r="E22" s="120">
        <f>MC!C45</f>
        <v>2600</v>
      </c>
      <c r="F22" s="120">
        <f>'COMPOSIÇÕES UNITÁRIAS SD'!G62</f>
        <v>22.64</v>
      </c>
      <c r="G22" s="122">
        <f>'COMPOSIÇÕES UNITÁRIAS SD'!G69</f>
        <v>27.61</v>
      </c>
      <c r="H22" s="122">
        <f>TRUNC(E22*G22,2)</f>
        <v>71786</v>
      </c>
    </row>
    <row r="23" spans="1:8" x14ac:dyDescent="0.3">
      <c r="A23" s="368"/>
      <c r="B23" s="368"/>
      <c r="C23" s="368"/>
      <c r="D23" s="368"/>
      <c r="E23" s="368"/>
      <c r="F23" s="368"/>
      <c r="G23" s="368"/>
      <c r="H23" s="368"/>
    </row>
    <row r="24" spans="1:8" x14ac:dyDescent="0.3">
      <c r="A24" s="26" t="s">
        <v>226</v>
      </c>
      <c r="B24" s="372" t="s">
        <v>224</v>
      </c>
      <c r="C24" s="372"/>
      <c r="D24" s="372"/>
      <c r="E24" s="372"/>
      <c r="F24" s="372"/>
      <c r="G24" s="372"/>
      <c r="H24" s="118">
        <f>SUM(H25:H26)</f>
        <v>16588.64</v>
      </c>
    </row>
    <row r="25" spans="1:8" ht="20.399999999999999" x14ac:dyDescent="0.3">
      <c r="A25" s="27" t="s">
        <v>227</v>
      </c>
      <c r="B25" s="109">
        <v>95878</v>
      </c>
      <c r="C25" s="121" t="s">
        <v>284</v>
      </c>
      <c r="D25" s="28" t="s">
        <v>225</v>
      </c>
      <c r="E25" s="120">
        <f>MC!C54</f>
        <v>8420.6299999999992</v>
      </c>
      <c r="F25" s="120">
        <f>'COMPOSIÇÕES UNITÁRIAS SD'!G72</f>
        <v>1.62</v>
      </c>
      <c r="G25" s="122">
        <f>'COMPOSIÇÕES UNITÁRIAS SD'!G75</f>
        <v>1.97</v>
      </c>
      <c r="H25" s="122">
        <f>TRUNC(E25*G25,2)</f>
        <v>16588.64</v>
      </c>
    </row>
    <row r="26" spans="1:8" ht="30.6" x14ac:dyDescent="0.3">
      <c r="A26" s="27" t="s">
        <v>283</v>
      </c>
      <c r="B26" s="109">
        <v>93596</v>
      </c>
      <c r="C26" s="121" t="s">
        <v>285</v>
      </c>
      <c r="D26" s="28" t="s">
        <v>225</v>
      </c>
      <c r="E26" s="120">
        <f>MC!C62</f>
        <v>0</v>
      </c>
      <c r="F26" s="120">
        <f>'COMPOSIÇÕES UNITÁRIAS SD'!G78</f>
        <v>0.64</v>
      </c>
      <c r="G26" s="122">
        <f>'COMPOSIÇÕES UNITÁRIAS SD'!G81</f>
        <v>0.78</v>
      </c>
      <c r="H26" s="122">
        <f>TRUNC(E26*G26,2)</f>
        <v>0</v>
      </c>
    </row>
    <row r="27" spans="1:8" x14ac:dyDescent="0.3">
      <c r="A27" s="368"/>
      <c r="B27" s="368"/>
      <c r="C27" s="368"/>
      <c r="D27" s="368"/>
      <c r="E27" s="368"/>
      <c r="F27" s="368"/>
      <c r="G27" s="368"/>
      <c r="H27" s="368"/>
    </row>
    <row r="28" spans="1:8" x14ac:dyDescent="0.3">
      <c r="A28" s="26" t="s">
        <v>262</v>
      </c>
      <c r="B28" s="372" t="s">
        <v>263</v>
      </c>
      <c r="C28" s="372"/>
      <c r="D28" s="372"/>
      <c r="E28" s="372"/>
      <c r="F28" s="372"/>
      <c r="G28" s="372"/>
      <c r="H28" s="118">
        <f>SUM(H29:H30)</f>
        <v>1301.3399999999999</v>
      </c>
    </row>
    <row r="29" spans="1:8" ht="20.399999999999999" x14ac:dyDescent="0.3">
      <c r="A29" s="27" t="s">
        <v>264</v>
      </c>
      <c r="B29" s="109" t="s">
        <v>278</v>
      </c>
      <c r="C29" s="121" t="s">
        <v>267</v>
      </c>
      <c r="D29" s="28" t="s">
        <v>15</v>
      </c>
      <c r="E29" s="120">
        <f>MC!C67</f>
        <v>0.23</v>
      </c>
      <c r="F29" s="120">
        <f>'COMPOSIÇÕES UNITÁRIAS SD'!G84</f>
        <v>976.19</v>
      </c>
      <c r="G29" s="122">
        <f>'COMPOSIÇÕES UNITÁRIAS SD'!G89</f>
        <v>1190.56</v>
      </c>
      <c r="H29" s="122">
        <f>TRUNC(E29*G29,2)</f>
        <v>273.82</v>
      </c>
    </row>
    <row r="30" spans="1:8" ht="30.6" x14ac:dyDescent="0.3">
      <c r="A30" s="27" t="s">
        <v>264</v>
      </c>
      <c r="B30" s="109" t="s">
        <v>280</v>
      </c>
      <c r="C30" s="121" t="s">
        <v>281</v>
      </c>
      <c r="D30" s="28" t="s">
        <v>183</v>
      </c>
      <c r="E30" s="120">
        <f>MC!C71</f>
        <v>2</v>
      </c>
      <c r="F30" s="120">
        <f>'COMPOSIÇÕES UNITÁRIAS SD'!G92</f>
        <v>421.26</v>
      </c>
      <c r="G30" s="122">
        <f>'COMPOSIÇÕES UNITÁRIAS SD'!G97</f>
        <v>513.76</v>
      </c>
      <c r="H30" s="122">
        <f>TRUNC(E30*G30,2)</f>
        <v>1027.52</v>
      </c>
    </row>
    <row r="31" spans="1:8" x14ac:dyDescent="0.3">
      <c r="A31" s="368"/>
      <c r="B31" s="368"/>
      <c r="C31" s="368"/>
      <c r="D31" s="368"/>
      <c r="E31" s="368"/>
      <c r="F31" s="368"/>
      <c r="G31" s="368"/>
      <c r="H31" s="368"/>
    </row>
    <row r="32" spans="1:8" x14ac:dyDescent="0.3">
      <c r="A32" s="375" t="s">
        <v>222</v>
      </c>
      <c r="B32" s="375"/>
      <c r="C32" s="375"/>
      <c r="D32" s="375"/>
      <c r="E32" s="375"/>
      <c r="F32" s="375"/>
      <c r="G32" s="375"/>
      <c r="H32" s="186">
        <f>SUM(H28,H24,H20,H17,H14,H10)</f>
        <v>635255.34000000008</v>
      </c>
    </row>
    <row r="36" spans="8:8" x14ac:dyDescent="0.3">
      <c r="H36" s="190"/>
    </row>
  </sheetData>
  <mergeCells count="25">
    <mergeCell ref="A32:G32"/>
    <mergeCell ref="A1:H2"/>
    <mergeCell ref="A13:H13"/>
    <mergeCell ref="B14:G14"/>
    <mergeCell ref="A16:H16"/>
    <mergeCell ref="B17:G17"/>
    <mergeCell ref="F8:H8"/>
    <mergeCell ref="B10:G10"/>
    <mergeCell ref="A8:A9"/>
    <mergeCell ref="C8:C9"/>
    <mergeCell ref="D8:D9"/>
    <mergeCell ref="E8:E9"/>
    <mergeCell ref="A3:E3"/>
    <mergeCell ref="F3:F4"/>
    <mergeCell ref="G3:G4"/>
    <mergeCell ref="B28:G28"/>
    <mergeCell ref="A31:H31"/>
    <mergeCell ref="H3:H4"/>
    <mergeCell ref="D4:E4"/>
    <mergeCell ref="A19:H19"/>
    <mergeCell ref="B20:G20"/>
    <mergeCell ref="A27:H27"/>
    <mergeCell ref="A23:H23"/>
    <mergeCell ref="B24:G24"/>
    <mergeCell ref="B8:B9"/>
  </mergeCells>
  <phoneticPr fontId="17" type="noConversion"/>
  <pageMargins left="0.51181102362204722" right="0.51181102362204722" top="1.7716535433070868" bottom="1.1811023622047245" header="0.51181102362204722" footer="0.51181102362204722"/>
  <pageSetup paperSize="9" scale="66" fitToHeight="0" orientation="portrait" r:id="rId1"/>
  <headerFooter>
    <oddHeader>&amp;C&amp;G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A0D4E-308F-4A60-BBBD-BFB8BBFFCA97}">
  <sheetPr>
    <tabColor theme="4" tint="0.79998168889431442"/>
    <pageSetUpPr fitToPage="1"/>
  </sheetPr>
  <dimension ref="A1:J97"/>
  <sheetViews>
    <sheetView topLeftCell="A79" zoomScale="90" zoomScaleNormal="90" workbookViewId="0">
      <selection activeCell="C99" sqref="C99"/>
    </sheetView>
  </sheetViews>
  <sheetFormatPr defaultRowHeight="14.4" x14ac:dyDescent="0.3"/>
  <cols>
    <col min="1" max="1" width="10.6640625" style="459" customWidth="1"/>
    <col min="2" max="2" width="13.109375" style="459" bestFit="1" customWidth="1"/>
    <col min="3" max="3" width="46.109375" style="460" customWidth="1"/>
    <col min="4" max="4" width="12" style="460" bestFit="1" customWidth="1"/>
    <col min="5" max="5" width="13.109375" style="460" customWidth="1"/>
    <col min="6" max="6" width="18.5546875" style="460" customWidth="1"/>
    <col min="7" max="7" width="19.33203125" style="460" customWidth="1"/>
    <col min="8" max="8" width="17.33203125" bestFit="1" customWidth="1"/>
    <col min="9" max="9" width="0" hidden="1" customWidth="1"/>
  </cols>
  <sheetData>
    <row r="1" spans="1:8" x14ac:dyDescent="0.3">
      <c r="A1" s="373" t="s">
        <v>193</v>
      </c>
      <c r="B1" s="419"/>
      <c r="C1" s="419"/>
      <c r="D1" s="419"/>
      <c r="E1" s="419"/>
      <c r="F1" s="419"/>
      <c r="G1" s="420"/>
    </row>
    <row r="2" spans="1:8" x14ac:dyDescent="0.3">
      <c r="A2" s="374"/>
      <c r="B2" s="421"/>
      <c r="C2" s="421"/>
      <c r="D2" s="421"/>
      <c r="E2" s="421"/>
      <c r="F2" s="421"/>
      <c r="G2" s="422"/>
    </row>
    <row r="3" spans="1:8" x14ac:dyDescent="0.3">
      <c r="A3" s="381" t="str">
        <f>'ORÇAMENTO SD'!A3:E3</f>
        <v>PAVIMENTAÇÃO DE VIAS PÚBLICAS NO MUNÍCIO DE PEDRO LAURENTINO - PI</v>
      </c>
      <c r="B3" s="382"/>
      <c r="C3" s="382"/>
      <c r="D3" s="273" t="s">
        <v>194</v>
      </c>
      <c r="E3" s="130">
        <v>0.21959999999999999</v>
      </c>
      <c r="F3" s="384" t="str">
        <f>'ORÇAMENTO SD'!F3:F4</f>
        <v>FONTE:  
SINAPI 11/2025</v>
      </c>
      <c r="G3" s="370" t="str">
        <f>'ORÇAMENTO SD'!H3:H4</f>
        <v>HORISTA: 113,33%
MENSALISTA: 71,12%</v>
      </c>
    </row>
    <row r="4" spans="1:8" ht="25.5" customHeight="1" x14ac:dyDescent="0.3">
      <c r="A4" s="131" t="str">
        <f>'ORÇAMENTO SD'!A4</f>
        <v>LOCAL: ASSENTAMENTO MOCAMBO</v>
      </c>
      <c r="B4" s="132"/>
      <c r="C4" s="132"/>
      <c r="D4" s="425" t="s">
        <v>9</v>
      </c>
      <c r="E4" s="425"/>
      <c r="F4" s="423"/>
      <c r="G4" s="424"/>
    </row>
    <row r="5" spans="1:8" x14ac:dyDescent="0.3">
      <c r="A5" s="376"/>
      <c r="B5" s="377"/>
      <c r="C5" s="377"/>
      <c r="D5" s="377"/>
      <c r="E5" s="377"/>
      <c r="F5" s="377"/>
      <c r="G5" s="378"/>
    </row>
    <row r="6" spans="1:8" x14ac:dyDescent="0.3">
      <c r="A6" s="458" t="s">
        <v>196</v>
      </c>
      <c r="B6" s="274" t="s">
        <v>237</v>
      </c>
      <c r="C6" s="274" t="s">
        <v>197</v>
      </c>
      <c r="D6" s="278" t="s">
        <v>238</v>
      </c>
      <c r="E6" s="458" t="s">
        <v>239</v>
      </c>
      <c r="F6" s="458" t="s">
        <v>240</v>
      </c>
      <c r="G6" s="458" t="s">
        <v>117</v>
      </c>
    </row>
    <row r="7" spans="1:8" s="142" customFormat="1" ht="20.399999999999999" x14ac:dyDescent="0.3">
      <c r="A7" s="276" t="s">
        <v>268</v>
      </c>
      <c r="B7" s="276" t="s">
        <v>201</v>
      </c>
      <c r="C7" s="451" t="s">
        <v>288</v>
      </c>
      <c r="D7" s="276" t="s">
        <v>15</v>
      </c>
      <c r="E7" s="452">
        <v>1</v>
      </c>
      <c r="F7" s="453">
        <v>463.68</v>
      </c>
      <c r="G7" s="454">
        <v>463.68</v>
      </c>
      <c r="H7"/>
    </row>
    <row r="8" spans="1:8" x14ac:dyDescent="0.3">
      <c r="A8" s="134" t="s">
        <v>204</v>
      </c>
      <c r="B8" s="134" t="s">
        <v>201</v>
      </c>
      <c r="C8" s="141" t="s">
        <v>332</v>
      </c>
      <c r="D8" s="134" t="s">
        <v>203</v>
      </c>
      <c r="E8" s="136">
        <v>1.1186</v>
      </c>
      <c r="F8" s="143">
        <v>21.71</v>
      </c>
      <c r="G8" s="137">
        <v>24.28</v>
      </c>
    </row>
    <row r="9" spans="1:8" ht="20.399999999999999" x14ac:dyDescent="0.3">
      <c r="A9" s="134" t="s">
        <v>202</v>
      </c>
      <c r="B9" s="134" t="s">
        <v>201</v>
      </c>
      <c r="C9" s="141" t="s">
        <v>333</v>
      </c>
      <c r="D9" s="134" t="s">
        <v>203</v>
      </c>
      <c r="E9" s="136">
        <v>0.37290000000000001</v>
      </c>
      <c r="F9" s="143">
        <v>26.97</v>
      </c>
      <c r="G9" s="137">
        <v>10.050000000000001</v>
      </c>
    </row>
    <row r="10" spans="1:8" x14ac:dyDescent="0.3">
      <c r="A10" s="134" t="s">
        <v>269</v>
      </c>
      <c r="B10" s="134" t="s">
        <v>201</v>
      </c>
      <c r="C10" s="141" t="s">
        <v>334</v>
      </c>
      <c r="D10" s="134" t="s">
        <v>15</v>
      </c>
      <c r="E10" s="136">
        <v>0.5</v>
      </c>
      <c r="F10" s="143">
        <v>25.31</v>
      </c>
      <c r="G10" s="137">
        <v>12.65</v>
      </c>
    </row>
    <row r="11" spans="1:8" x14ac:dyDescent="0.3">
      <c r="A11" s="134" t="s">
        <v>272</v>
      </c>
      <c r="B11" s="134" t="s">
        <v>201</v>
      </c>
      <c r="C11" s="141" t="s">
        <v>335</v>
      </c>
      <c r="D11" s="134" t="s">
        <v>208</v>
      </c>
      <c r="E11" s="136">
        <v>1.32E-2</v>
      </c>
      <c r="F11" s="143">
        <v>20.74</v>
      </c>
      <c r="G11" s="137">
        <v>0.27</v>
      </c>
    </row>
    <row r="12" spans="1:8" ht="30.6" x14ac:dyDescent="0.3">
      <c r="A12" s="134" t="s">
        <v>207</v>
      </c>
      <c r="B12" s="134" t="s">
        <v>201</v>
      </c>
      <c r="C12" s="141" t="s">
        <v>336</v>
      </c>
      <c r="D12" s="134" t="s">
        <v>15</v>
      </c>
      <c r="E12" s="136">
        <v>1</v>
      </c>
      <c r="F12" s="143">
        <v>400</v>
      </c>
      <c r="G12" s="137">
        <v>400</v>
      </c>
    </row>
    <row r="13" spans="1:8" ht="20.399999999999999" x14ac:dyDescent="0.3">
      <c r="A13" s="134" t="s">
        <v>270</v>
      </c>
      <c r="B13" s="134" t="s">
        <v>201</v>
      </c>
      <c r="C13" s="141" t="s">
        <v>337</v>
      </c>
      <c r="D13" s="134" t="s">
        <v>206</v>
      </c>
      <c r="E13" s="136">
        <v>3.2082999999999999</v>
      </c>
      <c r="F13" s="143">
        <v>4.99</v>
      </c>
      <c r="G13" s="137">
        <v>16</v>
      </c>
    </row>
    <row r="14" spans="1:8" x14ac:dyDescent="0.3">
      <c r="A14" s="134" t="s">
        <v>271</v>
      </c>
      <c r="B14" s="134" t="s">
        <v>201</v>
      </c>
      <c r="C14" s="141" t="s">
        <v>338</v>
      </c>
      <c r="D14" s="134" t="s">
        <v>208</v>
      </c>
      <c r="E14" s="136">
        <v>1.1299999999999999E-2</v>
      </c>
      <c r="F14" s="143">
        <v>38.700000000000003</v>
      </c>
      <c r="G14" s="137">
        <v>0.43</v>
      </c>
    </row>
    <row r="15" spans="1:8" x14ac:dyDescent="0.3">
      <c r="A15" s="469"/>
      <c r="B15" s="469"/>
      <c r="C15" s="470"/>
      <c r="D15" s="469"/>
      <c r="E15" s="471" t="s">
        <v>388</v>
      </c>
      <c r="F15" s="471"/>
      <c r="G15" s="472">
        <v>565.5</v>
      </c>
    </row>
    <row r="17" spans="1:10" x14ac:dyDescent="0.3">
      <c r="A17" s="458" t="s">
        <v>196</v>
      </c>
      <c r="B17" s="274" t="s">
        <v>237</v>
      </c>
      <c r="C17" s="276" t="s">
        <v>197</v>
      </c>
      <c r="D17" s="276" t="s">
        <v>198</v>
      </c>
      <c r="E17" s="276" t="s">
        <v>199</v>
      </c>
      <c r="F17" s="276" t="s">
        <v>200</v>
      </c>
      <c r="G17" s="276" t="s">
        <v>117</v>
      </c>
    </row>
    <row r="18" spans="1:10" s="142" customFormat="1" x14ac:dyDescent="0.3">
      <c r="A18" s="276">
        <v>1</v>
      </c>
      <c r="B18" s="276" t="s">
        <v>345</v>
      </c>
      <c r="C18" s="451" t="s">
        <v>347</v>
      </c>
      <c r="D18" s="276" t="s">
        <v>346</v>
      </c>
      <c r="E18" s="452">
        <v>1</v>
      </c>
      <c r="F18" s="453">
        <v>5217.6000000000004</v>
      </c>
      <c r="G18" s="454">
        <v>5217.6000000000004</v>
      </c>
    </row>
    <row r="19" spans="1:10" ht="20.399999999999999" x14ac:dyDescent="0.3">
      <c r="A19" s="134" t="s">
        <v>339</v>
      </c>
      <c r="B19" s="134" t="s">
        <v>201</v>
      </c>
      <c r="C19" s="141" t="s">
        <v>340</v>
      </c>
      <c r="D19" s="134" t="s">
        <v>203</v>
      </c>
      <c r="E19" s="136">
        <v>40</v>
      </c>
      <c r="F19" s="143">
        <v>26.17</v>
      </c>
      <c r="G19" s="137">
        <v>1046.8</v>
      </c>
    </row>
    <row r="20" spans="1:10" x14ac:dyDescent="0.3">
      <c r="A20" s="134" t="s">
        <v>341</v>
      </c>
      <c r="B20" s="134" t="s">
        <v>201</v>
      </c>
      <c r="C20" s="141" t="s">
        <v>342</v>
      </c>
      <c r="D20" s="134" t="s">
        <v>203</v>
      </c>
      <c r="E20" s="136">
        <v>40</v>
      </c>
      <c r="F20" s="143">
        <v>38.42</v>
      </c>
      <c r="G20" s="137">
        <v>1536.8</v>
      </c>
    </row>
    <row r="21" spans="1:10" ht="20.399999999999999" x14ac:dyDescent="0.3">
      <c r="A21" s="134" t="s">
        <v>343</v>
      </c>
      <c r="B21" s="134" t="s">
        <v>201</v>
      </c>
      <c r="C21" s="141" t="s">
        <v>344</v>
      </c>
      <c r="D21" s="134" t="s">
        <v>203</v>
      </c>
      <c r="E21" s="136">
        <v>20</v>
      </c>
      <c r="F21" s="143">
        <v>131.69999999999999</v>
      </c>
      <c r="G21" s="137">
        <v>2634</v>
      </c>
    </row>
    <row r="22" spans="1:10" x14ac:dyDescent="0.3">
      <c r="A22" s="469"/>
      <c r="B22" s="469"/>
      <c r="C22" s="470"/>
      <c r="D22" s="469"/>
      <c r="E22" s="471" t="s">
        <v>388</v>
      </c>
      <c r="F22" s="471"/>
      <c r="G22" s="472">
        <v>6363.38</v>
      </c>
    </row>
    <row r="23" spans="1:10" x14ac:dyDescent="0.3">
      <c r="A23" s="418"/>
      <c r="B23" s="418"/>
      <c r="C23" s="418"/>
      <c r="D23" s="418"/>
      <c r="E23" s="418"/>
      <c r="F23" s="418"/>
      <c r="G23" s="418"/>
    </row>
    <row r="24" spans="1:10" x14ac:dyDescent="0.3">
      <c r="A24" s="278" t="s">
        <v>196</v>
      </c>
      <c r="B24" s="278" t="s">
        <v>237</v>
      </c>
      <c r="C24" s="274" t="s">
        <v>197</v>
      </c>
      <c r="D24" s="278" t="s">
        <v>238</v>
      </c>
      <c r="E24" s="278" t="s">
        <v>239</v>
      </c>
      <c r="F24" s="278" t="s">
        <v>240</v>
      </c>
      <c r="G24" s="278" t="s">
        <v>117</v>
      </c>
    </row>
    <row r="25" spans="1:10" s="142" customFormat="1" x14ac:dyDescent="0.3">
      <c r="A25" s="276" t="s">
        <v>273</v>
      </c>
      <c r="B25" s="276" t="s">
        <v>201</v>
      </c>
      <c r="C25" s="451" t="s">
        <v>289</v>
      </c>
      <c r="D25" s="276" t="s">
        <v>15</v>
      </c>
      <c r="E25" s="452">
        <v>1</v>
      </c>
      <c r="F25" s="453">
        <v>0.57999999999999996</v>
      </c>
      <c r="G25" s="454">
        <v>0.57999999999999996</v>
      </c>
    </row>
    <row r="26" spans="1:10" x14ac:dyDescent="0.3">
      <c r="A26" s="134" t="s">
        <v>204</v>
      </c>
      <c r="B26" s="134" t="s">
        <v>201</v>
      </c>
      <c r="C26" s="141" t="s">
        <v>332</v>
      </c>
      <c r="D26" s="134" t="s">
        <v>203</v>
      </c>
      <c r="E26" s="136">
        <v>1.0342999999999999E-3</v>
      </c>
      <c r="F26" s="143">
        <v>21.71</v>
      </c>
      <c r="G26" s="137">
        <v>0.02</v>
      </c>
    </row>
    <row r="27" spans="1:10" ht="40.799999999999997" x14ac:dyDescent="0.3">
      <c r="A27" s="134" t="s">
        <v>276</v>
      </c>
      <c r="B27" s="134" t="s">
        <v>201</v>
      </c>
      <c r="C27" s="141" t="s">
        <v>348</v>
      </c>
      <c r="D27" s="134" t="s">
        <v>245</v>
      </c>
      <c r="E27" s="136">
        <v>6.0956999999999999E-3</v>
      </c>
      <c r="F27" s="143">
        <v>66.3</v>
      </c>
      <c r="G27" s="137">
        <v>0.4</v>
      </c>
      <c r="J27" s="142"/>
    </row>
    <row r="28" spans="1:10" ht="30.6" x14ac:dyDescent="0.3">
      <c r="A28" s="134" t="s">
        <v>274</v>
      </c>
      <c r="B28" s="134" t="s">
        <v>201</v>
      </c>
      <c r="C28" s="141" t="s">
        <v>349</v>
      </c>
      <c r="D28" s="134" t="s">
        <v>243</v>
      </c>
      <c r="E28" s="136">
        <v>3.0249999999999998E-4</v>
      </c>
      <c r="F28" s="143">
        <v>270.26</v>
      </c>
      <c r="G28" s="137">
        <v>0.08</v>
      </c>
    </row>
    <row r="29" spans="1:10" ht="45" customHeight="1" x14ac:dyDescent="0.3">
      <c r="A29" s="134" t="s">
        <v>275</v>
      </c>
      <c r="B29" s="134" t="s">
        <v>201</v>
      </c>
      <c r="C29" s="141" t="s">
        <v>350</v>
      </c>
      <c r="D29" s="134" t="s">
        <v>245</v>
      </c>
      <c r="E29" s="136">
        <v>7.3180000000000001E-4</v>
      </c>
      <c r="F29" s="143">
        <v>110.75</v>
      </c>
      <c r="G29" s="137">
        <v>0.08</v>
      </c>
    </row>
    <row r="30" spans="1:10" ht="15" customHeight="1" x14ac:dyDescent="0.3">
      <c r="A30" s="469"/>
      <c r="B30" s="469"/>
      <c r="C30" s="470"/>
      <c r="D30" s="469"/>
      <c r="E30" s="471" t="s">
        <v>388</v>
      </c>
      <c r="F30" s="471"/>
      <c r="G30" s="472">
        <v>0.7</v>
      </c>
    </row>
    <row r="32" spans="1:10" s="142" customFormat="1" ht="25.5" customHeight="1" x14ac:dyDescent="0.3">
      <c r="A32" s="409" t="s">
        <v>282</v>
      </c>
      <c r="B32" s="410"/>
      <c r="C32" s="410"/>
      <c r="D32" s="410"/>
      <c r="E32" s="410"/>
      <c r="F32" s="411"/>
      <c r="G32" s="133" t="s">
        <v>195</v>
      </c>
      <c r="H32"/>
      <c r="I32"/>
      <c r="J32"/>
    </row>
    <row r="33" spans="1:10" x14ac:dyDescent="0.3">
      <c r="A33" s="412" t="s">
        <v>196</v>
      </c>
      <c r="B33" s="413"/>
      <c r="C33" s="276" t="s">
        <v>197</v>
      </c>
      <c r="D33" s="276" t="s">
        <v>198</v>
      </c>
      <c r="E33" s="276" t="s">
        <v>199</v>
      </c>
      <c r="F33" s="276" t="s">
        <v>200</v>
      </c>
      <c r="G33" s="276" t="s">
        <v>117</v>
      </c>
    </row>
    <row r="34" spans="1:10" ht="30.6" x14ac:dyDescent="0.3">
      <c r="A34" s="276">
        <v>2</v>
      </c>
      <c r="B34" s="276" t="s">
        <v>345</v>
      </c>
      <c r="C34" s="455" t="s">
        <v>357</v>
      </c>
      <c r="D34" s="276" t="s">
        <v>364</v>
      </c>
      <c r="E34" s="452">
        <v>1</v>
      </c>
      <c r="F34" s="453">
        <v>79.77</v>
      </c>
      <c r="G34" s="454">
        <v>79.77</v>
      </c>
    </row>
    <row r="35" spans="1:10" s="142" customFormat="1" ht="40.799999999999997" x14ac:dyDescent="0.3">
      <c r="A35" s="134" t="s">
        <v>351</v>
      </c>
      <c r="B35" s="134" t="s">
        <v>201</v>
      </c>
      <c r="C35" s="135" t="s">
        <v>358</v>
      </c>
      <c r="D35" s="134" t="s">
        <v>243</v>
      </c>
      <c r="E35" s="136">
        <v>3.0999999999999999E-3</v>
      </c>
      <c r="F35" s="143">
        <v>159.13999999999999</v>
      </c>
      <c r="G35" s="137">
        <v>0.49</v>
      </c>
    </row>
    <row r="36" spans="1:10" ht="30.6" x14ac:dyDescent="0.3">
      <c r="A36" s="134" t="s">
        <v>352</v>
      </c>
      <c r="B36" s="134" t="s">
        <v>345</v>
      </c>
      <c r="C36" s="135" t="s">
        <v>359</v>
      </c>
      <c r="D36" s="134" t="s">
        <v>251</v>
      </c>
      <c r="E36" s="136">
        <v>4.2000000000000003E-2</v>
      </c>
      <c r="F36" s="143">
        <v>612.20000000000005</v>
      </c>
      <c r="G36" s="137">
        <v>25.71</v>
      </c>
    </row>
    <row r="37" spans="1:10" ht="30.6" x14ac:dyDescent="0.3">
      <c r="A37" s="134" t="s">
        <v>353</v>
      </c>
      <c r="B37" s="134" t="s">
        <v>201</v>
      </c>
      <c r="C37" s="135" t="s">
        <v>360</v>
      </c>
      <c r="D37" s="134" t="s">
        <v>205</v>
      </c>
      <c r="E37" s="136">
        <v>2.0400000000000001E-2</v>
      </c>
      <c r="F37" s="143">
        <v>710.28</v>
      </c>
      <c r="G37" s="137">
        <v>14.48</v>
      </c>
    </row>
    <row r="38" spans="1:10" x14ac:dyDescent="0.3">
      <c r="A38" s="134" t="s">
        <v>354</v>
      </c>
      <c r="B38" s="134" t="s">
        <v>201</v>
      </c>
      <c r="C38" s="135" t="s">
        <v>361</v>
      </c>
      <c r="D38" s="134" t="s">
        <v>203</v>
      </c>
      <c r="E38" s="136">
        <v>0.40210000000000001</v>
      </c>
      <c r="F38" s="143">
        <v>27.19</v>
      </c>
      <c r="G38" s="137">
        <v>10.93</v>
      </c>
    </row>
    <row r="39" spans="1:10" x14ac:dyDescent="0.3">
      <c r="A39" s="134" t="s">
        <v>204</v>
      </c>
      <c r="B39" s="134" t="s">
        <v>201</v>
      </c>
      <c r="C39" s="135" t="s">
        <v>332</v>
      </c>
      <c r="D39" s="134" t="s">
        <v>203</v>
      </c>
      <c r="E39" s="136">
        <v>0.40210000000000001</v>
      </c>
      <c r="F39" s="143">
        <v>21.71</v>
      </c>
      <c r="G39" s="137">
        <v>8.7200000000000006</v>
      </c>
    </row>
    <row r="40" spans="1:10" ht="40.799999999999997" x14ac:dyDescent="0.3">
      <c r="A40" s="134" t="s">
        <v>355</v>
      </c>
      <c r="B40" s="134" t="s">
        <v>201</v>
      </c>
      <c r="C40" s="135" t="s">
        <v>362</v>
      </c>
      <c r="D40" s="134" t="s">
        <v>245</v>
      </c>
      <c r="E40" s="136">
        <v>0.13089999999999999</v>
      </c>
      <c r="F40" s="143">
        <v>64.72</v>
      </c>
      <c r="G40" s="137">
        <v>8.4700000000000006</v>
      </c>
    </row>
    <row r="41" spans="1:10" ht="20.399999999999999" x14ac:dyDescent="0.3">
      <c r="A41" s="134" t="s">
        <v>356</v>
      </c>
      <c r="B41" s="134" t="s">
        <v>201</v>
      </c>
      <c r="C41" s="135" t="s">
        <v>363</v>
      </c>
      <c r="D41" s="134" t="s">
        <v>205</v>
      </c>
      <c r="E41" s="136">
        <v>0.114</v>
      </c>
      <c r="F41" s="143">
        <v>96.24</v>
      </c>
      <c r="G41" s="137">
        <v>10.97</v>
      </c>
    </row>
    <row r="42" spans="1:10" x14ac:dyDescent="0.3">
      <c r="A42" s="469"/>
      <c r="B42" s="469"/>
      <c r="C42" s="473"/>
      <c r="D42" s="469"/>
      <c r="E42" s="471" t="s">
        <v>388</v>
      </c>
      <c r="F42" s="471"/>
      <c r="G42" s="472">
        <v>97.28</v>
      </c>
    </row>
    <row r="43" spans="1:10" x14ac:dyDescent="0.3">
      <c r="A43" s="418"/>
      <c r="B43" s="418"/>
      <c r="C43" s="418"/>
      <c r="D43" s="418"/>
      <c r="E43" s="418"/>
      <c r="F43" s="418"/>
      <c r="G43" s="418"/>
    </row>
    <row r="44" spans="1:10" x14ac:dyDescent="0.3">
      <c r="A44" s="409" t="s">
        <v>246</v>
      </c>
      <c r="B44" s="410"/>
      <c r="C44" s="410"/>
      <c r="D44" s="410"/>
      <c r="E44" s="410"/>
      <c r="F44" s="411"/>
      <c r="G44" s="133" t="s">
        <v>247</v>
      </c>
      <c r="J44" s="142"/>
    </row>
    <row r="45" spans="1:10" x14ac:dyDescent="0.3">
      <c r="A45" s="412" t="s">
        <v>196</v>
      </c>
      <c r="B45" s="413"/>
      <c r="C45" s="276" t="s">
        <v>197</v>
      </c>
      <c r="D45" s="276" t="s">
        <v>198</v>
      </c>
      <c r="E45" s="276" t="s">
        <v>199</v>
      </c>
      <c r="F45" s="276" t="s">
        <v>200</v>
      </c>
      <c r="G45" s="276" t="s">
        <v>117</v>
      </c>
    </row>
    <row r="46" spans="1:10" x14ac:dyDescent="0.3">
      <c r="A46" s="134" t="s">
        <v>201</v>
      </c>
      <c r="B46" s="134">
        <v>88309</v>
      </c>
      <c r="C46" s="135" t="s">
        <v>248</v>
      </c>
      <c r="D46" s="134" t="s">
        <v>210</v>
      </c>
      <c r="E46" s="136">
        <v>12</v>
      </c>
      <c r="F46" s="143">
        <v>27.39</v>
      </c>
      <c r="G46" s="137">
        <f t="shared" ref="G46:G48" si="0">TRUNC(F46*E46,2)</f>
        <v>328.68</v>
      </c>
    </row>
    <row r="47" spans="1:10" x14ac:dyDescent="0.3">
      <c r="A47" s="134" t="s">
        <v>201</v>
      </c>
      <c r="B47" s="134">
        <v>88316</v>
      </c>
      <c r="C47" s="135" t="s">
        <v>211</v>
      </c>
      <c r="D47" s="134" t="s">
        <v>210</v>
      </c>
      <c r="E47" s="136">
        <v>12</v>
      </c>
      <c r="F47" s="143">
        <v>21.71</v>
      </c>
      <c r="G47" s="137">
        <f t="shared" si="0"/>
        <v>260.52</v>
      </c>
    </row>
    <row r="48" spans="1:10" x14ac:dyDescent="0.3">
      <c r="A48" s="414" t="s">
        <v>249</v>
      </c>
      <c r="B48" s="415"/>
      <c r="C48" s="135" t="s">
        <v>250</v>
      </c>
      <c r="D48" s="134" t="s">
        <v>251</v>
      </c>
      <c r="E48" s="136">
        <v>1</v>
      </c>
      <c r="F48" s="143">
        <v>23</v>
      </c>
      <c r="G48" s="137">
        <f t="shared" si="0"/>
        <v>23</v>
      </c>
    </row>
    <row r="49" spans="1:10" s="142" customFormat="1" x14ac:dyDescent="0.3">
      <c r="A49" s="116"/>
      <c r="B49" s="116"/>
      <c r="C49" s="138"/>
      <c r="D49" s="139"/>
      <c r="E49" s="416" t="s">
        <v>209</v>
      </c>
      <c r="F49" s="417"/>
      <c r="G49" s="140">
        <f>SUM(G46:G48)</f>
        <v>612.20000000000005</v>
      </c>
      <c r="H49"/>
      <c r="I49"/>
      <c r="J49"/>
    </row>
    <row r="50" spans="1:10" s="142" customFormat="1" x14ac:dyDescent="0.3">
      <c r="A50" s="116"/>
      <c r="B50" s="116"/>
      <c r="C50" s="474"/>
      <c r="D50" s="474"/>
      <c r="E50" s="475"/>
      <c r="F50" s="475"/>
      <c r="G50" s="476"/>
      <c r="H50"/>
      <c r="I50"/>
      <c r="J50"/>
    </row>
    <row r="51" spans="1:10" x14ac:dyDescent="0.3">
      <c r="A51" s="275"/>
      <c r="B51" s="275"/>
      <c r="C51" s="275"/>
      <c r="D51" s="275"/>
      <c r="E51" s="275"/>
      <c r="F51" s="275"/>
      <c r="G51" s="275"/>
    </row>
    <row r="52" spans="1:10" x14ac:dyDescent="0.3">
      <c r="A52" s="278" t="s">
        <v>196</v>
      </c>
      <c r="B52" s="278" t="s">
        <v>237</v>
      </c>
      <c r="C52" s="274" t="s">
        <v>197</v>
      </c>
      <c r="D52" s="278" t="s">
        <v>238</v>
      </c>
      <c r="E52" s="278" t="s">
        <v>239</v>
      </c>
      <c r="F52" s="457" t="s">
        <v>240</v>
      </c>
      <c r="G52" s="457" t="s">
        <v>117</v>
      </c>
    </row>
    <row r="53" spans="1:10" ht="40.799999999999997" x14ac:dyDescent="0.3">
      <c r="A53" s="461" t="s">
        <v>277</v>
      </c>
      <c r="B53" s="461" t="s">
        <v>201</v>
      </c>
      <c r="C53" s="462" t="s">
        <v>365</v>
      </c>
      <c r="D53" s="461" t="s">
        <v>206</v>
      </c>
      <c r="E53" s="463">
        <v>1</v>
      </c>
      <c r="F53" s="453">
        <v>46.04</v>
      </c>
      <c r="G53" s="454">
        <v>46.04</v>
      </c>
      <c r="I53" s="142"/>
      <c r="J53" s="142"/>
    </row>
    <row r="54" spans="1:10" ht="20.399999999999999" x14ac:dyDescent="0.3">
      <c r="A54" s="277" t="s">
        <v>216</v>
      </c>
      <c r="B54" s="277" t="s">
        <v>201</v>
      </c>
      <c r="C54" s="110" t="s">
        <v>366</v>
      </c>
      <c r="D54" s="277" t="s">
        <v>205</v>
      </c>
      <c r="E54" s="188">
        <v>1.8E-3</v>
      </c>
      <c r="F54" s="143">
        <v>799.63</v>
      </c>
      <c r="G54" s="137">
        <v>1.43</v>
      </c>
    </row>
    <row r="55" spans="1:10" x14ac:dyDescent="0.3">
      <c r="A55" s="277" t="s">
        <v>212</v>
      </c>
      <c r="B55" s="277" t="s">
        <v>201</v>
      </c>
      <c r="C55" s="110" t="s">
        <v>367</v>
      </c>
      <c r="D55" s="277" t="s">
        <v>203</v>
      </c>
      <c r="E55" s="188">
        <v>0.2296</v>
      </c>
      <c r="F55" s="143">
        <v>27.39</v>
      </c>
      <c r="G55" s="137">
        <v>6.28</v>
      </c>
    </row>
    <row r="56" spans="1:10" x14ac:dyDescent="0.3">
      <c r="A56" s="277" t="s">
        <v>204</v>
      </c>
      <c r="B56" s="277" t="s">
        <v>201</v>
      </c>
      <c r="C56" s="110" t="s">
        <v>332</v>
      </c>
      <c r="D56" s="277" t="s">
        <v>203</v>
      </c>
      <c r="E56" s="188">
        <v>0.2296</v>
      </c>
      <c r="F56" s="143">
        <v>21.71</v>
      </c>
      <c r="G56" s="137">
        <v>4.9800000000000004</v>
      </c>
    </row>
    <row r="57" spans="1:10" ht="20.399999999999999" x14ac:dyDescent="0.3">
      <c r="A57" s="277" t="s">
        <v>213</v>
      </c>
      <c r="B57" s="277" t="s">
        <v>201</v>
      </c>
      <c r="C57" s="110" t="s">
        <v>368</v>
      </c>
      <c r="D57" s="277" t="s">
        <v>205</v>
      </c>
      <c r="E57" s="188">
        <v>6.6E-3</v>
      </c>
      <c r="F57" s="143">
        <v>95</v>
      </c>
      <c r="G57" s="137">
        <v>0.62</v>
      </c>
    </row>
    <row r="58" spans="1:10" ht="20.399999999999999" x14ac:dyDescent="0.3">
      <c r="A58" s="277" t="s">
        <v>217</v>
      </c>
      <c r="B58" s="277" t="s">
        <v>201</v>
      </c>
      <c r="C58" s="110" t="s">
        <v>369</v>
      </c>
      <c r="D58" s="277" t="s">
        <v>206</v>
      </c>
      <c r="E58" s="188">
        <v>1.0049999999999999</v>
      </c>
      <c r="F58" s="143">
        <v>32.57</v>
      </c>
      <c r="G58" s="137">
        <v>32.729999999999997</v>
      </c>
    </row>
    <row r="59" spans="1:10" x14ac:dyDescent="0.3">
      <c r="A59" s="465"/>
      <c r="B59" s="465"/>
      <c r="C59" s="466"/>
      <c r="D59" s="465"/>
      <c r="E59" s="471" t="s">
        <v>388</v>
      </c>
      <c r="F59" s="471"/>
      <c r="G59" s="472">
        <v>56.15</v>
      </c>
    </row>
    <row r="60" spans="1:10" ht="13.8" customHeight="1" x14ac:dyDescent="0.3"/>
    <row r="61" spans="1:10" x14ac:dyDescent="0.3">
      <c r="A61" s="278" t="s">
        <v>196</v>
      </c>
      <c r="B61" s="278" t="s">
        <v>237</v>
      </c>
      <c r="C61" s="274" t="s">
        <v>197</v>
      </c>
      <c r="D61" s="278" t="s">
        <v>238</v>
      </c>
      <c r="E61" s="278" t="s">
        <v>239</v>
      </c>
      <c r="F61" s="457" t="s">
        <v>240</v>
      </c>
      <c r="G61" s="457" t="s">
        <v>117</v>
      </c>
    </row>
    <row r="62" spans="1:10" ht="20.399999999999999" x14ac:dyDescent="0.3">
      <c r="A62" s="461">
        <v>3</v>
      </c>
      <c r="B62" s="461" t="s">
        <v>345</v>
      </c>
      <c r="C62" s="462" t="s">
        <v>290</v>
      </c>
      <c r="D62" s="461" t="s">
        <v>181</v>
      </c>
      <c r="E62" s="463">
        <v>1</v>
      </c>
      <c r="F62" s="453">
        <v>22.64</v>
      </c>
      <c r="G62" s="454">
        <v>22.64</v>
      </c>
      <c r="I62" s="142"/>
    </row>
    <row r="63" spans="1:10" x14ac:dyDescent="0.3">
      <c r="A63" s="277" t="s">
        <v>204</v>
      </c>
      <c r="B63" s="277" t="s">
        <v>201</v>
      </c>
      <c r="C63" s="110" t="s">
        <v>332</v>
      </c>
      <c r="D63" s="277" t="s">
        <v>203</v>
      </c>
      <c r="E63" s="188">
        <v>0.2326</v>
      </c>
      <c r="F63" s="143">
        <v>21.71</v>
      </c>
      <c r="G63" s="137">
        <v>5.04</v>
      </c>
      <c r="J63" s="142"/>
    </row>
    <row r="64" spans="1:10" x14ac:dyDescent="0.3">
      <c r="A64" s="277" t="s">
        <v>212</v>
      </c>
      <c r="B64" s="277" t="s">
        <v>201</v>
      </c>
      <c r="C64" s="110" t="s">
        <v>367</v>
      </c>
      <c r="D64" s="277" t="s">
        <v>203</v>
      </c>
      <c r="E64" s="188">
        <v>0.2326</v>
      </c>
      <c r="F64" s="143">
        <v>27.39</v>
      </c>
      <c r="G64" s="137">
        <v>6.37</v>
      </c>
    </row>
    <row r="65" spans="1:7" ht="20.399999999999999" x14ac:dyDescent="0.3">
      <c r="A65" s="277" t="s">
        <v>214</v>
      </c>
      <c r="B65" s="277" t="s">
        <v>201</v>
      </c>
      <c r="C65" s="110" t="s">
        <v>370</v>
      </c>
      <c r="D65" s="277" t="s">
        <v>206</v>
      </c>
      <c r="E65" s="188">
        <v>0.2</v>
      </c>
      <c r="F65" s="143">
        <v>3.44</v>
      </c>
      <c r="G65" s="137">
        <v>0.68</v>
      </c>
    </row>
    <row r="66" spans="1:7" ht="30.6" x14ac:dyDescent="0.3">
      <c r="A66" s="277" t="s">
        <v>215</v>
      </c>
      <c r="B66" s="277" t="s">
        <v>201</v>
      </c>
      <c r="C66" s="110" t="s">
        <v>371</v>
      </c>
      <c r="D66" s="277" t="s">
        <v>205</v>
      </c>
      <c r="E66" s="188">
        <v>1.4999999999999999E-2</v>
      </c>
      <c r="F66" s="143">
        <v>550</v>
      </c>
      <c r="G66" s="137">
        <v>8.25</v>
      </c>
    </row>
    <row r="67" spans="1:7" ht="20.399999999999999" x14ac:dyDescent="0.3">
      <c r="A67" s="277" t="s">
        <v>213</v>
      </c>
      <c r="B67" s="277" t="s">
        <v>201</v>
      </c>
      <c r="C67" s="110" t="s">
        <v>368</v>
      </c>
      <c r="D67" s="277" t="s">
        <v>205</v>
      </c>
      <c r="E67" s="188">
        <v>9.9000000000000008E-3</v>
      </c>
      <c r="F67" s="143">
        <v>95</v>
      </c>
      <c r="G67" s="137">
        <v>0.94</v>
      </c>
    </row>
    <row r="68" spans="1:7" ht="20.399999999999999" x14ac:dyDescent="0.3">
      <c r="A68" s="277" t="s">
        <v>218</v>
      </c>
      <c r="B68" s="277" t="s">
        <v>201</v>
      </c>
      <c r="C68" s="110" t="s">
        <v>372</v>
      </c>
      <c r="D68" s="277" t="s">
        <v>206</v>
      </c>
      <c r="E68" s="188">
        <v>8.3299999999999999E-2</v>
      </c>
      <c r="F68" s="143">
        <v>16.329999999999998</v>
      </c>
      <c r="G68" s="137">
        <v>1.36</v>
      </c>
    </row>
    <row r="69" spans="1:7" x14ac:dyDescent="0.3">
      <c r="A69" s="465"/>
      <c r="B69" s="465"/>
      <c r="C69" s="466"/>
      <c r="D69" s="465"/>
      <c r="E69" s="471" t="s">
        <v>388</v>
      </c>
      <c r="F69" s="471"/>
      <c r="G69" s="472">
        <v>27.61</v>
      </c>
    </row>
    <row r="70" spans="1:7" x14ac:dyDescent="0.3">
      <c r="A70" s="465"/>
      <c r="B70" s="465"/>
      <c r="C70" s="466"/>
      <c r="D70" s="465"/>
      <c r="E70" s="467"/>
      <c r="F70" s="468"/>
      <c r="G70" s="468"/>
    </row>
    <row r="71" spans="1:7" x14ac:dyDescent="0.3">
      <c r="A71" s="278" t="s">
        <v>196</v>
      </c>
      <c r="B71" s="278" t="s">
        <v>237</v>
      </c>
      <c r="C71" s="274" t="s">
        <v>197</v>
      </c>
      <c r="D71" s="278" t="s">
        <v>238</v>
      </c>
      <c r="E71" s="278" t="s">
        <v>239</v>
      </c>
      <c r="F71" s="457" t="s">
        <v>240</v>
      </c>
      <c r="G71" s="457" t="s">
        <v>117</v>
      </c>
    </row>
    <row r="72" spans="1:7" ht="30.6" x14ac:dyDescent="0.3">
      <c r="A72" s="278" t="s">
        <v>286</v>
      </c>
      <c r="B72" s="278" t="s">
        <v>201</v>
      </c>
      <c r="C72" s="274" t="s">
        <v>373</v>
      </c>
      <c r="D72" s="278" t="s">
        <v>241</v>
      </c>
      <c r="E72" s="456">
        <v>1</v>
      </c>
      <c r="F72" s="453">
        <v>1.62</v>
      </c>
      <c r="G72" s="454">
        <v>1.62</v>
      </c>
    </row>
    <row r="73" spans="1:7" ht="40.799999999999997" x14ac:dyDescent="0.3">
      <c r="A73" s="277" t="s">
        <v>244</v>
      </c>
      <c r="B73" s="277" t="s">
        <v>201</v>
      </c>
      <c r="C73" s="110" t="s">
        <v>374</v>
      </c>
      <c r="D73" s="277" t="s">
        <v>245</v>
      </c>
      <c r="E73" s="188">
        <v>2.3999999999999998E-3</v>
      </c>
      <c r="F73" s="143">
        <v>70.709999999999994</v>
      </c>
      <c r="G73" s="137">
        <v>0.16</v>
      </c>
    </row>
    <row r="74" spans="1:7" ht="40.799999999999997" x14ac:dyDescent="0.3">
      <c r="A74" s="277" t="s">
        <v>242</v>
      </c>
      <c r="B74" s="277" t="s">
        <v>201</v>
      </c>
      <c r="C74" s="110" t="s">
        <v>375</v>
      </c>
      <c r="D74" s="277" t="s">
        <v>243</v>
      </c>
      <c r="E74" s="188">
        <v>5.5999999999999999E-3</v>
      </c>
      <c r="F74" s="143">
        <v>262.47000000000003</v>
      </c>
      <c r="G74" s="137">
        <v>1.46</v>
      </c>
    </row>
    <row r="75" spans="1:7" x14ac:dyDescent="0.3">
      <c r="A75" s="465"/>
      <c r="B75" s="465"/>
      <c r="C75" s="466"/>
      <c r="D75" s="465"/>
      <c r="E75" s="471" t="s">
        <v>388</v>
      </c>
      <c r="F75" s="471"/>
      <c r="G75" s="472">
        <v>1.97</v>
      </c>
    </row>
    <row r="77" spans="1:7" x14ac:dyDescent="0.3">
      <c r="A77" s="278" t="s">
        <v>196</v>
      </c>
      <c r="B77" s="278" t="s">
        <v>237</v>
      </c>
      <c r="C77" s="274" t="s">
        <v>197</v>
      </c>
      <c r="D77" s="278" t="s">
        <v>238</v>
      </c>
      <c r="E77" s="278" t="s">
        <v>239</v>
      </c>
      <c r="F77" s="457" t="s">
        <v>240</v>
      </c>
      <c r="G77" s="457" t="s">
        <v>117</v>
      </c>
    </row>
    <row r="78" spans="1:7" ht="30.6" x14ac:dyDescent="0.3">
      <c r="A78" s="278" t="s">
        <v>287</v>
      </c>
      <c r="B78" s="278" t="s">
        <v>201</v>
      </c>
      <c r="C78" s="274" t="s">
        <v>376</v>
      </c>
      <c r="D78" s="278" t="s">
        <v>241</v>
      </c>
      <c r="E78" s="456">
        <v>1</v>
      </c>
      <c r="F78" s="453">
        <v>0.64</v>
      </c>
      <c r="G78" s="454">
        <v>0.64</v>
      </c>
    </row>
    <row r="79" spans="1:7" ht="40.799999999999997" x14ac:dyDescent="0.3">
      <c r="A79" s="277" t="s">
        <v>244</v>
      </c>
      <c r="B79" s="277" t="s">
        <v>201</v>
      </c>
      <c r="C79" s="110" t="s">
        <v>374</v>
      </c>
      <c r="D79" s="277" t="s">
        <v>245</v>
      </c>
      <c r="E79" s="188">
        <v>1E-3</v>
      </c>
      <c r="F79" s="143">
        <v>70.709999999999994</v>
      </c>
      <c r="G79" s="137">
        <v>7.0000000000000007E-2</v>
      </c>
    </row>
    <row r="80" spans="1:7" ht="40.799999999999997" x14ac:dyDescent="0.3">
      <c r="A80" s="277" t="s">
        <v>242</v>
      </c>
      <c r="B80" s="277" t="s">
        <v>201</v>
      </c>
      <c r="C80" s="110" t="s">
        <v>375</v>
      </c>
      <c r="D80" s="277" t="s">
        <v>243</v>
      </c>
      <c r="E80" s="188">
        <v>2.2000000000000001E-3</v>
      </c>
      <c r="F80" s="143">
        <v>262.47000000000003</v>
      </c>
      <c r="G80" s="137">
        <v>0.56999999999999995</v>
      </c>
    </row>
    <row r="81" spans="1:7" x14ac:dyDescent="0.3">
      <c r="A81" s="465"/>
      <c r="B81" s="465"/>
      <c r="C81" s="466"/>
      <c r="D81" s="465"/>
      <c r="E81" s="471" t="s">
        <v>388</v>
      </c>
      <c r="F81" s="471"/>
      <c r="G81" s="472">
        <v>0.78</v>
      </c>
    </row>
    <row r="83" spans="1:7" x14ac:dyDescent="0.3">
      <c r="A83" s="278" t="s">
        <v>196</v>
      </c>
      <c r="B83" s="278" t="s">
        <v>237</v>
      </c>
      <c r="C83" s="274" t="s">
        <v>197</v>
      </c>
      <c r="D83" s="278" t="s">
        <v>238</v>
      </c>
      <c r="E83" s="278" t="s">
        <v>239</v>
      </c>
      <c r="F83" s="457" t="s">
        <v>240</v>
      </c>
      <c r="G83" s="457" t="s">
        <v>117</v>
      </c>
    </row>
    <row r="84" spans="1:7" ht="20.399999999999999" x14ac:dyDescent="0.3">
      <c r="A84" s="278">
        <v>4</v>
      </c>
      <c r="B84" s="278" t="s">
        <v>345</v>
      </c>
      <c r="C84" s="274" t="s">
        <v>377</v>
      </c>
      <c r="D84" s="278" t="s">
        <v>15</v>
      </c>
      <c r="E84" s="456">
        <v>1</v>
      </c>
      <c r="F84" s="453">
        <v>976.19</v>
      </c>
      <c r="G84" s="454">
        <v>976.19</v>
      </c>
    </row>
    <row r="85" spans="1:7" x14ac:dyDescent="0.3">
      <c r="A85" s="277" t="s">
        <v>204</v>
      </c>
      <c r="B85" s="277" t="s">
        <v>201</v>
      </c>
      <c r="C85" s="110" t="s">
        <v>332</v>
      </c>
      <c r="D85" s="277" t="s">
        <v>203</v>
      </c>
      <c r="E85" s="188">
        <v>0.75819999999999999</v>
      </c>
      <c r="F85" s="143">
        <v>21.71</v>
      </c>
      <c r="G85" s="137">
        <v>16.46</v>
      </c>
    </row>
    <row r="86" spans="1:7" ht="20.399999999999999" x14ac:dyDescent="0.3">
      <c r="A86" s="277" t="s">
        <v>378</v>
      </c>
      <c r="B86" s="277" t="s">
        <v>201</v>
      </c>
      <c r="C86" s="110" t="s">
        <v>379</v>
      </c>
      <c r="D86" s="277" t="s">
        <v>203</v>
      </c>
      <c r="E86" s="188">
        <v>0.25269999999999998</v>
      </c>
      <c r="F86" s="143">
        <v>22.39</v>
      </c>
      <c r="G86" s="137">
        <v>5.65</v>
      </c>
    </row>
    <row r="87" spans="1:7" ht="20.399999999999999" x14ac:dyDescent="0.3">
      <c r="A87" s="277" t="s">
        <v>380</v>
      </c>
      <c r="B87" s="277" t="s">
        <v>201</v>
      </c>
      <c r="C87" s="110" t="s">
        <v>381</v>
      </c>
      <c r="D87" s="277" t="s">
        <v>279</v>
      </c>
      <c r="E87" s="188">
        <v>4</v>
      </c>
      <c r="F87" s="143">
        <v>7.52</v>
      </c>
      <c r="G87" s="137">
        <v>30.08</v>
      </c>
    </row>
    <row r="88" spans="1:7" ht="20.399999999999999" x14ac:dyDescent="0.3">
      <c r="A88" s="277" t="s">
        <v>382</v>
      </c>
      <c r="B88" s="277" t="s">
        <v>201</v>
      </c>
      <c r="C88" s="110" t="s">
        <v>383</v>
      </c>
      <c r="D88" s="277" t="s">
        <v>15</v>
      </c>
      <c r="E88" s="188">
        <v>1</v>
      </c>
      <c r="F88" s="143">
        <v>924</v>
      </c>
      <c r="G88" s="137">
        <v>924</v>
      </c>
    </row>
    <row r="89" spans="1:7" x14ac:dyDescent="0.3">
      <c r="A89" s="465"/>
      <c r="B89" s="465"/>
      <c r="C89" s="466"/>
      <c r="D89" s="465"/>
      <c r="E89" s="471" t="s">
        <v>388</v>
      </c>
      <c r="F89" s="471"/>
      <c r="G89" s="472">
        <v>1190.56</v>
      </c>
    </row>
    <row r="90" spans="1:7" x14ac:dyDescent="0.3">
      <c r="A90" s="465"/>
      <c r="B90" s="465"/>
      <c r="C90" s="466"/>
      <c r="D90" s="465"/>
      <c r="E90" s="467"/>
      <c r="F90" s="468"/>
      <c r="G90" s="468"/>
    </row>
    <row r="91" spans="1:7" x14ac:dyDescent="0.3">
      <c r="A91" s="278" t="s">
        <v>196</v>
      </c>
      <c r="B91" s="278" t="s">
        <v>237</v>
      </c>
      <c r="C91" s="274" t="s">
        <v>197</v>
      </c>
      <c r="D91" s="278" t="s">
        <v>238</v>
      </c>
      <c r="E91" s="278" t="s">
        <v>239</v>
      </c>
      <c r="F91" s="457" t="s">
        <v>240</v>
      </c>
      <c r="G91" s="457" t="s">
        <v>117</v>
      </c>
    </row>
    <row r="92" spans="1:7" ht="30.6" x14ac:dyDescent="0.3">
      <c r="A92" s="278">
        <v>5</v>
      </c>
      <c r="B92" s="278" t="s">
        <v>345</v>
      </c>
      <c r="C92" s="274" t="s">
        <v>281</v>
      </c>
      <c r="D92" s="278" t="s">
        <v>183</v>
      </c>
      <c r="E92" s="456">
        <v>1</v>
      </c>
      <c r="F92" s="453">
        <v>421.26</v>
      </c>
      <c r="G92" s="454">
        <v>421.26</v>
      </c>
    </row>
    <row r="93" spans="1:7" ht="20.399999999999999" x14ac:dyDescent="0.3">
      <c r="A93" s="277" t="s">
        <v>378</v>
      </c>
      <c r="B93" s="277" t="s">
        <v>201</v>
      </c>
      <c r="C93" s="110" t="s">
        <v>379</v>
      </c>
      <c r="D93" s="277" t="s">
        <v>203</v>
      </c>
      <c r="E93" s="188">
        <v>0.21379999999999999</v>
      </c>
      <c r="F93" s="143">
        <v>22.39</v>
      </c>
      <c r="G93" s="137">
        <v>4.78</v>
      </c>
    </row>
    <row r="94" spans="1:7" x14ac:dyDescent="0.3">
      <c r="A94" s="277" t="s">
        <v>204</v>
      </c>
      <c r="B94" s="277" t="s">
        <v>201</v>
      </c>
      <c r="C94" s="110" t="s">
        <v>332</v>
      </c>
      <c r="D94" s="277" t="s">
        <v>203</v>
      </c>
      <c r="E94" s="188">
        <v>0.64129999999999998</v>
      </c>
      <c r="F94" s="143">
        <v>21.71</v>
      </c>
      <c r="G94" s="137">
        <v>13.92</v>
      </c>
    </row>
    <row r="95" spans="1:7" ht="30.6" x14ac:dyDescent="0.3">
      <c r="A95" s="277" t="s">
        <v>384</v>
      </c>
      <c r="B95" s="277" t="s">
        <v>201</v>
      </c>
      <c r="C95" s="110" t="s">
        <v>385</v>
      </c>
      <c r="D95" s="277" t="s">
        <v>205</v>
      </c>
      <c r="E95" s="188">
        <v>2.3699999999999999E-2</v>
      </c>
      <c r="F95" s="143">
        <v>1025.1300000000001</v>
      </c>
      <c r="G95" s="137">
        <v>24.29</v>
      </c>
    </row>
    <row r="96" spans="1:7" ht="20.399999999999999" x14ac:dyDescent="0.3">
      <c r="A96" s="277" t="s">
        <v>386</v>
      </c>
      <c r="B96" s="277" t="s">
        <v>201</v>
      </c>
      <c r="C96" s="110" t="s">
        <v>387</v>
      </c>
      <c r="D96" s="277" t="s">
        <v>206</v>
      </c>
      <c r="E96" s="188">
        <v>3.3</v>
      </c>
      <c r="F96" s="143">
        <v>114.63</v>
      </c>
      <c r="G96" s="137">
        <v>378.27</v>
      </c>
    </row>
    <row r="97" spans="5:7" x14ac:dyDescent="0.3">
      <c r="E97" s="471" t="s">
        <v>388</v>
      </c>
      <c r="F97" s="471"/>
      <c r="G97" s="472">
        <v>513.76</v>
      </c>
    </row>
  </sheetData>
  <mergeCells count="24">
    <mergeCell ref="E59:F59"/>
    <mergeCell ref="E69:F69"/>
    <mergeCell ref="E75:F75"/>
    <mergeCell ref="E81:F81"/>
    <mergeCell ref="E89:F89"/>
    <mergeCell ref="E97:F97"/>
    <mergeCell ref="E42:F42"/>
    <mergeCell ref="A43:G43"/>
    <mergeCell ref="A44:F44"/>
    <mergeCell ref="A45:B45"/>
    <mergeCell ref="A48:B48"/>
    <mergeCell ref="E49:F49"/>
    <mergeCell ref="E15:F15"/>
    <mergeCell ref="E22:F22"/>
    <mergeCell ref="A23:G23"/>
    <mergeCell ref="E30:F30"/>
    <mergeCell ref="A32:F32"/>
    <mergeCell ref="A33:B33"/>
    <mergeCell ref="A1:G2"/>
    <mergeCell ref="A3:C3"/>
    <mergeCell ref="F3:F4"/>
    <mergeCell ref="G3:G4"/>
    <mergeCell ref="D4:E4"/>
    <mergeCell ref="A5:G5"/>
  </mergeCells>
  <pageMargins left="0.51181102362204722" right="0.51181102362204722" top="1.7716535433070868" bottom="1.1811023622047245" header="0.51181102362204722" footer="0.51181102362204722"/>
  <pageSetup paperSize="9" scale="71" fitToHeight="0" orientation="portrait" r:id="rId1"/>
  <headerFooter>
    <oddHeader>&amp;C&amp;G</oddHeader>
    <oddFooter xml:space="preserve">&amp;R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14999847407452621"/>
    <pageSetUpPr fitToPage="1"/>
  </sheetPr>
  <dimension ref="A1:F36"/>
  <sheetViews>
    <sheetView view="pageBreakPreview" topLeftCell="A15" zoomScaleNormal="100" zoomScaleSheetLayoutView="100" workbookViewId="0">
      <selection activeCell="F36" sqref="F36"/>
    </sheetView>
  </sheetViews>
  <sheetFormatPr defaultRowHeight="14.4" x14ac:dyDescent="0.3"/>
  <cols>
    <col min="1" max="1" width="9.109375" style="21"/>
    <col min="2" max="2" width="32.44140625" bestFit="1" customWidth="1"/>
    <col min="3" max="3" width="7.33203125" customWidth="1"/>
    <col min="4" max="4" width="15.33203125" customWidth="1"/>
    <col min="5" max="6" width="14.44140625" bestFit="1" customWidth="1"/>
  </cols>
  <sheetData>
    <row r="1" spans="1:6" x14ac:dyDescent="0.3">
      <c r="A1" s="358" t="s">
        <v>184</v>
      </c>
      <c r="B1" s="358"/>
      <c r="C1" s="358"/>
      <c r="D1" s="358"/>
      <c r="E1" s="358"/>
      <c r="F1" s="358"/>
    </row>
    <row r="2" spans="1:6" ht="15" customHeight="1" x14ac:dyDescent="0.3">
      <c r="A2" s="394" t="str">
        <f>'RESUMO SD '!A2:B2</f>
        <v>PAVIMENTAÇÃO DE VIAS PÚBLICAS NO MUNÍCIO DE PEDRO LAURENTINO - PI</v>
      </c>
      <c r="B2" s="394"/>
      <c r="C2" s="394"/>
      <c r="D2" s="394"/>
      <c r="E2" s="394"/>
      <c r="F2" s="394"/>
    </row>
    <row r="3" spans="1:6" ht="15.75" customHeight="1" x14ac:dyDescent="0.3">
      <c r="A3" s="358" t="s">
        <v>25</v>
      </c>
      <c r="B3" s="358" t="s">
        <v>185</v>
      </c>
      <c r="C3" s="395" t="s">
        <v>191</v>
      </c>
      <c r="D3" s="396" t="s">
        <v>221</v>
      </c>
      <c r="E3" s="397" t="s">
        <v>186</v>
      </c>
      <c r="F3" s="397"/>
    </row>
    <row r="4" spans="1:6" ht="23.25" customHeight="1" x14ac:dyDescent="0.3">
      <c r="A4" s="358"/>
      <c r="B4" s="358"/>
      <c r="C4" s="395"/>
      <c r="D4" s="396"/>
      <c r="E4" s="129">
        <v>30</v>
      </c>
      <c r="F4" s="129">
        <v>60</v>
      </c>
    </row>
    <row r="5" spans="1:6" x14ac:dyDescent="0.3">
      <c r="A5" s="243" t="s">
        <v>30</v>
      </c>
      <c r="B5" s="349" t="str">
        <f>'RESUMO SD '!B9:D9</f>
        <v>PAVIMENTAÇÃO DE VIAS EM PARALELEPÍPEDO</v>
      </c>
      <c r="C5" s="349"/>
      <c r="D5" s="349"/>
      <c r="E5" s="349"/>
      <c r="F5" s="349"/>
    </row>
    <row r="6" spans="1:6" x14ac:dyDescent="0.3">
      <c r="A6" s="399" t="s">
        <v>32</v>
      </c>
      <c r="B6" s="400" t="s">
        <v>31</v>
      </c>
      <c r="C6" s="401"/>
      <c r="D6" s="398"/>
      <c r="E6" s="124"/>
      <c r="F6" s="124"/>
    </row>
    <row r="7" spans="1:6" x14ac:dyDescent="0.3">
      <c r="A7" s="399"/>
      <c r="B7" s="400"/>
      <c r="C7" s="401"/>
      <c r="D7" s="398"/>
      <c r="E7" s="125"/>
      <c r="F7" s="125"/>
    </row>
    <row r="8" spans="1:6" x14ac:dyDescent="0.3">
      <c r="A8" s="368" t="s">
        <v>187</v>
      </c>
      <c r="B8" s="389" t="s">
        <v>38</v>
      </c>
      <c r="C8" s="390">
        <f>D8/$D$29</f>
        <v>5.3411593517655427E-3</v>
      </c>
      <c r="D8" s="391">
        <f>'ORÇAMENTO SD'!H11</f>
        <v>3393</v>
      </c>
      <c r="E8" s="126">
        <f>D8*E9</f>
        <v>3393</v>
      </c>
      <c r="F8" s="127"/>
    </row>
    <row r="9" spans="1:6" x14ac:dyDescent="0.3">
      <c r="A9" s="368"/>
      <c r="B9" s="389"/>
      <c r="C9" s="390"/>
      <c r="D9" s="391"/>
      <c r="E9" s="128">
        <v>1</v>
      </c>
      <c r="F9" s="128"/>
    </row>
    <row r="10" spans="1:6" x14ac:dyDescent="0.3">
      <c r="A10" s="368" t="s">
        <v>188</v>
      </c>
      <c r="B10" s="389" t="s">
        <v>39</v>
      </c>
      <c r="C10" s="390">
        <f>D10/$D$29</f>
        <v>2.0034085821301399E-2</v>
      </c>
      <c r="D10" s="391">
        <f>'ORÇAMENTO SD'!H12</f>
        <v>12726.76</v>
      </c>
      <c r="E10" s="126">
        <f>D10*E11</f>
        <v>6363.38</v>
      </c>
      <c r="F10" s="127">
        <f>F11*D10</f>
        <v>6363.38</v>
      </c>
    </row>
    <row r="11" spans="1:6" x14ac:dyDescent="0.3">
      <c r="A11" s="368"/>
      <c r="B11" s="389"/>
      <c r="C11" s="390"/>
      <c r="D11" s="391"/>
      <c r="E11" s="128">
        <v>0.5</v>
      </c>
      <c r="F11" s="128">
        <v>0.5</v>
      </c>
    </row>
    <row r="12" spans="1:6" x14ac:dyDescent="0.3">
      <c r="A12" s="244"/>
      <c r="B12" s="245"/>
      <c r="C12" s="246"/>
      <c r="D12" s="247"/>
      <c r="E12" s="128"/>
      <c r="F12" s="128"/>
    </row>
    <row r="13" spans="1:6" x14ac:dyDescent="0.3">
      <c r="A13" s="349" t="str">
        <f>'ORÇAMENTO SD'!B6</f>
        <v>RUA PROJETADA I - ASSENTAMENTO MOCAMBO</v>
      </c>
      <c r="B13" s="349"/>
      <c r="C13" s="349"/>
      <c r="D13" s="349"/>
      <c r="E13" s="349"/>
      <c r="F13" s="349"/>
    </row>
    <row r="14" spans="1:6" x14ac:dyDescent="0.3">
      <c r="A14" s="368" t="s">
        <v>33</v>
      </c>
      <c r="B14" s="389" t="str">
        <f>'ORÇAMENTO SD'!B14:G14</f>
        <v>TERRAPLENAGEM</v>
      </c>
      <c r="C14" s="390">
        <f>D14/$D$29</f>
        <v>4.2974845359033103E-3</v>
      </c>
      <c r="D14" s="391">
        <f>'ORÇAMENTO SD'!H14</f>
        <v>2730</v>
      </c>
      <c r="E14" s="127">
        <f>D14*E15</f>
        <v>1365</v>
      </c>
      <c r="F14" s="127">
        <f>D14*F15</f>
        <v>1365</v>
      </c>
    </row>
    <row r="15" spans="1:6" x14ac:dyDescent="0.3">
      <c r="A15" s="368"/>
      <c r="B15" s="389"/>
      <c r="C15" s="390"/>
      <c r="D15" s="391"/>
      <c r="E15" s="128">
        <v>0.5</v>
      </c>
      <c r="F15" s="128">
        <v>0.5</v>
      </c>
    </row>
    <row r="16" spans="1:6" x14ac:dyDescent="0.3">
      <c r="A16" s="251"/>
      <c r="B16" s="251"/>
      <c r="C16" s="251"/>
      <c r="D16" s="251"/>
      <c r="E16" s="251"/>
      <c r="F16" s="251"/>
    </row>
    <row r="17" spans="1:6" x14ac:dyDescent="0.3">
      <c r="A17" s="392" t="s">
        <v>174</v>
      </c>
      <c r="B17" s="393" t="str">
        <f>'ORÇAMENTO SD'!B17:G17</f>
        <v>PAVIMENTAÇÃO</v>
      </c>
      <c r="C17" s="390">
        <f>D17/$D$29</f>
        <v>0.59722756521810572</v>
      </c>
      <c r="D17" s="391">
        <f>'ORÇAMENTO SD'!H17</f>
        <v>379392</v>
      </c>
      <c r="E17" s="127">
        <f>D17*E18</f>
        <v>189696</v>
      </c>
      <c r="F17" s="127">
        <f>D17*F18</f>
        <v>189696</v>
      </c>
    </row>
    <row r="18" spans="1:6" x14ac:dyDescent="0.3">
      <c r="A18" s="392"/>
      <c r="B18" s="393"/>
      <c r="C18" s="390"/>
      <c r="D18" s="391"/>
      <c r="E18" s="128">
        <v>0.5</v>
      </c>
      <c r="F18" s="128">
        <v>0.5</v>
      </c>
    </row>
    <row r="19" spans="1:6" x14ac:dyDescent="0.3">
      <c r="A19" s="252"/>
      <c r="B19" s="252"/>
      <c r="C19" s="252"/>
      <c r="D19" s="252"/>
      <c r="E19" s="252"/>
      <c r="F19" s="252"/>
    </row>
    <row r="20" spans="1:6" x14ac:dyDescent="0.3">
      <c r="A20" s="368" t="s">
        <v>177</v>
      </c>
      <c r="B20" s="389" t="str">
        <f>'ORÇAMENTO SD'!B20:G20</f>
        <v>SERVIÇOS COMPLEMENTARES</v>
      </c>
      <c r="C20" s="390">
        <f>D20/$D$29</f>
        <v>0.34493783239980319</v>
      </c>
      <c r="D20" s="391">
        <f>'ORÇAMENTO SD'!H20</f>
        <v>219123.6</v>
      </c>
      <c r="E20" s="127">
        <f>D20*E21</f>
        <v>109561.8</v>
      </c>
      <c r="F20" s="127">
        <f>D20*F21</f>
        <v>109561.8</v>
      </c>
    </row>
    <row r="21" spans="1:6" x14ac:dyDescent="0.3">
      <c r="A21" s="368"/>
      <c r="B21" s="389"/>
      <c r="C21" s="390"/>
      <c r="D21" s="391"/>
      <c r="E21" s="128">
        <v>0.5</v>
      </c>
      <c r="F21" s="128">
        <v>0.5</v>
      </c>
    </row>
    <row r="22" spans="1:6" x14ac:dyDescent="0.3">
      <c r="A22" s="252"/>
      <c r="B22" s="252"/>
      <c r="C22" s="252"/>
      <c r="D22" s="252"/>
      <c r="E22" s="252"/>
      <c r="F22" s="252"/>
    </row>
    <row r="23" spans="1:6" x14ac:dyDescent="0.3">
      <c r="A23" s="368" t="s">
        <v>226</v>
      </c>
      <c r="B23" s="389" t="str">
        <f>'ORÇAMENTO SD'!B24:G24</f>
        <v xml:space="preserve">TRANSPORTE </v>
      </c>
      <c r="C23" s="390">
        <f>D23/$D$29</f>
        <v>2.6113342077533731E-2</v>
      </c>
      <c r="D23" s="391">
        <f>'ORÇAMENTO SD'!H24</f>
        <v>16588.64</v>
      </c>
      <c r="E23" s="127">
        <f>D23*E24</f>
        <v>8294.32</v>
      </c>
      <c r="F23" s="127">
        <f>D23*F24</f>
        <v>8294.32</v>
      </c>
    </row>
    <row r="24" spans="1:6" x14ac:dyDescent="0.3">
      <c r="A24" s="368"/>
      <c r="B24" s="389"/>
      <c r="C24" s="390"/>
      <c r="D24" s="391"/>
      <c r="E24" s="128">
        <v>0.5</v>
      </c>
      <c r="F24" s="128">
        <v>0.5</v>
      </c>
    </row>
    <row r="25" spans="1:6" x14ac:dyDescent="0.3">
      <c r="A25" s="252"/>
      <c r="B25" s="252"/>
      <c r="C25" s="252"/>
      <c r="D25" s="252"/>
      <c r="E25" s="252"/>
      <c r="F25" s="252"/>
    </row>
    <row r="26" spans="1:6" x14ac:dyDescent="0.3">
      <c r="A26" s="368" t="s">
        <v>262</v>
      </c>
      <c r="B26" s="389" t="s">
        <v>263</v>
      </c>
      <c r="C26" s="390">
        <f>D26/$D$29</f>
        <v>2.0485305955869645E-3</v>
      </c>
      <c r="D26" s="391">
        <f>'ORÇAMENTO SD'!H28</f>
        <v>1301.3399999999999</v>
      </c>
      <c r="E26" s="127"/>
      <c r="F26" s="127">
        <f>D26*F27</f>
        <v>1301.3399999999999</v>
      </c>
    </row>
    <row r="27" spans="1:6" x14ac:dyDescent="0.3">
      <c r="A27" s="368"/>
      <c r="B27" s="389"/>
      <c r="C27" s="390"/>
      <c r="D27" s="391"/>
      <c r="E27" s="128"/>
      <c r="F27" s="128">
        <v>1</v>
      </c>
    </row>
    <row r="28" spans="1:6" x14ac:dyDescent="0.3">
      <c r="A28" s="252"/>
      <c r="B28" s="252"/>
      <c r="C28" s="252"/>
      <c r="D28" s="252"/>
      <c r="E28" s="252"/>
      <c r="F28" s="252"/>
    </row>
    <row r="29" spans="1:6" x14ac:dyDescent="0.3">
      <c r="A29" s="385" t="s">
        <v>189</v>
      </c>
      <c r="B29" s="385"/>
      <c r="C29" s="387"/>
      <c r="D29" s="386">
        <f>SUM(D26,D23,D20,D17,D14,D10,D8)</f>
        <v>635255.34000000008</v>
      </c>
      <c r="E29" s="149">
        <f>SUM(E26,E23,E20,E17,E14,E10,E8)</f>
        <v>318673.5</v>
      </c>
      <c r="F29" s="149">
        <f>SUM(F26,F23,F20,F17,F14,F10,F8)</f>
        <v>316581.84000000003</v>
      </c>
    </row>
    <row r="30" spans="1:6" x14ac:dyDescent="0.3">
      <c r="A30" s="385"/>
      <c r="B30" s="385"/>
      <c r="C30" s="387"/>
      <c r="D30" s="386"/>
      <c r="E30" s="149">
        <f>E29</f>
        <v>318673.5</v>
      </c>
      <c r="F30" s="149">
        <f>E30+F29</f>
        <v>635255.34000000008</v>
      </c>
    </row>
    <row r="31" spans="1:6" x14ac:dyDescent="0.3">
      <c r="A31" s="385" t="s">
        <v>190</v>
      </c>
      <c r="B31" s="385"/>
      <c r="C31" s="387"/>
      <c r="D31" s="388">
        <f>D29/$D$29</f>
        <v>1</v>
      </c>
      <c r="E31" s="150">
        <f>E29/$D$29</f>
        <v>0.50164631437808926</v>
      </c>
      <c r="F31" s="150">
        <f>F29/$D$29</f>
        <v>0.49835368562191068</v>
      </c>
    </row>
    <row r="32" spans="1:6" x14ac:dyDescent="0.3">
      <c r="A32" s="385"/>
      <c r="B32" s="385"/>
      <c r="C32" s="387"/>
      <c r="D32" s="388"/>
      <c r="E32" s="150">
        <f>E30/$D$29</f>
        <v>0.50164631437808926</v>
      </c>
      <c r="F32" s="150">
        <f>F30/$D$29</f>
        <v>1</v>
      </c>
    </row>
    <row r="34" spans="4:4" x14ac:dyDescent="0.3">
      <c r="D34" s="271">
        <f>'RESUMO SD '!F12</f>
        <v>635255.34</v>
      </c>
    </row>
    <row r="35" spans="4:4" x14ac:dyDescent="0.3">
      <c r="D35" s="271">
        <f>D29-D34</f>
        <v>0</v>
      </c>
    </row>
    <row r="36" spans="4:4" x14ac:dyDescent="0.3">
      <c r="D36" s="272">
        <f>D34-F30</f>
        <v>0</v>
      </c>
    </row>
  </sheetData>
  <mergeCells count="46">
    <mergeCell ref="A6:A7"/>
    <mergeCell ref="B6:B7"/>
    <mergeCell ref="C6:C7"/>
    <mergeCell ref="B10:B11"/>
    <mergeCell ref="C10:C11"/>
    <mergeCell ref="D10:D11"/>
    <mergeCell ref="A14:A15"/>
    <mergeCell ref="B14:B15"/>
    <mergeCell ref="C14:C15"/>
    <mergeCell ref="D14:D15"/>
    <mergeCell ref="A13:F13"/>
    <mergeCell ref="A1:F1"/>
    <mergeCell ref="A2:F2"/>
    <mergeCell ref="A3:A4"/>
    <mergeCell ref="B3:B4"/>
    <mergeCell ref="C3:C4"/>
    <mergeCell ref="D3:D4"/>
    <mergeCell ref="E3:F3"/>
    <mergeCell ref="A8:A9"/>
    <mergeCell ref="B8:B9"/>
    <mergeCell ref="C8:C9"/>
    <mergeCell ref="D8:D9"/>
    <mergeCell ref="B5:F5"/>
    <mergeCell ref="D6:D7"/>
    <mergeCell ref="A10:A11"/>
    <mergeCell ref="A17:A18"/>
    <mergeCell ref="B17:B18"/>
    <mergeCell ref="C17:C18"/>
    <mergeCell ref="D17:D18"/>
    <mergeCell ref="A20:A21"/>
    <mergeCell ref="B20:B21"/>
    <mergeCell ref="C20:C21"/>
    <mergeCell ref="D20:D21"/>
    <mergeCell ref="A31:B32"/>
    <mergeCell ref="D29:D30"/>
    <mergeCell ref="C29:C32"/>
    <mergeCell ref="D31:D32"/>
    <mergeCell ref="A23:A24"/>
    <mergeCell ref="B23:B24"/>
    <mergeCell ref="C23:C24"/>
    <mergeCell ref="D23:D24"/>
    <mergeCell ref="D26:D27"/>
    <mergeCell ref="A26:A27"/>
    <mergeCell ref="B26:B27"/>
    <mergeCell ref="C26:C27"/>
    <mergeCell ref="A29:B30"/>
  </mergeCells>
  <conditionalFormatting sqref="E16:F16">
    <cfRule type="expression" dxfId="50" priority="25" stopIfTrue="1">
      <formula>LEN(TRIM(E16))&gt;0</formula>
    </cfRule>
  </conditionalFormatting>
  <conditionalFormatting sqref="E19:F19">
    <cfRule type="expression" dxfId="49" priority="24" stopIfTrue="1">
      <formula>LEN(TRIM(E19))&gt;0</formula>
    </cfRule>
  </conditionalFormatting>
  <conditionalFormatting sqref="E22:F22">
    <cfRule type="expression" dxfId="48" priority="2" stopIfTrue="1">
      <formula>LEN(TRIM(E22))&gt;0</formula>
    </cfRule>
  </conditionalFormatting>
  <conditionalFormatting sqref="E25:F25 E28:F28">
    <cfRule type="expression" dxfId="47" priority="20" stopIfTrue="1">
      <formula>LEN(TRIM(E25))&gt;0</formula>
    </cfRule>
  </conditionalFormatting>
  <pageMargins left="0.51181102362204722" right="0.51181102362204722" top="2.1346875000000001" bottom="1.1811023622047245" header="0.51181102362204722" footer="0.51181102362204722"/>
  <pageSetup paperSize="9" scale="99" fitToHeight="0" orientation="portrait" r:id="rId1"/>
  <headerFooter>
    <oddHeader>&amp;C&amp;G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38D2F-43BE-4C91-9E51-B07ECF426F73}">
  <sheetPr>
    <pageSetUpPr fitToPage="1"/>
  </sheetPr>
  <dimension ref="A1:Q73"/>
  <sheetViews>
    <sheetView view="pageBreakPreview" topLeftCell="A55" zoomScaleNormal="100" zoomScaleSheetLayoutView="100" workbookViewId="0">
      <selection activeCell="I21" sqref="I21"/>
    </sheetView>
  </sheetViews>
  <sheetFormatPr defaultColWidth="9.109375" defaultRowHeight="13.2" x14ac:dyDescent="0.3"/>
  <cols>
    <col min="1" max="1" width="6.33203125" style="193" bestFit="1" customWidth="1"/>
    <col min="2" max="2" width="52.33203125" style="193" bestFit="1" customWidth="1"/>
    <col min="3" max="3" width="11.33203125" style="193" bestFit="1" customWidth="1"/>
    <col min="4" max="4" width="20.5546875" style="193" customWidth="1"/>
    <col min="5" max="5" width="27.5546875" style="193" customWidth="1"/>
    <col min="6" max="16384" width="9.109375" style="193"/>
  </cols>
  <sheetData>
    <row r="1" spans="1:17" ht="24.75" customHeight="1" x14ac:dyDescent="0.3">
      <c r="A1" s="191" t="str">
        <f>'RESUMO SD '!A2:B2</f>
        <v>PAVIMENTAÇÃO DE VIAS PÚBLICAS NO MUNÍCIO DE PEDRO LAURENTINO - PI</v>
      </c>
      <c r="B1" s="192"/>
      <c r="C1" s="231"/>
      <c r="D1" s="231"/>
      <c r="E1" s="234"/>
    </row>
    <row r="2" spans="1:17" x14ac:dyDescent="0.3">
      <c r="A2" s="194" t="str">
        <f>'RESUMO SD '!A3:D3</f>
        <v>LOCAL: ASSENTAMENTO MOCAMBO</v>
      </c>
      <c r="B2" s="233"/>
      <c r="C2" s="232"/>
      <c r="D2" s="232"/>
      <c r="E2" s="235"/>
    </row>
    <row r="3" spans="1:17" ht="12.75" customHeight="1" x14ac:dyDescent="0.3">
      <c r="E3" s="196"/>
      <c r="O3" s="195"/>
      <c r="P3" s="195"/>
      <c r="Q3" s="195"/>
    </row>
    <row r="5" spans="1:17" x14ac:dyDescent="0.3">
      <c r="A5" s="402" t="s">
        <v>291</v>
      </c>
      <c r="B5" s="402"/>
      <c r="C5" s="402"/>
      <c r="D5" s="402"/>
      <c r="E5" s="402"/>
    </row>
    <row r="6" spans="1:17" ht="20.25" customHeight="1" x14ac:dyDescent="0.3">
      <c r="A6" s="405" t="s">
        <v>192</v>
      </c>
      <c r="B6" s="405"/>
      <c r="C6" s="405"/>
      <c r="D6" s="405"/>
      <c r="E6" s="405"/>
    </row>
    <row r="7" spans="1:17" x14ac:dyDescent="0.25">
      <c r="A7" s="197" t="s">
        <v>30</v>
      </c>
      <c r="B7" s="198" t="s">
        <v>31</v>
      </c>
      <c r="C7" s="199"/>
      <c r="D7" s="200"/>
      <c r="E7" s="201"/>
    </row>
    <row r="8" spans="1:17" x14ac:dyDescent="0.25">
      <c r="A8" s="202" t="s">
        <v>32</v>
      </c>
      <c r="B8" s="203" t="s">
        <v>38</v>
      </c>
      <c r="C8" s="204"/>
      <c r="D8" s="205"/>
      <c r="E8" s="206"/>
    </row>
    <row r="9" spans="1:17" x14ac:dyDescent="0.25">
      <c r="A9" s="207"/>
      <c r="B9" s="208" t="s">
        <v>292</v>
      </c>
      <c r="C9" s="209">
        <v>3</v>
      </c>
      <c r="D9" s="210" t="s">
        <v>181</v>
      </c>
      <c r="E9" s="207"/>
    </row>
    <row r="10" spans="1:17" x14ac:dyDescent="0.25">
      <c r="A10" s="207"/>
      <c r="B10" s="208" t="s">
        <v>293</v>
      </c>
      <c r="C10" s="209">
        <v>2</v>
      </c>
      <c r="D10" s="210" t="s">
        <v>181</v>
      </c>
      <c r="E10" s="201"/>
    </row>
    <row r="11" spans="1:17" x14ac:dyDescent="0.25">
      <c r="A11" s="207"/>
      <c r="B11" s="208" t="s">
        <v>252</v>
      </c>
      <c r="C11" s="209">
        <v>1</v>
      </c>
      <c r="D11" s="210" t="s">
        <v>294</v>
      </c>
      <c r="E11" s="201"/>
    </row>
    <row r="12" spans="1:17" x14ac:dyDescent="0.25">
      <c r="A12" s="207"/>
      <c r="B12" s="208" t="s">
        <v>311</v>
      </c>
      <c r="C12" s="211">
        <f>ROUND(C11*C10*C9,2)</f>
        <v>6</v>
      </c>
      <c r="D12" s="212" t="s">
        <v>15</v>
      </c>
      <c r="E12" s="201"/>
    </row>
    <row r="13" spans="1:17" x14ac:dyDescent="0.25">
      <c r="A13" s="207"/>
      <c r="B13" s="208"/>
      <c r="C13" s="213"/>
      <c r="D13" s="214"/>
      <c r="E13" s="201"/>
    </row>
    <row r="14" spans="1:17" x14ac:dyDescent="0.25">
      <c r="A14" s="202" t="s">
        <v>171</v>
      </c>
      <c r="B14" s="203" t="s">
        <v>39</v>
      </c>
      <c r="C14" s="204"/>
      <c r="D14" s="205"/>
      <c r="E14" s="206"/>
    </row>
    <row r="15" spans="1:17" x14ac:dyDescent="0.25">
      <c r="A15" s="207"/>
      <c r="B15" s="208" t="s">
        <v>296</v>
      </c>
      <c r="C15" s="209">
        <v>2</v>
      </c>
      <c r="D15" s="210" t="s">
        <v>40</v>
      </c>
      <c r="E15" s="207"/>
    </row>
    <row r="16" spans="1:17" x14ac:dyDescent="0.25">
      <c r="A16" s="207"/>
      <c r="B16" s="208" t="s">
        <v>297</v>
      </c>
      <c r="C16" s="211">
        <f>C15</f>
        <v>2</v>
      </c>
      <c r="D16" s="212" t="s">
        <v>40</v>
      </c>
      <c r="E16" s="201"/>
    </row>
    <row r="17" spans="1:5" x14ac:dyDescent="0.25">
      <c r="A17" s="207"/>
      <c r="B17" s="208"/>
      <c r="C17" s="213"/>
      <c r="D17" s="214"/>
      <c r="E17" s="201"/>
    </row>
    <row r="18" spans="1:5" x14ac:dyDescent="0.3">
      <c r="A18" s="241"/>
      <c r="B18" s="242" t="str">
        <f>'GERAL '!A10</f>
        <v>RUA PROJETADA I - ASSENTAMENTO MOCAMBO</v>
      </c>
      <c r="C18" s="406"/>
      <c r="D18" s="407"/>
      <c r="E18" s="407"/>
    </row>
    <row r="19" spans="1:5" x14ac:dyDescent="0.25">
      <c r="A19" s="215"/>
      <c r="B19" s="216" t="s">
        <v>298</v>
      </c>
      <c r="C19" s="217">
        <v>650</v>
      </c>
      <c r="D19" s="200" t="s">
        <v>181</v>
      </c>
      <c r="E19" s="201"/>
    </row>
    <row r="20" spans="1:5" x14ac:dyDescent="0.25">
      <c r="A20" s="215"/>
      <c r="B20" s="216" t="s">
        <v>299</v>
      </c>
      <c r="C20" s="217">
        <v>6</v>
      </c>
      <c r="D20" s="200" t="s">
        <v>181</v>
      </c>
      <c r="E20" s="201"/>
    </row>
    <row r="21" spans="1:5" x14ac:dyDescent="0.25">
      <c r="A21" s="215"/>
      <c r="B21" s="216" t="s">
        <v>312</v>
      </c>
      <c r="C21" s="248">
        <v>13.6</v>
      </c>
      <c r="D21" s="200" t="s">
        <v>313</v>
      </c>
      <c r="E21" s="201"/>
    </row>
    <row r="22" spans="1:5" x14ac:dyDescent="0.25">
      <c r="A22" s="197"/>
      <c r="B22" s="218"/>
      <c r="C22" s="199"/>
      <c r="D22" s="219"/>
      <c r="E22" s="201"/>
    </row>
    <row r="23" spans="1:5" x14ac:dyDescent="0.25">
      <c r="A23" s="197" t="s">
        <v>33</v>
      </c>
      <c r="B23" s="198" t="s">
        <v>172</v>
      </c>
      <c r="C23" s="199"/>
      <c r="D23" s="200"/>
      <c r="E23" s="201"/>
    </row>
    <row r="24" spans="1:5" x14ac:dyDescent="0.25">
      <c r="A24" s="202" t="s">
        <v>35</v>
      </c>
      <c r="B24" s="203" t="s">
        <v>173</v>
      </c>
      <c r="C24" s="204"/>
      <c r="D24" s="205"/>
      <c r="E24" s="206"/>
    </row>
    <row r="25" spans="1:5" x14ac:dyDescent="0.25">
      <c r="A25" s="207"/>
      <c r="B25" s="208" t="s">
        <v>292</v>
      </c>
      <c r="C25" s="209">
        <f>$C$19</f>
        <v>650</v>
      </c>
      <c r="D25" s="210" t="s">
        <v>181</v>
      </c>
      <c r="E25" s="207"/>
    </row>
    <row r="26" spans="1:5" x14ac:dyDescent="0.25">
      <c r="A26" s="207"/>
      <c r="B26" s="208" t="s">
        <v>293</v>
      </c>
      <c r="C26" s="209">
        <f>$C$20</f>
        <v>6</v>
      </c>
      <c r="D26" s="210" t="s">
        <v>181</v>
      </c>
      <c r="E26" s="201"/>
    </row>
    <row r="27" spans="1:5" x14ac:dyDescent="0.25">
      <c r="A27" s="207"/>
      <c r="B27" s="208" t="s">
        <v>295</v>
      </c>
      <c r="C27" s="211">
        <f>ROUND(C25*C26,2)</f>
        <v>3900</v>
      </c>
      <c r="D27" s="212" t="s">
        <v>15</v>
      </c>
      <c r="E27" s="201"/>
    </row>
    <row r="28" spans="1:5" x14ac:dyDescent="0.25">
      <c r="A28" s="221"/>
      <c r="B28" s="222"/>
      <c r="C28" s="214"/>
      <c r="D28" s="223"/>
      <c r="E28" s="224"/>
    </row>
    <row r="29" spans="1:5" x14ac:dyDescent="0.25">
      <c r="A29" s="197" t="s">
        <v>174</v>
      </c>
      <c r="B29" s="198" t="s">
        <v>175</v>
      </c>
      <c r="C29" s="199"/>
      <c r="D29" s="200"/>
      <c r="E29" s="201"/>
    </row>
    <row r="30" spans="1:5" ht="30" customHeight="1" x14ac:dyDescent="0.3">
      <c r="A30" s="225" t="s">
        <v>176</v>
      </c>
      <c r="B30" s="403" t="s">
        <v>261</v>
      </c>
      <c r="C30" s="403"/>
      <c r="D30" s="403"/>
      <c r="E30" s="404"/>
    </row>
    <row r="31" spans="1:5" x14ac:dyDescent="0.25">
      <c r="A31" s="207"/>
      <c r="B31" s="208" t="s">
        <v>292</v>
      </c>
      <c r="C31" s="209">
        <f>$C$19</f>
        <v>650</v>
      </c>
      <c r="D31" s="210" t="s">
        <v>181</v>
      </c>
      <c r="E31" s="207"/>
    </row>
    <row r="32" spans="1:5" x14ac:dyDescent="0.25">
      <c r="A32" s="207"/>
      <c r="B32" s="208" t="s">
        <v>293</v>
      </c>
      <c r="C32" s="209">
        <f>$C$20</f>
        <v>6</v>
      </c>
      <c r="D32" s="210" t="s">
        <v>181</v>
      </c>
      <c r="E32" s="201"/>
    </row>
    <row r="33" spans="1:6" x14ac:dyDescent="0.25">
      <c r="A33" s="207"/>
      <c r="B33" s="208" t="s">
        <v>295</v>
      </c>
      <c r="C33" s="211">
        <f>ROUND(C31*C32,2)</f>
        <v>3900</v>
      </c>
      <c r="D33" s="212" t="s">
        <v>15</v>
      </c>
      <c r="E33" s="201"/>
    </row>
    <row r="35" spans="1:6" x14ac:dyDescent="0.25">
      <c r="A35" s="197" t="s">
        <v>177</v>
      </c>
      <c r="B35" s="198" t="s">
        <v>178</v>
      </c>
      <c r="C35" s="199"/>
      <c r="D35" s="200"/>
      <c r="E35" s="201"/>
    </row>
    <row r="36" spans="1:6" ht="30" customHeight="1" x14ac:dyDescent="0.3">
      <c r="A36" s="225" t="s">
        <v>179</v>
      </c>
      <c r="B36" s="403" t="s">
        <v>180</v>
      </c>
      <c r="C36" s="403"/>
      <c r="D36" s="403"/>
      <c r="E36" s="404"/>
    </row>
    <row r="37" spans="1:6" x14ac:dyDescent="0.25">
      <c r="A37" s="207"/>
      <c r="B37" s="208" t="s">
        <v>292</v>
      </c>
      <c r="C37" s="209">
        <f>C25</f>
        <v>650</v>
      </c>
      <c r="D37" s="210" t="s">
        <v>181</v>
      </c>
      <c r="E37" s="207"/>
    </row>
    <row r="38" spans="1:6" x14ac:dyDescent="0.25">
      <c r="A38" s="207"/>
      <c r="B38" s="208" t="s">
        <v>252</v>
      </c>
      <c r="C38" s="249">
        <v>2</v>
      </c>
      <c r="D38" s="210" t="s">
        <v>183</v>
      </c>
      <c r="E38" s="408" t="s">
        <v>328</v>
      </c>
    </row>
    <row r="39" spans="1:6" x14ac:dyDescent="0.25">
      <c r="A39" s="207"/>
      <c r="B39" s="208" t="s">
        <v>314</v>
      </c>
      <c r="C39" s="249">
        <f>2*C32</f>
        <v>12</v>
      </c>
      <c r="D39" s="210" t="s">
        <v>181</v>
      </c>
      <c r="E39" s="408"/>
    </row>
    <row r="40" spans="1:6" x14ac:dyDescent="0.25">
      <c r="A40" s="207"/>
      <c r="B40" s="208" t="s">
        <v>300</v>
      </c>
      <c r="C40" s="267">
        <f>ROUND(2*(C37*C38+C39),2)</f>
        <v>2624</v>
      </c>
      <c r="D40" s="212" t="s">
        <v>181</v>
      </c>
      <c r="E40" s="201"/>
    </row>
    <row r="42" spans="1:6" ht="30" customHeight="1" x14ac:dyDescent="0.25">
      <c r="A42" s="225" t="s">
        <v>182</v>
      </c>
      <c r="B42" s="403" t="s">
        <v>301</v>
      </c>
      <c r="C42" s="403"/>
      <c r="D42" s="403"/>
      <c r="E42" s="404"/>
      <c r="F42" s="226"/>
    </row>
    <row r="43" spans="1:6" x14ac:dyDescent="0.25">
      <c r="A43" s="207"/>
      <c r="B43" s="208" t="s">
        <v>292</v>
      </c>
      <c r="C43" s="209">
        <f>C37</f>
        <v>650</v>
      </c>
      <c r="D43" s="210" t="s">
        <v>181</v>
      </c>
      <c r="E43" s="207"/>
    </row>
    <row r="44" spans="1:6" x14ac:dyDescent="0.25">
      <c r="A44" s="207"/>
      <c r="B44" s="208" t="s">
        <v>252</v>
      </c>
      <c r="C44" s="209">
        <v>2</v>
      </c>
      <c r="D44" s="210" t="s">
        <v>183</v>
      </c>
      <c r="E44" s="408" t="s">
        <v>328</v>
      </c>
    </row>
    <row r="45" spans="1:6" x14ac:dyDescent="0.25">
      <c r="A45" s="207"/>
      <c r="B45" s="208" t="s">
        <v>300</v>
      </c>
      <c r="C45" s="267">
        <f>ROUND(2*C43*C44,2)</f>
        <v>2600</v>
      </c>
      <c r="D45" s="212" t="s">
        <v>181</v>
      </c>
      <c r="E45" s="408"/>
    </row>
    <row r="47" spans="1:6" x14ac:dyDescent="0.25">
      <c r="A47" s="197" t="s">
        <v>226</v>
      </c>
      <c r="B47" s="198" t="s">
        <v>224</v>
      </c>
      <c r="C47" s="199"/>
      <c r="D47" s="200"/>
      <c r="E47" s="201"/>
    </row>
    <row r="48" spans="1:6" s="227" customFormat="1" x14ac:dyDescent="0.25">
      <c r="A48" s="225" t="s">
        <v>227</v>
      </c>
      <c r="B48" s="403" t="s">
        <v>284</v>
      </c>
      <c r="C48" s="403"/>
      <c r="D48" s="403"/>
      <c r="E48" s="404"/>
      <c r="F48" s="226"/>
    </row>
    <row r="49" spans="1:6" x14ac:dyDescent="0.25">
      <c r="A49" s="207"/>
      <c r="B49" s="208" t="s">
        <v>304</v>
      </c>
      <c r="C49" s="209">
        <f>C33</f>
        <v>3900</v>
      </c>
      <c r="D49" s="210" t="s">
        <v>15</v>
      </c>
      <c r="E49" s="207"/>
    </row>
    <row r="50" spans="1:6" x14ac:dyDescent="0.25">
      <c r="A50" s="207"/>
      <c r="B50" s="208" t="s">
        <v>305</v>
      </c>
      <c r="C50" s="228">
        <v>4.2000000000000003E-2</v>
      </c>
      <c r="D50" s="210" t="s">
        <v>253</v>
      </c>
      <c r="E50" s="201"/>
    </row>
    <row r="51" spans="1:6" x14ac:dyDescent="0.25">
      <c r="A51" s="207"/>
      <c r="B51" s="208" t="s">
        <v>306</v>
      </c>
      <c r="C51" s="209">
        <v>2.52</v>
      </c>
      <c r="D51" s="210" t="s">
        <v>307</v>
      </c>
      <c r="E51" s="201"/>
    </row>
    <row r="52" spans="1:6" x14ac:dyDescent="0.25">
      <c r="A52" s="207"/>
      <c r="B52" s="208" t="s">
        <v>308</v>
      </c>
      <c r="C52" s="209">
        <v>1.5</v>
      </c>
      <c r="D52" s="210" t="s">
        <v>254</v>
      </c>
      <c r="E52" s="201"/>
    </row>
    <row r="53" spans="1:6" x14ac:dyDescent="0.25">
      <c r="A53" s="207"/>
      <c r="B53" s="208" t="s">
        <v>309</v>
      </c>
      <c r="C53" s="209">
        <f>C21</f>
        <v>13.6</v>
      </c>
      <c r="D53" s="210" t="s">
        <v>255</v>
      </c>
      <c r="E53" s="201"/>
    </row>
    <row r="54" spans="1:6" x14ac:dyDescent="0.25">
      <c r="A54" s="207"/>
      <c r="B54" s="198" t="s">
        <v>316</v>
      </c>
      <c r="C54" s="211">
        <f>ROUND(C49*C50*C51*C52*C53,2)</f>
        <v>8420.6299999999992</v>
      </c>
      <c r="D54" s="212" t="s">
        <v>317</v>
      </c>
      <c r="E54" s="201"/>
    </row>
    <row r="56" spans="1:6" s="227" customFormat="1" ht="30" customHeight="1" x14ac:dyDescent="0.25">
      <c r="A56" s="225" t="s">
        <v>283</v>
      </c>
      <c r="B56" s="403" t="s">
        <v>285</v>
      </c>
      <c r="C56" s="403"/>
      <c r="D56" s="403"/>
      <c r="E56" s="404"/>
      <c r="F56" s="226"/>
    </row>
    <row r="57" spans="1:6" x14ac:dyDescent="0.25">
      <c r="A57" s="207"/>
      <c r="B57" s="208" t="s">
        <v>304</v>
      </c>
      <c r="C57" s="209">
        <f>C49</f>
        <v>3900</v>
      </c>
      <c r="D57" s="210" t="s">
        <v>15</v>
      </c>
      <c r="E57" s="229"/>
    </row>
    <row r="58" spans="1:6" x14ac:dyDescent="0.25">
      <c r="A58" s="207"/>
      <c r="B58" s="208" t="s">
        <v>305</v>
      </c>
      <c r="C58" s="228">
        <v>4.2000000000000003E-2</v>
      </c>
      <c r="D58" s="210" t="s">
        <v>253</v>
      </c>
      <c r="E58" s="230"/>
    </row>
    <row r="59" spans="1:6" x14ac:dyDescent="0.25">
      <c r="A59" s="207"/>
      <c r="B59" s="208" t="s">
        <v>306</v>
      </c>
      <c r="C59" s="209">
        <v>2.52</v>
      </c>
      <c r="D59" s="210" t="s">
        <v>307</v>
      </c>
      <c r="E59" s="230"/>
    </row>
    <row r="60" spans="1:6" x14ac:dyDescent="0.25">
      <c r="A60" s="207"/>
      <c r="B60" s="208" t="s">
        <v>308</v>
      </c>
      <c r="C60" s="209">
        <v>1.5</v>
      </c>
      <c r="D60" s="210" t="s">
        <v>254</v>
      </c>
      <c r="E60" s="230"/>
    </row>
    <row r="61" spans="1:6" x14ac:dyDescent="0.25">
      <c r="A61" s="207"/>
      <c r="B61" s="208" t="s">
        <v>309</v>
      </c>
      <c r="C61" s="209">
        <v>0</v>
      </c>
      <c r="D61" s="210" t="s">
        <v>255</v>
      </c>
      <c r="E61" s="230"/>
    </row>
    <row r="62" spans="1:6" ht="12.75" customHeight="1" x14ac:dyDescent="0.25">
      <c r="A62" s="207"/>
      <c r="B62" s="198" t="s">
        <v>316</v>
      </c>
      <c r="C62" s="211">
        <f>ROUND(C57*C58*C59*C60*C61,2)</f>
        <v>0</v>
      </c>
      <c r="D62" s="212" t="s">
        <v>317</v>
      </c>
      <c r="E62" s="230"/>
    </row>
    <row r="63" spans="1:6" x14ac:dyDescent="0.25">
      <c r="B63" s="208"/>
      <c r="C63" s="213"/>
      <c r="D63" s="220"/>
    </row>
    <row r="64" spans="1:6" x14ac:dyDescent="0.25">
      <c r="A64" s="197" t="s">
        <v>262</v>
      </c>
      <c r="B64" s="198" t="s">
        <v>302</v>
      </c>
      <c r="C64" s="199"/>
      <c r="D64" s="200"/>
      <c r="E64" s="201"/>
    </row>
    <row r="65" spans="1:6" ht="23.25" customHeight="1" x14ac:dyDescent="0.25">
      <c r="A65" s="225" t="s">
        <v>264</v>
      </c>
      <c r="B65" s="403" t="s">
        <v>267</v>
      </c>
      <c r="C65" s="403"/>
      <c r="D65" s="403"/>
      <c r="E65" s="404"/>
      <c r="F65" s="226"/>
    </row>
    <row r="66" spans="1:6" x14ac:dyDescent="0.25">
      <c r="A66" s="207"/>
      <c r="B66" s="208" t="s">
        <v>303</v>
      </c>
      <c r="C66" s="209">
        <v>0.23</v>
      </c>
      <c r="D66" s="210" t="s">
        <v>15</v>
      </c>
      <c r="E66" s="207"/>
    </row>
    <row r="67" spans="1:6" x14ac:dyDescent="0.25">
      <c r="A67" s="207"/>
      <c r="B67" s="208" t="s">
        <v>315</v>
      </c>
      <c r="C67" s="211">
        <f>C66</f>
        <v>0.23</v>
      </c>
      <c r="D67" s="212" t="s">
        <v>15</v>
      </c>
      <c r="E67" s="201"/>
    </row>
    <row r="69" spans="1:6" ht="29.25" customHeight="1" x14ac:dyDescent="0.25">
      <c r="A69" s="225" t="s">
        <v>310</v>
      </c>
      <c r="B69" s="403" t="s">
        <v>281</v>
      </c>
      <c r="C69" s="403"/>
      <c r="D69" s="403"/>
      <c r="E69" s="404"/>
      <c r="F69" s="226"/>
    </row>
    <row r="70" spans="1:6" x14ac:dyDescent="0.25">
      <c r="A70" s="207"/>
      <c r="B70" s="208" t="s">
        <v>303</v>
      </c>
      <c r="C70" s="209">
        <v>2</v>
      </c>
      <c r="D70" s="210" t="s">
        <v>183</v>
      </c>
      <c r="E70" s="207"/>
    </row>
    <row r="71" spans="1:6" x14ac:dyDescent="0.25">
      <c r="A71" s="207"/>
      <c r="B71" s="208" t="s">
        <v>315</v>
      </c>
      <c r="C71" s="211">
        <f>C70</f>
        <v>2</v>
      </c>
      <c r="D71" s="212" t="s">
        <v>183</v>
      </c>
      <c r="E71" s="201"/>
    </row>
    <row r="72" spans="1:6" ht="13.5" customHeight="1" x14ac:dyDescent="0.3"/>
    <row r="73" spans="1:6" ht="14.4" x14ac:dyDescent="0.3">
      <c r="E73" s="196"/>
    </row>
  </sheetData>
  <mergeCells count="12">
    <mergeCell ref="A5:E5"/>
    <mergeCell ref="B48:E48"/>
    <mergeCell ref="B56:E56"/>
    <mergeCell ref="B69:E69"/>
    <mergeCell ref="A6:E6"/>
    <mergeCell ref="C18:E18"/>
    <mergeCell ref="B30:E30"/>
    <mergeCell ref="B36:E36"/>
    <mergeCell ref="B42:E42"/>
    <mergeCell ref="B65:E65"/>
    <mergeCell ref="E38:E39"/>
    <mergeCell ref="E44:E45"/>
  </mergeCells>
  <pageMargins left="0.70866141732283472" right="0.70866141732283472" top="1.3779527559055118" bottom="1.1811023622047245" header="0.31496062992125984" footer="0.31496062992125984"/>
  <pageSetup paperSize="9" scale="73" fitToHeight="0" orientation="portrait" r:id="rId1"/>
  <headerFooter>
    <oddHeader>&amp;C&amp;G</oddHeader>
  </headerFooter>
  <rowBreaks count="1" manualBreakCount="1">
    <brk id="63" max="4" man="1"/>
  </row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14999847407452621"/>
    <pageSetUpPr fitToPage="1"/>
  </sheetPr>
  <dimension ref="A1:K74"/>
  <sheetViews>
    <sheetView topLeftCell="A60" workbookViewId="0">
      <selection activeCell="I21" sqref="I21"/>
    </sheetView>
  </sheetViews>
  <sheetFormatPr defaultRowHeight="14.4" x14ac:dyDescent="0.3"/>
  <cols>
    <col min="1" max="1" width="15.6640625" style="106" customWidth="1"/>
    <col min="2" max="2" width="36.33203125" style="106" bestFit="1" customWidth="1"/>
    <col min="3" max="3" width="7.109375" style="107" bestFit="1" customWidth="1"/>
    <col min="4" max="4" width="13.44140625" style="108" bestFit="1" customWidth="1"/>
    <col min="5" max="5" width="15.6640625" style="107" customWidth="1"/>
    <col min="6" max="6" width="19.33203125" style="107" customWidth="1"/>
    <col min="7" max="7" width="13.5546875" style="108" bestFit="1" customWidth="1"/>
    <col min="8" max="8" width="9.109375" style="108"/>
    <col min="9" max="11" width="0" hidden="1" customWidth="1"/>
  </cols>
  <sheetData>
    <row r="1" spans="1:11" x14ac:dyDescent="0.3">
      <c r="A1" s="438" t="s">
        <v>256</v>
      </c>
      <c r="B1" s="439"/>
      <c r="C1" s="439"/>
      <c r="D1" s="439"/>
      <c r="E1" s="439"/>
      <c r="F1" s="439"/>
      <c r="G1" s="439"/>
      <c r="H1" s="439"/>
    </row>
    <row r="2" spans="1:11" x14ac:dyDescent="0.3">
      <c r="A2" s="440" t="s">
        <v>257</v>
      </c>
      <c r="B2" s="440"/>
      <c r="C2" s="440"/>
      <c r="D2" s="440"/>
      <c r="E2" s="440"/>
      <c r="F2" s="440"/>
      <c r="G2" s="440"/>
      <c r="H2" s="440"/>
    </row>
    <row r="3" spans="1:11" x14ac:dyDescent="0.3">
      <c r="A3" s="440" t="s">
        <v>223</v>
      </c>
      <c r="B3" s="440"/>
      <c r="C3" s="440"/>
      <c r="D3" s="440"/>
      <c r="E3" s="440"/>
      <c r="F3" s="440"/>
      <c r="G3" s="440"/>
      <c r="H3" s="440"/>
    </row>
    <row r="5" spans="1:11" x14ac:dyDescent="0.3">
      <c r="A5" s="441" t="s">
        <v>42</v>
      </c>
      <c r="B5" s="442"/>
      <c r="C5" s="442"/>
      <c r="D5" s="442"/>
      <c r="E5" s="442"/>
      <c r="F5" s="442"/>
      <c r="G5" s="442"/>
      <c r="H5" s="443"/>
    </row>
    <row r="6" spans="1:11" x14ac:dyDescent="0.3">
      <c r="A6" s="151"/>
      <c r="B6" s="444"/>
      <c r="C6" s="444"/>
      <c r="D6" s="444"/>
      <c r="E6" s="444"/>
      <c r="F6" s="152"/>
      <c r="G6" s="152"/>
      <c r="H6" s="153"/>
    </row>
    <row r="7" spans="1:11" x14ac:dyDescent="0.3">
      <c r="A7" s="154"/>
      <c r="B7" s="155"/>
      <c r="C7" s="155"/>
      <c r="D7" s="155"/>
      <c r="E7" s="155"/>
      <c r="F7" s="155"/>
      <c r="G7" s="155"/>
      <c r="H7" s="156"/>
      <c r="I7" s="37"/>
      <c r="J7" s="38"/>
      <c r="K7" s="38"/>
    </row>
    <row r="8" spans="1:11" x14ac:dyDescent="0.3">
      <c r="A8" s="445" t="s">
        <v>43</v>
      </c>
      <c r="B8" s="446"/>
      <c r="C8" s="39"/>
      <c r="D8" s="39"/>
      <c r="E8" s="39"/>
      <c r="F8" s="39"/>
      <c r="G8" s="39"/>
      <c r="H8" s="40"/>
      <c r="I8" s="37"/>
      <c r="J8" s="38"/>
      <c r="K8" s="38"/>
    </row>
    <row r="9" spans="1:11" x14ac:dyDescent="0.3">
      <c r="A9" s="145"/>
      <c r="B9" s="41"/>
      <c r="C9" s="39"/>
      <c r="D9" s="39"/>
      <c r="E9" s="39"/>
      <c r="F9" s="39"/>
      <c r="G9" s="39"/>
      <c r="H9" s="40"/>
      <c r="I9" s="37"/>
      <c r="J9" s="38"/>
      <c r="K9" s="38"/>
    </row>
    <row r="10" spans="1:11" x14ac:dyDescent="0.3">
      <c r="A10" s="42"/>
      <c r="B10" s="43" t="s">
        <v>10</v>
      </c>
      <c r="C10" s="44"/>
      <c r="D10" s="45">
        <f>IF(C10="x",1,0)</f>
        <v>0</v>
      </c>
      <c r="E10" s="46"/>
      <c r="F10" s="47"/>
      <c r="G10" s="48"/>
      <c r="H10" s="49">
        <f>IF(F10="x",1,0)</f>
        <v>0</v>
      </c>
      <c r="I10" s="37"/>
      <c r="J10" s="38"/>
      <c r="K10" s="38"/>
    </row>
    <row r="11" spans="1:11" x14ac:dyDescent="0.3">
      <c r="A11" s="42"/>
      <c r="B11" s="43" t="s">
        <v>9</v>
      </c>
      <c r="C11" s="44" t="s">
        <v>44</v>
      </c>
      <c r="D11" s="45">
        <f>IF(C11="x",1,0)</f>
        <v>1</v>
      </c>
      <c r="E11" s="50"/>
      <c r="F11" s="47"/>
      <c r="G11" s="48"/>
      <c r="H11" s="49">
        <f>IF(F11="x",1,0)</f>
        <v>0</v>
      </c>
      <c r="I11" s="37"/>
      <c r="J11" s="38"/>
      <c r="K11" s="38"/>
    </row>
    <row r="12" spans="1:11" ht="15" thickBot="1" x14ac:dyDescent="0.35">
      <c r="A12" s="51"/>
      <c r="B12" s="447" t="str">
        <f>IF(D12&gt;1,"SELECIONE SOMENTE UM TIPO DE BDI",IF(D12=0,"SELECIONE UM TIPO DE BDI",""))</f>
        <v/>
      </c>
      <c r="C12" s="447"/>
      <c r="D12" s="52">
        <f>SUM(D10:D11)</f>
        <v>1</v>
      </c>
      <c r="E12" s="448"/>
      <c r="F12" s="448"/>
      <c r="G12" s="448"/>
      <c r="H12" s="53">
        <f>SUM(H10:H11)</f>
        <v>0</v>
      </c>
      <c r="I12" s="37"/>
      <c r="J12" s="38"/>
      <c r="K12" s="38"/>
    </row>
    <row r="13" spans="1:11" ht="15" thickBot="1" x14ac:dyDescent="0.35">
      <c r="A13" s="39"/>
      <c r="B13" s="39"/>
      <c r="C13" s="39"/>
      <c r="D13" s="39"/>
      <c r="E13" s="39"/>
      <c r="F13" s="39"/>
      <c r="G13" s="55"/>
      <c r="H13" s="55"/>
      <c r="I13" s="37"/>
      <c r="J13" s="38"/>
      <c r="K13" s="38"/>
    </row>
    <row r="14" spans="1:11" x14ac:dyDescent="0.3">
      <c r="A14" s="432" t="s">
        <v>45</v>
      </c>
      <c r="B14" s="433"/>
      <c r="C14" s="147"/>
      <c r="D14" s="147"/>
      <c r="E14" s="147"/>
      <c r="F14" s="147"/>
      <c r="G14" s="54"/>
      <c r="H14" s="157"/>
      <c r="I14" s="37">
        <f>IF(H22&lt;&gt;0,VLOOKUP("x",G16:I21,3,FALSE),0)</f>
        <v>2</v>
      </c>
      <c r="J14" s="38"/>
      <c r="K14" s="38"/>
    </row>
    <row r="15" spans="1:11" x14ac:dyDescent="0.3">
      <c r="A15" s="145"/>
      <c r="B15" s="41"/>
      <c r="C15" s="39"/>
      <c r="D15" s="39"/>
      <c r="E15" s="39"/>
      <c r="F15" s="39"/>
      <c r="G15" s="55"/>
      <c r="H15" s="158"/>
      <c r="I15" s="37"/>
      <c r="J15" s="38"/>
      <c r="K15" s="38"/>
    </row>
    <row r="16" spans="1:11" x14ac:dyDescent="0.3">
      <c r="A16" s="56"/>
      <c r="B16" s="39"/>
      <c r="C16" s="39"/>
      <c r="D16" s="39"/>
      <c r="E16" s="39"/>
      <c r="F16" s="57" t="s">
        <v>46</v>
      </c>
      <c r="G16" s="44"/>
      <c r="H16" s="49">
        <f t="shared" ref="H16:H21" si="0">IF(G16="x",1,0)</f>
        <v>0</v>
      </c>
      <c r="I16" s="37">
        <v>1</v>
      </c>
      <c r="J16" s="38"/>
      <c r="K16" s="38"/>
    </row>
    <row r="17" spans="1:11" x14ac:dyDescent="0.3">
      <c r="A17" s="56"/>
      <c r="B17" s="39"/>
      <c r="C17" s="39"/>
      <c r="D17" s="39"/>
      <c r="E17" s="39"/>
      <c r="F17" s="57" t="s">
        <v>47</v>
      </c>
      <c r="G17" s="44" t="s">
        <v>44</v>
      </c>
      <c r="H17" s="49">
        <f t="shared" si="0"/>
        <v>1</v>
      </c>
      <c r="I17" s="37">
        <v>2</v>
      </c>
      <c r="J17" s="38"/>
      <c r="K17" s="38"/>
    </row>
    <row r="18" spans="1:11" x14ac:dyDescent="0.3">
      <c r="A18" s="56"/>
      <c r="B18" s="39"/>
      <c r="C18" s="39"/>
      <c r="D18" s="39"/>
      <c r="E18" s="39"/>
      <c r="F18" s="57" t="s">
        <v>48</v>
      </c>
      <c r="G18" s="44"/>
      <c r="H18" s="49">
        <f t="shared" si="0"/>
        <v>0</v>
      </c>
      <c r="I18" s="37">
        <v>3</v>
      </c>
      <c r="J18" s="38"/>
      <c r="K18" s="38"/>
    </row>
    <row r="19" spans="1:11" x14ac:dyDescent="0.3">
      <c r="A19" s="56"/>
      <c r="B19" s="39"/>
      <c r="C19" s="39"/>
      <c r="D19" s="39"/>
      <c r="E19" s="39"/>
      <c r="F19" s="57" t="s">
        <v>49</v>
      </c>
      <c r="G19" s="44"/>
      <c r="H19" s="49">
        <f t="shared" si="0"/>
        <v>0</v>
      </c>
      <c r="I19" s="37">
        <v>4</v>
      </c>
      <c r="J19" s="38"/>
      <c r="K19" s="38"/>
    </row>
    <row r="20" spans="1:11" x14ac:dyDescent="0.3">
      <c r="A20" s="56"/>
      <c r="B20" s="39"/>
      <c r="C20" s="39"/>
      <c r="D20" s="39"/>
      <c r="E20" s="39"/>
      <c r="F20" s="57" t="s">
        <v>50</v>
      </c>
      <c r="G20" s="44"/>
      <c r="H20" s="49">
        <f t="shared" si="0"/>
        <v>0</v>
      </c>
      <c r="I20" s="37">
        <v>5</v>
      </c>
      <c r="J20" s="38"/>
      <c r="K20" s="38"/>
    </row>
    <row r="21" spans="1:11" x14ac:dyDescent="0.3">
      <c r="A21" s="56"/>
      <c r="B21" s="436" t="str">
        <f>IF(AND(C10="x",G21="x"),"NÃO HÁ DESONERAÇÃO PARA FORNECIMENTO DE MATERIAIS","")</f>
        <v/>
      </c>
      <c r="C21" s="436"/>
      <c r="D21" s="436"/>
      <c r="E21" s="39"/>
      <c r="F21" s="57" t="s">
        <v>51</v>
      </c>
      <c r="G21" s="44"/>
      <c r="H21" s="49">
        <f t="shared" si="0"/>
        <v>0</v>
      </c>
      <c r="I21" s="37">
        <v>6</v>
      </c>
      <c r="J21" s="38"/>
      <c r="K21" s="38"/>
    </row>
    <row r="22" spans="1:11" ht="15" thickBot="1" x14ac:dyDescent="0.35">
      <c r="A22" s="51"/>
      <c r="B22" s="437" t="str">
        <f>IF(H22&gt;1,"SELECIONE SOMENTE UM TIPO DE SERVIÇO",IF(H22=0,"SELECIONE UM TIPO DE SERVIÇO",""))</f>
        <v/>
      </c>
      <c r="C22" s="437"/>
      <c r="D22" s="144"/>
      <c r="E22" s="144"/>
      <c r="F22" s="58"/>
      <c r="G22" s="59"/>
      <c r="H22" s="53">
        <f>SUM(H16:H21)</f>
        <v>1</v>
      </c>
      <c r="I22" s="37"/>
      <c r="J22" s="38"/>
      <c r="K22" s="38"/>
    </row>
    <row r="23" spans="1:11" ht="15" thickBot="1" x14ac:dyDescent="0.35">
      <c r="A23" s="39"/>
      <c r="B23" s="39"/>
      <c r="C23" s="39"/>
      <c r="D23" s="39"/>
      <c r="E23" s="146"/>
      <c r="F23" s="146"/>
      <c r="G23" s="48"/>
      <c r="H23" s="48"/>
      <c r="I23" s="37"/>
      <c r="J23" s="38"/>
      <c r="K23" s="38"/>
    </row>
    <row r="24" spans="1:11" x14ac:dyDescent="0.3">
      <c r="A24" s="432" t="s">
        <v>52</v>
      </c>
      <c r="B24" s="433"/>
      <c r="C24" s="147"/>
      <c r="D24" s="147"/>
      <c r="E24" s="434"/>
      <c r="F24" s="434"/>
      <c r="G24" s="61" t="s">
        <v>21</v>
      </c>
      <c r="H24" s="62"/>
      <c r="I24" s="37"/>
      <c r="J24" s="38"/>
      <c r="K24" s="38"/>
    </row>
    <row r="25" spans="1:11" x14ac:dyDescent="0.3">
      <c r="A25" s="63"/>
      <c r="B25" s="146"/>
      <c r="C25" s="146"/>
      <c r="D25" s="146"/>
      <c r="E25" s="146"/>
      <c r="F25" s="146"/>
      <c r="G25" s="48"/>
      <c r="H25" s="64"/>
      <c r="I25" s="37"/>
      <c r="J25" s="38" t="s">
        <v>53</v>
      </c>
      <c r="K25" s="38" t="s">
        <v>54</v>
      </c>
    </row>
    <row r="26" spans="1:11" x14ac:dyDescent="0.3">
      <c r="A26" s="63"/>
      <c r="B26" s="65" t="s">
        <v>55</v>
      </c>
      <c r="C26" s="66"/>
      <c r="D26" s="66" t="str">
        <f>IF(AND(G26&gt;=J26,G26&lt;=K26),"","FORA DO LIMITE")</f>
        <v/>
      </c>
      <c r="E26" s="66"/>
      <c r="F26" s="67" t="s">
        <v>56</v>
      </c>
      <c r="G26" s="68">
        <v>3.7999999999999999E-2</v>
      </c>
      <c r="H26" s="64"/>
      <c r="I26" s="37"/>
      <c r="J26" s="38">
        <f>VLOOKUP($I$13,[7]Referências!A13:D19,2,FALSE)</f>
        <v>0</v>
      </c>
      <c r="K26" s="38">
        <f>VLOOKUP($I$13,[7]Referências!A13:D19,4,FALSE)</f>
        <v>1</v>
      </c>
    </row>
    <row r="27" spans="1:11" x14ac:dyDescent="0.3">
      <c r="A27" s="63"/>
      <c r="B27" s="69"/>
      <c r="C27" s="146"/>
      <c r="D27" s="146"/>
      <c r="E27" s="146"/>
      <c r="F27" s="57"/>
      <c r="G27" s="70"/>
      <c r="H27" s="64"/>
      <c r="I27" s="37"/>
      <c r="J27" s="38"/>
      <c r="K27" s="38"/>
    </row>
    <row r="28" spans="1:11" x14ac:dyDescent="0.3">
      <c r="A28" s="63"/>
      <c r="B28" s="65" t="s">
        <v>57</v>
      </c>
      <c r="C28" s="66"/>
      <c r="D28" s="66" t="str">
        <f>IF(AND(G28&gt;=J28,G28&lt;=K28),"","FORA DO LIMITE")</f>
        <v/>
      </c>
      <c r="E28" s="66"/>
      <c r="F28" s="67" t="s">
        <v>58</v>
      </c>
      <c r="G28" s="71">
        <v>1.0200000000000001E-2</v>
      </c>
      <c r="H28" s="72"/>
      <c r="I28" s="37"/>
      <c r="J28" s="38">
        <f>VLOOKUP($I$13,[7]Referências!A40:D46,2,FALSE)</f>
        <v>0</v>
      </c>
      <c r="K28" s="38">
        <f>VLOOKUP($I$13,[7]Referências!A40:D46,4,FALSE)</f>
        <v>1</v>
      </c>
    </row>
    <row r="29" spans="1:11" x14ac:dyDescent="0.3">
      <c r="A29" s="63"/>
      <c r="B29" s="69"/>
      <c r="C29" s="146"/>
      <c r="D29" s="146"/>
      <c r="E29" s="146"/>
      <c r="F29" s="57"/>
      <c r="G29" s="73"/>
      <c r="H29" s="72"/>
      <c r="I29" s="37"/>
      <c r="J29" s="38"/>
      <c r="K29" s="38"/>
    </row>
    <row r="30" spans="1:11" x14ac:dyDescent="0.3">
      <c r="A30" s="63"/>
      <c r="B30" s="74" t="s">
        <v>59</v>
      </c>
      <c r="C30" s="75"/>
      <c r="D30" s="75"/>
      <c r="E30" s="75"/>
      <c r="F30" s="76"/>
      <c r="G30" s="77"/>
      <c r="H30" s="78"/>
      <c r="I30" s="37"/>
      <c r="J30" s="38"/>
      <c r="K30" s="38"/>
    </row>
    <row r="31" spans="1:11" x14ac:dyDescent="0.3">
      <c r="A31" s="63"/>
      <c r="B31" s="148"/>
      <c r="C31" s="146"/>
      <c r="D31" s="146" t="str">
        <f>IF(AND(G31&gt;=J31,G31&lt;=K31),"","FORA DO LIMITE")</f>
        <v/>
      </c>
      <c r="E31" s="146"/>
      <c r="F31" s="57" t="s">
        <v>60</v>
      </c>
      <c r="G31" s="79">
        <v>3.2000000000000002E-3</v>
      </c>
      <c r="H31" s="80"/>
      <c r="I31" s="37"/>
      <c r="J31" s="38">
        <f>VLOOKUP($I$13,[7]Referências!A22:D28,2,FALSE)</f>
        <v>0</v>
      </c>
      <c r="K31" s="38">
        <f>VLOOKUP($I$13,[7]Referências!A22:D28,4,FALSE)</f>
        <v>1</v>
      </c>
    </row>
    <row r="32" spans="1:11" x14ac:dyDescent="0.3">
      <c r="A32" s="63"/>
      <c r="B32" s="81"/>
      <c r="C32" s="82"/>
      <c r="D32" s="82" t="str">
        <f>IF(AND(G32&gt;=J32,G32&lt;=K32),"","FORA DO LIMITE")</f>
        <v/>
      </c>
      <c r="E32" s="82"/>
      <c r="F32" s="83" t="s">
        <v>61</v>
      </c>
      <c r="G32" s="84">
        <v>7.1999999999999998E-3</v>
      </c>
      <c r="H32" s="64"/>
      <c r="I32" s="37"/>
      <c r="J32" s="38">
        <f>VLOOKUP($I$13,[7]Referências!A31:D37,2,FALSE)</f>
        <v>0</v>
      </c>
      <c r="K32" s="38">
        <f>VLOOKUP($I$13,[7]Referências!A31:D37,4,FALSE)</f>
        <v>1</v>
      </c>
    </row>
    <row r="33" spans="1:11" x14ac:dyDescent="0.3">
      <c r="A33" s="63"/>
      <c r="B33" s="146"/>
      <c r="C33" s="146"/>
      <c r="D33" s="146"/>
      <c r="E33" s="146"/>
      <c r="F33" s="57"/>
      <c r="G33" s="73"/>
      <c r="H33" s="80"/>
      <c r="I33" s="37"/>
      <c r="J33" s="38"/>
      <c r="K33" s="38"/>
    </row>
    <row r="34" spans="1:11" x14ac:dyDescent="0.3">
      <c r="A34" s="63"/>
      <c r="B34" s="43" t="s">
        <v>62</v>
      </c>
      <c r="C34" s="66"/>
      <c r="D34" s="66" t="str">
        <f t="shared" ref="D34" si="1">IF(AND(G34&gt;=J34,G34&lt;=K34),"","FORA DO LIMITE")</f>
        <v/>
      </c>
      <c r="E34" s="66"/>
      <c r="F34" s="67" t="s">
        <v>63</v>
      </c>
      <c r="G34" s="71">
        <v>7.4999999999999997E-2</v>
      </c>
      <c r="H34" s="80"/>
      <c r="I34" s="37"/>
      <c r="J34" s="38">
        <f>VLOOKUP($I$13,[7]Referências!A49:D55,2,FALSE)</f>
        <v>0</v>
      </c>
      <c r="K34" s="38">
        <f>VLOOKUP($I$13,[7]Referências!A49:D55,4,FALSE)</f>
        <v>1</v>
      </c>
    </row>
    <row r="35" spans="1:11" x14ac:dyDescent="0.3">
      <c r="A35" s="63"/>
      <c r="B35" s="146"/>
      <c r="C35" s="146"/>
      <c r="D35" s="146"/>
      <c r="E35" s="146"/>
      <c r="F35" s="57"/>
      <c r="G35" s="73"/>
      <c r="H35" s="80"/>
      <c r="I35" s="37"/>
      <c r="J35" s="38"/>
      <c r="K35" s="38"/>
    </row>
    <row r="36" spans="1:11" x14ac:dyDescent="0.3">
      <c r="A36" s="63"/>
      <c r="B36" s="74" t="s">
        <v>64</v>
      </c>
      <c r="C36" s="75"/>
      <c r="D36" s="75"/>
      <c r="E36" s="75"/>
      <c r="F36" s="76"/>
      <c r="G36" s="77"/>
      <c r="H36" s="80"/>
      <c r="I36" s="37"/>
      <c r="J36" s="38"/>
      <c r="K36" s="38"/>
    </row>
    <row r="37" spans="1:11" x14ac:dyDescent="0.3">
      <c r="A37" s="63"/>
      <c r="B37" s="85"/>
      <c r="C37" s="146"/>
      <c r="D37" s="146"/>
      <c r="E37" s="146"/>
      <c r="F37" s="57" t="str">
        <f>IF(AND(C10="X",C10&lt;&gt;C11,I14&lt;&gt;6,F11&lt;&gt;"X"),"INSS =","")</f>
        <v/>
      </c>
      <c r="G37" s="86" t="str">
        <f>IF(AND(C10="x",I14&lt;&gt;6,B12&lt;&gt;"SELECIONE SOMENTE UM TIPO DE BDI"),K37,"")</f>
        <v/>
      </c>
      <c r="H37" s="87"/>
      <c r="I37" s="37"/>
      <c r="J37" s="38">
        <v>0</v>
      </c>
      <c r="K37" s="38">
        <v>4.4999999999999998E-2</v>
      </c>
    </row>
    <row r="38" spans="1:11" x14ac:dyDescent="0.3">
      <c r="A38" s="63"/>
      <c r="B38" s="435" t="str">
        <f>IF(AND(G38&lt;&gt;"",I14=6),"APAGUE O PERCENTUAL DESTA LINHA","")</f>
        <v/>
      </c>
      <c r="C38" s="436"/>
      <c r="D38" s="146" t="str">
        <f>IF(B38="APAGUE O PERCENTUAL DESTA LINHA","",IF(AND(G38&gt;=J38,G38&lt;=K38),"","FORA DO LIMITE"))</f>
        <v/>
      </c>
      <c r="E38" s="146"/>
      <c r="F38" s="57" t="str">
        <f>IF(I14=6,"","ISSQN =")</f>
        <v>ISSQN =</v>
      </c>
      <c r="G38" s="79">
        <v>0.03</v>
      </c>
      <c r="H38" s="87"/>
      <c r="I38" s="37"/>
      <c r="J38" s="38">
        <v>1.2E-2</v>
      </c>
      <c r="K38" s="38">
        <v>0.03</v>
      </c>
    </row>
    <row r="39" spans="1:11" x14ac:dyDescent="0.3">
      <c r="A39" s="63"/>
      <c r="B39" s="148"/>
      <c r="C39" s="146"/>
      <c r="D39" s="146" t="str">
        <f>IF(AND(G39&gt;=J39,G39&lt;=K39),"","FORA DO LIMITE")</f>
        <v/>
      </c>
      <c r="E39" s="146"/>
      <c r="F39" s="57" t="s">
        <v>65</v>
      </c>
      <c r="G39" s="88">
        <v>6.4999999999999997E-3</v>
      </c>
      <c r="H39" s="87"/>
      <c r="I39" s="37"/>
      <c r="J39" s="38">
        <v>6.4999999999999997E-3</v>
      </c>
      <c r="K39" s="38">
        <v>6.4999999999999997E-3</v>
      </c>
    </row>
    <row r="40" spans="1:11" x14ac:dyDescent="0.3">
      <c r="A40" s="63"/>
      <c r="B40" s="148"/>
      <c r="C40" s="146"/>
      <c r="D40" s="146" t="str">
        <f t="shared" ref="D40" si="2">IF(AND(G40&gt;=J40,G40&lt;=K40),"","FORA DO LIMITE")</f>
        <v/>
      </c>
      <c r="E40" s="146"/>
      <c r="F40" s="57" t="s">
        <v>66</v>
      </c>
      <c r="G40" s="88">
        <v>0.03</v>
      </c>
      <c r="H40" s="87"/>
      <c r="I40" s="37"/>
      <c r="J40" s="38">
        <v>0.03</v>
      </c>
      <c r="K40" s="38">
        <v>0.03</v>
      </c>
    </row>
    <row r="41" spans="1:11" x14ac:dyDescent="0.3">
      <c r="A41" s="63"/>
      <c r="B41" s="81"/>
      <c r="C41" s="82"/>
      <c r="D41" s="82"/>
      <c r="E41" s="82"/>
      <c r="F41" s="83" t="s">
        <v>67</v>
      </c>
      <c r="G41" s="89">
        <f>SUM(G37:G40)</f>
        <v>6.6500000000000004E-2</v>
      </c>
      <c r="H41" s="80"/>
      <c r="I41" s="37"/>
      <c r="J41" s="38"/>
      <c r="K41" s="38"/>
    </row>
    <row r="42" spans="1:11" ht="15" thickBot="1" x14ac:dyDescent="0.35">
      <c r="A42" s="90"/>
      <c r="B42" s="58"/>
      <c r="C42" s="58"/>
      <c r="D42" s="58"/>
      <c r="E42" s="58"/>
      <c r="F42" s="91"/>
      <c r="G42" s="92"/>
      <c r="H42" s="93"/>
      <c r="I42" s="37"/>
      <c r="J42" s="38"/>
      <c r="K42" s="38"/>
    </row>
    <row r="43" spans="1:11" ht="15" thickBot="1" x14ac:dyDescent="0.35">
      <c r="A43" s="146"/>
      <c r="B43" s="146"/>
      <c r="C43" s="146"/>
      <c r="D43" s="146"/>
      <c r="E43" s="146"/>
      <c r="F43" s="159"/>
      <c r="G43" s="160"/>
      <c r="H43" s="161"/>
      <c r="I43" s="37"/>
      <c r="J43" s="38"/>
      <c r="K43" s="38"/>
    </row>
    <row r="44" spans="1:11" x14ac:dyDescent="0.3">
      <c r="A44" s="432" t="s">
        <v>68</v>
      </c>
      <c r="B44" s="433"/>
      <c r="C44" s="147"/>
      <c r="D44" s="147"/>
      <c r="E44" s="147"/>
      <c r="F44" s="147"/>
      <c r="G44" s="61"/>
      <c r="H44" s="62"/>
      <c r="I44" s="37"/>
      <c r="J44" s="38" t="s">
        <v>69</v>
      </c>
      <c r="K44" s="38"/>
    </row>
    <row r="45" spans="1:11" x14ac:dyDescent="0.3">
      <c r="A45" s="63"/>
      <c r="B45" s="146"/>
      <c r="C45" s="146"/>
      <c r="D45" s="146"/>
      <c r="E45" s="146"/>
      <c r="F45" s="146"/>
      <c r="G45" s="48"/>
      <c r="H45" s="64"/>
      <c r="I45" s="37"/>
      <c r="J45" s="94">
        <v>1</v>
      </c>
      <c r="K45" s="38" t="str">
        <f>IF(OR(B12="SELECIONE UM TIPO DE BDI",B12="SELECIONE SOMENTE UM TIPO DE BDI"),"VER TIPO DE BDI","OK")</f>
        <v>OK</v>
      </c>
    </row>
    <row r="46" spans="1:11" x14ac:dyDescent="0.3">
      <c r="A46" s="63"/>
      <c r="B46" s="146"/>
      <c r="C46" s="146"/>
      <c r="D46" s="146"/>
      <c r="E46" s="146"/>
      <c r="F46" s="146"/>
      <c r="G46" s="48"/>
      <c r="H46" s="64"/>
      <c r="I46" s="37"/>
      <c r="J46" s="94">
        <v>2</v>
      </c>
      <c r="K46" s="38" t="str">
        <f>IF(OR(B22="SELECIONE SOMENTE UM TIPO DE SERVIÇO",B22="SELECIONE UM TIPO DE SERVIÇO",B21="NÃO HÁ DESONERAÇÃO PARA FORNECIMENTO DE MATERIAIS"),"VER TIPO DE SERVIÇO","OK")</f>
        <v>OK</v>
      </c>
    </row>
    <row r="47" spans="1:11" x14ac:dyDescent="0.3">
      <c r="A47" s="63"/>
      <c r="B47" s="146"/>
      <c r="C47" s="146"/>
      <c r="D47" s="146"/>
      <c r="E47" s="146"/>
      <c r="F47" s="146"/>
      <c r="G47" s="48"/>
      <c r="H47" s="64"/>
      <c r="I47" s="37"/>
      <c r="J47" s="94">
        <v>3</v>
      </c>
      <c r="K47" s="38" t="str">
        <f t="shared" ref="K47:K48" si="3">IF(OR(B23="SELECIONE SOMENTE UM TIPO DE SERVIÇO",B23="SELECIONE UM TIPO DE SERVIÇO",B22="NÃO HÁ DESONERAÇÃO PARA FORNECIMENTO DE MATERIAIS"),"VER TIPO DE SERVIÇO","OK")</f>
        <v>OK</v>
      </c>
    </row>
    <row r="48" spans="1:11" x14ac:dyDescent="0.3">
      <c r="A48" s="63"/>
      <c r="B48" s="146"/>
      <c r="C48" s="146"/>
      <c r="D48" s="146"/>
      <c r="E48" s="146"/>
      <c r="F48" s="146"/>
      <c r="G48" s="48"/>
      <c r="H48" s="64"/>
      <c r="I48" s="37"/>
      <c r="J48" s="94">
        <v>4</v>
      </c>
      <c r="K48" s="38" t="str">
        <f t="shared" si="3"/>
        <v>OK</v>
      </c>
    </row>
    <row r="49" spans="1:11" x14ac:dyDescent="0.3">
      <c r="A49" s="63"/>
      <c r="B49" s="146"/>
      <c r="C49" s="146"/>
      <c r="D49" s="146"/>
      <c r="E49" s="146"/>
      <c r="F49" s="146"/>
      <c r="G49" s="48"/>
      <c r="H49" s="64"/>
      <c r="I49" s="37"/>
      <c r="J49" s="94"/>
      <c r="K49" s="38"/>
    </row>
    <row r="50" spans="1:11" x14ac:dyDescent="0.3">
      <c r="A50" s="63"/>
      <c r="B50" s="146"/>
      <c r="C50" s="146"/>
      <c r="D50" s="146"/>
      <c r="E50" s="146"/>
      <c r="F50" s="146"/>
      <c r="G50" s="48"/>
      <c r="H50" s="64"/>
      <c r="I50" s="37"/>
      <c r="J50" s="38"/>
      <c r="K50" s="38"/>
    </row>
    <row r="51" spans="1:11" x14ac:dyDescent="0.3">
      <c r="A51" s="63"/>
      <c r="B51" s="146"/>
      <c r="C51" s="146"/>
      <c r="D51" s="146"/>
      <c r="E51" s="146"/>
      <c r="F51" s="146"/>
      <c r="G51" s="48"/>
      <c r="H51" s="64"/>
      <c r="I51" s="37"/>
      <c r="J51" s="38"/>
      <c r="K51" s="38"/>
    </row>
    <row r="52" spans="1:11" x14ac:dyDescent="0.3">
      <c r="A52" s="63" t="s">
        <v>70</v>
      </c>
      <c r="B52" s="46" t="s">
        <v>71</v>
      </c>
      <c r="C52" s="146"/>
      <c r="D52" s="146"/>
      <c r="E52" s="146"/>
      <c r="F52" s="146"/>
      <c r="G52" s="48"/>
      <c r="H52" s="64"/>
      <c r="I52" s="37"/>
      <c r="J52" s="38"/>
      <c r="K52" s="38"/>
    </row>
    <row r="53" spans="1:11" x14ac:dyDescent="0.3">
      <c r="A53" s="63" t="s">
        <v>72</v>
      </c>
      <c r="B53" s="46" t="s">
        <v>73</v>
      </c>
      <c r="C53" s="146"/>
      <c r="D53" s="146"/>
      <c r="E53" s="146"/>
      <c r="F53" s="146"/>
      <c r="G53" s="48"/>
      <c r="H53" s="64"/>
      <c r="I53" s="37"/>
      <c r="J53" s="38"/>
      <c r="K53" s="38"/>
    </row>
    <row r="54" spans="1:11" x14ac:dyDescent="0.3">
      <c r="A54" s="63" t="s">
        <v>74</v>
      </c>
      <c r="B54" s="46" t="s">
        <v>75</v>
      </c>
      <c r="C54" s="146"/>
      <c r="D54" s="146"/>
      <c r="E54" s="146"/>
      <c r="F54" s="146"/>
      <c r="G54" s="48"/>
      <c r="H54" s="64"/>
      <c r="I54" s="37"/>
      <c r="J54" s="38"/>
      <c r="K54" s="38"/>
    </row>
    <row r="55" spans="1:11" x14ac:dyDescent="0.3">
      <c r="A55" s="63" t="s">
        <v>58</v>
      </c>
      <c r="B55" s="46" t="s">
        <v>76</v>
      </c>
      <c r="C55" s="146"/>
      <c r="D55" s="146"/>
      <c r="E55" s="146"/>
      <c r="F55" s="146"/>
      <c r="G55" s="48"/>
      <c r="H55" s="64"/>
      <c r="I55" s="37"/>
      <c r="J55" s="38"/>
      <c r="K55" s="38"/>
    </row>
    <row r="56" spans="1:11" x14ac:dyDescent="0.3">
      <c r="A56" s="63" t="s">
        <v>63</v>
      </c>
      <c r="B56" s="46" t="s">
        <v>77</v>
      </c>
      <c r="C56" s="146"/>
      <c r="D56" s="146"/>
      <c r="E56" s="146"/>
      <c r="F56" s="146"/>
      <c r="G56" s="48"/>
      <c r="H56" s="64"/>
      <c r="I56" s="37"/>
      <c r="J56" s="38"/>
      <c r="K56" s="38"/>
    </row>
    <row r="57" spans="1:11" x14ac:dyDescent="0.3">
      <c r="A57" s="63" t="s">
        <v>78</v>
      </c>
      <c r="B57" s="46" t="s">
        <v>79</v>
      </c>
      <c r="C57" s="146"/>
      <c r="D57" s="146"/>
      <c r="E57" s="146"/>
      <c r="F57" s="146"/>
      <c r="G57" s="48"/>
      <c r="H57" s="64"/>
      <c r="I57" s="37"/>
      <c r="J57" s="38"/>
      <c r="K57" s="38"/>
    </row>
    <row r="58" spans="1:11" ht="15" thickBot="1" x14ac:dyDescent="0.35">
      <c r="A58" s="90"/>
      <c r="B58" s="95"/>
      <c r="C58" s="58"/>
      <c r="D58" s="58"/>
      <c r="E58" s="58"/>
      <c r="F58" s="58"/>
      <c r="G58" s="96"/>
      <c r="H58" s="97"/>
      <c r="I58" s="37"/>
      <c r="J58" s="38"/>
      <c r="K58" s="38"/>
    </row>
    <row r="59" spans="1:11" ht="15" thickBot="1" x14ac:dyDescent="0.35">
      <c r="A59" s="146"/>
      <c r="B59" s="46"/>
      <c r="C59" s="146"/>
      <c r="D59" s="146"/>
      <c r="E59" s="146"/>
      <c r="F59" s="146"/>
      <c r="G59" s="48"/>
      <c r="H59" s="48"/>
      <c r="I59" s="37"/>
      <c r="J59" s="38"/>
      <c r="K59" s="38"/>
    </row>
    <row r="60" spans="1:11" x14ac:dyDescent="0.3">
      <c r="A60" s="432" t="s">
        <v>80</v>
      </c>
      <c r="B60" s="433"/>
      <c r="C60" s="98"/>
      <c r="D60" s="98"/>
      <c r="E60" s="433" t="s">
        <v>81</v>
      </c>
      <c r="F60" s="433"/>
      <c r="G60" s="61"/>
      <c r="H60" s="62"/>
      <c r="I60" s="99">
        <f>SUM(1+G26,G31,G32)</f>
        <v>1.0484000000000002</v>
      </c>
      <c r="J60" s="38"/>
      <c r="K60" s="38"/>
    </row>
    <row r="61" spans="1:11" x14ac:dyDescent="0.3">
      <c r="A61" s="145"/>
      <c r="B61" s="41"/>
      <c r="C61" s="146"/>
      <c r="D61" s="146"/>
      <c r="E61" s="146"/>
      <c r="F61" s="146"/>
      <c r="G61" s="48"/>
      <c r="H61" s="64"/>
      <c r="I61" s="37">
        <f>1+G28</f>
        <v>1.0102</v>
      </c>
      <c r="J61" s="38"/>
      <c r="K61" s="38"/>
    </row>
    <row r="62" spans="1:11" x14ac:dyDescent="0.3">
      <c r="A62" s="63"/>
      <c r="B62" s="100" t="s">
        <v>82</v>
      </c>
      <c r="C62" s="101">
        <v>0.19600000000000001</v>
      </c>
      <c r="D62" s="69" t="str">
        <f>IF(AND(C62&gt;I65,C11="X"),"BDI ABAIXO","")</f>
        <v/>
      </c>
      <c r="E62" s="100" t="s">
        <v>82</v>
      </c>
      <c r="F62" s="101">
        <v>0.25600000000000001</v>
      </c>
      <c r="G62" s="69" t="str">
        <f>IF(AND(F62&gt;I65,C10="X"),"BDI ABAIXO","")</f>
        <v/>
      </c>
      <c r="H62" s="64"/>
      <c r="I62" s="37">
        <f>1+G34</f>
        <v>1.075</v>
      </c>
      <c r="J62" s="38"/>
      <c r="K62" s="38"/>
    </row>
    <row r="63" spans="1:11" x14ac:dyDescent="0.3">
      <c r="A63" s="63"/>
      <c r="B63" s="100" t="s">
        <v>83</v>
      </c>
      <c r="C63" s="101">
        <v>0.24229999999999999</v>
      </c>
      <c r="D63" s="69" t="str">
        <f>IF(AND(C63&lt;I66,C11="X"),"BDI ACIMA","")</f>
        <v/>
      </c>
      <c r="E63" s="100" t="s">
        <v>83</v>
      </c>
      <c r="F63" s="101">
        <v>0.30520000000000003</v>
      </c>
      <c r="G63" s="69" t="str">
        <f>IF(AND(F63&lt;I65,C10="X"),"BDI ACIMA","")</f>
        <v/>
      </c>
      <c r="H63" s="64"/>
      <c r="I63" s="37">
        <f>1-G41</f>
        <v>0.9335</v>
      </c>
      <c r="J63" s="38"/>
      <c r="K63" s="38"/>
    </row>
    <row r="64" spans="1:11" ht="15" thickBot="1" x14ac:dyDescent="0.35">
      <c r="A64" s="90"/>
      <c r="B64" s="95"/>
      <c r="C64" s="58"/>
      <c r="D64" s="102"/>
      <c r="E64" s="58"/>
      <c r="F64" s="102"/>
      <c r="G64" s="96"/>
      <c r="H64" s="97"/>
      <c r="I64" s="37">
        <f>I60*I61*I62/I63</f>
        <v>1.2196311794322443</v>
      </c>
      <c r="J64" s="38"/>
      <c r="K64" s="38"/>
    </row>
    <row r="65" spans="1:11" ht="15" thickBot="1" x14ac:dyDescent="0.35">
      <c r="A65" s="146"/>
      <c r="B65" s="146"/>
      <c r="C65" s="146"/>
      <c r="D65" s="146"/>
      <c r="E65" s="146"/>
      <c r="F65" s="146"/>
      <c r="G65" s="48"/>
      <c r="H65" s="48"/>
      <c r="I65" s="37">
        <f>ROUND(I64-1,4)</f>
        <v>0.21959999999999999</v>
      </c>
      <c r="J65" s="38"/>
      <c r="K65" s="38"/>
    </row>
    <row r="66" spans="1:11" ht="15" thickBot="1" x14ac:dyDescent="0.35">
      <c r="A66" s="146"/>
      <c r="B66" s="146"/>
      <c r="C66" s="146"/>
      <c r="D66" s="162"/>
      <c r="E66" s="426" t="s">
        <v>84</v>
      </c>
      <c r="F66" s="427"/>
      <c r="G66" s="163">
        <f>IF(AND(K45="OK",K46="OK",K47="OK",K48="OK"),I65,IF(K45="VER TIPO DE BDI","VER TIPO DE BDI",IF(K46="VER TIPO DE SERVIÇO","VER TIPO DE SERVIÇO",IF(K47="VER PERCENTUAIS","VER PERCENTUAIS",IF(K48="BDI FORA DO LIMITE","BDI FORA DO LIMITE","VÁRIOS ERROS")))))</f>
        <v>0.21959999999999999</v>
      </c>
      <c r="H66" s="164" t="str">
        <f>IF(AND(M66&gt;=P66,M66&lt;=Q66),"","FORA DO LIMITE")</f>
        <v/>
      </c>
      <c r="I66" s="103">
        <f>G72</f>
        <v>0.21959999999999999</v>
      </c>
      <c r="J66" s="38"/>
      <c r="K66" s="38"/>
    </row>
    <row r="67" spans="1:11" x14ac:dyDescent="0.3">
      <c r="A67" s="146"/>
      <c r="B67" s="146"/>
      <c r="C67" s="146"/>
      <c r="D67" s="146"/>
      <c r="E67" s="39"/>
      <c r="F67" s="39"/>
      <c r="G67" s="165"/>
      <c r="H67" s="165"/>
      <c r="I67" s="104"/>
      <c r="J67" s="38"/>
      <c r="K67" s="38"/>
    </row>
    <row r="68" spans="1:11" x14ac:dyDescent="0.3">
      <c r="A68" s="39"/>
      <c r="B68" s="41" t="s">
        <v>85</v>
      </c>
      <c r="C68" s="39"/>
      <c r="D68" s="39"/>
      <c r="E68" s="146"/>
      <c r="F68" s="146"/>
      <c r="G68" s="146"/>
      <c r="H68" s="146"/>
      <c r="I68" s="104"/>
      <c r="J68" s="38"/>
      <c r="K68" s="38"/>
    </row>
    <row r="69" spans="1:11" x14ac:dyDescent="0.3">
      <c r="A69" s="46"/>
      <c r="B69" s="8" t="s">
        <v>86</v>
      </c>
      <c r="C69" s="8"/>
      <c r="D69" s="8"/>
      <c r="E69" s="146"/>
      <c r="F69" s="146"/>
      <c r="G69" s="428"/>
      <c r="H69" s="428"/>
      <c r="I69" s="37"/>
      <c r="J69" s="38"/>
      <c r="K69" s="38"/>
    </row>
    <row r="70" spans="1:11" x14ac:dyDescent="0.3">
      <c r="A70" s="146"/>
      <c r="B70" s="8" t="s">
        <v>87</v>
      </c>
      <c r="C70" s="166"/>
      <c r="D70" s="146"/>
      <c r="E70" s="146"/>
      <c r="F70" s="146"/>
      <c r="G70" s="429"/>
      <c r="H70" s="429"/>
      <c r="I70" s="37"/>
      <c r="J70" s="38"/>
      <c r="K70" s="38"/>
    </row>
    <row r="71" spans="1:11" x14ac:dyDescent="0.3">
      <c r="A71" s="146"/>
      <c r="B71" s="8" t="s">
        <v>88</v>
      </c>
      <c r="C71" s="146"/>
      <c r="D71" s="146"/>
      <c r="E71" s="146"/>
      <c r="F71" s="167"/>
      <c r="G71" s="48"/>
      <c r="H71" s="48"/>
      <c r="I71" s="37"/>
      <c r="J71" s="38"/>
      <c r="K71" s="38"/>
    </row>
    <row r="72" spans="1:11" x14ac:dyDescent="0.3">
      <c r="A72" s="146"/>
      <c r="B72" s="146"/>
      <c r="C72" s="146"/>
      <c r="D72" s="146"/>
      <c r="E72" s="146"/>
      <c r="F72" s="105" t="s">
        <v>89</v>
      </c>
      <c r="G72" s="430">
        <f>I65</f>
        <v>0.21959999999999999</v>
      </c>
      <c r="H72" s="431"/>
      <c r="I72" s="37"/>
      <c r="J72" s="38"/>
      <c r="K72" s="38"/>
    </row>
    <row r="73" spans="1:11" x14ac:dyDescent="0.3">
      <c r="A73" s="168"/>
      <c r="B73" s="168"/>
      <c r="C73" s="169"/>
      <c r="D73" s="170"/>
      <c r="E73" s="169"/>
      <c r="F73" s="169"/>
      <c r="G73" s="170"/>
      <c r="H73" s="170"/>
    </row>
    <row r="74" spans="1:11" x14ac:dyDescent="0.3">
      <c r="A74" s="168"/>
      <c r="B74" s="168"/>
      <c r="C74" s="169"/>
      <c r="D74" s="170"/>
      <c r="E74" s="169"/>
      <c r="F74" s="169"/>
      <c r="G74" s="170"/>
      <c r="H74" s="170"/>
    </row>
  </sheetData>
  <mergeCells count="21">
    <mergeCell ref="B22:C22"/>
    <mergeCell ref="A1:H1"/>
    <mergeCell ref="A2:H2"/>
    <mergeCell ref="A3:H3"/>
    <mergeCell ref="A5:H5"/>
    <mergeCell ref="B6:E6"/>
    <mergeCell ref="A8:B8"/>
    <mergeCell ref="B12:C12"/>
    <mergeCell ref="E12:G12"/>
    <mergeCell ref="A14:B14"/>
    <mergeCell ref="B21:D21"/>
    <mergeCell ref="E66:F66"/>
    <mergeCell ref="G69:H69"/>
    <mergeCell ref="G70:H70"/>
    <mergeCell ref="G72:H72"/>
    <mergeCell ref="A24:B24"/>
    <mergeCell ref="E24:F24"/>
    <mergeCell ref="B38:C38"/>
    <mergeCell ref="A44:B44"/>
    <mergeCell ref="A60:B60"/>
    <mergeCell ref="E60:F60"/>
  </mergeCells>
  <conditionalFormatting sqref="B12">
    <cfRule type="cellIs" dxfId="46" priority="19" operator="equal">
      <formula>"SELECIONE SOMENTE UM TIPO DE BDI"</formula>
    </cfRule>
  </conditionalFormatting>
  <conditionalFormatting sqref="B21">
    <cfRule type="cellIs" dxfId="45" priority="6" operator="equal">
      <formula>"NÃO HÁ DESONERAÇÃO PARA FORNECIMENTO DE MATERIAIS"</formula>
    </cfRule>
  </conditionalFormatting>
  <conditionalFormatting sqref="B22">
    <cfRule type="cellIs" dxfId="44" priority="25" operator="equal">
      <formula>"SELECIONE SOMENTE UM TIPO DE SERVIÇO"</formula>
    </cfRule>
  </conditionalFormatting>
  <conditionalFormatting sqref="B12:C12 E12:G12">
    <cfRule type="cellIs" dxfId="43" priority="9" operator="equal">
      <formula>"SELECIONE UM TIPO DE BDI"</formula>
    </cfRule>
  </conditionalFormatting>
  <conditionalFormatting sqref="B22:C22">
    <cfRule type="cellIs" dxfId="42" priority="8" operator="equal">
      <formula>"SELECIONE UM TIPO DE SERVIÇO"</formula>
    </cfRule>
  </conditionalFormatting>
  <conditionalFormatting sqref="B38:C38">
    <cfRule type="cellIs" dxfId="41" priority="18" operator="equal">
      <formula>"APAGUE O PERCENTUAL DESTA LINHA"</formula>
    </cfRule>
  </conditionalFormatting>
  <conditionalFormatting sqref="C10:C11 G16:G21 G26 G28 G31:G32 G34">
    <cfRule type="cellIs" dxfId="40" priority="16" operator="equal">
      <formula>0</formula>
    </cfRule>
  </conditionalFormatting>
  <conditionalFormatting sqref="D26 D38:D40">
    <cfRule type="cellIs" dxfId="39" priority="24" operator="equal">
      <formula>"FORA DO LIMITE"</formula>
    </cfRule>
  </conditionalFormatting>
  <conditionalFormatting sqref="D28">
    <cfRule type="cellIs" dxfId="38" priority="23" operator="equal">
      <formula>"FORA DO LIMITE"</formula>
    </cfRule>
  </conditionalFormatting>
  <conditionalFormatting sqref="D31:D32">
    <cfRule type="cellIs" dxfId="37" priority="21" operator="equal">
      <formula>"FORA DO LIMITE"</formula>
    </cfRule>
  </conditionalFormatting>
  <conditionalFormatting sqref="D34">
    <cfRule type="cellIs" dxfId="36" priority="20" operator="equal">
      <formula>"FORA DO LIMITE"</formula>
    </cfRule>
  </conditionalFormatting>
  <conditionalFormatting sqref="D62">
    <cfRule type="cellIs" dxfId="35" priority="5" operator="equal">
      <formula>"BDI ABAIXO"</formula>
    </cfRule>
  </conditionalFormatting>
  <conditionalFormatting sqref="D63">
    <cfRule type="cellIs" dxfId="34" priority="4" operator="equal">
      <formula>"BDI ACIMA"</formula>
    </cfRule>
  </conditionalFormatting>
  <conditionalFormatting sqref="E12">
    <cfRule type="cellIs" dxfId="33" priority="12" operator="equal">
      <formula>"SELECIONE SOMENTE UM TIPO DE BDI"</formula>
    </cfRule>
  </conditionalFormatting>
  <conditionalFormatting sqref="E12:G12">
    <cfRule type="cellIs" dxfId="32" priority="7" operator="equal">
      <formula>"SOMENTE HÁ DESONERAÇÃO PARA OBRAS"</formula>
    </cfRule>
    <cfRule type="cellIs" dxfId="31" priority="11" operator="equal">
      <formula>"NÃO HÁ PROJETO PARA FORNECIMENTO"</formula>
    </cfRule>
  </conditionalFormatting>
  <conditionalFormatting sqref="G38:G40">
    <cfRule type="cellIs" dxfId="30" priority="10" operator="equal">
      <formula>0</formula>
    </cfRule>
  </conditionalFormatting>
  <conditionalFormatting sqref="G62">
    <cfRule type="cellIs" dxfId="29" priority="3" operator="equal">
      <formula>"BDI ABAIXO"</formula>
    </cfRule>
  </conditionalFormatting>
  <conditionalFormatting sqref="G63">
    <cfRule type="cellIs" dxfId="28" priority="2" operator="equal">
      <formula>"BDI ACIMA"</formula>
    </cfRule>
  </conditionalFormatting>
  <conditionalFormatting sqref="G66:H67">
    <cfRule type="cellIs" dxfId="27" priority="1" operator="equal">
      <formula>"VER PERCENTUAIS"</formula>
    </cfRule>
    <cfRule type="cellIs" dxfId="26" priority="13" operator="equal">
      <formula>"VÁRIOS ERROS"</formula>
    </cfRule>
    <cfRule type="cellIs" dxfId="25" priority="14" operator="equal">
      <formula>"BDI FORA DO LIMITE"</formula>
    </cfRule>
    <cfRule type="cellIs" dxfId="24" priority="15" operator="equal">
      <formula>"VER TIPO DE BDI"</formula>
    </cfRule>
    <cfRule type="cellIs" dxfId="23" priority="17" operator="equal">
      <formula>"VER TIPO DE SERVIÇO"</formula>
    </cfRule>
  </conditionalFormatting>
  <dataValidations disablePrompts="1" count="3">
    <dataValidation type="list" allowBlank="1" showInputMessage="1" showErrorMessage="1" promptTitle="Alerta" prompt="Digite somente 'X'" sqref="G16:G21 C10:C11" xr:uid="{00000000-0002-0000-0400-000000000000}">
      <formula1>"x,X"</formula1>
    </dataValidation>
    <dataValidation type="decimal" allowBlank="1" showInputMessage="1" showErrorMessage="1" sqref="G38:G41 G26:G36" xr:uid="{00000000-0002-0000-0400-000001000000}">
      <formula1>0</formula1>
      <formula2>100</formula2>
    </dataValidation>
    <dataValidation allowBlank="1" promptTitle="Alerta" prompt="Digite somente 'X'" sqref="F10:F11" xr:uid="{00000000-0002-0000-0400-000002000000}"/>
  </dataValidations>
  <pageMargins left="0.51181102362204722" right="0.51181102362204722" top="1.7716535433070868" bottom="1.1811023622047245" header="0.51181102362204722" footer="0.51181102362204722"/>
  <pageSetup paperSize="9" scale="70" fitToHeight="0" orientation="portrait" r:id="rId1"/>
  <headerFooter>
    <oddHeader>&amp;C&amp;G</oddHead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 tint="-4.9989318521683403E-2"/>
    <pageSetUpPr fitToPage="1"/>
  </sheetPr>
  <dimension ref="A1:F42"/>
  <sheetViews>
    <sheetView workbookViewId="0">
      <selection activeCell="A3" sqref="A3:F3"/>
    </sheetView>
  </sheetViews>
  <sheetFormatPr defaultRowHeight="14.4" x14ac:dyDescent="0.3"/>
  <cols>
    <col min="1" max="1" width="15.6640625" style="106" customWidth="1"/>
    <col min="2" max="2" width="35.33203125" style="108" bestFit="1" customWidth="1"/>
    <col min="3" max="3" width="9.33203125" style="107" customWidth="1"/>
    <col min="4" max="4" width="12.33203125" style="108" customWidth="1"/>
    <col min="5" max="5" width="10.44140625" style="107" customWidth="1"/>
    <col min="6" max="6" width="11.44140625" style="107" customWidth="1"/>
  </cols>
  <sheetData>
    <row r="1" spans="1:6" x14ac:dyDescent="0.3">
      <c r="A1" s="438" t="s">
        <v>161</v>
      </c>
      <c r="B1" s="439"/>
      <c r="C1" s="439"/>
      <c r="D1" s="439"/>
      <c r="E1" s="439"/>
      <c r="F1" s="439"/>
    </row>
    <row r="2" spans="1:6" x14ac:dyDescent="0.3">
      <c r="A2" s="440" t="s">
        <v>319</v>
      </c>
      <c r="B2" s="440"/>
      <c r="C2" s="440"/>
      <c r="D2" s="440"/>
      <c r="E2" s="440"/>
      <c r="F2" s="440"/>
    </row>
    <row r="3" spans="1:6" x14ac:dyDescent="0.3">
      <c r="A3" s="440" t="s">
        <v>318</v>
      </c>
      <c r="B3" s="440"/>
      <c r="C3" s="440"/>
      <c r="D3" s="440"/>
      <c r="E3" s="440"/>
      <c r="F3" s="440"/>
    </row>
    <row r="5" spans="1:6" x14ac:dyDescent="0.3">
      <c r="A5" s="449" t="s">
        <v>90</v>
      </c>
      <c r="B5" s="449"/>
      <c r="C5" s="449"/>
      <c r="D5" s="449"/>
      <c r="E5" s="449"/>
      <c r="F5" s="449"/>
    </row>
    <row r="6" spans="1:6" x14ac:dyDescent="0.3">
      <c r="A6" s="450" t="s">
        <v>91</v>
      </c>
      <c r="B6" s="394" t="s">
        <v>92</v>
      </c>
      <c r="C6" s="449" t="s">
        <v>93</v>
      </c>
      <c r="D6" s="449"/>
      <c r="E6" s="449" t="s">
        <v>94</v>
      </c>
      <c r="F6" s="449"/>
    </row>
    <row r="7" spans="1:6" ht="20.399999999999999" x14ac:dyDescent="0.3">
      <c r="A7" s="450"/>
      <c r="B7" s="394"/>
      <c r="C7" s="109" t="s">
        <v>95</v>
      </c>
      <c r="D7" s="109" t="s">
        <v>96</v>
      </c>
      <c r="E7" s="109" t="s">
        <v>95</v>
      </c>
      <c r="F7" s="109" t="s">
        <v>96</v>
      </c>
    </row>
    <row r="8" spans="1:6" x14ac:dyDescent="0.3">
      <c r="A8" s="449" t="s">
        <v>97</v>
      </c>
      <c r="B8" s="449"/>
      <c r="C8" s="449"/>
      <c r="D8" s="449"/>
      <c r="E8" s="449"/>
      <c r="F8" s="449"/>
    </row>
    <row r="9" spans="1:6" x14ac:dyDescent="0.3">
      <c r="A9" s="109" t="s">
        <v>98</v>
      </c>
      <c r="B9" s="110" t="s">
        <v>99</v>
      </c>
      <c r="C9" s="111">
        <v>0.05</v>
      </c>
      <c r="D9" s="111">
        <v>0.05</v>
      </c>
      <c r="E9" s="111">
        <v>0.2</v>
      </c>
      <c r="F9" s="111">
        <v>0.2</v>
      </c>
    </row>
    <row r="10" spans="1:6" x14ac:dyDescent="0.3">
      <c r="A10" s="109" t="s">
        <v>100</v>
      </c>
      <c r="B10" s="110" t="s">
        <v>101</v>
      </c>
      <c r="C10" s="111">
        <v>1.4999999999999999E-2</v>
      </c>
      <c r="D10" s="111">
        <v>1.4999999999999999E-2</v>
      </c>
      <c r="E10" s="111">
        <v>1.4999999999999999E-2</v>
      </c>
      <c r="F10" s="111">
        <v>1.4999999999999999E-2</v>
      </c>
    </row>
    <row r="11" spans="1:6" x14ac:dyDescent="0.3">
      <c r="A11" s="109" t="s">
        <v>102</v>
      </c>
      <c r="B11" s="110" t="s">
        <v>103</v>
      </c>
      <c r="C11" s="111">
        <v>0.01</v>
      </c>
      <c r="D11" s="111">
        <v>0.01</v>
      </c>
      <c r="E11" s="111">
        <v>0.01</v>
      </c>
      <c r="F11" s="111">
        <v>0.01</v>
      </c>
    </row>
    <row r="12" spans="1:6" x14ac:dyDescent="0.3">
      <c r="A12" s="109" t="s">
        <v>104</v>
      </c>
      <c r="B12" s="110" t="s">
        <v>105</v>
      </c>
      <c r="C12" s="111">
        <v>2E-3</v>
      </c>
      <c r="D12" s="111">
        <v>2E-3</v>
      </c>
      <c r="E12" s="111">
        <v>2E-3</v>
      </c>
      <c r="F12" s="111">
        <v>2E-3</v>
      </c>
    </row>
    <row r="13" spans="1:6" x14ac:dyDescent="0.3">
      <c r="A13" s="109" t="s">
        <v>106</v>
      </c>
      <c r="B13" s="110" t="s">
        <v>107</v>
      </c>
      <c r="C13" s="111">
        <v>6.0000000000000001E-3</v>
      </c>
      <c r="D13" s="111">
        <v>6.0000000000000001E-3</v>
      </c>
      <c r="E13" s="111">
        <v>6.0000000000000001E-3</v>
      </c>
      <c r="F13" s="111">
        <v>6.0000000000000001E-3</v>
      </c>
    </row>
    <row r="14" spans="1:6" x14ac:dyDescent="0.3">
      <c r="A14" s="109" t="s">
        <v>108</v>
      </c>
      <c r="B14" s="110" t="s">
        <v>109</v>
      </c>
      <c r="C14" s="111">
        <v>2.5000000000000001E-2</v>
      </c>
      <c r="D14" s="111">
        <v>2.5000000000000001E-2</v>
      </c>
      <c r="E14" s="111">
        <v>2.5000000000000001E-2</v>
      </c>
      <c r="F14" s="111">
        <v>2.5000000000000001E-2</v>
      </c>
    </row>
    <row r="15" spans="1:6" x14ac:dyDescent="0.3">
      <c r="A15" s="109" t="s">
        <v>110</v>
      </c>
      <c r="B15" s="110" t="s">
        <v>111</v>
      </c>
      <c r="C15" s="111">
        <v>0.03</v>
      </c>
      <c r="D15" s="111">
        <v>0.03</v>
      </c>
      <c r="E15" s="111">
        <v>0.03</v>
      </c>
      <c r="F15" s="111">
        <v>0.03</v>
      </c>
    </row>
    <row r="16" spans="1:6" x14ac:dyDescent="0.3">
      <c r="A16" s="109" t="s">
        <v>112</v>
      </c>
      <c r="B16" s="110" t="s">
        <v>113</v>
      </c>
      <c r="C16" s="111">
        <v>0.08</v>
      </c>
      <c r="D16" s="111">
        <v>0.08</v>
      </c>
      <c r="E16" s="111">
        <v>0.08</v>
      </c>
      <c r="F16" s="111">
        <v>0.08</v>
      </c>
    </row>
    <row r="17" spans="1:6" x14ac:dyDescent="0.3">
      <c r="A17" s="109" t="s">
        <v>114</v>
      </c>
      <c r="B17" s="110" t="s">
        <v>115</v>
      </c>
      <c r="C17" s="111">
        <v>0</v>
      </c>
      <c r="D17" s="111">
        <v>0</v>
      </c>
      <c r="E17" s="111">
        <v>0</v>
      </c>
      <c r="F17" s="111">
        <v>0</v>
      </c>
    </row>
    <row r="18" spans="1:6" x14ac:dyDescent="0.3">
      <c r="A18" s="112" t="s">
        <v>116</v>
      </c>
      <c r="B18" s="113" t="s">
        <v>117</v>
      </c>
      <c r="C18" s="114">
        <f>SUM(C9:C17)</f>
        <v>0.21800000000000003</v>
      </c>
      <c r="D18" s="114">
        <f t="shared" ref="D18:F18" si="0">SUM(D9:D17)</f>
        <v>0.21800000000000003</v>
      </c>
      <c r="E18" s="114">
        <f t="shared" si="0"/>
        <v>0.36800000000000005</v>
      </c>
      <c r="F18" s="114">
        <f t="shared" si="0"/>
        <v>0.36800000000000005</v>
      </c>
    </row>
    <row r="19" spans="1:6" x14ac:dyDescent="0.3">
      <c r="A19" s="449" t="s">
        <v>118</v>
      </c>
      <c r="B19" s="449"/>
      <c r="C19" s="449"/>
      <c r="D19" s="449"/>
      <c r="E19" s="449"/>
      <c r="F19" s="449"/>
    </row>
    <row r="20" spans="1:6" x14ac:dyDescent="0.3">
      <c r="A20" s="109" t="s">
        <v>119</v>
      </c>
      <c r="B20" s="110" t="s">
        <v>120</v>
      </c>
      <c r="C20" s="111">
        <v>0.1782</v>
      </c>
      <c r="D20" s="109" t="s">
        <v>121</v>
      </c>
      <c r="E20" s="111">
        <v>0.1782</v>
      </c>
      <c r="F20" s="109" t="s">
        <v>121</v>
      </c>
    </row>
    <row r="21" spans="1:6" x14ac:dyDescent="0.3">
      <c r="A21" s="109" t="s">
        <v>122</v>
      </c>
      <c r="B21" s="110" t="s">
        <v>123</v>
      </c>
      <c r="C21" s="111">
        <v>3.95E-2</v>
      </c>
      <c r="D21" s="109" t="s">
        <v>121</v>
      </c>
      <c r="E21" s="111">
        <v>3.95E-2</v>
      </c>
      <c r="F21" s="109" t="s">
        <v>121</v>
      </c>
    </row>
    <row r="22" spans="1:6" x14ac:dyDescent="0.3">
      <c r="A22" s="109" t="s">
        <v>124</v>
      </c>
      <c r="B22" s="110" t="s">
        <v>125</v>
      </c>
      <c r="C22" s="111">
        <v>8.6E-3</v>
      </c>
      <c r="D22" s="111">
        <v>6.4999999999999997E-3</v>
      </c>
      <c r="E22" s="111">
        <v>8.6E-3</v>
      </c>
      <c r="F22" s="111">
        <v>6.4999999999999997E-3</v>
      </c>
    </row>
    <row r="23" spans="1:6" x14ac:dyDescent="0.3">
      <c r="A23" s="109" t="s">
        <v>126</v>
      </c>
      <c r="B23" s="110" t="s">
        <v>127</v>
      </c>
      <c r="C23" s="111">
        <v>0.1096</v>
      </c>
      <c r="D23" s="111">
        <v>8.3299999999999999E-2</v>
      </c>
      <c r="E23" s="111">
        <v>0.1096</v>
      </c>
      <c r="F23" s="111">
        <v>8.3299999999999999E-2</v>
      </c>
    </row>
    <row r="24" spans="1:6" x14ac:dyDescent="0.3">
      <c r="A24" s="109" t="s">
        <v>128</v>
      </c>
      <c r="B24" s="110" t="s">
        <v>129</v>
      </c>
      <c r="C24" s="111">
        <v>6.9999999999999999E-4</v>
      </c>
      <c r="D24" s="111">
        <v>5.0000000000000001E-4</v>
      </c>
      <c r="E24" s="111">
        <v>6.9999999999999999E-4</v>
      </c>
      <c r="F24" s="111">
        <v>5.0000000000000001E-4</v>
      </c>
    </row>
    <row r="25" spans="1:6" x14ac:dyDescent="0.3">
      <c r="A25" s="109" t="s">
        <v>130</v>
      </c>
      <c r="B25" s="110" t="s">
        <v>131</v>
      </c>
      <c r="C25" s="111">
        <v>7.3000000000000001E-3</v>
      </c>
      <c r="D25" s="111">
        <v>5.5999999999999999E-3</v>
      </c>
      <c r="E25" s="111">
        <v>7.3000000000000001E-3</v>
      </c>
      <c r="F25" s="111">
        <v>5.5999999999999999E-3</v>
      </c>
    </row>
    <row r="26" spans="1:6" x14ac:dyDescent="0.3">
      <c r="A26" s="109" t="s">
        <v>132</v>
      </c>
      <c r="B26" s="110" t="s">
        <v>133</v>
      </c>
      <c r="C26" s="111">
        <v>1.17E-2</v>
      </c>
      <c r="D26" s="109" t="s">
        <v>121</v>
      </c>
      <c r="E26" s="111">
        <v>1.17E-2</v>
      </c>
      <c r="F26" s="109" t="s">
        <v>121</v>
      </c>
    </row>
    <row r="27" spans="1:6" x14ac:dyDescent="0.3">
      <c r="A27" s="109" t="s">
        <v>134</v>
      </c>
      <c r="B27" s="110" t="s">
        <v>135</v>
      </c>
      <c r="C27" s="111">
        <v>1E-3</v>
      </c>
      <c r="D27" s="111">
        <v>6.9999999999999999E-4</v>
      </c>
      <c r="E27" s="111">
        <v>1E-3</v>
      </c>
      <c r="F27" s="111">
        <v>6.9999999999999999E-4</v>
      </c>
    </row>
    <row r="28" spans="1:6" x14ac:dyDescent="0.3">
      <c r="A28" s="109" t="s">
        <v>136</v>
      </c>
      <c r="B28" s="110" t="s">
        <v>137</v>
      </c>
      <c r="C28" s="111">
        <v>0.1171</v>
      </c>
      <c r="D28" s="111">
        <v>8.8999999999999996E-2</v>
      </c>
      <c r="E28" s="111">
        <v>0.1171</v>
      </c>
      <c r="F28" s="111">
        <v>8.8999999999999996E-2</v>
      </c>
    </row>
    <row r="29" spans="1:6" x14ac:dyDescent="0.3">
      <c r="A29" s="109" t="s">
        <v>138</v>
      </c>
      <c r="B29" s="110" t="s">
        <v>139</v>
      </c>
      <c r="C29" s="111">
        <v>2.9999999999999997E-4</v>
      </c>
      <c r="D29" s="111">
        <v>2.9999999999999997E-4</v>
      </c>
      <c r="E29" s="111">
        <v>2.9999999999999997E-4</v>
      </c>
      <c r="F29" s="111">
        <v>2.9999999999999997E-4</v>
      </c>
    </row>
    <row r="30" spans="1:6" x14ac:dyDescent="0.3">
      <c r="A30" s="112" t="s">
        <v>140</v>
      </c>
      <c r="B30" s="113" t="s">
        <v>117</v>
      </c>
      <c r="C30" s="114">
        <f>SUM(C20:C29)</f>
        <v>0.47399999999999992</v>
      </c>
      <c r="D30" s="114">
        <f t="shared" ref="D30:F30" si="1">SUM(D20:D29)</f>
        <v>0.18589999999999998</v>
      </c>
      <c r="E30" s="114">
        <f t="shared" si="1"/>
        <v>0.47399999999999992</v>
      </c>
      <c r="F30" s="114">
        <f t="shared" si="1"/>
        <v>0.18589999999999998</v>
      </c>
    </row>
    <row r="31" spans="1:6" x14ac:dyDescent="0.3">
      <c r="A31" s="449" t="s">
        <v>141</v>
      </c>
      <c r="B31" s="449"/>
      <c r="C31" s="449"/>
      <c r="D31" s="449"/>
      <c r="E31" s="449"/>
      <c r="F31" s="449"/>
    </row>
    <row r="32" spans="1:6" x14ac:dyDescent="0.3">
      <c r="A32" s="109" t="s">
        <v>142</v>
      </c>
      <c r="B32" s="110" t="s">
        <v>143</v>
      </c>
      <c r="C32" s="111">
        <v>5.2999999999999999E-2</v>
      </c>
      <c r="D32" s="111">
        <v>4.0300000000000002E-2</v>
      </c>
      <c r="E32" s="111">
        <v>5.2999999999999999E-2</v>
      </c>
      <c r="F32" s="111">
        <v>4.0300000000000002E-2</v>
      </c>
    </row>
    <row r="33" spans="1:6" x14ac:dyDescent="0.3">
      <c r="A33" s="109" t="s">
        <v>144</v>
      </c>
      <c r="B33" s="110" t="s">
        <v>145</v>
      </c>
      <c r="C33" s="111">
        <v>1.1999999999999999E-3</v>
      </c>
      <c r="D33" s="111">
        <v>8.9999999999999998E-4</v>
      </c>
      <c r="E33" s="111">
        <v>1.1999999999999999E-3</v>
      </c>
      <c r="F33" s="111">
        <v>8.9999999999999998E-4</v>
      </c>
    </row>
    <row r="34" spans="1:6" x14ac:dyDescent="0.3">
      <c r="A34" s="109" t="s">
        <v>146</v>
      </c>
      <c r="B34" s="110" t="s">
        <v>147</v>
      </c>
      <c r="C34" s="111">
        <v>2.46E-2</v>
      </c>
      <c r="D34" s="111">
        <v>1.8700000000000001E-2</v>
      </c>
      <c r="E34" s="111">
        <v>2.46E-2</v>
      </c>
      <c r="F34" s="111">
        <v>1.8700000000000001E-2</v>
      </c>
    </row>
    <row r="35" spans="1:6" x14ac:dyDescent="0.3">
      <c r="A35" s="109" t="s">
        <v>148</v>
      </c>
      <c r="B35" s="110" t="s">
        <v>149</v>
      </c>
      <c r="C35" s="111">
        <v>2.8899999999999999E-2</v>
      </c>
      <c r="D35" s="111">
        <v>2.1999999999999999E-2</v>
      </c>
      <c r="E35" s="111">
        <v>2.8899999999999999E-2</v>
      </c>
      <c r="F35" s="111">
        <v>2.1999999999999999E-2</v>
      </c>
    </row>
    <row r="36" spans="1:6" x14ac:dyDescent="0.3">
      <c r="A36" s="109" t="s">
        <v>150</v>
      </c>
      <c r="B36" s="110" t="s">
        <v>151</v>
      </c>
      <c r="C36" s="111">
        <v>4.4999999999999997E-3</v>
      </c>
      <c r="D36" s="111">
        <v>3.3999999999999998E-3</v>
      </c>
      <c r="E36" s="111">
        <v>4.4999999999999997E-3</v>
      </c>
      <c r="F36" s="111">
        <v>3.3999999999999998E-3</v>
      </c>
    </row>
    <row r="37" spans="1:6" x14ac:dyDescent="0.3">
      <c r="A37" s="112" t="s">
        <v>152</v>
      </c>
      <c r="B37" s="113" t="s">
        <v>117</v>
      </c>
      <c r="C37" s="114">
        <f>SUM(C32:C36)</f>
        <v>0.11219999999999999</v>
      </c>
      <c r="D37" s="114">
        <f t="shared" ref="D37:F37" si="2">SUM(D32:D36)</f>
        <v>8.5300000000000001E-2</v>
      </c>
      <c r="E37" s="114">
        <f t="shared" si="2"/>
        <v>0.11219999999999999</v>
      </c>
      <c r="F37" s="114">
        <f t="shared" si="2"/>
        <v>8.5300000000000001E-2</v>
      </c>
    </row>
    <row r="38" spans="1:6" x14ac:dyDescent="0.3">
      <c r="A38" s="449" t="s">
        <v>153</v>
      </c>
      <c r="B38" s="449"/>
      <c r="C38" s="449"/>
      <c r="D38" s="449"/>
      <c r="E38" s="449"/>
      <c r="F38" s="449"/>
    </row>
    <row r="39" spans="1:6" x14ac:dyDescent="0.3">
      <c r="A39" s="109" t="s">
        <v>154</v>
      </c>
      <c r="B39" s="110" t="s">
        <v>155</v>
      </c>
      <c r="C39" s="111">
        <v>9.7900000000000001E-2</v>
      </c>
      <c r="D39" s="111">
        <v>3.6400000000000002E-2</v>
      </c>
      <c r="E39" s="111">
        <v>0.1744</v>
      </c>
      <c r="F39" s="111">
        <v>6.8400000000000002E-2</v>
      </c>
    </row>
    <row r="40" spans="1:6" ht="30.6" x14ac:dyDescent="0.3">
      <c r="A40" s="109" t="s">
        <v>156</v>
      </c>
      <c r="B40" s="110" t="s">
        <v>157</v>
      </c>
      <c r="C40" s="111">
        <v>4.4999999999999997E-3</v>
      </c>
      <c r="D40" s="111">
        <v>3.3999999999999998E-3</v>
      </c>
      <c r="E40" s="111">
        <v>4.7000000000000002E-3</v>
      </c>
      <c r="F40" s="111">
        <v>3.5999999999999999E-3</v>
      </c>
    </row>
    <row r="41" spans="1:6" x14ac:dyDescent="0.3">
      <c r="A41" s="112" t="s">
        <v>158</v>
      </c>
      <c r="B41" s="113" t="s">
        <v>117</v>
      </c>
      <c r="C41" s="114">
        <f>SUM(C39:C40)</f>
        <v>0.1024</v>
      </c>
      <c r="D41" s="114">
        <f t="shared" ref="D41:F41" si="3">SUM(D39:D40)</f>
        <v>3.9800000000000002E-2</v>
      </c>
      <c r="E41" s="114">
        <f t="shared" si="3"/>
        <v>0.17910000000000001</v>
      </c>
      <c r="F41" s="114">
        <f t="shared" si="3"/>
        <v>7.2000000000000008E-2</v>
      </c>
    </row>
    <row r="42" spans="1:6" x14ac:dyDescent="0.3">
      <c r="A42" s="450" t="s">
        <v>159</v>
      </c>
      <c r="B42" s="450"/>
      <c r="C42" s="114">
        <f>SUM(C41,C37,C30,C18)</f>
        <v>0.90659999999999985</v>
      </c>
      <c r="D42" s="114">
        <f t="shared" ref="D42:F42" si="4">SUM(D41,D37,D30,D18)</f>
        <v>0.52899999999999991</v>
      </c>
      <c r="E42" s="114">
        <f t="shared" si="4"/>
        <v>1.1333</v>
      </c>
      <c r="F42" s="114">
        <f t="shared" si="4"/>
        <v>0.71120000000000005</v>
      </c>
    </row>
  </sheetData>
  <mergeCells count="13">
    <mergeCell ref="A1:F1"/>
    <mergeCell ref="A2:F2"/>
    <mergeCell ref="A3:F3"/>
    <mergeCell ref="A5:F5"/>
    <mergeCell ref="A6:A7"/>
    <mergeCell ref="B6:B7"/>
    <mergeCell ref="C6:D6"/>
    <mergeCell ref="E6:F6"/>
    <mergeCell ref="A8:F8"/>
    <mergeCell ref="A19:F19"/>
    <mergeCell ref="A31:F31"/>
    <mergeCell ref="A38:F38"/>
    <mergeCell ref="A42:B42"/>
  </mergeCells>
  <pageMargins left="0.51181102362204722" right="0.51181102362204722" top="1.7716535433070868" bottom="1.1811023622047245" header="0.51181102362204722" footer="0.51181102362204722"/>
  <pageSetup paperSize="9" scale="97" fitToHeight="0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6</vt:i4>
      </vt:variant>
    </vt:vector>
  </HeadingPairs>
  <TitlesOfParts>
    <vt:vector size="19" baseType="lpstr">
      <vt:lpstr>GERAL </vt:lpstr>
      <vt:lpstr>QCI </vt:lpstr>
      <vt:lpstr>RESUMO SD </vt:lpstr>
      <vt:lpstr>ORÇAMENTO SD</vt:lpstr>
      <vt:lpstr>COMPOSIÇÕES UNITÁRIAS SD</vt:lpstr>
      <vt:lpstr>CRONOGRAMA SD</vt:lpstr>
      <vt:lpstr>MC</vt:lpstr>
      <vt:lpstr>BDI SD</vt:lpstr>
      <vt:lpstr>ENCARGOS</vt:lpstr>
      <vt:lpstr>RESUMO CD</vt:lpstr>
      <vt:lpstr>ORÇAMENTO CD</vt:lpstr>
      <vt:lpstr>COMPOSIÇÕES UNITÁRIAS CD</vt:lpstr>
      <vt:lpstr>BDI CD</vt:lpstr>
      <vt:lpstr>'CRONOGRAMA SD'!Area_de_impressao</vt:lpstr>
      <vt:lpstr>'GERAL '!Area_de_impressao</vt:lpstr>
      <vt:lpstr>MC!Area_de_impressao</vt:lpstr>
      <vt:lpstr>'QCI '!Area_de_impressao</vt:lpstr>
      <vt:lpstr>'RESUMO CD'!Area_de_impressao</vt:lpstr>
      <vt:lpstr>'RESUMO SD 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2026-01-07T13:36:16Z</dcterms:modified>
</cp:coreProperties>
</file>