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CDB7A5E-9736-4E9D-B17C-543543729466}" xr6:coauthVersionLast="47" xr6:coauthVersionMax="47" xr10:uidLastSave="{00000000-0000-0000-0000-000000000000}"/>
  <bookViews>
    <workbookView xWindow="-108" yWindow="-108" windowWidth="23256" windowHeight="12456" firstSheet="6" activeTab="10" xr2:uid="{00000000-000D-0000-FFFF-FFFF00000000}"/>
  </bookViews>
  <sheets>
    <sheet name="QCI " sheetId="15" r:id="rId1"/>
    <sheet name="GERAL " sheetId="1" r:id="rId2"/>
    <sheet name="RESUMO SD " sheetId="2" r:id="rId3"/>
    <sheet name="ORÇAMENTO SD" sheetId="6" r:id="rId4"/>
    <sheet name="COMPOSIÇÕES UNITÁRIAS SD (2)" sheetId="21" r:id="rId5"/>
    <sheet name="CRONOGRAMA SD" sheetId="7" r:id="rId6"/>
    <sheet name="MC" sheetId="16" r:id="rId7"/>
    <sheet name="BDI SD" sheetId="3" r:id="rId8"/>
    <sheet name="ENCARGOS" sheetId="4" r:id="rId9"/>
    <sheet name="RESUMO CD  " sheetId="22" r:id="rId10"/>
    <sheet name="ORÇAMENTO CD (2)" sheetId="23" r:id="rId11"/>
    <sheet name="COMPOSIÇÕES UNITÁRIAS CD " sheetId="24" r:id="rId12"/>
    <sheet name="BDI CD" sheetId="5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______________OUT98" hidden="1">{#N/A,#N/A,TRUE,"Serviços"}</definedName>
    <definedName name="______________OUT98" hidden="1">{#N/A,#N/A,TRUE,"Serviços"}</definedName>
    <definedName name="_____________OUT98" hidden="1">{#N/A,#N/A,TRUE,"Serviços"}</definedName>
    <definedName name="____________OUT98" hidden="1">{#N/A,#N/A,TRUE,"Serviços"}</definedName>
    <definedName name="____________OUT988" hidden="1">{#N/A,#N/A,TRUE,"Serviços"}</definedName>
    <definedName name="___________OUT98" hidden="1">{#N/A,#N/A,TRUE,"Serviços"}</definedName>
    <definedName name="___________OUT988" hidden="1">{#N/A,#N/A,TRUE,"Serviços"}</definedName>
    <definedName name="___________OUT9888" hidden="1">{#N/A,#N/A,TRUE,"Serviços"}</definedName>
    <definedName name="__________OUT98" hidden="1">{#N/A,#N/A,TRUE,"Serviços"}</definedName>
    <definedName name="_________OUT98" hidden="1">{#N/A,#N/A,TRUE,"Serviços"}</definedName>
    <definedName name="_________OUTT98" hidden="1">{#N/A,#N/A,TRUE,"Serviços"}</definedName>
    <definedName name="_________OUTT988" hidden="1">{#N/A,#N/A,TRUE,"Serviços"}</definedName>
    <definedName name="________OUT98" hidden="1">{#N/A,#N/A,TRUE,"Serviços"}</definedName>
    <definedName name="________OUTTT98" hidden="1">{#N/A,#N/A,TRUE,"Serviços"}</definedName>
    <definedName name="_______OUT98" hidden="1">{#N/A,#N/A,TRUE,"Serviços"}</definedName>
    <definedName name="_______OUT9888" hidden="1">{#N/A,#N/A,TRUE,"Serviços"}</definedName>
    <definedName name="______OUT98" hidden="1">{#N/A,#N/A,TRUE,"Serviços"}</definedName>
    <definedName name="______OUTT98888" hidden="1">{#N/A,#N/A,TRUE,"Serviços"}</definedName>
    <definedName name="_____OUT98" hidden="1">{#N/A,#N/A,TRUE,"Serviços"}</definedName>
    <definedName name="_____OUTTT988" hidden="1">{#N/A,#N/A,TRUE,"Serviços"}</definedName>
    <definedName name="____OUT98" hidden="1">{#N/A,#N/A,TRUE,"Serviços"}</definedName>
    <definedName name="____out99" hidden="1">{#N/A,#N/A,TRUE,"Serviços"}</definedName>
    <definedName name="____OUTTT98" hidden="1">{#N/A,#N/A,TRUE,"Serviços"}</definedName>
    <definedName name="___OUT98" hidden="1">{#N/A,#N/A,TRUE,"Serviços"}</definedName>
    <definedName name="___out99" hidden="1">{#N/A,#N/A,TRUE,"Serviços"}</definedName>
    <definedName name="__123Graph_A" hidden="1">[1]A!$B$4:$E$4</definedName>
    <definedName name="__123Graph_AGraph1" hidden="1">[1]A!$B$4:$B$8</definedName>
    <definedName name="__123Graph_AGraph10" hidden="1">[2]aux!$I$24:$M$24</definedName>
    <definedName name="__123Graph_AGraph11" hidden="1">[2]aux!$I$26:$M$26</definedName>
    <definedName name="__123Graph_AGraph12" hidden="1">[2]aux!$I$28:$M$28</definedName>
    <definedName name="__123Graph_AGraph2" hidden="1">[1]A!$C$4:$C$8</definedName>
    <definedName name="__123Graph_AGraph3" hidden="1">[1]A!$D$4:$D$8</definedName>
    <definedName name="__123Graph_AGraph4" hidden="1">[1]A!$B$4:$B$9</definedName>
    <definedName name="__123Graph_AGraph5" hidden="1">[1]A!$B$4:$B$9</definedName>
    <definedName name="__123Graph_AGraph6" hidden="1">[1]A!$E$4:$E$8</definedName>
    <definedName name="__123Graph_AGraph7" hidden="1">[1]A!$B$4:$E$4</definedName>
    <definedName name="__123Graph_AGraph8" hidden="1">[1]A!$B$4:$E$4</definedName>
    <definedName name="__123Graph_AGraph9" hidden="1">[2]aux!$I$22:$M$22</definedName>
    <definedName name="__123Graph_B" hidden="1">[1]A!$B$5:$E$5</definedName>
    <definedName name="__123Graph_BGraph1" hidden="1">[2]aux!$B$6:$F$6</definedName>
    <definedName name="__123Graph_BGraph10" hidden="1">[2]aux!$B$24:$F$24</definedName>
    <definedName name="__123Graph_BGraph11" hidden="1">[2]aux!$B$26:$F$26</definedName>
    <definedName name="__123Graph_BGraph12" hidden="1">[2]aux!$B$28:$F$28</definedName>
    <definedName name="__123Graph_BGraph2" hidden="1">[2]aux!$B$8:$F$8</definedName>
    <definedName name="__123Graph_BGraph3" hidden="1">[2]aux!$B$10:$F$10</definedName>
    <definedName name="__123Graph_BGraph4" hidden="1">[2]aux!$B$12:$F$12</definedName>
    <definedName name="__123Graph_BGraph5" hidden="1">[2]aux!$B$14:$F$14</definedName>
    <definedName name="__123Graph_BGraph6" hidden="1">[2]aux!$B$16:$F$16</definedName>
    <definedName name="__123Graph_BGraph7" hidden="1">[1]A!$B$5:$E$5</definedName>
    <definedName name="__123Graph_BGraph8" hidden="1">[1]A!$B$5:$E$5</definedName>
    <definedName name="__123Graph_BGraph9" hidden="1">[2]aux!$B$22:$F$22</definedName>
    <definedName name="__123Graph_C" hidden="1">[1]A!$B$6:$E$6</definedName>
    <definedName name="__123Graph_CGraph7" hidden="1">[1]A!$B$6:$E$6</definedName>
    <definedName name="__123Graph_CGraph8" hidden="1">[1]A!$B$6:$E$6</definedName>
    <definedName name="__123Graph_D" hidden="1">[1]A!$B$7:$E$7</definedName>
    <definedName name="__123Graph_DGraph7" hidden="1">[1]A!$B$7:$E$7</definedName>
    <definedName name="__123Graph_DGraph8" hidden="1">[1]A!$B$7:$E$7</definedName>
    <definedName name="__123Graph_E" hidden="1">[1]A!$B$8:$E$8</definedName>
    <definedName name="__123Graph_EGraph7" hidden="1">[1]A!$B$8:$E$8</definedName>
    <definedName name="__123Graph_EGraph8" hidden="1">[1]A!$B$8:$E$8</definedName>
    <definedName name="__123Graph_X" hidden="1">[1]A!$B$3:$E$3</definedName>
    <definedName name="__123Graph_XGraph1" hidden="1">[1]A!$A$4:$A$8</definedName>
    <definedName name="__123Graph_XGraph10" hidden="1">[2]aux!$B$25:$F$25</definedName>
    <definedName name="__123Graph_XGraph11" hidden="1">[2]aux!$B$27:$F$27</definedName>
    <definedName name="__123Graph_XGraph12" hidden="1">[2]aux!$B$29:$F$29</definedName>
    <definedName name="__123Graph_XGraph2" hidden="1">[1]A!$A$4:$A$8</definedName>
    <definedName name="__123Graph_XGraph3" hidden="1">[1]A!$A$4:$A$8</definedName>
    <definedName name="__123Graph_XGraph4" hidden="1">[1]A!$A$4:$A$9</definedName>
    <definedName name="__123Graph_XGraph5" hidden="1">[1]A!$A$4:$A$9</definedName>
    <definedName name="__123Graph_XGraph6" hidden="1">[1]A!$A$4:$A$8</definedName>
    <definedName name="__123Graph_XGraph7" hidden="1">[1]A!$B$3:$E$3</definedName>
    <definedName name="__123Graph_XGraph8" hidden="1">[1]A!$B$3:$E$3</definedName>
    <definedName name="__123Graph_XGraph9" hidden="1">[2]aux!$B$23:$F$23</definedName>
    <definedName name="__IntlFixup" hidden="1">TRUE</definedName>
    <definedName name="__OUT98" hidden="1">{#N/A,#N/A,TRUE,"Serviços"}</definedName>
    <definedName name="__OUT988888" hidden="1">{#N/A,#N/A,TRUE,"Serviços"}</definedName>
    <definedName name="__xlfn.AVERAGEIF" hidden="1">#NAME?</definedName>
    <definedName name="__xlfn.RTD" hidden="1">#NAME?</definedName>
    <definedName name="_1830201" hidden="1">#N/A</definedName>
    <definedName name="_Fill" localSheetId="11" hidden="1">#REF!</definedName>
    <definedName name="_Fill" localSheetId="4" hidden="1">#REF!</definedName>
    <definedName name="_Fill" localSheetId="10" hidden="1">#REF!</definedName>
    <definedName name="_Fill" localSheetId="9" hidden="1">#REF!</definedName>
    <definedName name="_Fill" hidden="1">#REF!</definedName>
    <definedName name="_Key1" hidden="1">'[3]1.6'!$A$11</definedName>
    <definedName name="_Key2" localSheetId="11" hidden="1">#REF!</definedName>
    <definedName name="_Key2" localSheetId="4" hidden="1">#REF!</definedName>
    <definedName name="_Key2" localSheetId="10" hidden="1">#REF!</definedName>
    <definedName name="_Key2" localSheetId="9" hidden="1">#REF!</definedName>
    <definedName name="_Key2" hidden="1">#REF!</definedName>
    <definedName name="_Order1" hidden="1">255</definedName>
    <definedName name="_Order2" hidden="1">0</definedName>
    <definedName name="_OUT98" hidden="1">{#N/A,#N/A,TRUE,"Serviços"}</definedName>
    <definedName name="_OUT98_" hidden="1">{#N/A,#N/A,TRUE,"Serviços"}</definedName>
    <definedName name="_OUTTTT9888" hidden="1">{#N/A,#N/A,TRUE,"Serviços"}</definedName>
    <definedName name="_Parse_On" localSheetId="11" hidden="1">#REF!</definedName>
    <definedName name="_Parse_On" localSheetId="4" hidden="1">#REF!</definedName>
    <definedName name="_Parse_On" localSheetId="10" hidden="1">#REF!</definedName>
    <definedName name="_Parse_On" localSheetId="9" hidden="1">#REF!</definedName>
    <definedName name="_Parse_On" hidden="1">#REF!</definedName>
    <definedName name="_Parse_Out" localSheetId="11" hidden="1">#REF!</definedName>
    <definedName name="_Parse_Out" localSheetId="4" hidden="1">#REF!</definedName>
    <definedName name="_Parse_Out" localSheetId="10" hidden="1">#REF!</definedName>
    <definedName name="_Parse_Out" localSheetId="9" hidden="1">#REF!</definedName>
    <definedName name="_Parse_Out" hidden="1">#REF!</definedName>
    <definedName name="_Regression_Int" hidden="1">1</definedName>
    <definedName name="_Sort" localSheetId="11" hidden="1">#REF!</definedName>
    <definedName name="_Sort" localSheetId="4" hidden="1">#REF!</definedName>
    <definedName name="_Sort" localSheetId="10" hidden="1">#REF!</definedName>
    <definedName name="_Sort" localSheetId="9" hidden="1">#REF!</definedName>
    <definedName name="_Sort" hidden="1">#REF!</definedName>
    <definedName name="AA" hidden="1">#REF!</definedName>
    <definedName name="aaaa" localSheetId="11" hidden="1">#REF!</definedName>
    <definedName name="aaaa" localSheetId="4" hidden="1">#REF!</definedName>
    <definedName name="aaaa" localSheetId="10" hidden="1">#REF!</definedName>
    <definedName name="aaaa" localSheetId="9" hidden="1">#REF!</definedName>
    <definedName name="aaaa" hidden="1">#REF!</definedName>
    <definedName name="AccessDatabase" hidden="1">"D:\Arquivos do excel\Planilha modelo1.mdb"</definedName>
    <definedName name="acost" hidden="1">{#N/A,#N/A,TRUE,"Serviços"}</definedName>
    <definedName name="AGO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GORA2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alex" hidden="1">{#N/A,#N/A,FALSE,"MO (2)"}</definedName>
    <definedName name="alex_1" hidden="1">{#N/A,#N/A,FALSE,"MO (2)"}</definedName>
    <definedName name="Anexo" hidden="1">{#N/A,#N/A,FALSE,"Planilha";#N/A,#N/A,FALSE,"Resumo";#N/A,#N/A,FALSE,"Fisico";#N/A,#N/A,FALSE,"Financeiro";#N/A,#N/A,FALSE,"Financeiro"}</definedName>
    <definedName name="anscount" hidden="1">3</definedName>
    <definedName name="ant" hidden="1">{#N/A,#N/A,FALSE,"MO (2)"}</definedName>
    <definedName name="ant_1" hidden="1">{#N/A,#N/A,FALSE,"MO (2)"}</definedName>
    <definedName name="_xlnm.Print_Area" localSheetId="5">'CRONOGRAMA SD'!$A$1:$G$240</definedName>
    <definedName name="_xlnm.Print_Area" localSheetId="1">'GERAL '!$A$1:$H$37</definedName>
    <definedName name="_xlnm.Print_Area" localSheetId="6">MC!$A$1:$E$784</definedName>
    <definedName name="_xlnm.Print_Area" localSheetId="10">'ORÇAMENTO CD (2)'!$A$1:$H$276</definedName>
    <definedName name="_xlnm.Print_Area" localSheetId="3">'ORÇAMENTO SD'!$A$1:$H$276</definedName>
    <definedName name="_xlnm.Print_Area" localSheetId="0">'QCI '!$A$1:$D$27</definedName>
    <definedName name="_xlnm.Print_Area" localSheetId="9">'RESUMO CD  '!$A$1:$F$27</definedName>
    <definedName name="_xlnm.Print_Area" localSheetId="2">'RESUMO SD '!$A$1:$F$27</definedName>
    <definedName name="ASDFG" hidden="1">{#N/A,#N/A,TRUE,"Serviços"}</definedName>
    <definedName name="ASFGG" hidden="1">{#N/A,#N/A,TRUE,"Serviços"}</definedName>
    <definedName name="batista" hidden="1">{#N/A,#N/A,FALSE,"SS 1";#N/A,#N/A,FALSE,"SS 2";#N/A,#N/A,FALSE,"TER 1 (1)";#N/A,#N/A,FALSE,"TER 1 (2)";#N/A,#N/A,FALSE,"TER 2 ";#N/A,#N/A,FALSE,"TP  (1)";#N/A,#N/A,FALSE,"TP  (2)";#N/A,#N/A,FALSE,"CM BAR"}</definedName>
    <definedName name="bbbb" hidden="1">{#N/A,#N/A,FALSE,"MO (2)"}</definedName>
    <definedName name="bbbb_1" hidden="1">{#N/A,#N/A,FALSE,"MO (2)"}</definedName>
    <definedName name="BDI">[4]DADOS!$B$7</definedName>
    <definedName name="Bloco" localSheetId="11" hidden="1">#REF!</definedName>
    <definedName name="Bloco" localSheetId="4" hidden="1">#REF!</definedName>
    <definedName name="Bloco" localSheetId="10" hidden="1">#REF!</definedName>
    <definedName name="Bloco" localSheetId="9" hidden="1">#REF!</definedName>
    <definedName name="Bloco" hidden="1">#REF!</definedName>
    <definedName name="Bloco2" localSheetId="11" hidden="1">#REF!</definedName>
    <definedName name="Bloco2" localSheetId="4" hidden="1">#REF!</definedName>
    <definedName name="Bloco2" localSheetId="10" hidden="1">#REF!</definedName>
    <definedName name="Bloco2" localSheetId="9" hidden="1">#REF!</definedName>
    <definedName name="Bloco2" hidden="1">#REF!</definedName>
    <definedName name="cadeira" hidden="1">{#N/A,#N/A,TRUE,"Serviços"}</definedName>
    <definedName name="CadIns" localSheetId="11" hidden="1">#REF!</definedName>
    <definedName name="CadIns" localSheetId="4" hidden="1">#REF!</definedName>
    <definedName name="CadIns" localSheetId="10" hidden="1">#REF!</definedName>
    <definedName name="CadIns" localSheetId="9" hidden="1">#REF!</definedName>
    <definedName name="CadIns" hidden="1">#REF!</definedName>
    <definedName name="CadSrv" localSheetId="11" hidden="1">#REF!</definedName>
    <definedName name="CadSrv" localSheetId="4" hidden="1">#REF!</definedName>
    <definedName name="CadSrv" localSheetId="10" hidden="1">#REF!</definedName>
    <definedName name="CadSrv" localSheetId="9" hidden="1">#REF!</definedName>
    <definedName name="CadSrv" hidden="1">#REF!</definedName>
    <definedName name="CAPA" hidden="1">{#N/A,#N/A,TRUE,"Serviços"}</definedName>
    <definedName name="capa1" hidden="1">{#N/A,#N/A,TRUE,"Serviços"}</definedName>
    <definedName name="capa11" hidden="1">{#N/A,#N/A,TRUE,"Serviços"}</definedName>
    <definedName name="capa22" hidden="1">{#N/A,#N/A,TRUE,"Serviços"}</definedName>
    <definedName name="CAPAA" hidden="1">{#N/A,#N/A,TRUE,"Serviços"}</definedName>
    <definedName name="CARL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CCC" hidden="1">#REF!</definedName>
    <definedName name="cch" hidden="1">#N/A</definedName>
    <definedName name="CdQtEqA" hidden="1">2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have" localSheetId="11" hidden="1">#REF!</definedName>
    <definedName name="Chave" localSheetId="4" hidden="1">#REF!</definedName>
    <definedName name="Chave" localSheetId="10" hidden="1">#REF!</definedName>
    <definedName name="Chave" localSheetId="9" hidden="1">#REF!</definedName>
    <definedName name="Chave" hidden="1">#REF!</definedName>
    <definedName name="Chave1" localSheetId="11" hidden="1">#REF!</definedName>
    <definedName name="Chave1" localSheetId="4" hidden="1">#REF!</definedName>
    <definedName name="Chave1" localSheetId="10" hidden="1">#REF!</definedName>
    <definedName name="Chave1" localSheetId="9" hidden="1">#REF!</definedName>
    <definedName name="Chave1" hidden="1">#REF!</definedName>
    <definedName name="Clas" localSheetId="11" hidden="1">MAX(LEN(#REF!))</definedName>
    <definedName name="Clas" localSheetId="4" hidden="1">MAX(LEN(#REF!))</definedName>
    <definedName name="Clas" localSheetId="10" hidden="1">MAX(LEN(#REF!))</definedName>
    <definedName name="Clas" localSheetId="9" hidden="1">MAX(LEN(#REF!))</definedName>
    <definedName name="Clas" hidden="1">MAX(LEN(#REF!))</definedName>
    <definedName name="Clas_1" localSheetId="11" hidden="1">MAX(LEN(#REF!))</definedName>
    <definedName name="Clas_1" localSheetId="4" hidden="1">MAX(LEN(#REF!))</definedName>
    <definedName name="Clas_1" localSheetId="10" hidden="1">MAX(LEN(#REF!))</definedName>
    <definedName name="Clas_1" localSheetId="9" hidden="1">MAX(LEN(#REF!))</definedName>
    <definedName name="Clas_1" hidden="1">MAX(LEN(#REF!))</definedName>
    <definedName name="Cliente" hidden="1">""</definedName>
    <definedName name="Cls" hidden="1">#N/A</definedName>
    <definedName name="Coluna" localSheetId="11" hidden="1">#REF!</definedName>
    <definedName name="Coluna" localSheetId="4" hidden="1">#REF!</definedName>
    <definedName name="Coluna" localSheetId="10" hidden="1">#REF!</definedName>
    <definedName name="Coluna" localSheetId="9" hidden="1">#REF!</definedName>
    <definedName name="Coluna" hidden="1">#REF!</definedName>
    <definedName name="Comp" localSheetId="11" hidden="1">#REF!</definedName>
    <definedName name="Comp" localSheetId="4" hidden="1">#REF!</definedName>
    <definedName name="Comp" localSheetId="10" hidden="1">#REF!</definedName>
    <definedName name="Comp" localSheetId="9" hidden="1">#REF!</definedName>
    <definedName name="Comp" hidden="1">#REF!</definedName>
    <definedName name="CpuAux" localSheetId="11" hidden="1">#REF!</definedName>
    <definedName name="CpuAux" localSheetId="4" hidden="1">#REF!</definedName>
    <definedName name="CpuAux" localSheetId="10" hidden="1">#REF!</definedName>
    <definedName name="CpuAux" localSheetId="9" hidden="1">#REF!</definedName>
    <definedName name="CpuAux" hidden="1">#REF!</definedName>
    <definedName name="CPUs" localSheetId="11" hidden="1">#REF!</definedName>
    <definedName name="CPUs" localSheetId="4" hidden="1">#REF!</definedName>
    <definedName name="CPUs" localSheetId="10" hidden="1">#REF!</definedName>
    <definedName name="CPUs" localSheetId="9" hidden="1">#REF!</definedName>
    <definedName name="CPUs" hidden="1">#REF!</definedName>
    <definedName name="CRIT" localSheetId="11" hidden="1">#REF!</definedName>
    <definedName name="CRIT" localSheetId="4" hidden="1">#REF!</definedName>
    <definedName name="CRIT" localSheetId="10" hidden="1">#REF!</definedName>
    <definedName name="CRIT" localSheetId="9" hidden="1">#REF!</definedName>
    <definedName name="CRIT" hidden="1">#REF!</definedName>
    <definedName name="Cron" hidden="1">{#N/A,#N/A,FALSE,"MO (2)"}</definedName>
    <definedName name="Cron_1" hidden="1">{#N/A,#N/A,FALSE,"MO (2)"}</definedName>
    <definedName name="cronograma" hidden="1">{#N/A,#N/A,TRUE,"Plan1"}</definedName>
    <definedName name="Cun" hidden="1">#N/A</definedName>
    <definedName name="CunEq" localSheetId="11" hidden="1">SUM(IF(#REF! =#REF!,(#REF!)*(#REF!="EQ")))</definedName>
    <definedName name="CunEq" localSheetId="4" hidden="1">SUM(IF(#REF! =#REF!,(#REF!)*(#REF!="EQ")))</definedName>
    <definedName name="CunEq" localSheetId="10" hidden="1">SUM(IF(#REF! =#REF!,(#REF!)*(#REF!="EQ")))</definedName>
    <definedName name="CunEq" localSheetId="9" hidden="1">SUM(IF(#REF! =#REF!,(#REF!)*(#REF!="EQ")))</definedName>
    <definedName name="CunEq" hidden="1">SUM(IF(#REF! =#REF!,(#REF!)*(#REF!="EQ")))</definedName>
    <definedName name="CunEq_1" localSheetId="11" hidden="1">SUM(IF(#REF! =#REF!,(#REF!)*(#REF!="EQ")))</definedName>
    <definedName name="CunEq_1" localSheetId="4" hidden="1">SUM(IF(#REF! =#REF!,(#REF!)*(#REF!="EQ")))</definedName>
    <definedName name="CunEq_1" localSheetId="10" hidden="1">SUM(IF(#REF! =#REF!,(#REF!)*(#REF!="EQ")))</definedName>
    <definedName name="CunEq_1" localSheetId="9" hidden="1">SUM(IF(#REF! =#REF!,(#REF!)*(#REF!="EQ")))</definedName>
    <definedName name="CunEq_1" hidden="1">SUM(IF(#REF! =#REF!,(#REF!)*(#REF!="EQ")))</definedName>
    <definedName name="CunMo" localSheetId="11" hidden="1">SUM(IF(#REF! =#REF!,(#REF!)*(#REF!="MO")))</definedName>
    <definedName name="CunMo" localSheetId="4" hidden="1">SUM(IF(#REF! =#REF!,(#REF!)*(#REF!="MO")))</definedName>
    <definedName name="CunMo" localSheetId="10" hidden="1">SUM(IF(#REF! =#REF!,(#REF!)*(#REF!="MO")))</definedName>
    <definedName name="CunMo" localSheetId="9" hidden="1">SUM(IF(#REF! =#REF!,(#REF!)*(#REF!="MO")))</definedName>
    <definedName name="CunMo" hidden="1">SUM(IF(#REF! =#REF!,(#REF!)*(#REF!="MO")))</definedName>
    <definedName name="CunMo_1" localSheetId="11" hidden="1">SUM(IF(#REF! =#REF!,(#REF!)*(#REF!="MO")))</definedName>
    <definedName name="CunMo_1" localSheetId="4" hidden="1">SUM(IF(#REF! =#REF!,(#REF!)*(#REF!="MO")))</definedName>
    <definedName name="CunMo_1" localSheetId="10" hidden="1">SUM(IF(#REF! =#REF!,(#REF!)*(#REF!="MO")))</definedName>
    <definedName name="CunMo_1" localSheetId="9" hidden="1">SUM(IF(#REF! =#REF!,(#REF!)*(#REF!="MO")))</definedName>
    <definedName name="CunMo_1" hidden="1">SUM(IF(#REF! =#REF!,(#REF!)*(#REF!="MO")))</definedName>
    <definedName name="CunMp" localSheetId="11" hidden="1">SUM(IF(#REF! =#REF!,(#REF!)*(#REF!="MP")))</definedName>
    <definedName name="CunMp" localSheetId="4" hidden="1">SUM(IF(#REF! =#REF!,(#REF!)*(#REF!="MP")))</definedName>
    <definedName name="CunMp" localSheetId="10" hidden="1">SUM(IF(#REF! =#REF!,(#REF!)*(#REF!="MP")))</definedName>
    <definedName name="CunMp" localSheetId="9" hidden="1">SUM(IF(#REF! =#REF!,(#REF!)*(#REF!="MP")))</definedName>
    <definedName name="CunMp" hidden="1">SUM(IF(#REF! =#REF!,(#REF!)*(#REF!="MP")))</definedName>
    <definedName name="CunMp_1" localSheetId="11" hidden="1">SUM(IF(#REF! =#REF!,(#REF!)*(#REF!="MP")))</definedName>
    <definedName name="CunMp_1" localSheetId="4" hidden="1">SUM(IF(#REF! =#REF!,(#REF!)*(#REF!="MP")))</definedName>
    <definedName name="CunMp_1" localSheetId="10" hidden="1">SUM(IF(#REF! =#REF!,(#REF!)*(#REF!="MP")))</definedName>
    <definedName name="CunMp_1" localSheetId="9" hidden="1">SUM(IF(#REF! =#REF!,(#REF!)*(#REF!="MP")))</definedName>
    <definedName name="CunMp_1" hidden="1">SUM(IF(#REF! =#REF!,(#REF!)*(#REF!="MP")))</definedName>
    <definedName name="DAER1" hidden="1">{#N/A,#N/A,TRUE,"Serviços"}</definedName>
    <definedName name="DAER11" hidden="1">{#N/A,#N/A,TRUE,"Serviços"}</definedName>
    <definedName name="DescAux" hidden="1">#N/A</definedName>
    <definedName name="dfgs" hidden="1">{#N/A,#N/A,TRUE,"Serviços"}</definedName>
    <definedName name="dfgss" hidden="1">{#N/A,#N/A,TRUE,"Serviços"}</definedName>
    <definedName name="DGF" hidden="1">{#N/A,#N/A,FALSE,"MO (2)"}</definedName>
    <definedName name="DGF_1" hidden="1">{#N/A,#N/A,FALSE,"MO (2)"}</definedName>
    <definedName name="Dom_Páscoa" hidden="1">#N/A</definedName>
    <definedName name="Dsc" hidden="1">#N/A</definedName>
    <definedName name="Edit" localSheetId="11" hidden="1">#REF!</definedName>
    <definedName name="Edit" localSheetId="4" hidden="1">#REF!</definedName>
    <definedName name="Edit" localSheetId="10" hidden="1">#REF!</definedName>
    <definedName name="Edit" localSheetId="9" hidden="1">#REF!</definedName>
    <definedName name="Edit" hidden="1">#REF!</definedName>
    <definedName name="EmpAux" hidden="1">""</definedName>
    <definedName name="Empr" localSheetId="11" hidden="1">#REF!</definedName>
    <definedName name="Empr" localSheetId="4" hidden="1">#REF!</definedName>
    <definedName name="Empr" localSheetId="10" hidden="1">#REF!</definedName>
    <definedName name="Empr" localSheetId="9" hidden="1">#REF!</definedName>
    <definedName name="Empr" hidden="1">#REF!</definedName>
    <definedName name="EQ" localSheetId="11" hidden="1">#REF!</definedName>
    <definedName name="EQ" localSheetId="4" hidden="1">#REF!</definedName>
    <definedName name="EQ" localSheetId="10" hidden="1">#REF!</definedName>
    <definedName name="EQ" localSheetId="9" hidden="1">#REF!</definedName>
    <definedName name="EQ" hidden="1">#REF!</definedName>
    <definedName name="ES" localSheetId="11" hidden="1">#REF!</definedName>
    <definedName name="ES" localSheetId="4" hidden="1">#REF!</definedName>
    <definedName name="ES" localSheetId="10" hidden="1">#REF!</definedName>
    <definedName name="ES" localSheetId="9" hidden="1">#REF!</definedName>
    <definedName name="ES" hidden="1">#REF!</definedName>
    <definedName name="EU" hidden="1">{#N/A,#N/A,FALSE,"MO (2)"}</definedName>
    <definedName name="EU_1" hidden="1">{#N/A,#N/A,FALSE,"MO (2)"}</definedName>
    <definedName name="FATUR" hidden="1">{#N/A,#N/A,FALSE,"Planilha";#N/A,#N/A,FALSE,"Resumo";#N/A,#N/A,FALSE,"Fisico";#N/A,#N/A,FALSE,"Financeiro";#N/A,#N/A,FALSE,"Financeiro"}</definedName>
    <definedName name="FATURAS2002" hidden="1">{#N/A,#N/A,TRUE,"Serviços"}</definedName>
    <definedName name="FATURAS20022" hidden="1">{#N/A,#N/A,TRUE,"Serviços"}</definedName>
    <definedName name="fernanda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fgff" hidden="1">{#N/A,#N/A,FALSE,"MO (2)"}</definedName>
    <definedName name="fgff_1" hidden="1">{#N/A,#N/A,FALSE,"MO (2)"}</definedName>
    <definedName name="figura1">"Figura 1"</definedName>
    <definedName name="FOLHA01" hidden="1">{#N/A,#N/A,TRUE,"Serviços"}</definedName>
    <definedName name="FOLHA011" hidden="1">{#N/A,#N/A,TRUE,"Serviços"}</definedName>
    <definedName name="folha1" hidden="1">{#N/A,#N/A,TRUE,"Serviços"}</definedName>
    <definedName name="folha11" hidden="1">{#N/A,#N/A,TRUE,"Serviços"}</definedName>
    <definedName name="Fresagem01" hidden="1">{#N/A,#N/A,TRUE,"Serviços"}</definedName>
    <definedName name="Fresagem011" hidden="1">{#N/A,#N/A,TRUE,"Serviços"}</definedName>
    <definedName name="gtryfj" hidden="1">{#N/A,#N/A,TRUE,"Serviços"}</definedName>
    <definedName name="gtryfjj" hidden="1">{#N/A,#N/A,TRUE,"Serviços"}</definedName>
    <definedName name="Guia">"Figura 1"</definedName>
    <definedName name="Insumos" localSheetId="11" hidden="1">#REF!</definedName>
    <definedName name="Insumos" localSheetId="4" hidden="1">#REF!</definedName>
    <definedName name="Insumos" localSheetId="10" hidden="1">#REF!</definedName>
    <definedName name="Insumos" localSheetId="9" hidden="1">#REF!</definedName>
    <definedName name="Insumos" hidden="1">#REF!</definedName>
    <definedName name="Itens" localSheetId="11" hidden="1">#REF!</definedName>
    <definedName name="Itens" localSheetId="4" hidden="1">#REF!</definedName>
    <definedName name="Itens" localSheetId="10" hidden="1">#REF!</definedName>
    <definedName name="Itens" localSheetId="9" hidden="1">#REF!</definedName>
    <definedName name="Itens" hidden="1">#REF!</definedName>
    <definedName name="JANEIRO2003" hidden="1">{#N/A,#N/A,TRUE,"Serviços"}</definedName>
    <definedName name="JANEIRO20033" hidden="1">{#N/A,#N/A,TRUE,"Serviços"}</definedName>
    <definedName name="JOAO" hidden="1">{#N/A,#N/A,FALSE,"SS 1";#N/A,#N/A,FALSE,"SS 2";#N/A,#N/A,FALSE,"TER 1 (1)";#N/A,#N/A,FALSE,"TER 1 (2)";#N/A,#N/A,FALSE,"TER 2 ";#N/A,#N/A,FALSE,"TP  (1)";#N/A,#N/A,FALSE,"TP  (2)";#N/A,#N/A,FALSE,"CM BAR"}</definedName>
    <definedName name="JOAO1" hidden="1">{#N/A,#N/A,FALSE,"LEVFER V2 P";#N/A,#N/A,FALSE,"LEVFER V2 P10%"}</definedName>
    <definedName name="JOSE" hidden="1">{#N/A,#N/A,FALSE,"LEVFER V2 P";#N/A,#N/A,FALSE,"LEVFER V2 P10%"}</definedName>
    <definedName name="juca" hidden="1">{#N/A,#N/A,FALSE,"SS 1";#N/A,#N/A,FALSE,"TER 1 (A)";#N/A,#N/A,FALSE,"SS 2";#N/A,#N/A,FALSE,"TER 1 (B)";#N/A,#N/A,FALSE,"TER 1 (C)";#N/A,#N/A,FALSE,"TER 1 (D)";#N/A,#N/A,FALSE,"TER 1 (E)";#N/A,#N/A,FALSE,"TER 2 "}</definedName>
    <definedName name="la" hidden="1">{#N/A,#N/A,FALSE,"MO (2)"}</definedName>
    <definedName name="la_1" hidden="1">{#N/A,#N/A,FALSE,"MO (2)"}</definedName>
    <definedName name="lab" hidden="1">{#N/A,#N/A,TRUE,"Serviços"}</definedName>
    <definedName name="labb" hidden="1">{#N/A,#N/A,TRUE,"Serviços"}</definedName>
    <definedName name="limcount" hidden="1">1</definedName>
    <definedName name="LOGOTIPO">"Figura 3"</definedName>
    <definedName name="Max" localSheetId="11" hidden="1">COUNTIF(#REF!,"&lt;&gt;0")+3</definedName>
    <definedName name="Max" localSheetId="4" hidden="1">COUNTIF(#REF!,"&lt;&gt;0")+3</definedName>
    <definedName name="Max" localSheetId="10" hidden="1">COUNTIF(#REF!,"&lt;&gt;0")+3</definedName>
    <definedName name="Max" localSheetId="9" hidden="1">COUNTIF(#REF!,"&lt;&gt;0")+3</definedName>
    <definedName name="Max" hidden="1">COUNTIF(#REF!,"&lt;&gt;0")+3</definedName>
    <definedName name="MO" localSheetId="11" hidden="1">#REF!</definedName>
    <definedName name="MO" localSheetId="4" hidden="1">#REF!</definedName>
    <definedName name="MO" localSheetId="10" hidden="1">#REF!</definedName>
    <definedName name="MO" localSheetId="9" hidden="1">#REF!</definedName>
    <definedName name="MO" hidden="1">#REF!</definedName>
    <definedName name="Mob" localSheetId="11" hidden="1">#REF!</definedName>
    <definedName name="Mob" localSheetId="4" hidden="1">#REF!</definedName>
    <definedName name="Mob" localSheetId="10" hidden="1">#REF!</definedName>
    <definedName name="Mob" localSheetId="9" hidden="1">#REF!</definedName>
    <definedName name="Mob" hidden="1">#REF!</definedName>
    <definedName name="MP" localSheetId="11" hidden="1">#REF!</definedName>
    <definedName name="MP" localSheetId="4" hidden="1">#REF!</definedName>
    <definedName name="MP" localSheetId="10" hidden="1">#REF!</definedName>
    <definedName name="MP" localSheetId="9" hidden="1">#REF!</definedName>
    <definedName name="MP" hidden="1">#REF!</definedName>
    <definedName name="NLEq" hidden="1">4</definedName>
    <definedName name="NLMo" hidden="1">6</definedName>
    <definedName name="NLMp" hidden="1">5</definedName>
    <definedName name="NLTr" hidden="1">3</definedName>
    <definedName name="NOME" hidden="1">#REF!</definedName>
    <definedName name="Obra" hidden="1">""</definedName>
    <definedName name="OnOff" hidden="1">"ON"</definedName>
    <definedName name="orçamrest" hidden="1">{#N/A,#N/A,TRUE,"Serviços"}</definedName>
    <definedName name="orçamrestt" hidden="1">{#N/A,#N/A,TRUE,"Serviços"}</definedName>
    <definedName name="Ordem" localSheetId="11" hidden="1">#REF!</definedName>
    <definedName name="Ordem" localSheetId="4" hidden="1">#REF!</definedName>
    <definedName name="Ordem" localSheetId="10" hidden="1">#REF!</definedName>
    <definedName name="Ordem" localSheetId="9" hidden="1">#REF!</definedName>
    <definedName name="Ordem" hidden="1">#REF!</definedName>
    <definedName name="Origem" localSheetId="11" hidden="1">#REF!</definedName>
    <definedName name="Origem" localSheetId="4" hidden="1">#REF!</definedName>
    <definedName name="Origem" localSheetId="10" hidden="1">#REF!</definedName>
    <definedName name="Origem" localSheetId="9" hidden="1">#REF!</definedName>
    <definedName name="Origem" hidden="1">#REF!</definedName>
    <definedName name="Payment_Needed">"Pagamento necessário"</definedName>
    <definedName name="pcf">[4]DADOS!$F$8</definedName>
    <definedName name="PISTA" hidden="1">{#N/A,#N/A,TRUE,"Serviços"}</definedName>
    <definedName name="Plan1" localSheetId="11" hidden="1">#REF!</definedName>
    <definedName name="Plan1" localSheetId="4" hidden="1">#REF!</definedName>
    <definedName name="Plan1" localSheetId="10" hidden="1">#REF!</definedName>
    <definedName name="Plan1" localSheetId="9" hidden="1">#REF!</definedName>
    <definedName name="Plan1" hidden="1">#REF!</definedName>
    <definedName name="PLANILHA" hidden="1">{#N/A,#N/A,TRUE,"Serviços"}</definedName>
    <definedName name="Posição" localSheetId="11" hidden="1">#REF!</definedName>
    <definedName name="Posição" localSheetId="4" hidden="1">#REF!</definedName>
    <definedName name="Posição" localSheetId="10" hidden="1">#REF!</definedName>
    <definedName name="Posição" localSheetId="9" hidden="1">#REF!</definedName>
    <definedName name="Posição" hidden="1">#REF!</definedName>
    <definedName name="Prd" hidden="1">#N/A</definedName>
    <definedName name="PrdAux" hidden="1">#N/A</definedName>
    <definedName name="PROD_1" hidden="1">{#N/A,#N/A,TRUE,"Serviços"}</definedName>
    <definedName name="PROD_11" hidden="1">{#N/A,#N/A,TRUE,"Serviços"}</definedName>
    <definedName name="Pto" hidden="1">ROUND([5]Planilha!$D1*[5]Planilha!$E1,2)</definedName>
    <definedName name="Pun" hidden="1">#N/A</definedName>
    <definedName name="QD" localSheetId="11" hidden="1">#REF!</definedName>
    <definedName name="QD" localSheetId="4" hidden="1">#REF!</definedName>
    <definedName name="QD" localSheetId="10" hidden="1">#REF!</definedName>
    <definedName name="QD" localSheetId="9" hidden="1">#REF!</definedName>
    <definedName name="QD" hidden="1">#REF!</definedName>
    <definedName name="QTD" localSheetId="11" hidden="1">#REF!</definedName>
    <definedName name="QTD" localSheetId="4" hidden="1">#REF!</definedName>
    <definedName name="QTD" localSheetId="10" hidden="1">#REF!</definedName>
    <definedName name="QTD" localSheetId="9" hidden="1">#REF!</definedName>
    <definedName name="QTD" hidden="1">#REF!</definedName>
    <definedName name="QtEq" localSheetId="11" hidden="1">#REF!</definedName>
    <definedName name="QtEq" localSheetId="4" hidden="1">#REF!</definedName>
    <definedName name="QtEq" localSheetId="10" hidden="1">#REF!</definedName>
    <definedName name="QtEq" localSheetId="9" hidden="1">#REF!</definedName>
    <definedName name="QtEq" hidden="1">#REF!</definedName>
    <definedName name="QtMo" localSheetId="11" hidden="1">#REF!</definedName>
    <definedName name="QtMo" localSheetId="4" hidden="1">#REF!</definedName>
    <definedName name="QtMo" localSheetId="10" hidden="1">#REF!</definedName>
    <definedName name="QtMo" localSheetId="9" hidden="1">#REF!</definedName>
    <definedName name="QtMo" hidden="1">#REF!</definedName>
    <definedName name="QtMp" localSheetId="11" hidden="1">#REF!</definedName>
    <definedName name="QtMp" localSheetId="4" hidden="1">#REF!</definedName>
    <definedName name="QtMp" localSheetId="10" hidden="1">#REF!</definedName>
    <definedName name="QtMp" localSheetId="9" hidden="1">#REF!</definedName>
    <definedName name="QtMp" hidden="1">#REF!</definedName>
    <definedName name="QtTr" localSheetId="11" hidden="1">#REF!</definedName>
    <definedName name="QtTr" localSheetId="4" hidden="1">#REF!</definedName>
    <definedName name="QtTr" localSheetId="10" hidden="1">#REF!</definedName>
    <definedName name="QtTr" localSheetId="9" hidden="1">#REF!</definedName>
    <definedName name="QtTr" hidden="1">#REF!</definedName>
    <definedName name="Reimbursement">"Reembolso"</definedName>
    <definedName name="REL" hidden="1">{#N/A,#N/A,TRUE,"Serviços"}</definedName>
    <definedName name="Relat" localSheetId="11" hidden="1">#REF!</definedName>
    <definedName name="Relat" localSheetId="4" hidden="1">#REF!</definedName>
    <definedName name="Relat" localSheetId="10" hidden="1">#REF!</definedName>
    <definedName name="Relat" localSheetId="9" hidden="1">#REF!</definedName>
    <definedName name="Relat" hidden="1">#REF!</definedName>
    <definedName name="RELL" hidden="1">{#N/A,#N/A,TRUE,"Serviços"}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umou" hidden="1">{#N/A,#N/A,TRUE,"Plan1"}</definedName>
    <definedName name="Rod" localSheetId="11" hidden="1">#REF!</definedName>
    <definedName name="Rod" localSheetId="4" hidden="1">#REF!</definedName>
    <definedName name="Rod" localSheetId="10" hidden="1">#REF!</definedName>
    <definedName name="Rod" localSheetId="9" hidden="1">#REF!</definedName>
    <definedName name="Rod" hidden="1">#REF!</definedName>
    <definedName name="rrff" hidden="1">{#N/A,#N/A,TRUE,"Serviços"}</definedName>
    <definedName name="rrfff" hidden="1">{#N/A,#N/A,TRUE,"Serviços"}</definedName>
    <definedName name="rrr" hidden="1">{#N/A,#N/A,TRUE,"Serviços"}</definedName>
    <definedName name="SASASA" hidden="1">{#N/A,#N/A,FALSE,"MO (2)"}</definedName>
    <definedName name="SASASA_1" hidden="1">{#N/A,#N/A,FALSE,"MO (2)"}</definedName>
    <definedName name="sasda" hidden="1">{#N/A,#N/A,TRUE,"Serviços"}</definedName>
    <definedName name="sasdaa" hidden="1">{#N/A,#N/A,TRUE,"Serviços"}</definedName>
    <definedName name="SE" localSheetId="11" hidden="1">#REF!</definedName>
    <definedName name="SE" localSheetId="4" hidden="1">#REF!</definedName>
    <definedName name="SE" localSheetId="10" hidden="1">#REF!</definedName>
    <definedName name="SE" localSheetId="9" hidden="1">#REF!</definedName>
    <definedName name="SE" hidden="1">#REF!</definedName>
    <definedName name="sencount" hidden="1">1</definedName>
    <definedName name="SETEMBRO" hidden="1">{#N/A,#N/A,TRUE,"Serviços"}</definedName>
    <definedName name="SETEMBROO" hidden="1">{#N/A,#N/A,TRUE,"Serviços"}</definedName>
    <definedName name="SINTETICO" hidden="1">{#N/A,#N/A,TRUE,"TER  EXT";#N/A,#N/A,TRUE,"TER  EXT";#N/A,#N/A,TRUE,"LAT  ESQ";#N/A,#N/A,TRUE,"FRONTAL";#N/A,#N/A,TRUE,"POST";#N/A,#N/A,TRUE,"LAT  DIR"}</definedName>
    <definedName name="solver_lin" hidden="1">0</definedName>
    <definedName name="solver_num" hidden="1">0</definedName>
    <definedName name="solver_opt" hidden="1">'[6]61M-CBMI:MAT-BET'!$H$18</definedName>
    <definedName name="solver_typ" hidden="1">1</definedName>
    <definedName name="solver_val" hidden="1">0</definedName>
    <definedName name="SRV" localSheetId="11" hidden="1">#REF!</definedName>
    <definedName name="SRV" localSheetId="4" hidden="1">#REF!</definedName>
    <definedName name="SRV" localSheetId="10" hidden="1">#REF!</definedName>
    <definedName name="SRV" localSheetId="9" hidden="1">#REF!</definedName>
    <definedName name="SRV" hidden="1">#REF!</definedName>
    <definedName name="SS" localSheetId="11" hidden="1">#REF!</definedName>
    <definedName name="SS" localSheetId="4" hidden="1">#REF!</definedName>
    <definedName name="SS" localSheetId="10" hidden="1">#REF!</definedName>
    <definedName name="SS" localSheetId="9" hidden="1">#REF!</definedName>
    <definedName name="SS" hidden="1">#REF!</definedName>
    <definedName name="SSS_1" hidden="1">{#N/A,#N/A,FALSE,"MO (2)"}</definedName>
    <definedName name="sssssssssssssssssssss" hidden="1">{#N/A,#N/A,TRUE,"Plan1"}</definedName>
    <definedName name="sssssssssssssssssssss_1" hidden="1">{#N/A,#N/A,TRUE,"Plan1"}</definedName>
    <definedName name="sxcc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Tachas" hidden="1">{#N/A,#N/A,TRUE,"Plan1"}</definedName>
    <definedName name="Tachas_1" hidden="1">{#N/A,#N/A,TRUE,"Plan1"}</definedName>
    <definedName name="TYUIO" hidden="1">{#N/A,#N/A,TRUE,"Serviços"}</definedName>
    <definedName name="TYUIOO" hidden="1">{#N/A,#N/A,TRUE,"Serviços"}</definedName>
    <definedName name="un" hidden="1">#N/A</definedName>
    <definedName name="Und" hidden="1">#N/A</definedName>
    <definedName name="UnidAux" hidden="1">#N/A</definedName>
    <definedName name="uuu" hidden="1">{#N/A,#N/A,TRUE,"Serviços"}</definedName>
    <definedName name="vvv" hidden="1">{#N/A,#N/A,FALSE,"MO (2)"}</definedName>
    <definedName name="vvv_1" hidden="1">{#N/A,#N/A,FALSE,"MO (2)"}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FACHADA." hidden="1">{#N/A,#N/A,TRUE,"TER  EXT";#N/A,#N/A,TRUE,"TER  EXT";#N/A,#N/A,TRUE,"LAT  ESQ";#N/A,#N/A,TRUE,"FRONTAL";#N/A,#N/A,TRUE,"POST";#N/A,#N/A,TRUE,"LAT  DIR"}</definedName>
    <definedName name="wrn.LEVFER." hidden="1">{#N/A,#N/A,FALSE,"LEVFER V2 P";#N/A,#N/A,FALSE,"LEVFER V2 P10%"}</definedName>
    <definedName name="wrn.mo2." hidden="1">{#N/A,#N/A,FALSE,"MO (2)"}</definedName>
    <definedName name="wrn.mo2._1" hidden="1">{#N/A,#N/A,FALSE,"MO (2)"}</definedName>
    <definedName name="wrn.Orçamento." hidden="1">{#N/A,#N/A,FALSE,"Planilha";#N/A,#N/A,FALSE,"Resumo";#N/A,#N/A,FALSE,"Fisico";#N/A,#N/A,FALSE,"Financeiro";#N/A,#N/A,FALSE,"Financeiro"}</definedName>
    <definedName name="wrn.Orçamento._1" hidden="1">{#N/A,#N/A,FALSE,"Planilha";#N/A,#N/A,FALSE,"Resumo";#N/A,#N/A,FALSE,"Fisico";#N/A,#N/A,FALSE,"Financeiro";#N/A,#N/A,FALSE,"Financeiro"}</definedName>
    <definedName name="wrn.Orçamento._2" hidden="1">{#N/A,#N/A,FALSE,"Planilha";#N/A,#N/A,FALSE,"Resumo";#N/A,#N/A,FALSE,"Fisico";#N/A,#N/A,FALSE,"Financeiro";#N/A,#N/A,FALSE,"Financeiro"}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lext." hidden="1">{#N/A,#N/A,TRUE,"Plan1"}</definedName>
    <definedName name="wrn.relext._1" hidden="1">{#N/A,#N/A,TRUE,"Plan1"}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Tipo." hidden="1">{#N/A,#N/A,TRUE,"Serviços"}</definedName>
    <definedName name="wrn.Tipo.." hidden="1">{#N/A,#N/A,TRUE,"Serviços"}</definedName>
    <definedName name="yy" hidden="1">{#N/A,#N/A,TRUE,"Serviços"}</definedName>
    <definedName name="z_1" hidden="1">{#N/A,#N/A,FALSE,"MO (2)"}</definedName>
    <definedName name="zaza" hidden="1">{#N/A,#N/A,FALSE,"MO (2)"}</definedName>
    <definedName name="zaza_1" hidden="1">{#N/A,#N/A,FALSE,"MO (2)"}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4" i="7" l="1"/>
  <c r="H95" i="7"/>
  <c r="H97" i="7"/>
  <c r="H98" i="7"/>
  <c r="H100" i="7"/>
  <c r="H101" i="7"/>
  <c r="H103" i="7"/>
  <c r="H104" i="7"/>
  <c r="H106" i="7"/>
  <c r="F3" i="23"/>
  <c r="F3" i="6"/>
  <c r="E219" i="23" l="1"/>
  <c r="E200" i="23"/>
  <c r="E199" i="23"/>
  <c r="F237" i="23"/>
  <c r="G234" i="23"/>
  <c r="B13" i="22"/>
  <c r="B14" i="22"/>
  <c r="B15" i="22"/>
  <c r="B16" i="22"/>
  <c r="B17" i="22"/>
  <c r="B18" i="22"/>
  <c r="B19" i="22"/>
  <c r="B20" i="22"/>
  <c r="B21" i="22"/>
  <c r="B22" i="22"/>
  <c r="B23" i="22"/>
  <c r="E219" i="6"/>
  <c r="E218" i="6"/>
  <c r="E200" i="6"/>
  <c r="E199" i="6"/>
  <c r="G253" i="6"/>
  <c r="G242" i="6"/>
  <c r="G237" i="6"/>
  <c r="F237" i="6"/>
  <c r="G234" i="6"/>
  <c r="F234" i="6"/>
  <c r="G223" i="6"/>
  <c r="F223" i="6"/>
  <c r="G185" i="6"/>
  <c r="B13" i="2"/>
  <c r="B14" i="2"/>
  <c r="B15" i="2"/>
  <c r="B16" i="2"/>
  <c r="B17" i="2"/>
  <c r="B18" i="2"/>
  <c r="B19" i="2"/>
  <c r="B20" i="2"/>
  <c r="B21" i="2"/>
  <c r="B22" i="2"/>
  <c r="B23" i="2"/>
  <c r="C678" i="16"/>
  <c r="C718" i="16" s="1"/>
  <c r="B675" i="16"/>
  <c r="C728" i="16"/>
  <c r="E257" i="23" s="1"/>
  <c r="H257" i="23" s="1"/>
  <c r="C724" i="16"/>
  <c r="E256" i="23" s="1"/>
  <c r="C700" i="16"/>
  <c r="C702" i="16" s="1"/>
  <c r="C694" i="16"/>
  <c r="C689" i="16"/>
  <c r="C696" i="16" s="1"/>
  <c r="C688" i="16"/>
  <c r="C683" i="16"/>
  <c r="C682" i="16"/>
  <c r="B730" i="16"/>
  <c r="A259" i="23" s="1"/>
  <c r="C623" i="16"/>
  <c r="B620" i="16"/>
  <c r="C569" i="16"/>
  <c r="C609" i="16" s="1"/>
  <c r="B566" i="16"/>
  <c r="A202" i="23" s="1"/>
  <c r="C514" i="16"/>
  <c r="C554" i="16" s="1"/>
  <c r="B511" i="16"/>
  <c r="A183" i="23" s="1"/>
  <c r="C673" i="16"/>
  <c r="C669" i="16"/>
  <c r="E237" i="23" s="1"/>
  <c r="C663" i="16"/>
  <c r="C645" i="16"/>
  <c r="C647" i="16" s="1"/>
  <c r="C639" i="16"/>
  <c r="C634" i="16"/>
  <c r="C641" i="16" s="1"/>
  <c r="C633" i="16"/>
  <c r="C628" i="16"/>
  <c r="C627" i="16"/>
  <c r="C619" i="16"/>
  <c r="C615" i="16"/>
  <c r="E218" i="23" s="1"/>
  <c r="C591" i="16"/>
  <c r="C593" i="16" s="1"/>
  <c r="C585" i="16"/>
  <c r="C580" i="16"/>
  <c r="C587" i="16" s="1"/>
  <c r="C579" i="16"/>
  <c r="C581" i="16" s="1"/>
  <c r="C597" i="16" s="1"/>
  <c r="C574" i="16"/>
  <c r="C573" i="16"/>
  <c r="C564" i="16"/>
  <c r="C560" i="16"/>
  <c r="C536" i="16"/>
  <c r="C538" i="16" s="1"/>
  <c r="E192" i="6" s="1"/>
  <c r="C530" i="16"/>
  <c r="C525" i="16"/>
  <c r="C532" i="16" s="1"/>
  <c r="C524" i="16"/>
  <c r="C526" i="16" s="1"/>
  <c r="C542" i="16" s="1"/>
  <c r="C519" i="16"/>
  <c r="C518" i="16"/>
  <c r="B456" i="16"/>
  <c r="B401" i="16"/>
  <c r="B346" i="16"/>
  <c r="B291" i="16"/>
  <c r="B236" i="16"/>
  <c r="B181" i="16"/>
  <c r="B16" i="16"/>
  <c r="I32" i="1"/>
  <c r="I33" i="1" s="1"/>
  <c r="G29" i="23"/>
  <c r="G86" i="23" s="1"/>
  <c r="G257" i="23" s="1"/>
  <c r="F29" i="23"/>
  <c r="F162" i="23" s="1"/>
  <c r="G28" i="23"/>
  <c r="G85" i="23" s="1"/>
  <c r="G256" i="23" s="1"/>
  <c r="F28" i="23"/>
  <c r="F66" i="23" s="1"/>
  <c r="G25" i="23"/>
  <c r="G63" i="23" s="1"/>
  <c r="F25" i="23"/>
  <c r="F139" i="23" s="1"/>
  <c r="G24" i="23"/>
  <c r="F24" i="23"/>
  <c r="G21" i="23"/>
  <c r="G192" i="23" s="1"/>
  <c r="F21" i="23"/>
  <c r="G20" i="23"/>
  <c r="G134" i="23" s="1"/>
  <c r="F20" i="23"/>
  <c r="G17" i="23"/>
  <c r="F17" i="23"/>
  <c r="F150" i="23" s="1"/>
  <c r="G14" i="23"/>
  <c r="G71" i="23" s="1"/>
  <c r="G242" i="23" s="1"/>
  <c r="F14" i="23"/>
  <c r="F128" i="23" s="1"/>
  <c r="G10" i="23"/>
  <c r="F10" i="23"/>
  <c r="G9" i="23"/>
  <c r="F9" i="23"/>
  <c r="G58" i="24"/>
  <c r="G57" i="24"/>
  <c r="H57" i="24" s="1"/>
  <c r="H59" i="24"/>
  <c r="H58" i="24"/>
  <c r="F3" i="24"/>
  <c r="H3" i="23"/>
  <c r="G3" i="23"/>
  <c r="G161" i="23"/>
  <c r="G138" i="23"/>
  <c r="G62" i="23"/>
  <c r="G233" i="23" s="1"/>
  <c r="F44" i="23"/>
  <c r="F215" i="23" s="1"/>
  <c r="G180" i="23"/>
  <c r="G157" i="23"/>
  <c r="F169" i="23"/>
  <c r="B12" i="22"/>
  <c r="B11" i="22"/>
  <c r="B10" i="22"/>
  <c r="A3" i="22"/>
  <c r="A2" i="22"/>
  <c r="H59" i="21"/>
  <c r="H58" i="21"/>
  <c r="H57" i="21"/>
  <c r="G29" i="6"/>
  <c r="G276" i="6" s="1"/>
  <c r="F29" i="6"/>
  <c r="F276" i="6" s="1"/>
  <c r="G28" i="6"/>
  <c r="G275" i="6" s="1"/>
  <c r="F28" i="6"/>
  <c r="F199" i="6" s="1"/>
  <c r="G25" i="6"/>
  <c r="G196" i="6" s="1"/>
  <c r="F25" i="6"/>
  <c r="F196" i="6" s="1"/>
  <c r="G24" i="6"/>
  <c r="G233" i="6" s="1"/>
  <c r="F24" i="6"/>
  <c r="F233" i="6" s="1"/>
  <c r="G21" i="6"/>
  <c r="G249" i="6" s="1"/>
  <c r="F21" i="6"/>
  <c r="F249" i="6" s="1"/>
  <c r="G20" i="6"/>
  <c r="G248" i="6" s="1"/>
  <c r="F20" i="6"/>
  <c r="F248" i="6" s="1"/>
  <c r="G17" i="6"/>
  <c r="G264" i="6" s="1"/>
  <c r="F17" i="6"/>
  <c r="F188" i="6" s="1"/>
  <c r="G14" i="6"/>
  <c r="G261" i="6" s="1"/>
  <c r="F14" i="6"/>
  <c r="F185" i="6" s="1"/>
  <c r="G10" i="6"/>
  <c r="H10" i="6" s="1"/>
  <c r="F10" i="6"/>
  <c r="G9" i="6"/>
  <c r="F9" i="6"/>
  <c r="F3" i="21"/>
  <c r="B153" i="7"/>
  <c r="B105" i="7"/>
  <c r="H256" i="23" l="1"/>
  <c r="H60" i="21"/>
  <c r="G252" i="6"/>
  <c r="F200" i="6"/>
  <c r="F267" i="6"/>
  <c r="F268" i="6"/>
  <c r="F196" i="23"/>
  <c r="F191" i="6"/>
  <c r="G191" i="6"/>
  <c r="F253" i="6"/>
  <c r="F192" i="6"/>
  <c r="F226" i="6"/>
  <c r="F238" i="6"/>
  <c r="F256" i="6"/>
  <c r="F271" i="6"/>
  <c r="E237" i="6"/>
  <c r="H237" i="6" s="1"/>
  <c r="F252" i="6"/>
  <c r="G188" i="6"/>
  <c r="G200" i="6"/>
  <c r="H200" i="6" s="1"/>
  <c r="G268" i="6"/>
  <c r="G267" i="6"/>
  <c r="G192" i="6"/>
  <c r="G226" i="6"/>
  <c r="G238" i="6"/>
  <c r="G256" i="6"/>
  <c r="F272" i="6"/>
  <c r="E256" i="6"/>
  <c r="E207" i="23"/>
  <c r="F195" i="6"/>
  <c r="F229" i="6"/>
  <c r="F242" i="6"/>
  <c r="G257" i="6"/>
  <c r="G272" i="6"/>
  <c r="E257" i="6"/>
  <c r="G229" i="6"/>
  <c r="F257" i="6"/>
  <c r="G271" i="6"/>
  <c r="F245" i="6"/>
  <c r="H219" i="23"/>
  <c r="C629" i="16"/>
  <c r="E223" i="23" s="1"/>
  <c r="H223" i="23" s="1"/>
  <c r="H222" i="23" s="1"/>
  <c r="A183" i="6"/>
  <c r="A156" i="7" s="1"/>
  <c r="G230" i="6"/>
  <c r="F261" i="6"/>
  <c r="F275" i="6"/>
  <c r="G245" i="6"/>
  <c r="C635" i="16"/>
  <c r="A202" i="6"/>
  <c r="G195" i="6"/>
  <c r="F230" i="6"/>
  <c r="F264" i="6"/>
  <c r="F120" i="23"/>
  <c r="G199" i="6"/>
  <c r="H199" i="6" s="1"/>
  <c r="A259" i="6"/>
  <c r="A220" i="7" s="1"/>
  <c r="C575" i="16"/>
  <c r="E238" i="23"/>
  <c r="H238" i="23" s="1"/>
  <c r="E238" i="6"/>
  <c r="A240" i="23"/>
  <c r="A240" i="6"/>
  <c r="A204" i="7" s="1"/>
  <c r="E230" i="23"/>
  <c r="E230" i="6"/>
  <c r="A221" i="23"/>
  <c r="A221" i="6"/>
  <c r="A188" i="7" s="1"/>
  <c r="E249" i="23"/>
  <c r="H249" i="23" s="1"/>
  <c r="E249" i="6"/>
  <c r="E211" i="23"/>
  <c r="H211" i="23" s="1"/>
  <c r="E211" i="6"/>
  <c r="E207" i="6"/>
  <c r="E226" i="6"/>
  <c r="C520" i="16"/>
  <c r="E188" i="6"/>
  <c r="E192" i="23"/>
  <c r="E188" i="23"/>
  <c r="H255" i="23"/>
  <c r="F119" i="23"/>
  <c r="F138" i="23"/>
  <c r="F43" i="23"/>
  <c r="F214" i="23" s="1"/>
  <c r="F195" i="23"/>
  <c r="F161" i="23"/>
  <c r="F142" i="23"/>
  <c r="F74" i="23"/>
  <c r="F245" i="23" s="1"/>
  <c r="G116" i="23"/>
  <c r="H256" i="6"/>
  <c r="H226" i="6"/>
  <c r="H225" i="6" s="1"/>
  <c r="D192" i="7" s="1"/>
  <c r="H192" i="6"/>
  <c r="C690" i="16"/>
  <c r="C684" i="16"/>
  <c r="C697" i="16"/>
  <c r="C642" i="16"/>
  <c r="C588" i="16"/>
  <c r="C605" i="16"/>
  <c r="C610" i="16" s="1"/>
  <c r="C602" i="16"/>
  <c r="C550" i="16"/>
  <c r="C555" i="16" s="1"/>
  <c r="C547" i="16"/>
  <c r="C533" i="16"/>
  <c r="G135" i="23"/>
  <c r="G40" i="23"/>
  <c r="G211" i="23" s="1"/>
  <c r="G181" i="23"/>
  <c r="G162" i="23"/>
  <c r="F67" i="23"/>
  <c r="F238" i="23" s="1"/>
  <c r="F143" i="23"/>
  <c r="G158" i="23"/>
  <c r="G139" i="23"/>
  <c r="G39" i="23"/>
  <c r="G210" i="23" s="1"/>
  <c r="G115" i="23"/>
  <c r="G191" i="23"/>
  <c r="G166" i="23"/>
  <c r="G147" i="23"/>
  <c r="F52" i="23"/>
  <c r="F223" i="23" s="1"/>
  <c r="F147" i="23"/>
  <c r="H60" i="24"/>
  <c r="F192" i="23"/>
  <c r="F116" i="23"/>
  <c r="F40" i="23"/>
  <c r="F211" i="23" s="1"/>
  <c r="F135" i="23"/>
  <c r="F59" i="23"/>
  <c r="F230" i="23" s="1"/>
  <c r="F154" i="23"/>
  <c r="F78" i="23"/>
  <c r="F249" i="23" s="1"/>
  <c r="F173" i="23"/>
  <c r="F97" i="23"/>
  <c r="F268" i="23" s="1"/>
  <c r="F191" i="23"/>
  <c r="F115" i="23"/>
  <c r="F39" i="23"/>
  <c r="F210" i="23" s="1"/>
  <c r="F172" i="23"/>
  <c r="F134" i="23"/>
  <c r="F58" i="23"/>
  <c r="F229" i="23" s="1"/>
  <c r="F153" i="23"/>
  <c r="F77" i="23"/>
  <c r="F248" i="23" s="1"/>
  <c r="F96" i="23"/>
  <c r="F267" i="23" s="1"/>
  <c r="G188" i="23"/>
  <c r="G112" i="23"/>
  <c r="G36" i="23"/>
  <c r="G207" i="23" s="1"/>
  <c r="G169" i="23"/>
  <c r="G93" i="23"/>
  <c r="G264" i="23" s="1"/>
  <c r="G131" i="23"/>
  <c r="G55" i="23"/>
  <c r="G226" i="23" s="1"/>
  <c r="G150" i="23"/>
  <c r="G74" i="23"/>
  <c r="G245" i="23" s="1"/>
  <c r="F33" i="23"/>
  <c r="F204" i="23" s="1"/>
  <c r="G43" i="23"/>
  <c r="G214" i="23" s="1"/>
  <c r="G44" i="23"/>
  <c r="G215" i="23" s="1"/>
  <c r="F47" i="23"/>
  <c r="F218" i="23" s="1"/>
  <c r="F48" i="23"/>
  <c r="F219" i="23" s="1"/>
  <c r="G52" i="23"/>
  <c r="G223" i="23" s="1"/>
  <c r="F55" i="23"/>
  <c r="F226" i="23" s="1"/>
  <c r="G66" i="23"/>
  <c r="G237" i="23" s="1"/>
  <c r="H237" i="23" s="1"/>
  <c r="H236" i="23" s="1"/>
  <c r="G67" i="23"/>
  <c r="G238" i="23" s="1"/>
  <c r="G96" i="23"/>
  <c r="G267" i="23" s="1"/>
  <c r="G97" i="23"/>
  <c r="G268" i="23" s="1"/>
  <c r="F100" i="23"/>
  <c r="F271" i="23" s="1"/>
  <c r="F101" i="23"/>
  <c r="F272" i="23" s="1"/>
  <c r="F109" i="23"/>
  <c r="G119" i="23"/>
  <c r="G120" i="23"/>
  <c r="F123" i="23"/>
  <c r="F124" i="23"/>
  <c r="G128" i="23"/>
  <c r="F131" i="23"/>
  <c r="G142" i="23"/>
  <c r="G143" i="23"/>
  <c r="G172" i="23"/>
  <c r="G173" i="23"/>
  <c r="F176" i="23"/>
  <c r="F177" i="23"/>
  <c r="F185" i="23"/>
  <c r="G195" i="23"/>
  <c r="G196" i="23"/>
  <c r="F199" i="23"/>
  <c r="F200" i="23"/>
  <c r="G33" i="23"/>
  <c r="G204" i="23" s="1"/>
  <c r="F36" i="23"/>
  <c r="F207" i="23" s="1"/>
  <c r="G47" i="23"/>
  <c r="G218" i="23" s="1"/>
  <c r="H218" i="23" s="1"/>
  <c r="H217" i="23" s="1"/>
  <c r="G48" i="23"/>
  <c r="G219" i="23" s="1"/>
  <c r="G77" i="23"/>
  <c r="G248" i="23" s="1"/>
  <c r="G78" i="23"/>
  <c r="G249" i="23" s="1"/>
  <c r="F81" i="23"/>
  <c r="F252" i="23" s="1"/>
  <c r="F82" i="23"/>
  <c r="F253" i="23" s="1"/>
  <c r="F90" i="23"/>
  <c r="F261" i="23" s="1"/>
  <c r="G100" i="23"/>
  <c r="G271" i="23" s="1"/>
  <c r="G101" i="23"/>
  <c r="G272" i="23" s="1"/>
  <c r="F104" i="23"/>
  <c r="F275" i="23" s="1"/>
  <c r="F105" i="23"/>
  <c r="F276" i="23" s="1"/>
  <c r="G109" i="23"/>
  <c r="F112" i="23"/>
  <c r="G123" i="23"/>
  <c r="G124" i="23"/>
  <c r="G153" i="23"/>
  <c r="G154" i="23"/>
  <c r="F157" i="23"/>
  <c r="F158" i="23"/>
  <c r="F166" i="23"/>
  <c r="G176" i="23"/>
  <c r="G177" i="23"/>
  <c r="F180" i="23"/>
  <c r="F181" i="23"/>
  <c r="G185" i="23"/>
  <c r="F188" i="23"/>
  <c r="G199" i="23"/>
  <c r="G200" i="23"/>
  <c r="G58" i="23"/>
  <c r="G229" i="23" s="1"/>
  <c r="G59" i="23"/>
  <c r="G230" i="23" s="1"/>
  <c r="F62" i="23"/>
  <c r="F233" i="23" s="1"/>
  <c r="F63" i="23"/>
  <c r="F234" i="23" s="1"/>
  <c r="F71" i="23"/>
  <c r="F242" i="23" s="1"/>
  <c r="G81" i="23"/>
  <c r="G252" i="23" s="1"/>
  <c r="G82" i="23"/>
  <c r="G253" i="23" s="1"/>
  <c r="F85" i="23"/>
  <c r="F256" i="23" s="1"/>
  <c r="F86" i="23"/>
  <c r="F257" i="23" s="1"/>
  <c r="G90" i="23"/>
  <c r="G261" i="23" s="1"/>
  <c r="F93" i="23"/>
  <c r="F264" i="23" s="1"/>
  <c r="G104" i="23"/>
  <c r="G275" i="23" s="1"/>
  <c r="G105" i="23"/>
  <c r="G276" i="23" s="1"/>
  <c r="G218" i="6"/>
  <c r="G219" i="6"/>
  <c r="G214" i="6"/>
  <c r="G215" i="6"/>
  <c r="G210" i="6"/>
  <c r="G211" i="6"/>
  <c r="G207" i="6"/>
  <c r="G204" i="6"/>
  <c r="G180" i="6"/>
  <c r="G181" i="6"/>
  <c r="G176" i="6"/>
  <c r="G177" i="6"/>
  <c r="G172" i="6"/>
  <c r="G173" i="6"/>
  <c r="G169" i="6"/>
  <c r="G166" i="6"/>
  <c r="G161" i="6"/>
  <c r="G162" i="6"/>
  <c r="G157" i="6"/>
  <c r="G158" i="6"/>
  <c r="G153" i="6"/>
  <c r="G154" i="6"/>
  <c r="G150" i="6"/>
  <c r="G147" i="6"/>
  <c r="G142" i="6"/>
  <c r="G143" i="6"/>
  <c r="G138" i="6"/>
  <c r="G139" i="6"/>
  <c r="G134" i="6"/>
  <c r="G135" i="6"/>
  <c r="G131" i="6"/>
  <c r="G128" i="6"/>
  <c r="G123" i="6"/>
  <c r="G124" i="6"/>
  <c r="G119" i="6"/>
  <c r="G120" i="6"/>
  <c r="G115" i="6"/>
  <c r="G116" i="6"/>
  <c r="G112" i="6"/>
  <c r="G109" i="6"/>
  <c r="F219" i="6"/>
  <c r="F218" i="6"/>
  <c r="F215" i="6"/>
  <c r="F214" i="6"/>
  <c r="F211" i="6"/>
  <c r="F210" i="6"/>
  <c r="F207" i="6"/>
  <c r="F204" i="6"/>
  <c r="F181" i="6"/>
  <c r="F180" i="6"/>
  <c r="F177" i="6"/>
  <c r="F176" i="6"/>
  <c r="F173" i="6"/>
  <c r="F172" i="6"/>
  <c r="F169" i="6"/>
  <c r="F166" i="6"/>
  <c r="F162" i="6"/>
  <c r="F161" i="6"/>
  <c r="F158" i="6"/>
  <c r="F157" i="6"/>
  <c r="F154" i="6"/>
  <c r="F153" i="6"/>
  <c r="F150" i="6"/>
  <c r="F147" i="6"/>
  <c r="F143" i="6"/>
  <c r="F142" i="6"/>
  <c r="F139" i="6"/>
  <c r="F138" i="6"/>
  <c r="F135" i="6"/>
  <c r="F134" i="6"/>
  <c r="F131" i="6"/>
  <c r="F128" i="6"/>
  <c r="F124" i="6"/>
  <c r="F123" i="6"/>
  <c r="F120" i="6"/>
  <c r="F119" i="6"/>
  <c r="F116" i="6"/>
  <c r="F115" i="6"/>
  <c r="F112" i="6"/>
  <c r="F109" i="6"/>
  <c r="C92" i="16"/>
  <c r="F192" i="7" l="1"/>
  <c r="G192" i="7"/>
  <c r="E192" i="7"/>
  <c r="H230" i="23"/>
  <c r="B21" i="1"/>
  <c r="E223" i="6"/>
  <c r="H223" i="6" s="1"/>
  <c r="H222" i="6" s="1"/>
  <c r="D189" i="7" s="1"/>
  <c r="H207" i="23"/>
  <c r="H206" i="23" s="1"/>
  <c r="H188" i="6"/>
  <c r="H187" i="6" s="1"/>
  <c r="D160" i="7" s="1"/>
  <c r="C651" i="16"/>
  <c r="E226" i="23"/>
  <c r="H226" i="23" s="1"/>
  <c r="H225" i="23" s="1"/>
  <c r="H257" i="6"/>
  <c r="E210" i="23"/>
  <c r="H210" i="23" s="1"/>
  <c r="H209" i="23" s="1"/>
  <c r="E210" i="6"/>
  <c r="E229" i="23"/>
  <c r="H229" i="23" s="1"/>
  <c r="E229" i="6"/>
  <c r="H229" i="6" s="1"/>
  <c r="E242" i="23"/>
  <c r="H242" i="23" s="1"/>
  <c r="H241" i="23" s="1"/>
  <c r="B22" i="1"/>
  <c r="E242" i="6"/>
  <c r="H242" i="6" s="1"/>
  <c r="H241" i="6" s="1"/>
  <c r="D205" i="7" s="1"/>
  <c r="E248" i="23"/>
  <c r="H248" i="23" s="1"/>
  <c r="H247" i="23" s="1"/>
  <c r="E248" i="6"/>
  <c r="H248" i="6" s="1"/>
  <c r="D21" i="2"/>
  <c r="D21" i="22"/>
  <c r="E214" i="23"/>
  <c r="H214" i="23" s="1"/>
  <c r="E214" i="6"/>
  <c r="C706" i="16"/>
  <c r="C714" i="16" s="1"/>
  <c r="C719" i="16" s="1"/>
  <c r="E245" i="6"/>
  <c r="H245" i="6" s="1"/>
  <c r="H244" i="6" s="1"/>
  <c r="D208" i="7" s="1"/>
  <c r="E245" i="23"/>
  <c r="H245" i="23" s="1"/>
  <c r="H244" i="23" s="1"/>
  <c r="E215" i="6"/>
  <c r="E215" i="23"/>
  <c r="H215" i="23" s="1"/>
  <c r="E204" i="23"/>
  <c r="H204" i="23" s="1"/>
  <c r="H203" i="23" s="1"/>
  <c r="E204" i="6"/>
  <c r="B20" i="1"/>
  <c r="E196" i="23"/>
  <c r="E196" i="6"/>
  <c r="H196" i="6" s="1"/>
  <c r="E191" i="23"/>
  <c r="E191" i="6"/>
  <c r="H191" i="6" s="1"/>
  <c r="H190" i="6" s="1"/>
  <c r="D163" i="7" s="1"/>
  <c r="E195" i="23"/>
  <c r="E195" i="6"/>
  <c r="H195" i="6" s="1"/>
  <c r="E185" i="23"/>
  <c r="B19" i="1"/>
  <c r="E185" i="6"/>
  <c r="H185" i="6" s="1"/>
  <c r="H184" i="6" s="1"/>
  <c r="D157" i="7" s="1"/>
  <c r="H198" i="6"/>
  <c r="D169" i="7" s="1"/>
  <c r="C711" i="16"/>
  <c r="G169" i="7" l="1"/>
  <c r="F169" i="7"/>
  <c r="E169" i="7"/>
  <c r="F157" i="7"/>
  <c r="E157" i="7"/>
  <c r="G157" i="7"/>
  <c r="G205" i="7"/>
  <c r="E205" i="7"/>
  <c r="F205" i="7"/>
  <c r="E189" i="7"/>
  <c r="G189" i="7"/>
  <c r="F189" i="7"/>
  <c r="G163" i="7"/>
  <c r="E163" i="7"/>
  <c r="F163" i="7"/>
  <c r="H228" i="23"/>
  <c r="C659" i="16"/>
  <c r="C664" i="16" s="1"/>
  <c r="C656" i="16"/>
  <c r="F160" i="7"/>
  <c r="G160" i="7"/>
  <c r="E160" i="7"/>
  <c r="E208" i="7"/>
  <c r="G208" i="7"/>
  <c r="F208" i="7"/>
  <c r="E253" i="6"/>
  <c r="E253" i="23"/>
  <c r="H253" i="23" s="1"/>
  <c r="H213" i="23"/>
  <c r="H202" i="23"/>
  <c r="E20" i="22" s="1"/>
  <c r="D22" i="22"/>
  <c r="D22" i="2"/>
  <c r="E252" i="23"/>
  <c r="H252" i="23" s="1"/>
  <c r="E252" i="6"/>
  <c r="H252" i="6" s="1"/>
  <c r="D20" i="2"/>
  <c r="D20" i="22"/>
  <c r="H194" i="6"/>
  <c r="D166" i="7" s="1"/>
  <c r="H183" i="6"/>
  <c r="E19" i="2" s="1"/>
  <c r="D19" i="22"/>
  <c r="D19" i="2"/>
  <c r="C355" i="16"/>
  <c r="B16" i="1" s="1"/>
  <c r="E234" i="23" l="1"/>
  <c r="H234" i="23" s="1"/>
  <c r="E234" i="6"/>
  <c r="E166" i="7"/>
  <c r="G166" i="7"/>
  <c r="F166" i="7"/>
  <c r="E233" i="23"/>
  <c r="H233" i="23" s="1"/>
  <c r="H232" i="23" s="1"/>
  <c r="H221" i="23" s="1"/>
  <c r="E21" i="22" s="1"/>
  <c r="E233" i="6"/>
  <c r="H233" i="6" s="1"/>
  <c r="H157" i="7"/>
  <c r="H251" i="23"/>
  <c r="H240" i="23" s="1"/>
  <c r="E22" i="22" s="1"/>
  <c r="D16" i="22"/>
  <c r="D16" i="2"/>
  <c r="E128" i="23"/>
  <c r="H128" i="23" s="1"/>
  <c r="H127" i="23" s="1"/>
  <c r="E128" i="6"/>
  <c r="H128" i="6" s="1"/>
  <c r="H127" i="6" s="1"/>
  <c r="C733" i="16"/>
  <c r="C773" i="16" s="1"/>
  <c r="C783" i="16"/>
  <c r="C779" i="16"/>
  <c r="C755" i="16"/>
  <c r="C757" i="16" s="1"/>
  <c r="C749" i="16"/>
  <c r="C744" i="16"/>
  <c r="C751" i="16" s="1"/>
  <c r="C743" i="16"/>
  <c r="C738" i="16"/>
  <c r="C737" i="16"/>
  <c r="C459" i="16"/>
  <c r="C404" i="16"/>
  <c r="C349" i="16"/>
  <c r="C389" i="16" s="1"/>
  <c r="C294" i="16"/>
  <c r="C509" i="16"/>
  <c r="C505" i="16"/>
  <c r="C481" i="16"/>
  <c r="C483" i="16" s="1"/>
  <c r="C475" i="16"/>
  <c r="C470" i="16"/>
  <c r="C477" i="16" s="1"/>
  <c r="C469" i="16"/>
  <c r="C464" i="16"/>
  <c r="C463" i="16"/>
  <c r="C454" i="16"/>
  <c r="C450" i="16"/>
  <c r="C426" i="16"/>
  <c r="C428" i="16" s="1"/>
  <c r="C420" i="16"/>
  <c r="C415" i="16"/>
  <c r="C422" i="16" s="1"/>
  <c r="C414" i="16"/>
  <c r="C409" i="16"/>
  <c r="C408" i="16"/>
  <c r="C399" i="16"/>
  <c r="C395" i="16"/>
  <c r="C371" i="16"/>
  <c r="C373" i="16" s="1"/>
  <c r="C365" i="16"/>
  <c r="C360" i="16"/>
  <c r="C367" i="16" s="1"/>
  <c r="C359" i="16"/>
  <c r="C354" i="16"/>
  <c r="C353" i="16"/>
  <c r="C344" i="16"/>
  <c r="C340" i="16"/>
  <c r="C316" i="16"/>
  <c r="C318" i="16" s="1"/>
  <c r="C310" i="16"/>
  <c r="C305" i="16"/>
  <c r="C312" i="16" s="1"/>
  <c r="C304" i="16"/>
  <c r="C299" i="16"/>
  <c r="C298" i="16"/>
  <c r="E268" i="23" l="1"/>
  <c r="H268" i="23" s="1"/>
  <c r="E268" i="6"/>
  <c r="E276" i="23"/>
  <c r="H276" i="23" s="1"/>
  <c r="E276" i="6"/>
  <c r="E275" i="23"/>
  <c r="H275" i="23" s="1"/>
  <c r="H274" i="23" s="1"/>
  <c r="E275" i="6"/>
  <c r="H275" i="6" s="1"/>
  <c r="A107" i="6"/>
  <c r="A92" i="7" s="1"/>
  <c r="A107" i="23"/>
  <c r="E116" i="23"/>
  <c r="H116" i="23" s="1"/>
  <c r="E116" i="6"/>
  <c r="H116" i="6" s="1"/>
  <c r="E135" i="23"/>
  <c r="H135" i="23" s="1"/>
  <c r="E135" i="6"/>
  <c r="H135" i="6" s="1"/>
  <c r="H192" i="23"/>
  <c r="H211" i="6"/>
  <c r="E123" i="23"/>
  <c r="H123" i="23" s="1"/>
  <c r="E123" i="6"/>
  <c r="H123" i="6" s="1"/>
  <c r="E142" i="23"/>
  <c r="H142" i="23" s="1"/>
  <c r="E142" i="6"/>
  <c r="H142" i="6" s="1"/>
  <c r="E161" i="23"/>
  <c r="H161" i="23" s="1"/>
  <c r="E161" i="6"/>
  <c r="H161" i="6" s="1"/>
  <c r="E180" i="23"/>
  <c r="H180" i="23" s="1"/>
  <c r="E180" i="6"/>
  <c r="H180" i="6" s="1"/>
  <c r="A145" i="6"/>
  <c r="A124" i="7" s="1"/>
  <c r="A145" i="23"/>
  <c r="H199" i="23"/>
  <c r="H218" i="6"/>
  <c r="E154" i="23"/>
  <c r="H154" i="23" s="1"/>
  <c r="E154" i="6"/>
  <c r="H154" i="6" s="1"/>
  <c r="A126" i="6"/>
  <c r="A108" i="7" s="1"/>
  <c r="A126" i="23"/>
  <c r="E124" i="23"/>
  <c r="H124" i="23" s="1"/>
  <c r="E124" i="6"/>
  <c r="H124" i="6" s="1"/>
  <c r="E143" i="23"/>
  <c r="H143" i="23" s="1"/>
  <c r="E143" i="6"/>
  <c r="H143" i="6" s="1"/>
  <c r="H141" i="6" s="1"/>
  <c r="D121" i="7" s="1"/>
  <c r="E162" i="23"/>
  <c r="H162" i="23" s="1"/>
  <c r="E162" i="6"/>
  <c r="H162" i="6" s="1"/>
  <c r="E181" i="23"/>
  <c r="H181" i="23" s="1"/>
  <c r="E181" i="6"/>
  <c r="H181" i="6" s="1"/>
  <c r="A164" i="6"/>
  <c r="A140" i="7" s="1"/>
  <c r="A164" i="23"/>
  <c r="H200" i="23"/>
  <c r="H219" i="6"/>
  <c r="D109" i="7"/>
  <c r="E173" i="23"/>
  <c r="H173" i="23" s="1"/>
  <c r="E173" i="6"/>
  <c r="H173" i="6" s="1"/>
  <c r="A172" i="7"/>
  <c r="C499" i="16"/>
  <c r="C334" i="16"/>
  <c r="C306" i="16"/>
  <c r="C368" i="16"/>
  <c r="C416" i="16"/>
  <c r="C465" i="16"/>
  <c r="B18" i="1" s="1"/>
  <c r="C739" i="16"/>
  <c r="C300" i="16"/>
  <c r="B15" i="1" s="1"/>
  <c r="C361" i="16"/>
  <c r="C410" i="16"/>
  <c r="B17" i="1" s="1"/>
  <c r="C752" i="16"/>
  <c r="C745" i="16"/>
  <c r="C478" i="16"/>
  <c r="C471" i="16"/>
  <c r="C444" i="16"/>
  <c r="C423" i="16"/>
  <c r="C313" i="16"/>
  <c r="C239" i="16"/>
  <c r="C279" i="16" s="1"/>
  <c r="C184" i="16"/>
  <c r="C224" i="16" s="1"/>
  <c r="C129" i="16"/>
  <c r="C169" i="16" s="1"/>
  <c r="C74" i="16"/>
  <c r="C114" i="16" s="1"/>
  <c r="C59" i="16"/>
  <c r="E264" i="6" l="1"/>
  <c r="H264" i="6" s="1"/>
  <c r="H263" i="6" s="1"/>
  <c r="D224" i="7" s="1"/>
  <c r="E264" i="23"/>
  <c r="H264" i="23" s="1"/>
  <c r="H263" i="23" s="1"/>
  <c r="E267" i="23"/>
  <c r="H267" i="23" s="1"/>
  <c r="H266" i="23" s="1"/>
  <c r="E267" i="6"/>
  <c r="H267" i="6" s="1"/>
  <c r="E261" i="23"/>
  <c r="H261" i="23" s="1"/>
  <c r="H260" i="23" s="1"/>
  <c r="E261" i="6"/>
  <c r="H261" i="6" s="1"/>
  <c r="H260" i="6" s="1"/>
  <c r="D221" i="7" s="1"/>
  <c r="B23" i="1"/>
  <c r="D17" i="22"/>
  <c r="D17" i="2"/>
  <c r="D18" i="2"/>
  <c r="D18" i="22"/>
  <c r="D15" i="2"/>
  <c r="D15" i="22"/>
  <c r="H160" i="6"/>
  <c r="D137" i="7" s="1"/>
  <c r="E137" i="7" s="1"/>
  <c r="C761" i="16"/>
  <c r="C769" i="16" s="1"/>
  <c r="C774" i="16" s="1"/>
  <c r="H188" i="23"/>
  <c r="H187" i="23" s="1"/>
  <c r="H207" i="6"/>
  <c r="H206" i="6" s="1"/>
  <c r="D176" i="7" s="1"/>
  <c r="E134" i="23"/>
  <c r="H134" i="23" s="1"/>
  <c r="H133" i="23" s="1"/>
  <c r="E134" i="6"/>
  <c r="H134" i="6" s="1"/>
  <c r="H133" i="6" s="1"/>
  <c r="D115" i="7" s="1"/>
  <c r="H191" i="23"/>
  <c r="H190" i="23" s="1"/>
  <c r="H210" i="6"/>
  <c r="H209" i="6" s="1"/>
  <c r="D179" i="7" s="1"/>
  <c r="C322" i="16"/>
  <c r="E112" i="23"/>
  <c r="H112" i="23" s="1"/>
  <c r="H111" i="23" s="1"/>
  <c r="E112" i="6"/>
  <c r="H112" i="6" s="1"/>
  <c r="H111" i="6" s="1"/>
  <c r="D96" i="7" s="1"/>
  <c r="G109" i="7"/>
  <c r="E109" i="7"/>
  <c r="F109" i="7"/>
  <c r="H160" i="23"/>
  <c r="E147" i="23"/>
  <c r="H147" i="23" s="1"/>
  <c r="H146" i="23" s="1"/>
  <c r="E147" i="6"/>
  <c r="H147" i="6" s="1"/>
  <c r="H146" i="6" s="1"/>
  <c r="F121" i="7"/>
  <c r="E121" i="7"/>
  <c r="G121" i="7"/>
  <c r="H217" i="6"/>
  <c r="D185" i="7" s="1"/>
  <c r="E115" i="23"/>
  <c r="H115" i="23" s="1"/>
  <c r="H114" i="23" s="1"/>
  <c r="E115" i="6"/>
  <c r="H115" i="6" s="1"/>
  <c r="H114" i="6" s="1"/>
  <c r="D99" i="7" s="1"/>
  <c r="E153" i="23"/>
  <c r="H153" i="23" s="1"/>
  <c r="H152" i="23" s="1"/>
  <c r="E153" i="6"/>
  <c r="H153" i="6" s="1"/>
  <c r="H152" i="6" s="1"/>
  <c r="D131" i="7" s="1"/>
  <c r="C377" i="16"/>
  <c r="C382" i="16" s="1"/>
  <c r="E131" i="23"/>
  <c r="H131" i="23" s="1"/>
  <c r="H130" i="23" s="1"/>
  <c r="E131" i="6"/>
  <c r="H131" i="6" s="1"/>
  <c r="H130" i="6" s="1"/>
  <c r="H198" i="23"/>
  <c r="H141" i="23"/>
  <c r="E109" i="23"/>
  <c r="H109" i="23" s="1"/>
  <c r="H108" i="23" s="1"/>
  <c r="E109" i="6"/>
  <c r="H109" i="6" s="1"/>
  <c r="H108" i="6" s="1"/>
  <c r="H122" i="6"/>
  <c r="D105" i="7" s="1"/>
  <c r="H185" i="23"/>
  <c r="H184" i="23" s="1"/>
  <c r="H204" i="6"/>
  <c r="H203" i="6" s="1"/>
  <c r="H122" i="23"/>
  <c r="C487" i="16"/>
  <c r="C492" i="16" s="1"/>
  <c r="E169" i="23"/>
  <c r="H169" i="23" s="1"/>
  <c r="H168" i="23" s="1"/>
  <c r="E169" i="6"/>
  <c r="H169" i="6" s="1"/>
  <c r="H168" i="6" s="1"/>
  <c r="D144" i="7" s="1"/>
  <c r="E166" i="23"/>
  <c r="H166" i="23" s="1"/>
  <c r="H165" i="23" s="1"/>
  <c r="E166" i="6"/>
  <c r="H166" i="6" s="1"/>
  <c r="H165" i="6" s="1"/>
  <c r="H179" i="6"/>
  <c r="D153" i="7" s="1"/>
  <c r="E172" i="23"/>
  <c r="H172" i="23" s="1"/>
  <c r="H171" i="23" s="1"/>
  <c r="E172" i="6"/>
  <c r="H172" i="6" s="1"/>
  <c r="H171" i="6" s="1"/>
  <c r="D147" i="7" s="1"/>
  <c r="C432" i="16"/>
  <c r="E150" i="23"/>
  <c r="H150" i="23" s="1"/>
  <c r="H149" i="23" s="1"/>
  <c r="E150" i="6"/>
  <c r="H150" i="6" s="1"/>
  <c r="H149" i="6" s="1"/>
  <c r="D128" i="7" s="1"/>
  <c r="H179" i="23"/>
  <c r="C766" i="16"/>
  <c r="E221" i="7" l="1"/>
  <c r="F221" i="7"/>
  <c r="G221" i="7"/>
  <c r="G224" i="7"/>
  <c r="F224" i="7"/>
  <c r="E224" i="7"/>
  <c r="F137" i="7"/>
  <c r="E271" i="23"/>
  <c r="H271" i="23" s="1"/>
  <c r="E271" i="6"/>
  <c r="H271" i="6" s="1"/>
  <c r="G137" i="7"/>
  <c r="E272" i="6"/>
  <c r="E272" i="23"/>
  <c r="H272" i="23" s="1"/>
  <c r="D23" i="22"/>
  <c r="D23" i="2"/>
  <c r="C495" i="16"/>
  <c r="C500" i="16" s="1"/>
  <c r="E177" i="6" s="1"/>
  <c r="H177" i="6" s="1"/>
  <c r="C385" i="16"/>
  <c r="C390" i="16" s="1"/>
  <c r="E139" i="23" s="1"/>
  <c r="H139" i="23" s="1"/>
  <c r="D141" i="7"/>
  <c r="H196" i="23"/>
  <c r="H215" i="6"/>
  <c r="E128" i="7"/>
  <c r="G128" i="7"/>
  <c r="F128" i="7"/>
  <c r="E105" i="7"/>
  <c r="G105" i="7"/>
  <c r="F105" i="7"/>
  <c r="E138" i="23"/>
  <c r="H138" i="23" s="1"/>
  <c r="E138" i="6"/>
  <c r="H138" i="6" s="1"/>
  <c r="F144" i="7"/>
  <c r="E144" i="7"/>
  <c r="G144" i="7"/>
  <c r="D93" i="7"/>
  <c r="F131" i="7"/>
  <c r="E131" i="7"/>
  <c r="G131" i="7"/>
  <c r="E96" i="7"/>
  <c r="F96" i="7"/>
  <c r="G96" i="7"/>
  <c r="E177" i="23"/>
  <c r="H177" i="23" s="1"/>
  <c r="G147" i="7"/>
  <c r="E147" i="7"/>
  <c r="F147" i="7"/>
  <c r="E176" i="23"/>
  <c r="H176" i="23" s="1"/>
  <c r="E176" i="6"/>
  <c r="H176" i="6" s="1"/>
  <c r="E99" i="7"/>
  <c r="G99" i="7"/>
  <c r="F99" i="7"/>
  <c r="E115" i="7"/>
  <c r="F115" i="7"/>
  <c r="G115" i="7"/>
  <c r="C437" i="16"/>
  <c r="C440" i="16"/>
  <c r="C445" i="16" s="1"/>
  <c r="D125" i="7"/>
  <c r="C327" i="16"/>
  <c r="C330" i="16"/>
  <c r="C335" i="16" s="1"/>
  <c r="E153" i="7"/>
  <c r="G153" i="7"/>
  <c r="F153" i="7"/>
  <c r="D173" i="7"/>
  <c r="E185" i="7"/>
  <c r="G185" i="7"/>
  <c r="F185" i="7"/>
  <c r="G179" i="7"/>
  <c r="E179" i="7"/>
  <c r="F179" i="7"/>
  <c r="F176" i="7"/>
  <c r="G176" i="7"/>
  <c r="E176" i="7"/>
  <c r="H195" i="23"/>
  <c r="H214" i="6"/>
  <c r="D112" i="7"/>
  <c r="B89" i="7"/>
  <c r="B73" i="7"/>
  <c r="B58" i="7"/>
  <c r="B42" i="7"/>
  <c r="B169" i="7" s="1"/>
  <c r="H99" i="7" l="1"/>
  <c r="H105" i="7"/>
  <c r="H96" i="7"/>
  <c r="B137" i="7"/>
  <c r="B201" i="7"/>
  <c r="B217" i="7" s="1"/>
  <c r="B233" i="7" s="1"/>
  <c r="E139" i="6"/>
  <c r="H139" i="6" s="1"/>
  <c r="H137" i="6" s="1"/>
  <c r="H270" i="23"/>
  <c r="H259" i="23" s="1"/>
  <c r="E23" i="22" s="1"/>
  <c r="H194" i="23"/>
  <c r="H213" i="6"/>
  <c r="D182" i="7" s="1"/>
  <c r="H175" i="6"/>
  <c r="D150" i="7" s="1"/>
  <c r="H175" i="23"/>
  <c r="H164" i="23" s="1"/>
  <c r="E18" i="22" s="1"/>
  <c r="F93" i="7"/>
  <c r="E93" i="7"/>
  <c r="G93" i="7"/>
  <c r="H137" i="23"/>
  <c r="H126" i="23" s="1"/>
  <c r="E16" i="22" s="1"/>
  <c r="E125" i="7"/>
  <c r="G125" i="7"/>
  <c r="F125" i="7"/>
  <c r="E120" i="23"/>
  <c r="H120" i="23" s="1"/>
  <c r="E120" i="6"/>
  <c r="H120" i="6" s="1"/>
  <c r="E158" i="23"/>
  <c r="H158" i="23" s="1"/>
  <c r="E158" i="6"/>
  <c r="H158" i="6" s="1"/>
  <c r="E157" i="23"/>
  <c r="H157" i="23" s="1"/>
  <c r="E157" i="6"/>
  <c r="H157" i="6" s="1"/>
  <c r="G112" i="7"/>
  <c r="F112" i="7"/>
  <c r="E112" i="7"/>
  <c r="F173" i="7"/>
  <c r="E173" i="7"/>
  <c r="G173" i="7"/>
  <c r="E119" i="23"/>
  <c r="H119" i="23" s="1"/>
  <c r="E119" i="6"/>
  <c r="H119" i="6" s="1"/>
  <c r="F141" i="7"/>
  <c r="E141" i="7"/>
  <c r="G141" i="7"/>
  <c r="B121" i="7"/>
  <c r="B185" i="7"/>
  <c r="B11" i="2"/>
  <c r="B12" i="2"/>
  <c r="B10" i="2"/>
  <c r="H93" i="7" l="1"/>
  <c r="E182" i="7"/>
  <c r="G150" i="7"/>
  <c r="H141" i="7" s="1"/>
  <c r="H202" i="6"/>
  <c r="E20" i="2" s="1"/>
  <c r="H183" i="23"/>
  <c r="E19" i="22" s="1"/>
  <c r="G182" i="7"/>
  <c r="F182" i="7"/>
  <c r="H118" i="23"/>
  <c r="H107" i="23" s="1"/>
  <c r="E15" i="22" s="1"/>
  <c r="E150" i="7"/>
  <c r="H164" i="6"/>
  <c r="E18" i="2" s="1"/>
  <c r="F150" i="7"/>
  <c r="H156" i="6"/>
  <c r="H145" i="6" s="1"/>
  <c r="E17" i="2" s="1"/>
  <c r="H118" i="6"/>
  <c r="D102" i="7" s="1"/>
  <c r="D118" i="7"/>
  <c r="H126" i="6"/>
  <c r="E16" i="2" s="1"/>
  <c r="H156" i="23"/>
  <c r="H145" i="23" s="1"/>
  <c r="E17" i="22" s="1"/>
  <c r="C261" i="16"/>
  <c r="C263" i="16" s="1"/>
  <c r="E97" i="23" s="1"/>
  <c r="H97" i="23" s="1"/>
  <c r="C255" i="16"/>
  <c r="C250" i="16"/>
  <c r="C257" i="16" s="1"/>
  <c r="C249" i="16"/>
  <c r="C244" i="16"/>
  <c r="C243" i="16"/>
  <c r="A88" i="23"/>
  <c r="C194" i="16"/>
  <c r="C195" i="16"/>
  <c r="C202" i="16" s="1"/>
  <c r="C189" i="16"/>
  <c r="C188" i="16"/>
  <c r="A69" i="23"/>
  <c r="C140" i="16"/>
  <c r="C147" i="16" s="1"/>
  <c r="C139" i="16"/>
  <c r="C134" i="16"/>
  <c r="C133" i="16"/>
  <c r="C145" i="16" s="1"/>
  <c r="C151" i="16" s="1"/>
  <c r="C153" i="16" s="1"/>
  <c r="E59" i="23" s="1"/>
  <c r="H59" i="23" s="1"/>
  <c r="B126" i="16"/>
  <c r="A50" i="23" s="1"/>
  <c r="C85" i="16"/>
  <c r="C84" i="16"/>
  <c r="C79" i="16"/>
  <c r="C78" i="16"/>
  <c r="C90" i="16" s="1"/>
  <c r="C96" i="16" s="1"/>
  <c r="C98" i="16" s="1"/>
  <c r="E40" i="23" s="1"/>
  <c r="H40" i="23" s="1"/>
  <c r="B71" i="16"/>
  <c r="A31" i="23" s="1"/>
  <c r="C289" i="16"/>
  <c r="E105" i="23" s="1"/>
  <c r="H105" i="23" s="1"/>
  <c r="C285" i="16"/>
  <c r="E104" i="23" s="1"/>
  <c r="H104" i="23" s="1"/>
  <c r="C234" i="16"/>
  <c r="E86" i="23" s="1"/>
  <c r="H86" i="23" s="1"/>
  <c r="C230" i="16"/>
  <c r="E85" i="23" s="1"/>
  <c r="H85" i="23" s="1"/>
  <c r="C179" i="16"/>
  <c r="E67" i="23" s="1"/>
  <c r="H67" i="23" s="1"/>
  <c r="C175" i="16"/>
  <c r="E66" i="23" s="1"/>
  <c r="H66" i="23" s="1"/>
  <c r="C124" i="16"/>
  <c r="E48" i="23" s="1"/>
  <c r="H48" i="23" s="1"/>
  <c r="C120" i="16"/>
  <c r="E47" i="23" s="1"/>
  <c r="H47" i="23" s="1"/>
  <c r="H173" i="7" l="1"/>
  <c r="C86" i="16"/>
  <c r="E36" i="23" s="1"/>
  <c r="H36" i="23" s="1"/>
  <c r="H35" i="23" s="1"/>
  <c r="C190" i="16"/>
  <c r="B13" i="1" s="1"/>
  <c r="D134" i="7"/>
  <c r="G134" i="7" s="1"/>
  <c r="H107" i="6"/>
  <c r="E15" i="2" s="1"/>
  <c r="H103" i="23"/>
  <c r="E71" i="23"/>
  <c r="H71" i="23" s="1"/>
  <c r="H70" i="23" s="1"/>
  <c r="H46" i="23"/>
  <c r="C141" i="16"/>
  <c r="E55" i="23" s="1"/>
  <c r="H55" i="23" s="1"/>
  <c r="H54" i="23" s="1"/>
  <c r="E118" i="7"/>
  <c r="F118" i="7"/>
  <c r="H112" i="7" s="1"/>
  <c r="G118" i="7"/>
  <c r="H65" i="23"/>
  <c r="H84" i="23"/>
  <c r="F102" i="7"/>
  <c r="E102" i="7"/>
  <c r="E236" i="7" s="1"/>
  <c r="G102" i="7"/>
  <c r="C135" i="16"/>
  <c r="C245" i="16"/>
  <c r="C80" i="16"/>
  <c r="E33" i="6" s="1"/>
  <c r="C196" i="16"/>
  <c r="E74" i="23" s="1"/>
  <c r="H74" i="23" s="1"/>
  <c r="H73" i="23" s="1"/>
  <c r="E66" i="6"/>
  <c r="C200" i="16"/>
  <c r="C203" i="16" s="1"/>
  <c r="E67" i="6"/>
  <c r="E105" i="6"/>
  <c r="E47" i="6"/>
  <c r="E85" i="6"/>
  <c r="E48" i="6"/>
  <c r="E86" i="6"/>
  <c r="E104" i="6"/>
  <c r="C251" i="16"/>
  <c r="E93" i="23" s="1"/>
  <c r="H93" i="23" s="1"/>
  <c r="H92" i="23" s="1"/>
  <c r="E97" i="6"/>
  <c r="E71" i="6"/>
  <c r="E59" i="6"/>
  <c r="E40" i="6"/>
  <c r="E36" i="6"/>
  <c r="C93" i="16"/>
  <c r="E39" i="23" s="1"/>
  <c r="H39" i="23" s="1"/>
  <c r="H38" i="23" s="1"/>
  <c r="A31" i="6"/>
  <c r="A29" i="7" s="1"/>
  <c r="A88" i="6"/>
  <c r="A76" i="7" s="1"/>
  <c r="A50" i="6"/>
  <c r="A45" i="7" s="1"/>
  <c r="A69" i="6"/>
  <c r="A60" i="7" s="1"/>
  <c r="C157" i="16"/>
  <c r="C165" i="16" s="1"/>
  <c r="C170" i="16" s="1"/>
  <c r="E63" i="23" s="1"/>
  <c r="H63" i="23" s="1"/>
  <c r="C102" i="16"/>
  <c r="C107" i="16" s="1"/>
  <c r="E43" i="23" s="1"/>
  <c r="H43" i="23" s="1"/>
  <c r="C148" i="16"/>
  <c r="E58" i="23" s="1"/>
  <c r="H58" i="23" s="1"/>
  <c r="H57" i="23" s="1"/>
  <c r="A4" i="15"/>
  <c r="A3" i="15"/>
  <c r="C14" i="16"/>
  <c r="E10" i="23" s="1"/>
  <c r="H10" i="23" s="1"/>
  <c r="E8" i="22" s="1"/>
  <c r="H102" i="7" l="1"/>
  <c r="I95" i="7"/>
  <c r="H125" i="7"/>
  <c r="E55" i="6"/>
  <c r="F134" i="7"/>
  <c r="F236" i="7" s="1"/>
  <c r="E90" i="23"/>
  <c r="H90" i="23" s="1"/>
  <c r="H89" i="23" s="1"/>
  <c r="B14" i="1"/>
  <c r="D13" i="2"/>
  <c r="D13" i="22"/>
  <c r="E134" i="7"/>
  <c r="E52" i="23"/>
  <c r="H52" i="23" s="1"/>
  <c r="H51" i="23" s="1"/>
  <c r="B12" i="1"/>
  <c r="E90" i="6"/>
  <c r="E77" i="6"/>
  <c r="E77" i="23"/>
  <c r="H77" i="23" s="1"/>
  <c r="E52" i="6"/>
  <c r="B11" i="1"/>
  <c r="E33" i="23"/>
  <c r="H33" i="23" s="1"/>
  <c r="H32" i="23" s="1"/>
  <c r="C206" i="16"/>
  <c r="C208" i="16" s="1"/>
  <c r="C212" i="16"/>
  <c r="C217" i="16" s="1"/>
  <c r="E81" i="23" s="1"/>
  <c r="H81" i="23" s="1"/>
  <c r="E74" i="6"/>
  <c r="C267" i="16"/>
  <c r="E93" i="6"/>
  <c r="C162" i="16"/>
  <c r="E58" i="6"/>
  <c r="E63" i="6"/>
  <c r="E43" i="6"/>
  <c r="C110" i="16"/>
  <c r="C115" i="16" s="1"/>
  <c r="E44" i="23" s="1"/>
  <c r="H44" i="23" s="1"/>
  <c r="H42" i="23" s="1"/>
  <c r="H31" i="23" s="1"/>
  <c r="E11" i="22" s="1"/>
  <c r="E39" i="6"/>
  <c r="C258" i="16"/>
  <c r="E96" i="23" s="1"/>
  <c r="H96" i="23" s="1"/>
  <c r="H95" i="23" s="1"/>
  <c r="A12" i="23"/>
  <c r="D14" i="2" l="1"/>
  <c r="D14" i="22"/>
  <c r="D12" i="2"/>
  <c r="D12" i="22"/>
  <c r="D11" i="22"/>
  <c r="D11" i="2"/>
  <c r="E78" i="6"/>
  <c r="E78" i="23"/>
  <c r="H78" i="23" s="1"/>
  <c r="H76" i="23" s="1"/>
  <c r="E62" i="6"/>
  <c r="E62" i="23"/>
  <c r="H62" i="23" s="1"/>
  <c r="H61" i="23" s="1"/>
  <c r="H50" i="23" s="1"/>
  <c r="E12" i="22" s="1"/>
  <c r="C220" i="16"/>
  <c r="C225" i="16" s="1"/>
  <c r="E82" i="23" s="1"/>
  <c r="H82" i="23" s="1"/>
  <c r="H80" i="23" s="1"/>
  <c r="E81" i="6"/>
  <c r="C275" i="16"/>
  <c r="C280" i="16" s="1"/>
  <c r="E101" i="23" s="1"/>
  <c r="H101" i="23" s="1"/>
  <c r="C272" i="16"/>
  <c r="E100" i="23" s="1"/>
  <c r="H100" i="23" s="1"/>
  <c r="E96" i="6"/>
  <c r="E44" i="6"/>
  <c r="A12" i="6"/>
  <c r="A13" i="7" s="1"/>
  <c r="A3" i="2"/>
  <c r="A4" i="23" s="1"/>
  <c r="A2" i="2"/>
  <c r="A3" i="23" s="1"/>
  <c r="H69" i="23" l="1"/>
  <c r="E13" i="22" s="1"/>
  <c r="H99" i="23"/>
  <c r="H88" i="23" s="1"/>
  <c r="E14" i="22" s="1"/>
  <c r="E82" i="6"/>
  <c r="E100" i="6"/>
  <c r="E101" i="6"/>
  <c r="A2" i="16"/>
  <c r="A1" i="16"/>
  <c r="A2" i="15"/>
  <c r="F38" i="4"/>
  <c r="E38" i="4"/>
  <c r="D38" i="4"/>
  <c r="C38" i="4"/>
  <c r="F34" i="4"/>
  <c r="E34" i="4"/>
  <c r="D34" i="4"/>
  <c r="C34" i="4"/>
  <c r="F27" i="4"/>
  <c r="E27" i="4"/>
  <c r="D27" i="4"/>
  <c r="C27" i="4"/>
  <c r="F15" i="4"/>
  <c r="E15" i="4"/>
  <c r="D15" i="4"/>
  <c r="C15" i="4"/>
  <c r="B15" i="15"/>
  <c r="B19" i="15"/>
  <c r="B18" i="15"/>
  <c r="B25" i="15"/>
  <c r="B24" i="15"/>
  <c r="B21" i="15"/>
  <c r="B22" i="15"/>
  <c r="C69" i="16"/>
  <c r="E29" i="23" s="1"/>
  <c r="H29" i="23" s="1"/>
  <c r="C65" i="16"/>
  <c r="E28" i="23" s="1"/>
  <c r="H28" i="23" s="1"/>
  <c r="C30" i="16"/>
  <c r="C37" i="16" s="1"/>
  <c r="C29" i="16"/>
  <c r="C24" i="16"/>
  <c r="C23" i="16"/>
  <c r="C35" i="16" s="1"/>
  <c r="C10" i="16"/>
  <c r="E9" i="23" s="1"/>
  <c r="H9" i="23" s="1"/>
  <c r="H27" i="23" l="1"/>
  <c r="E7" i="22"/>
  <c r="E6" i="22" s="1"/>
  <c r="H8" i="23"/>
  <c r="D8" i="22"/>
  <c r="D8" i="2"/>
  <c r="E29" i="6"/>
  <c r="I29" i="6" s="1"/>
  <c r="E9" i="6"/>
  <c r="E28" i="6"/>
  <c r="I28" i="6" s="1"/>
  <c r="C38" i="16"/>
  <c r="E20" i="23" s="1"/>
  <c r="H20" i="23" s="1"/>
  <c r="F39" i="4"/>
  <c r="D6" i="15" s="1"/>
  <c r="D39" i="4"/>
  <c r="E39" i="4"/>
  <c r="D5" i="15" s="1"/>
  <c r="C39" i="4"/>
  <c r="C41" i="16"/>
  <c r="C43" i="16" s="1"/>
  <c r="E21" i="23" s="1"/>
  <c r="H21" i="23" s="1"/>
  <c r="C31" i="16"/>
  <c r="E17" i="23" s="1"/>
  <c r="H17" i="23" s="1"/>
  <c r="H16" i="23" s="1"/>
  <c r="C25" i="16"/>
  <c r="E14" i="23" l="1"/>
  <c r="H14" i="23" s="1"/>
  <c r="H13" i="23" s="1"/>
  <c r="B10" i="1"/>
  <c r="H19" i="23"/>
  <c r="D7" i="2"/>
  <c r="D7" i="22"/>
  <c r="D10" i="22"/>
  <c r="E20" i="6"/>
  <c r="E21" i="6"/>
  <c r="I21" i="6" s="1"/>
  <c r="E17" i="6"/>
  <c r="I17" i="6" s="1"/>
  <c r="C47" i="16"/>
  <c r="C52" i="16" s="1"/>
  <c r="E24" i="23" s="1"/>
  <c r="H24" i="23" s="1"/>
  <c r="E14" i="6"/>
  <c r="I14" i="6" s="1"/>
  <c r="C31" i="1" l="1"/>
  <c r="I20" i="6"/>
  <c r="C30" i="1"/>
  <c r="G30" i="1" s="1"/>
  <c r="G31" i="1"/>
  <c r="I31" i="1"/>
  <c r="B25" i="1"/>
  <c r="F3" i="22" s="1"/>
  <c r="D10" i="2"/>
  <c r="G10" i="2" s="1"/>
  <c r="C55" i="16"/>
  <c r="C60" i="16" s="1"/>
  <c r="E25" i="23" s="1"/>
  <c r="H25" i="23" s="1"/>
  <c r="H23" i="23" s="1"/>
  <c r="H12" i="23" s="1"/>
  <c r="E10" i="22" l="1"/>
  <c r="E9" i="22" s="1"/>
  <c r="F25" i="22" s="1"/>
  <c r="C6" i="1" s="1"/>
  <c r="I30" i="1"/>
  <c r="F101" i="6"/>
  <c r="F44" i="6"/>
  <c r="F82" i="6"/>
  <c r="F63" i="6"/>
  <c r="F81" i="6"/>
  <c r="F43" i="6"/>
  <c r="F100" i="6"/>
  <c r="F62" i="6"/>
  <c r="E24" i="6"/>
  <c r="I24" i="6" s="1"/>
  <c r="E25" i="6"/>
  <c r="I25" i="6" s="1"/>
  <c r="H25" i="6" l="1"/>
  <c r="H24" i="6"/>
  <c r="G62" i="6"/>
  <c r="G100" i="6"/>
  <c r="H100" i="6" s="1"/>
  <c r="G43" i="6"/>
  <c r="H43" i="6" s="1"/>
  <c r="G81" i="6"/>
  <c r="G82" i="6"/>
  <c r="H82" i="6" s="1"/>
  <c r="G101" i="6"/>
  <c r="H101" i="6" s="1"/>
  <c r="G63" i="6"/>
  <c r="H63" i="6" s="1"/>
  <c r="G44" i="6"/>
  <c r="H44" i="6" s="1"/>
  <c r="H81" i="6" l="1"/>
  <c r="H80" i="6" s="1"/>
  <c r="D70" i="7" s="1"/>
  <c r="H234" i="6"/>
  <c r="H232" i="6" s="1"/>
  <c r="D198" i="7" s="1"/>
  <c r="H272" i="6"/>
  <c r="H270" i="6" s="1"/>
  <c r="D230" i="7" s="1"/>
  <c r="H62" i="6"/>
  <c r="H253" i="6"/>
  <c r="H251" i="6" s="1"/>
  <c r="D214" i="7" s="1"/>
  <c r="H23" i="6"/>
  <c r="D23" i="7" s="1"/>
  <c r="H99" i="6"/>
  <c r="D86" i="7" s="1"/>
  <c r="F85" i="6"/>
  <c r="F66" i="6"/>
  <c r="F47" i="6"/>
  <c r="F104" i="6"/>
  <c r="F96" i="6"/>
  <c r="F58" i="6"/>
  <c r="F77" i="6"/>
  <c r="F39" i="6"/>
  <c r="F78" i="6"/>
  <c r="F59" i="6"/>
  <c r="F97" i="6"/>
  <c r="F40" i="6"/>
  <c r="F67" i="6"/>
  <c r="F48" i="6"/>
  <c r="F86" i="6"/>
  <c r="F105" i="6"/>
  <c r="H61" i="6"/>
  <c r="D55" i="7" s="1"/>
  <c r="H42" i="6"/>
  <c r="D39" i="7" s="1"/>
  <c r="G214" i="7" l="1"/>
  <c r="F214" i="7"/>
  <c r="E214" i="7"/>
  <c r="E198" i="7"/>
  <c r="F198" i="7"/>
  <c r="G198" i="7"/>
  <c r="E230" i="7"/>
  <c r="F230" i="7"/>
  <c r="G230" i="7"/>
  <c r="C21" i="15"/>
  <c r="E23" i="7"/>
  <c r="G55" i="7"/>
  <c r="F86" i="7"/>
  <c r="E86" i="7"/>
  <c r="G86" i="7"/>
  <c r="F70" i="7"/>
  <c r="G70" i="7"/>
  <c r="E70" i="7"/>
  <c r="E55" i="7"/>
  <c r="F55" i="7"/>
  <c r="E39" i="7"/>
  <c r="F39" i="7"/>
  <c r="G97" i="6"/>
  <c r="H97" i="6" s="1"/>
  <c r="G40" i="6"/>
  <c r="H40" i="6" s="1"/>
  <c r="G78" i="6"/>
  <c r="H78" i="6" s="1"/>
  <c r="G59" i="6"/>
  <c r="H59" i="6" s="1"/>
  <c r="H29" i="6"/>
  <c r="G86" i="6"/>
  <c r="H86" i="6" s="1"/>
  <c r="G67" i="6"/>
  <c r="H67" i="6" s="1"/>
  <c r="G48" i="6"/>
  <c r="H48" i="6" s="1"/>
  <c r="G105" i="6"/>
  <c r="H105" i="6" s="1"/>
  <c r="G39" i="6"/>
  <c r="H39" i="6" s="1"/>
  <c r="G96" i="6"/>
  <c r="H96" i="6" s="1"/>
  <c r="G58" i="6"/>
  <c r="G77" i="6"/>
  <c r="G104" i="6"/>
  <c r="H104" i="6" s="1"/>
  <c r="G85" i="6"/>
  <c r="G66" i="6"/>
  <c r="G47" i="6"/>
  <c r="H47" i="6" s="1"/>
  <c r="H58" i="6" l="1"/>
  <c r="H57" i="6" s="1"/>
  <c r="D52" i="7" s="1"/>
  <c r="H249" i="6"/>
  <c r="H247" i="6" s="1"/>
  <c r="D211" i="7" s="1"/>
  <c r="H77" i="6"/>
  <c r="H76" i="6" s="1"/>
  <c r="D67" i="7" s="1"/>
  <c r="H230" i="6"/>
  <c r="H228" i="6" s="1"/>
  <c r="D195" i="7" s="1"/>
  <c r="H268" i="6"/>
  <c r="H266" i="6" s="1"/>
  <c r="D227" i="7" s="1"/>
  <c r="H66" i="6"/>
  <c r="H65" i="6" s="1"/>
  <c r="D58" i="7" s="1"/>
  <c r="H255" i="6"/>
  <c r="D217" i="7" s="1"/>
  <c r="H85" i="6"/>
  <c r="H84" i="6" s="1"/>
  <c r="D73" i="7" s="1"/>
  <c r="H276" i="6"/>
  <c r="H274" i="6" s="1"/>
  <c r="D233" i="7" s="1"/>
  <c r="H238" i="6"/>
  <c r="H236" i="6" s="1"/>
  <c r="D201" i="7" s="1"/>
  <c r="H95" i="6"/>
  <c r="D83" i="7" s="1"/>
  <c r="F71" i="6"/>
  <c r="F52" i="6"/>
  <c r="F90" i="6"/>
  <c r="F33" i="6"/>
  <c r="H103" i="6"/>
  <c r="D89" i="7" s="1"/>
  <c r="H46" i="6"/>
  <c r="D42" i="7" s="1"/>
  <c r="H38" i="6"/>
  <c r="D36" i="7" s="1"/>
  <c r="H28" i="6"/>
  <c r="E201" i="7" l="1"/>
  <c r="G201" i="7"/>
  <c r="F201" i="7"/>
  <c r="E217" i="7"/>
  <c r="F217" i="7"/>
  <c r="G217" i="7"/>
  <c r="H221" i="7"/>
  <c r="E227" i="7"/>
  <c r="G227" i="7"/>
  <c r="F227" i="7"/>
  <c r="G195" i="7"/>
  <c r="G236" i="7" s="1"/>
  <c r="F195" i="7"/>
  <c r="E195" i="7"/>
  <c r="F211" i="7"/>
  <c r="E211" i="7"/>
  <c r="G211" i="7"/>
  <c r="H205" i="7"/>
  <c r="F233" i="7"/>
  <c r="G233" i="7"/>
  <c r="E233" i="7"/>
  <c r="H27" i="6"/>
  <c r="D26" i="7" s="1"/>
  <c r="E26" i="7" s="1"/>
  <c r="C24" i="15"/>
  <c r="H240" i="6"/>
  <c r="E22" i="2" s="1"/>
  <c r="H259" i="6"/>
  <c r="E23" i="2" s="1"/>
  <c r="H221" i="6"/>
  <c r="E21" i="2" s="1"/>
  <c r="G58" i="7"/>
  <c r="G52" i="7"/>
  <c r="F83" i="7"/>
  <c r="G83" i="7"/>
  <c r="E83" i="7"/>
  <c r="F73" i="7"/>
  <c r="G73" i="7"/>
  <c r="E73" i="7"/>
  <c r="E89" i="7"/>
  <c r="G89" i="7"/>
  <c r="F89" i="7"/>
  <c r="F42" i="7"/>
  <c r="E42" i="7"/>
  <c r="F58" i="7"/>
  <c r="E58" i="7"/>
  <c r="G67" i="7"/>
  <c r="E67" i="7"/>
  <c r="F67" i="7"/>
  <c r="E52" i="7"/>
  <c r="F52" i="7"/>
  <c r="E36" i="7"/>
  <c r="F36" i="7"/>
  <c r="H14" i="6"/>
  <c r="G90" i="6"/>
  <c r="H90" i="6" s="1"/>
  <c r="H89" i="6" s="1"/>
  <c r="D77" i="7" s="1"/>
  <c r="G33" i="6"/>
  <c r="H33" i="6" s="1"/>
  <c r="H32" i="6" s="1"/>
  <c r="D30" i="7" s="1"/>
  <c r="G71" i="6"/>
  <c r="H71" i="6" s="1"/>
  <c r="G52" i="6"/>
  <c r="H52" i="6" s="1"/>
  <c r="H51" i="6" s="1"/>
  <c r="D46" i="7" s="1"/>
  <c r="B23" i="7"/>
  <c r="H189" i="7" l="1"/>
  <c r="H13" i="6"/>
  <c r="D14" i="7" s="1"/>
  <c r="E14" i="7" s="1"/>
  <c r="C13" i="15"/>
  <c r="G46" i="7"/>
  <c r="B102" i="7"/>
  <c r="B150" i="7"/>
  <c r="G77" i="7"/>
  <c r="E77" i="7"/>
  <c r="F77" i="7"/>
  <c r="F46" i="7"/>
  <c r="E46" i="7"/>
  <c r="F30" i="7"/>
  <c r="E30" i="7"/>
  <c r="B39" i="7"/>
  <c r="B166" i="7" s="1"/>
  <c r="B86" i="7"/>
  <c r="B70" i="7"/>
  <c r="B55" i="7"/>
  <c r="H70" i="6"/>
  <c r="D61" i="7" s="1"/>
  <c r="B134" i="7" l="1"/>
  <c r="B198" i="7"/>
  <c r="B214" i="7" s="1"/>
  <c r="B230" i="7" s="1"/>
  <c r="B182" i="7"/>
  <c r="B118" i="7"/>
  <c r="F61" i="7"/>
  <c r="G61" i="7"/>
  <c r="E61" i="7"/>
  <c r="B20" i="7"/>
  <c r="B17" i="7"/>
  <c r="B14" i="7"/>
  <c r="B5" i="7"/>
  <c r="A2" i="7"/>
  <c r="B141" i="7" l="1"/>
  <c r="B93" i="7"/>
  <c r="B144" i="7"/>
  <c r="B96" i="7"/>
  <c r="B99" i="7"/>
  <c r="B147" i="7"/>
  <c r="B52" i="7"/>
  <c r="B36" i="7"/>
  <c r="B163" i="7" s="1"/>
  <c r="B83" i="7"/>
  <c r="B67" i="7"/>
  <c r="B77" i="7"/>
  <c r="B61" i="7"/>
  <c r="B46" i="7"/>
  <c r="B30" i="7"/>
  <c r="B157" i="7" s="1"/>
  <c r="B64" i="7"/>
  <c r="B49" i="7"/>
  <c r="B33" i="7"/>
  <c r="B160" i="7" s="1"/>
  <c r="B80" i="7"/>
  <c r="B131" i="7" l="1"/>
  <c r="B195" i="7"/>
  <c r="B211" i="7" s="1"/>
  <c r="B227" i="7" s="1"/>
  <c r="B128" i="7"/>
  <c r="B192" i="7"/>
  <c r="B208" i="7" s="1"/>
  <c r="B224" i="7" s="1"/>
  <c r="B125" i="7"/>
  <c r="B189" i="7"/>
  <c r="B205" i="7" s="1"/>
  <c r="B221" i="7" s="1"/>
  <c r="B115" i="7"/>
  <c r="B179" i="7"/>
  <c r="B109" i="7"/>
  <c r="B173" i="7"/>
  <c r="B112" i="7"/>
  <c r="B176" i="7"/>
  <c r="F93" i="6"/>
  <c r="F55" i="6"/>
  <c r="F74" i="6"/>
  <c r="F36" i="6"/>
  <c r="H3" i="6"/>
  <c r="G3" i="6"/>
  <c r="A4" i="6"/>
  <c r="A4" i="24" s="1"/>
  <c r="A3" i="6"/>
  <c r="A3" i="24" s="1"/>
  <c r="H67" i="5"/>
  <c r="I63" i="5"/>
  <c r="I62" i="5"/>
  <c r="I61" i="5"/>
  <c r="K49" i="5"/>
  <c r="G42" i="5"/>
  <c r="I64" i="5" s="1"/>
  <c r="D40" i="5"/>
  <c r="D39" i="5"/>
  <c r="K34" i="5"/>
  <c r="J34" i="5"/>
  <c r="K32" i="5"/>
  <c r="J32" i="5"/>
  <c r="K31" i="5"/>
  <c r="J31" i="5"/>
  <c r="K28" i="5"/>
  <c r="J28" i="5"/>
  <c r="K26" i="5"/>
  <c r="J26" i="5"/>
  <c r="H21" i="5"/>
  <c r="B21" i="5"/>
  <c r="H20" i="5"/>
  <c r="H19" i="5"/>
  <c r="H18" i="5"/>
  <c r="H17" i="5"/>
  <c r="H16" i="5"/>
  <c r="H11" i="5"/>
  <c r="D11" i="5"/>
  <c r="H10" i="5"/>
  <c r="D10" i="5"/>
  <c r="H66" i="3"/>
  <c r="I62" i="3"/>
  <c r="I61" i="3"/>
  <c r="I60" i="3"/>
  <c r="K48" i="3"/>
  <c r="D40" i="3"/>
  <c r="D39" i="3"/>
  <c r="K34" i="3"/>
  <c r="J34" i="3"/>
  <c r="K32" i="3"/>
  <c r="J32" i="3"/>
  <c r="K31" i="3"/>
  <c r="J31" i="3"/>
  <c r="K28" i="3"/>
  <c r="J28" i="3"/>
  <c r="D28" i="3" s="1"/>
  <c r="K26" i="3"/>
  <c r="J26" i="3"/>
  <c r="H21" i="3"/>
  <c r="B21" i="3"/>
  <c r="H20" i="3"/>
  <c r="H19" i="3"/>
  <c r="H18" i="3"/>
  <c r="H17" i="3"/>
  <c r="H16" i="3"/>
  <c r="H11" i="3"/>
  <c r="D11" i="3"/>
  <c r="H10" i="3"/>
  <c r="D10" i="3"/>
  <c r="D28" i="5" l="1"/>
  <c r="H12" i="3"/>
  <c r="D12" i="5"/>
  <c r="B12" i="5" s="1"/>
  <c r="K46" i="5" s="1"/>
  <c r="A3" i="21"/>
  <c r="A4" i="21"/>
  <c r="G93" i="6"/>
  <c r="H93" i="6" s="1"/>
  <c r="H92" i="6" s="1"/>
  <c r="G36" i="6"/>
  <c r="H36" i="6" s="1"/>
  <c r="H35" i="6" s="1"/>
  <c r="D33" i="7" s="1"/>
  <c r="G74" i="6"/>
  <c r="H74" i="6" s="1"/>
  <c r="H73" i="6" s="1"/>
  <c r="G55" i="6"/>
  <c r="H55" i="6" s="1"/>
  <c r="D10" i="7"/>
  <c r="E8" i="2"/>
  <c r="F4" i="1"/>
  <c r="D12" i="3"/>
  <c r="B12" i="3" s="1"/>
  <c r="K45" i="3" s="1"/>
  <c r="D34" i="5"/>
  <c r="H4" i="1"/>
  <c r="H22" i="5"/>
  <c r="I14" i="5" s="1"/>
  <c r="D31" i="5"/>
  <c r="D32" i="5"/>
  <c r="H22" i="3"/>
  <c r="B22" i="3" s="1"/>
  <c r="H12" i="5"/>
  <c r="I65" i="5"/>
  <c r="I66" i="5" s="1"/>
  <c r="G63" i="5" s="1"/>
  <c r="D32" i="3"/>
  <c r="D26" i="3"/>
  <c r="D26" i="5"/>
  <c r="D31" i="3"/>
  <c r="D34" i="3"/>
  <c r="H21" i="6"/>
  <c r="H20" i="6"/>
  <c r="H9" i="6"/>
  <c r="D8" i="7" s="1"/>
  <c r="B22" i="5"/>
  <c r="D63" i="5" l="1"/>
  <c r="C18" i="15"/>
  <c r="D31" i="1"/>
  <c r="G73" i="5"/>
  <c r="I67" i="5" s="1"/>
  <c r="G64" i="5"/>
  <c r="E8" i="7"/>
  <c r="F10" i="7"/>
  <c r="E10" i="7"/>
  <c r="G10" i="7"/>
  <c r="H88" i="6"/>
  <c r="E14" i="2" s="1"/>
  <c r="D80" i="7"/>
  <c r="H69" i="6"/>
  <c r="E13" i="2" s="1"/>
  <c r="D64" i="7"/>
  <c r="F33" i="7"/>
  <c r="E33" i="7"/>
  <c r="H31" i="6"/>
  <c r="E11" i="2" s="1"/>
  <c r="H54" i="6"/>
  <c r="E7" i="2"/>
  <c r="H17" i="6"/>
  <c r="I14" i="3"/>
  <c r="B38" i="3" s="1"/>
  <c r="D38" i="3" s="1"/>
  <c r="H19" i="6"/>
  <c r="D20" i="7" s="1"/>
  <c r="H8" i="6"/>
  <c r="C10" i="15" s="1"/>
  <c r="B38" i="5"/>
  <c r="D38" i="5" s="1"/>
  <c r="F38" i="5"/>
  <c r="G37" i="5"/>
  <c r="F37" i="5"/>
  <c r="K48" i="5"/>
  <c r="K47" i="5"/>
  <c r="G67" i="5" s="1"/>
  <c r="K46" i="3"/>
  <c r="K47" i="3"/>
  <c r="H30" i="7" l="1"/>
  <c r="H10" i="7"/>
  <c r="D30" i="1"/>
  <c r="C15" i="15"/>
  <c r="C26" i="15" s="1"/>
  <c r="D10" i="15" s="1"/>
  <c r="J31" i="1"/>
  <c r="E80" i="7"/>
  <c r="H77" i="7" s="1"/>
  <c r="F80" i="7"/>
  <c r="G80" i="7"/>
  <c r="F64" i="7"/>
  <c r="G64" i="7"/>
  <c r="E64" i="7"/>
  <c r="H61" i="7" s="1"/>
  <c r="H50" i="6"/>
  <c r="E12" i="2" s="1"/>
  <c r="D49" i="7"/>
  <c r="E20" i="7"/>
  <c r="H16" i="6"/>
  <c r="F3" i="2"/>
  <c r="F38" i="3"/>
  <c r="F37" i="3"/>
  <c r="G37" i="3"/>
  <c r="G41" i="3" s="1"/>
  <c r="I63" i="3" s="1"/>
  <c r="I64" i="3" s="1"/>
  <c r="I65" i="3" s="1"/>
  <c r="G63" i="3" s="1"/>
  <c r="J30" i="1" l="1"/>
  <c r="G49" i="7"/>
  <c r="E49" i="7"/>
  <c r="H46" i="7" s="1"/>
  <c r="F49" i="7"/>
  <c r="H12" i="6"/>
  <c r="E10" i="2" s="1"/>
  <c r="E9" i="2" s="1"/>
  <c r="D17" i="7"/>
  <c r="D236" i="7" s="1"/>
  <c r="D62" i="3"/>
  <c r="G62" i="3"/>
  <c r="G72" i="3"/>
  <c r="I66" i="3" s="1"/>
  <c r="D63" i="3" s="1"/>
  <c r="G66" i="3"/>
  <c r="E6" i="2"/>
  <c r="H11" i="7" s="1"/>
  <c r="C25" i="1"/>
  <c r="E17" i="7" l="1"/>
  <c r="C7" i="1"/>
  <c r="F25" i="2"/>
  <c r="H14" i="7" l="1"/>
  <c r="C205" i="7"/>
  <c r="C233" i="7"/>
  <c r="C201" i="7"/>
  <c r="C230" i="7"/>
  <c r="C211" i="7"/>
  <c r="C198" i="7"/>
  <c r="C189" i="7"/>
  <c r="C221" i="7"/>
  <c r="C217" i="7"/>
  <c r="C192" i="7"/>
  <c r="C224" i="7"/>
  <c r="C214" i="7"/>
  <c r="C208" i="7"/>
  <c r="C195" i="7"/>
  <c r="C227" i="7"/>
  <c r="C160" i="7"/>
  <c r="C163" i="7"/>
  <c r="C157" i="7"/>
  <c r="C169" i="7"/>
  <c r="C166" i="7"/>
  <c r="C28" i="15"/>
  <c r="D241" i="7"/>
  <c r="C77" i="7"/>
  <c r="C102" i="7"/>
  <c r="C125" i="7"/>
  <c r="C105" i="7"/>
  <c r="C99" i="7"/>
  <c r="C176" i="7"/>
  <c r="C131" i="7"/>
  <c r="C112" i="7"/>
  <c r="C115" i="7"/>
  <c r="C147" i="7"/>
  <c r="C118" i="7"/>
  <c r="C93" i="7"/>
  <c r="C141" i="7"/>
  <c r="C134" i="7"/>
  <c r="C137" i="7"/>
  <c r="C173" i="7"/>
  <c r="C128" i="7"/>
  <c r="C109" i="7"/>
  <c r="C153" i="7"/>
  <c r="C144" i="7"/>
  <c r="C96" i="7"/>
  <c r="C185" i="7"/>
  <c r="C150" i="7"/>
  <c r="C121" i="7"/>
  <c r="C179" i="7"/>
  <c r="C182" i="7"/>
  <c r="C17" i="7"/>
  <c r="D18" i="15"/>
  <c r="C80" i="7"/>
  <c r="C14" i="7"/>
  <c r="C73" i="7"/>
  <c r="D21" i="15"/>
  <c r="C89" i="7"/>
  <c r="C10" i="7"/>
  <c r="C42" i="7"/>
  <c r="C23" i="7"/>
  <c r="C26" i="7"/>
  <c r="C58" i="7"/>
  <c r="C70" i="7"/>
  <c r="C86" i="7"/>
  <c r="C30" i="7"/>
  <c r="C20" i="7"/>
  <c r="C36" i="7"/>
  <c r="C83" i="7"/>
  <c r="C52" i="7"/>
  <c r="C8" i="7"/>
  <c r="C64" i="7"/>
  <c r="C61" i="7"/>
  <c r="C55" i="7"/>
  <c r="C49" i="7"/>
  <c r="D13" i="15"/>
  <c r="D15" i="15"/>
  <c r="C33" i="7"/>
  <c r="C67" i="7"/>
  <c r="C39" i="7"/>
  <c r="D24" i="15"/>
  <c r="C46" i="7"/>
  <c r="G238" i="7"/>
  <c r="F238" i="7"/>
  <c r="B6" i="1"/>
  <c r="C236" i="7" l="1"/>
  <c r="B7" i="1"/>
  <c r="F31" i="1"/>
  <c r="F30" i="1"/>
  <c r="D26" i="15"/>
  <c r="D242" i="7"/>
  <c r="E237" i="7"/>
  <c r="F237" i="7" l="1"/>
  <c r="E238" i="7"/>
  <c r="E239" i="7" s="1"/>
  <c r="F239" i="7" s="1"/>
  <c r="G239" i="7" s="1"/>
  <c r="G237" i="7" l="1"/>
  <c r="D243" i="7" s="1"/>
</calcChain>
</file>

<file path=xl/sharedStrings.xml><?xml version="1.0" encoding="utf-8"?>
<sst xmlns="http://schemas.openxmlformats.org/spreadsheetml/2006/main" count="3753" uniqueCount="433">
  <si>
    <t>OBRA</t>
  </si>
  <si>
    <t xml:space="preserve">PAVIMENTAÇÃO EM PARALELEPÍPEDO DE VIAS </t>
  </si>
  <si>
    <t>SINAPI SEM DESONERAÇÃO</t>
  </si>
  <si>
    <t>SINAPI COM DESONERAÇÃO</t>
  </si>
  <si>
    <t>MUNICÍPIO</t>
  </si>
  <si>
    <t>LOCALIDADE</t>
  </si>
  <si>
    <t>BDI</t>
  </si>
  <si>
    <t>ZONA</t>
  </si>
  <si>
    <t>LEIS SOCIAIS</t>
  </si>
  <si>
    <t>SEM DESONERAÇÃO</t>
  </si>
  <si>
    <t>COM DESONERAÇÃO</t>
  </si>
  <si>
    <t>VALOR TOTAL</t>
  </si>
  <si>
    <t>VALOR (m²)</t>
  </si>
  <si>
    <t>TRECHO</t>
  </si>
  <si>
    <t>ÁREA</t>
  </si>
  <si>
    <t>m²</t>
  </si>
  <si>
    <t xml:space="preserve">EXTENSÃO TOTAL </t>
  </si>
  <si>
    <t>PARCELA DE RELEVÂNCIA SEM DESONERAÇÃO</t>
  </si>
  <si>
    <t>EXIGÊNCIA MÁX.</t>
  </si>
  <si>
    <t>SERVIÇO</t>
  </si>
  <si>
    <t>QUANTIDADE</t>
  </si>
  <si>
    <t>%</t>
  </si>
  <si>
    <t>Assentamento de guia (meio-fio), confeccionada em concreto pré-fabricado, dimensões 100x15x13x30 (comprimento x base inferiror x base superior x altura), para vias urbanas ( m )</t>
  </si>
  <si>
    <t>ÁREA TOTAL (m²):</t>
  </si>
  <si>
    <t>ITEM</t>
  </si>
  <si>
    <t>DISCRIMINAÇÃO</t>
  </si>
  <si>
    <t>UNID.</t>
  </si>
  <si>
    <t>QUANT.</t>
  </si>
  <si>
    <t>PREÇO TOTAL</t>
  </si>
  <si>
    <t>1.0</t>
  </si>
  <si>
    <t>SERVIÇOS PRELIMINARES</t>
  </si>
  <si>
    <t>1.1</t>
  </si>
  <si>
    <t>2.0</t>
  </si>
  <si>
    <t>PAVIMENTAÇÃO DE VIAS EM PARALELEPÍPEDO</t>
  </si>
  <si>
    <t>2.1</t>
  </si>
  <si>
    <t>TOTAL GERAL ORÇAMENTÁRIO..................................................R$</t>
  </si>
  <si>
    <t>Placa de Obra em chapa de aço galvanizado</t>
  </si>
  <si>
    <t>Administração local da obra</t>
  </si>
  <si>
    <t>mês</t>
  </si>
  <si>
    <t xml:space="preserve">PLANILHA RESUMO - SEM DESONERAÇÃO </t>
  </si>
  <si>
    <t>COMPOSIÇÃO DA PARCELA DE BDI (BONIFICAÇÃO E DESPESAS INDIRETAS)</t>
  </si>
  <si>
    <t>TIPO DE BDI</t>
  </si>
  <si>
    <t>X</t>
  </si>
  <si>
    <t>TIPO DE SERVIÇO</t>
  </si>
  <si>
    <t>CONSTRUÇÃO DE EDIFICAÇÕES</t>
  </si>
  <si>
    <t>CONSTRUÇÃO DE RODOVIAS E FERROVIAS</t>
  </si>
  <si>
    <t>CONSTRUÇÃO DE REDES DE ABASTECIMENTO DE ÁGUA, COLETA DE ESGOTO E CONSTRUÇÕES DE CORRELATAS</t>
  </si>
  <si>
    <t>CONSTRUÇÃO E MANUTENÇÃO DE ESTAÇÕES E REDES DE DISTRIBUIÇÃO DE ENERGIA ELÉTRICA</t>
  </si>
  <si>
    <t>OBRAS PORTUÁRIAS, MARÍTIMAS E FLUVIAIS</t>
  </si>
  <si>
    <t>FORNECIMENTO DE MATERIAIS</t>
  </si>
  <si>
    <t>ÍNDICES PERCENTUAIS</t>
  </si>
  <si>
    <t>min</t>
  </si>
  <si>
    <t>max</t>
  </si>
  <si>
    <t>ADMINISTRAÇÃO CENTRAL</t>
  </si>
  <si>
    <t>A =</t>
  </si>
  <si>
    <t>DESPESAS FINANCEIRAS</t>
  </si>
  <si>
    <t>DF =</t>
  </si>
  <si>
    <t>SEGURO, GARANTIA E RISCOS</t>
  </si>
  <si>
    <t>SEGURO + GARANTIA  (S + G) =</t>
  </si>
  <si>
    <t>RISCO (R) =</t>
  </si>
  <si>
    <t>LUCRO</t>
  </si>
  <si>
    <t>L =</t>
  </si>
  <si>
    <t>IMPOSTOS</t>
  </si>
  <si>
    <t>PIS =</t>
  </si>
  <si>
    <t>COFINS =</t>
  </si>
  <si>
    <t xml:space="preserve">T = </t>
  </si>
  <si>
    <t>CÁLCULO</t>
  </si>
  <si>
    <t>LISTA DE ERROS</t>
  </si>
  <si>
    <t>AC =</t>
  </si>
  <si>
    <t>TAXA DE RATEIO DA ADMINISTRAÇÃO CENTRAL</t>
  </si>
  <si>
    <t>S + G =</t>
  </si>
  <si>
    <t>SEGURO E GARANTIA DO EMPREENDIMENTO</t>
  </si>
  <si>
    <t>R =</t>
  </si>
  <si>
    <t>TAXA DE RISCO</t>
  </si>
  <si>
    <t>TAXA DE DESPESAS FINANCEIRAS</t>
  </si>
  <si>
    <t>TAXA DE LUCRO</t>
  </si>
  <si>
    <t>T =</t>
  </si>
  <si>
    <t>TAXA DE TRIBUTOS</t>
  </si>
  <si>
    <t>BDI DE REFERÊNCIAS S/ INSS</t>
  </si>
  <si>
    <t>BDI DE REFERÊNCIAS C/ INSS</t>
  </si>
  <si>
    <t>MÍNIMO</t>
  </si>
  <si>
    <t>MÁXIMO</t>
  </si>
  <si>
    <t>BDI CALCULADO  =</t>
  </si>
  <si>
    <t>DE ACORDO COM:</t>
  </si>
  <si>
    <t>LEI Nº 12.546, DE 14 DE DEZEMBRO DE 2011</t>
  </si>
  <si>
    <t>LEI Nº 13.161, DE 31 DE AGOSTO DE 2015</t>
  </si>
  <si>
    <t>ACÓRDÃO Nº 2622/2013 – TCU – Plenário</t>
  </si>
  <si>
    <t>BDI CALCULADO</t>
  </si>
  <si>
    <r>
      <rPr>
        <b/>
        <sz val="8"/>
        <rFont val="Arial"/>
        <family val="2"/>
      </rPr>
      <t>ENCARGOS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SOCIAIS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SOBRE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MÃO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DE</t>
    </r>
    <r>
      <rPr>
        <sz val="8"/>
        <rFont val="Arial"/>
        <family val="2"/>
      </rPr>
      <t xml:space="preserve">   </t>
    </r>
    <r>
      <rPr>
        <b/>
        <sz val="8"/>
        <rFont val="Arial"/>
        <family val="2"/>
      </rPr>
      <t>OBRA</t>
    </r>
  </si>
  <si>
    <t>CÓDIGO</t>
  </si>
  <si>
    <t>DESCRIÇÃO</t>
  </si>
  <si>
    <r>
      <rPr>
        <b/>
        <sz val="8"/>
        <rFont val="Arial"/>
        <family val="2"/>
      </rPr>
      <t>COM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</si>
  <si>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SEM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DESONERAÇÃO</t>
    </r>
  </si>
  <si>
    <r>
      <rPr>
        <b/>
        <sz val="8"/>
        <rFont val="Arial"/>
        <family val="2"/>
      </rPr>
      <t>HORISTA
%</t>
    </r>
  </si>
  <si>
    <r>
      <rPr>
        <b/>
        <sz val="8"/>
        <rFont val="Arial"/>
        <family val="2"/>
      </rPr>
      <t>MENSALISTA
%</t>
    </r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</si>
  <si>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A</t>
    </r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</si>
  <si>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</si>
  <si>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</si>
  <si>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</si>
  <si>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</si>
  <si>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</si>
  <si>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</si>
  <si>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</si>
  <si>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</si>
  <si>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</si>
  <si>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</si>
  <si>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</si>
  <si>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</si>
  <si>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</si>
  <si>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</si>
  <si>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</si>
  <si>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</si>
  <si>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</si>
  <si>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</si>
  <si>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</si>
  <si>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</si>
  <si>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B</t>
    </r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</si>
  <si>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</si>
  <si>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</si>
  <si>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</si>
  <si>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</si>
  <si>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</si>
  <si>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</si>
  <si>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</si>
  <si>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</si>
  <si>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</si>
  <si>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</si>
  <si>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</si>
  <si>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</si>
  <si>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</si>
  <si>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</si>
  <si>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</si>
  <si>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</si>
  <si>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</si>
  <si>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</si>
  <si>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</si>
  <si>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</si>
  <si>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</si>
  <si>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</si>
  <si>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C</t>
    </r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</si>
  <si>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</si>
  <si>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</si>
  <si>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</si>
  <si>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</si>
  <si>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</si>
  <si>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</si>
  <si>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</si>
  <si>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</si>
  <si>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</si>
  <si>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</si>
  <si>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</si>
  <si>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r>
      <rPr>
        <b/>
        <sz val="8"/>
        <rFont val="Arial"/>
        <family val="2"/>
      </rPr>
      <t>GRUPO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</t>
    </r>
  </si>
  <si>
    <t>D1</t>
  </si>
  <si>
    <t>Reincidência de Grupo A sobre Grupo B</t>
  </si>
  <si>
    <t>D2</t>
  </si>
  <si>
    <t>Reincidência de Grupo A sobre Aviso Prévio Trabalhado e Reincidência do FGTS sobre Aviso
Prévio Indenizado</t>
  </si>
  <si>
    <t>D</t>
  </si>
  <si>
    <t>TOTAL(A+B+C+D)</t>
  </si>
  <si>
    <t>CPRB=</t>
  </si>
  <si>
    <t xml:space="preserve">PLANILHA ORÇAMENTÁRIA </t>
  </si>
  <si>
    <t>PREÇO</t>
  </si>
  <si>
    <t>UNIT. SEM BDI</t>
  </si>
  <si>
    <t>UNIT. COM BDI</t>
  </si>
  <si>
    <t>TOTAL</t>
  </si>
  <si>
    <t>1.2</t>
  </si>
  <si>
    <t>TERRAPLENAGEM</t>
  </si>
  <si>
    <t>Regularização em superficies em terra com motoniveladora</t>
  </si>
  <si>
    <t>3.0</t>
  </si>
  <si>
    <t>PAVIMENTAÇÃO</t>
  </si>
  <si>
    <t>3.1</t>
  </si>
  <si>
    <t>4.0</t>
  </si>
  <si>
    <t>SERVIÇOS COMPLEMENTARES</t>
  </si>
  <si>
    <t>4.1</t>
  </si>
  <si>
    <t>Assentamento de guia (meio-fio), confeccionada em concreto pré-fabricado, dimensões 100x15x13x30 (comprimento x base inferiror x base superior x altura), para vias urbanas</t>
  </si>
  <si>
    <t>m</t>
  </si>
  <si>
    <t>4.2</t>
  </si>
  <si>
    <t>und</t>
  </si>
  <si>
    <t>CRONOGRAMA FÍSICO-FINANCEIRO</t>
  </si>
  <si>
    <t>DISCRIMINAÇÃO DOS SERVIÇOS</t>
  </si>
  <si>
    <t>DIAS</t>
  </si>
  <si>
    <t>1.1.1</t>
  </si>
  <si>
    <t>1.1.2</t>
  </si>
  <si>
    <t>VALOR TOTAL (R$)</t>
  </si>
  <si>
    <t>TOTAL (%)</t>
  </si>
  <si>
    <t>PESO                      (%)</t>
  </si>
  <si>
    <t>PAVIMENTAÇÃO EM PARALELEPÍPEDO</t>
  </si>
  <si>
    <t>COMPOSIÇÕES DE CUSTO UNITÁRIOS - CCU</t>
  </si>
  <si>
    <t>BDI SERVIÇOS:</t>
  </si>
  <si>
    <t>Código</t>
  </si>
  <si>
    <t>Descrição</t>
  </si>
  <si>
    <t>Unidade</t>
  </si>
  <si>
    <t>Coeficiente</t>
  </si>
  <si>
    <t>Preço</t>
  </si>
  <si>
    <t>SINAPI</t>
  </si>
  <si>
    <t xml:space="preserve"> 88262 </t>
  </si>
  <si>
    <t>H</t>
  </si>
  <si>
    <t xml:space="preserve"> 88316 </t>
  </si>
  <si>
    <t>m³</t>
  </si>
  <si>
    <t>M</t>
  </si>
  <si>
    <t xml:space="preserve"> 00004813 </t>
  </si>
  <si>
    <t>KG</t>
  </si>
  <si>
    <t>TOTAL:</t>
  </si>
  <si>
    <t>h</t>
  </si>
  <si>
    <t>Servente com encargos complementares</t>
  </si>
  <si>
    <t xml:space="preserve"> 88309 </t>
  </si>
  <si>
    <t xml:space="preserve"> 00000370 </t>
  </si>
  <si>
    <t xml:space="preserve"> 00004517 </t>
  </si>
  <si>
    <t xml:space="preserve"> 00034492 </t>
  </si>
  <si>
    <t xml:space="preserve"> 88629 </t>
  </si>
  <si>
    <t xml:space="preserve"> 00004059 </t>
  </si>
  <si>
    <t xml:space="preserve"> 00006212 </t>
  </si>
  <si>
    <t>COM DESONERAÇÃO
BDI: 28,14%</t>
  </si>
  <si>
    <t xml:space="preserve">OBRA: PAVIMENTAÇÃO EM PARALELEPÍPEDO </t>
  </si>
  <si>
    <t>VALOR DAS OBRAS E SERVIÇOS  (R$)</t>
  </si>
  <si>
    <t>BANCA: SINAPI 01/2024 / ORSE 12/2023 - Sem desoneração - Horista: 114,54 % / Mensalista: 71,62% - BDI: 21,96 %</t>
  </si>
  <si>
    <t xml:space="preserve">TRANSPORTE </t>
  </si>
  <si>
    <t>t.Km</t>
  </si>
  <si>
    <t>5.0</t>
  </si>
  <si>
    <t>5.1</t>
  </si>
  <si>
    <t xml:space="preserve">QUADRO DE COMPOSIÇÃO DO INVESTIMENTO - QCI </t>
  </si>
  <si>
    <t>ENCARGOS HORISTAS:</t>
  </si>
  <si>
    <t>ENCARGOS MENSALISTAS:</t>
  </si>
  <si>
    <t xml:space="preserve">DISCRIMINAÇÃO </t>
  </si>
  <si>
    <t xml:space="preserve">ITEM </t>
  </si>
  <si>
    <t>VALOR R$</t>
  </si>
  <si>
    <t xml:space="preserve">TERRAPLENAGEM </t>
  </si>
  <si>
    <t xml:space="preserve">PAVIMENTAÇÃO </t>
  </si>
  <si>
    <t xml:space="preserve">SERVIÇOS COMPLEMENTARES </t>
  </si>
  <si>
    <t>Banco</t>
  </si>
  <si>
    <t>Und</t>
  </si>
  <si>
    <t>Quant.</t>
  </si>
  <si>
    <t>Valor Unit</t>
  </si>
  <si>
    <t>TXKM</t>
  </si>
  <si>
    <t xml:space="preserve"> 91386 </t>
  </si>
  <si>
    <t>CHP</t>
  </si>
  <si>
    <t xml:space="preserve"> 91387 </t>
  </si>
  <si>
    <t>CHI</t>
  </si>
  <si>
    <t xml:space="preserve">TCE PI - DESMONTE MANUAL DE ROCHA DE ORIGEM ARENITICA </t>
  </si>
  <si>
    <t xml:space="preserve">Unid.: milheiro </t>
  </si>
  <si>
    <t xml:space="preserve">Pedreiro com encargos complementares </t>
  </si>
  <si>
    <t>COTAÇÃO INDENIZAÇÃO</t>
  </si>
  <si>
    <t xml:space="preserve">Indenização de Jazida </t>
  </si>
  <si>
    <t>milheiro</t>
  </si>
  <si>
    <t>Quantidade</t>
  </si>
  <si>
    <t>mil/m²</t>
  </si>
  <si>
    <t>t/m³</t>
  </si>
  <si>
    <t>Km</t>
  </si>
  <si>
    <t>OBJETO:  PAVIMENTAÇÃO DE VIAS PÚBLICAS NO MUNÍCIO DE REDENÇÃO DO GURGUEIA  -PI</t>
  </si>
  <si>
    <t>FONTE:  
SINAPI 02/2025</t>
  </si>
  <si>
    <t xml:space="preserve">LOCAL: BREJÃO DOS AIPINS </t>
  </si>
  <si>
    <t>103689/SINAPI PI</t>
  </si>
  <si>
    <t>COMP. SADA 01</t>
  </si>
  <si>
    <t>COMP. SADA 02</t>
  </si>
  <si>
    <t>Execução de pavimento em paralelepípedos, rejuntamento com argamassa traço 1:3 (cimento e areia)</t>
  </si>
  <si>
    <t>6.0</t>
  </si>
  <si>
    <t>SINALIZAÇÃO</t>
  </si>
  <si>
    <t>6.1</t>
  </si>
  <si>
    <t>COMP. SADA 03</t>
  </si>
  <si>
    <t>Execução de sarjeta de concreto usinado, moldada in loco em trecho reto, 30 cm base x  3 cm altura</t>
  </si>
  <si>
    <t xml:space="preserve">Placa esmaltada para identificação de nome de rua, dimensões 45 x 20 cm com tubo de aço - 2 placas </t>
  </si>
  <si>
    <t xml:space="preserve"> 103689 </t>
  </si>
  <si>
    <t xml:space="preserve"> 102234 </t>
  </si>
  <si>
    <t xml:space="preserve"> 00004509 </t>
  </si>
  <si>
    <t xml:space="preserve"> 00005065 </t>
  </si>
  <si>
    <t xml:space="preserve"> 00005069 </t>
  </si>
  <si>
    <t xml:space="preserve"> 100575 </t>
  </si>
  <si>
    <t xml:space="preserve"> 5901 </t>
  </si>
  <si>
    <t xml:space="preserve"> 5903 </t>
  </si>
  <si>
    <t xml:space="preserve"> 5932 </t>
  </si>
  <si>
    <t xml:space="preserve"> 5934 </t>
  </si>
  <si>
    <t xml:space="preserve"> 73436 </t>
  </si>
  <si>
    <t xml:space="preserve"> 93244 </t>
  </si>
  <si>
    <t xml:space="preserve"> 94273 </t>
  </si>
  <si>
    <t>COMP. SADA 04</t>
  </si>
  <si>
    <t>UN</t>
  </si>
  <si>
    <t>COMP. SADA 05</t>
  </si>
  <si>
    <t>Fornecimento e instalação de suporte metálico galvanizado para placas de sinalização em solo, com h= de 2,5 m e diâmetro de 2''. af_03/2022</t>
  </si>
  <si>
    <t>5.2</t>
  </si>
  <si>
    <t>Transporte com caminhão basculante de 10 m³, em via urbana pavimentada, dmt até 30 km (unidade: txkm). af_07/2020</t>
  </si>
  <si>
    <t>Transporte com caminhão basculante de 10 m³, em via urbana pavimentada, adicional para dmt excedente a 30 km (unidade: txkm). af_07/2020</t>
  </si>
  <si>
    <t xml:space="preserve"> 95878 </t>
  </si>
  <si>
    <t xml:space="preserve"> 93596 </t>
  </si>
  <si>
    <t>MEMÓRIA DE CÁLCULO</t>
  </si>
  <si>
    <t>Comprimento</t>
  </si>
  <si>
    <t>Largura</t>
  </si>
  <si>
    <t>u n</t>
  </si>
  <si>
    <t>Área total (projeto)</t>
  </si>
  <si>
    <t xml:space="preserve">Quantidade </t>
  </si>
  <si>
    <t>Quantidade (medição atual)</t>
  </si>
  <si>
    <t>Comprimento =</t>
  </si>
  <si>
    <t>Largura da rua =</t>
  </si>
  <si>
    <t>Comprimento total (projeto)</t>
  </si>
  <si>
    <t>Execução de sarjeta de concreto usinado, moldada in loco em trecho reto, 30 cm base x 3 cm altura</t>
  </si>
  <si>
    <t xml:space="preserve">SINALIZAÇÃO </t>
  </si>
  <si>
    <t>Quantidade projeto</t>
  </si>
  <si>
    <t>Área</t>
  </si>
  <si>
    <t xml:space="preserve">Consumo </t>
  </si>
  <si>
    <t xml:space="preserve">Volume </t>
  </si>
  <si>
    <t>m³/m²</t>
  </si>
  <si>
    <t xml:space="preserve">Peso Específico </t>
  </si>
  <si>
    <t xml:space="preserve">DMT </t>
  </si>
  <si>
    <t>6.2</t>
  </si>
  <si>
    <t xml:space="preserve">Área total </t>
  </si>
  <si>
    <t xml:space="preserve">DMT Obra à Jazida </t>
  </si>
  <si>
    <t xml:space="preserve">Km </t>
  </si>
  <si>
    <t xml:space="preserve">Contenção </t>
  </si>
  <si>
    <t>Quantidade total (medição atual)</t>
  </si>
  <si>
    <t xml:space="preserve">Total </t>
  </si>
  <si>
    <t>txKm</t>
  </si>
  <si>
    <t>LOCAL: REDENÇÃO DO GURGUEIA- PI</t>
  </si>
  <si>
    <t>BANCA: SINAPI 02/2025 - Com desoneração - Horista: 90,66 % / Mensalista: 52,90% - BDI: 28,14 %</t>
  </si>
  <si>
    <t>HORISTA: 90,66%
MENSALISTA: 52,90%</t>
  </si>
  <si>
    <t>HORISTA: 113,33%
MENSALISTA: 71,12%</t>
  </si>
  <si>
    <t>SEM DESONERAÇÃO 
BDI: 21,96%</t>
  </si>
  <si>
    <t>2.2</t>
  </si>
  <si>
    <t>2.3</t>
  </si>
  <si>
    <t>2.4</t>
  </si>
  <si>
    <t>2.5</t>
  </si>
  <si>
    <t xml:space="preserve">RUA PACAJÚ </t>
  </si>
  <si>
    <t>RUA 07 DE ABRIL</t>
  </si>
  <si>
    <t>RUA PROJETADA 01 - COMUNIDADE ALIVIO</t>
  </si>
  <si>
    <t>PROJETADA 01 - COMUNIDADE LAGOA DO PIRIPIRI</t>
  </si>
  <si>
    <t>URBANA E RURAL</t>
  </si>
  <si>
    <t>JOSÉ DE FREITAS</t>
  </si>
  <si>
    <t>DIVERSAS</t>
  </si>
  <si>
    <t>Pedreira no Município de Altos</t>
  </si>
  <si>
    <t>PROJETADA 01 - COMUNIDADE GRACIOSA</t>
  </si>
  <si>
    <t>2.6</t>
  </si>
  <si>
    <t>2.7</t>
  </si>
  <si>
    <t>2.8</t>
  </si>
  <si>
    <t>2.9</t>
  </si>
  <si>
    <t>2.10</t>
  </si>
  <si>
    <t>SINAPI 05/2025</t>
  </si>
  <si>
    <t xml:space="preserve"> 1.1 </t>
  </si>
  <si>
    <t>Composição</t>
  </si>
  <si>
    <t>FORNECIMENTO E INSTALAÇÃO DE PLACA DE OBRA COM CHAPA GALVANIZADA E ESTRUTURA DE MADEIRA. AF_03/2022_PS</t>
  </si>
  <si>
    <t>Composição Auxiliar</t>
  </si>
  <si>
    <t>PINTURA IMUNIZANTE PARA MADEIRA, 2 DEMÃOS. AF_01/2021</t>
  </si>
  <si>
    <t>CARPINTEIRO DE FORMAS COM ENCARGOS COMPLEMENTARES</t>
  </si>
  <si>
    <t>SERVENTE COM ENCARGOS COMPLEMENTARES</t>
  </si>
  <si>
    <t>Insumo</t>
  </si>
  <si>
    <t>PLACA DE OBRA (PARA CONSTRUCAO CIVIL) EM CHAPA GALVANIZADA *N. 22*, ADESIVADA, DE *2,4 X 1,2* M (SEM POSTES PARA FIXACAO)</t>
  </si>
  <si>
    <t>M²</t>
  </si>
  <si>
    <t>SARRAFO *2,5 X 10* CM EM PINUS, MISTA OU EQUIVALENTE DA REGIAO - BRUTA</t>
  </si>
  <si>
    <t>PREGO DE ACO POLIDO COM CABECA 17 X 27 (2 1/2 X 11)</t>
  </si>
  <si>
    <t>PREGO DE ACO POLIDO COM CABECA 10 X 10 (7/8 X 17)</t>
  </si>
  <si>
    <t>LS =&gt;</t>
  </si>
  <si>
    <t>MO com LS =&gt;</t>
  </si>
  <si>
    <t>Valor com BDI =&gt;</t>
  </si>
  <si>
    <t>Quant. =&gt;</t>
  </si>
  <si>
    <t>1,00</t>
  </si>
  <si>
    <t>Preço Total =&gt;</t>
  </si>
  <si>
    <t xml:space="preserve"> 1.2 </t>
  </si>
  <si>
    <t xml:space="preserve"> COMPOSIÇÃO SADA 02 </t>
  </si>
  <si>
    <t>Próprio</t>
  </si>
  <si>
    <t>ADMINISTRAÇÃO LOCAL DA OBRA</t>
  </si>
  <si>
    <t xml:space="preserve"> 90776 </t>
  </si>
  <si>
    <t>ENCARREGADO GERAL COM ENCARGOS COMPLEMENTARES</t>
  </si>
  <si>
    <t xml:space="preserve"> 90766 </t>
  </si>
  <si>
    <t>ALMOXARIFE COM ENCARGOS COMPLEMENTARES</t>
  </si>
  <si>
    <t xml:space="preserve"> 90777 </t>
  </si>
  <si>
    <t>ENGENHEIRO CIVIL DE OBRA JUNIOR COM ENCARGOS COMPLEMENTARES</t>
  </si>
  <si>
    <t xml:space="preserve"> 2.1 </t>
  </si>
  <si>
    <t>REGULARIZAÇÃO DE SUPERFÍCIES COM MOTONIVELADORA. AF_09/2024</t>
  </si>
  <si>
    <t>CAMINHÃO PIPA 10.000 L TRUCADO, PESO BRUTO TOTAL 23.000 KG, CARGA ÚTIL MÁXIMA 15.935 KG, DISTÂNCIA ENTRE EIXOS 4,8 M, POTÊNCIA 230 CV, INCLUSIVE TANQUE DE AÇO PARA TRANSPORTE DE ÁGUA - CHI DIURNO. AF_06/2014</t>
  </si>
  <si>
    <t>MOTONIVELADORA POTÊNCIA BÁSICA LÍQUIDA (PRIMEIRA MARCHA) 125 HP, PESO BRUTO 13032 KG, LARGURA DA LÂMINA DE 3,7 M - CHI DIURNO. AF_06/2014</t>
  </si>
  <si>
    <t>ROLO COMPACTADOR VIBRATÓRIO PÉ DE CARNEIRO PARA SOLOS, POTÊNCIA 80 HP, PESO OPERACIONAL SEM/COM LASTRO 7,4 / 8,8 T, LARGURA DE TRABALHO 1,68 M - CHP DIURNO. AF_02/2016</t>
  </si>
  <si>
    <t>CAMINHÃO PIPA 10.000 L TRUCADO, PESO BRUTO TOTAL 23.000 KG, CARGA ÚTIL MÁXIMA 15.935 KG, DISTÂNCIA ENTRE EIXOS 4,8 M, POTÊNCIA 230 CV, INCLUSIVE TANQUE DE AÇO PARA TRANSPORTE DE ÁGUA - CHP DIURNO. AF_06/2014</t>
  </si>
  <si>
    <t>ROLO COMPACTADOR VIBRATÓRIO PÉ DE CARNEIRO PARA SOLOS, POTÊNCIA 80 HP, PESO OPERACIONAL SEM/COM LASTRO 7,4 / 8,8 T, LARGURA DE TRABALHO 1,68 M - CHI DIURNO. AF_02/2016</t>
  </si>
  <si>
    <t>MOTONIVELADORA POTÊNCIA BÁSICA LÍQUIDA (PRIMEIRA MARCHA) 125 HP, PESO BRUTO 13032 KG, LARGURA DA LÂMINA DE 3,7 M - CHP DIURNO. AF_06/2014</t>
  </si>
  <si>
    <t xml:space="preserve"> 2.2 </t>
  </si>
  <si>
    <t xml:space="preserve"> COMPOSIÇÃO SADA 08 </t>
  </si>
  <si>
    <t>REFERÊNCIA SINAPI (101169) - EXECUÇÃO DE PAVIMENTO EM PARALELEPÍPEDOS, REJUNTAMENTO COM ARGAMASSA TRAÇO 1:3 (CIMENTO E AREIA). AF_05/2020</t>
  </si>
  <si>
    <t xml:space="preserve"> 88260 </t>
  </si>
  <si>
    <t>CALCETEIRO COM ENCARGOS COMPLEMENTARES</t>
  </si>
  <si>
    <t xml:space="preserve"> 5685 </t>
  </si>
  <si>
    <t>ROLO COMPACTADOR VIBRATÓRIO DE UM CILINDRO AÇO LISO, POTÊNCIA 80 HP, PESO OPERACIONAL MÁXIMO 8,1 T, IMPACTO DINÂMICO 16,15 / 9,5 T, LARGURA DE TRABALHO 1,68 M - CHI DIURNO. AF_06/2014</t>
  </si>
  <si>
    <t xml:space="preserve"> 88628 </t>
  </si>
  <si>
    <t>ARGAMASSA TRAÇO 1:3 (EM VOLUME DE CIMENTO E AREIA MÉDIA ÚMIDA), PREPARO MECÂNICO COM BETONEIRA 400 L. AF_08/2019</t>
  </si>
  <si>
    <t xml:space="preserve"> COMPOSIÇÃO SADA 06 </t>
  </si>
  <si>
    <t>Desmonte manual de rocha de origem arenitica</t>
  </si>
  <si>
    <t>Milheiro</t>
  </si>
  <si>
    <t xml:space="preserve"> 5684 </t>
  </si>
  <si>
    <t>ROLO COMPACTADOR VIBRATÓRIO DE UM CILINDRO AÇO LISO, POTÊNCIA 80 HP, PESO OPERACIONAL MÁXIMO 8,1 T, IMPACTO DINÂMICO 16,15 / 9,5 T, LARGURA DE TRABALHO 1,68 M - CHP DIURNO. AF_06/2014</t>
  </si>
  <si>
    <t xml:space="preserve"> 00000367 </t>
  </si>
  <si>
    <t>AREIA GROSSA - POSTO JAZIDA/FORNECEDOR (RETIRADO NA JAZIDA, SEM TRANSPORTE)</t>
  </si>
  <si>
    <t>M³</t>
  </si>
  <si>
    <t xml:space="preserve"> 2.3 </t>
  </si>
  <si>
    <t>ASSENTAMENTO DE GUIA (MEIO-FIO) EM TRECHO RETO, CONFECCIONADA EM CONCRETO PRÉ-FABRICADO, DIMENSÕES 100X15X13X30 CM (COMPRIMENTO X BASE INFERIOR X BASE SUPERIOR X ALTURA). AF_01/2024</t>
  </si>
  <si>
    <t>ARGAMASSA TRAÇO 1:3 (EM VOLUME DE CIMENTO E AREIA MÉDIA ÚMIDA), PREPARO MANUAL. AF_08/2019</t>
  </si>
  <si>
    <t>PEDREIRO COM ENCARGOS COMPLEMENTARES</t>
  </si>
  <si>
    <t>AREIA MEDIA - POSTO JAZIDA/FORNECEDOR (RETIRADO NA JAZIDA, SEM TRANSPORTE)</t>
  </si>
  <si>
    <t>MEIO-FIO OU GUIA DE CONCRETO, PRE-MOLDADO, COMP 1 M, *30 X 12/15* CM (H X L1/L2)</t>
  </si>
  <si>
    <t xml:space="preserve"> 2.4 </t>
  </si>
  <si>
    <t xml:space="preserve"> COMPOSIÇÃO SADA 003 </t>
  </si>
  <si>
    <t>CONCRETO USINADO BOMBEAVEL, CLASSE DE RESISTENCIA C20, COM BRITA 0 E 1, SLUMP = 100 +/- 20 MM, EXCLUI SERVICO DE BOMBEAMENTO (NBR 8953)</t>
  </si>
  <si>
    <t>SARRAFO *2,5 X 7,5* CM EM PINUS, MISTA OU EQUIVALENTE DA REGIAO - BRUTA</t>
  </si>
  <si>
    <t>TABUA *2,5 X 30 CM EM PINUS, MISTA OU EQUIVALENTE DA REGIAO - BRUTA</t>
  </si>
  <si>
    <t xml:space="preserve"> 2.5 </t>
  </si>
  <si>
    <t>TRANSPORTE COM CAMINHÃO BASCULANTE DE 10 M³, EM VIA URBANA PAVIMENTADA, DMT ATÉ 30 KM (UNIDADE: TXKM). AF_07/2020</t>
  </si>
  <si>
    <t>CAMINHÃO BASCULANTE 10 M3, TRUCADO CABINE SIMPLES, PESO BRUTO TOTAL 23.000 KG, CARGA ÚTIL MÁXIMA 15.935 KG, DISTÂNCIA ENTRE EIXOS 4,80 M, POTÊNCIA 230 CV INCLUSIVE CAÇAMBA METÁLICA - CHP DIURNO. AF_06/2014</t>
  </si>
  <si>
    <t>CAMINHÃO BASCULANTE 10 M3, TRUCADO CABINE SIMPLES, PESO BRUTO TOTAL 23.000 KG, CARGA ÚTIL MÁXIMA 15.935 KG, DISTÂNCIA ENTRE EIXOS 4,80 M, POTÊNCIA 230 CV INCLUSIVE CAÇAMBA METÁLICA - CHI DIURNO. AF_06/2014</t>
  </si>
  <si>
    <t xml:space="preserve"> 2.6 </t>
  </si>
  <si>
    <t>TRANSPORTE COM CAMINHÃO BASCULANTE DE 10 M³, EM VIA URBANA PAVIMENTADA, ADICIONAL PARA DMT EXCEDENTE A 30 KM (UNIDADE: TXKM). AF_07/2020</t>
  </si>
  <si>
    <t xml:space="preserve"> 3.1 </t>
  </si>
  <si>
    <t xml:space="preserve"> COMPOSIÇÃO SADA 004 </t>
  </si>
  <si>
    <t>Placa esmaltada para identificação de nome de rua, dimensões 45 x 20 cm com tubo de aço - 2 placas</t>
  </si>
  <si>
    <t xml:space="preserve"> 88278 </t>
  </si>
  <si>
    <t>MONTADOR DE ESTRUTURA METÁLICA COM ENCARGOS COMPLEMENTARES</t>
  </si>
  <si>
    <t xml:space="preserve"> 00034723 </t>
  </si>
  <si>
    <t>PLACA DE SINALIZACAO EM CHAPA DE ACO NUM 16 COM PINTURA REFLETIVA</t>
  </si>
  <si>
    <t xml:space="preserve"> 00011927 </t>
  </si>
  <si>
    <t>ABRACADEIRA, GALVANIZADA/ZINCADA, ROSCA SEM FIM, PARAFUSO INOX, LARGURA FITA *12,6 A *14 MM, D = 2" A 2 1/2"</t>
  </si>
  <si>
    <t xml:space="preserve"> 3.2 </t>
  </si>
  <si>
    <t xml:space="preserve"> COMPOSIÇÃO SADA 005 </t>
  </si>
  <si>
    <t xml:space="preserve"> 102486 </t>
  </si>
  <si>
    <t>CONCRETO FCK = 15MPA, TRAÇO 1:3,4:3,4 (EM MASSA SECA DE CIMENTO/ AREIA MÉDIA/ SEIXO ROLADO) - PREPARO MANUAL. AF_05/2021</t>
  </si>
  <si>
    <t xml:space="preserve"> 00021148 </t>
  </si>
  <si>
    <t>TUBO ACO CARBONO SEM COSTURA 2", E= *3,91* MM, SCHEDULE 40, *5,43* KG/M</t>
  </si>
  <si>
    <t>RUA ANTONIO ANANIAS SAMPAIO</t>
  </si>
  <si>
    <t>RUA PROJETADA 257</t>
  </si>
  <si>
    <t>RUA DEUSDETH ROCHA</t>
  </si>
  <si>
    <t xml:space="preserve">RUA FRANCISCO FORTES MARTINS </t>
  </si>
  <si>
    <t>RUA MANOEL SENHOR</t>
  </si>
  <si>
    <t>RUA PROJETADA 08</t>
  </si>
  <si>
    <t>RUA PROJETADA 09</t>
  </si>
  <si>
    <t>RUA PROJETADA (LAGOA FUNDA)</t>
  </si>
  <si>
    <t xml:space="preserve">RUA COQUEIRO VERDE </t>
  </si>
  <si>
    <t>2.11</t>
  </si>
  <si>
    <t>2.12</t>
  </si>
  <si>
    <t>2.13</t>
  </si>
  <si>
    <t>2.14</t>
  </si>
  <si>
    <t>FONTE:  
SINAPI 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</si>
</sst>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General\ &quot;m²&quot;"/>
    <numFmt numFmtId="165" formatCode="_(* #,##0.00_);_(* \(#,##0.00\);_(* &quot;-&quot;??_);_(@_)"/>
    <numFmt numFmtId="166" formatCode="&quot;R$&quot;\ #,##0.00"/>
    <numFmt numFmtId="167" formatCode="#,##0.00;[Red]#,##0.00"/>
    <numFmt numFmtId="168" formatCode="&quot;R$&quot;\ #,##0.00;[Red]&quot;R$&quot;\ #,##0.00"/>
    <numFmt numFmtId="169" formatCode="0.0000"/>
    <numFmt numFmtId="170" formatCode="0.0000%"/>
    <numFmt numFmtId="171" formatCode="_(&quot;R$ &quot;* #,##0.00_);_(&quot;R$ &quot;* \(#,##0.00\);_(&quot;R$ &quot;* &quot;-&quot;??_);_(@_)"/>
    <numFmt numFmtId="172" formatCode="#,##0.0000;[Red]#,##0.0000"/>
    <numFmt numFmtId="173" formatCode="#,##0.0000000"/>
    <numFmt numFmtId="174" formatCode="_(* #,##0.000_);_(* \(#,##0.0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8"/>
      <color theme="0"/>
      <name val="Arial"/>
      <family val="2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rgb="FF00B0F0"/>
      <name val="Arial"/>
      <family val="2"/>
    </font>
    <font>
      <sz val="10"/>
      <color rgb="FFFF0000"/>
      <name val="Times New Roman"/>
      <family val="1"/>
    </font>
    <font>
      <sz val="10"/>
      <color rgb="FFFFC000"/>
      <name val="Times New Roman"/>
      <family val="1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470">
    <xf numFmtId="0" fontId="0" fillId="0" borderId="0" xfId="0"/>
    <xf numFmtId="0" fontId="2" fillId="0" borderId="5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2" borderId="2" xfId="0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10" fontId="3" fillId="0" borderId="2" xfId="3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167" fontId="7" fillId="0" borderId="7" xfId="1" applyNumberFormat="1" applyFont="1" applyFill="1" applyBorder="1" applyAlignment="1">
      <alignment horizontal="center" vertical="center" wrapText="1"/>
    </xf>
    <xf numFmtId="167" fontId="7" fillId="0" borderId="4" xfId="1" applyNumberFormat="1" applyFont="1" applyFill="1" applyBorder="1" applyAlignment="1">
      <alignment horizontal="center" vertical="center" wrapText="1"/>
    </xf>
    <xf numFmtId="168" fontId="5" fillId="5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2" fontId="9" fillId="0" borderId="0" xfId="4" applyNumberFormat="1" applyFont="1" applyAlignment="1" applyProtection="1">
      <alignment horizontal="center" vertical="center"/>
      <protection hidden="1"/>
    </xf>
    <xf numFmtId="10" fontId="9" fillId="0" borderId="0" xfId="4" applyNumberFormat="1" applyFont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center" vertical="center"/>
      <protection hidden="1"/>
    </xf>
    <xf numFmtId="0" fontId="4" fillId="0" borderId="15" xfId="4" applyFont="1" applyBorder="1" applyAlignment="1" applyProtection="1">
      <alignment horizontal="center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5" xfId="4" applyFont="1" applyBorder="1" applyAlignment="1" applyProtection="1">
      <alignment vertical="center"/>
      <protection hidden="1"/>
    </xf>
    <xf numFmtId="0" fontId="6" fillId="0" borderId="3" xfId="4" applyFont="1" applyBorder="1" applyAlignment="1" applyProtection="1">
      <alignment vertical="center"/>
      <protection hidden="1"/>
    </xf>
    <xf numFmtId="2" fontId="4" fillId="0" borderId="2" xfId="4" applyNumberFormat="1" applyFont="1" applyBorder="1" applyAlignment="1" applyProtection="1">
      <alignment horizontal="center" vertical="center"/>
      <protection locked="0" hidden="1"/>
    </xf>
    <xf numFmtId="2" fontId="10" fillId="0" borderId="0" xfId="4" applyNumberFormat="1" applyFont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/>
      <protection hidden="1"/>
    </xf>
    <xf numFmtId="2" fontId="4" fillId="0" borderId="0" xfId="4" applyNumberFormat="1" applyFont="1" applyAlignment="1" applyProtection="1">
      <alignment horizontal="center" vertical="center"/>
      <protection locked="0"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2" fontId="10" fillId="0" borderId="15" xfId="4" applyNumberFormat="1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vertical="center" wrapText="1"/>
      <protection hidden="1"/>
    </xf>
    <xf numFmtId="0" fontId="4" fillId="0" borderId="16" xfId="4" applyFont="1" applyBorder="1" applyAlignment="1" applyProtection="1">
      <alignment horizontal="center" vertical="center"/>
      <protection hidden="1"/>
    </xf>
    <xf numFmtId="2" fontId="10" fillId="0" borderId="18" xfId="4" applyNumberFormat="1" applyFont="1" applyBorder="1" applyAlignment="1" applyProtection="1">
      <alignment horizontal="center" vertical="center"/>
      <protection hidden="1"/>
    </xf>
    <xf numFmtId="2" fontId="10" fillId="0" borderId="19" xfId="4" applyNumberFormat="1" applyFont="1" applyBorder="1" applyAlignment="1" applyProtection="1">
      <alignment horizontal="center" vertical="center"/>
      <protection hidden="1"/>
    </xf>
    <xf numFmtId="2" fontId="4" fillId="0" borderId="21" xfId="4" applyNumberFormat="1" applyFont="1" applyBorder="1" applyAlignment="1" applyProtection="1">
      <alignment horizontal="center" vertical="center"/>
      <protection hidden="1"/>
    </xf>
    <xf numFmtId="2" fontId="4" fillId="0" borderId="0" xfId="4" applyNumberFormat="1" applyFont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alignment horizontal="right" vertical="center"/>
      <protection hidden="1"/>
    </xf>
    <xf numFmtId="0" fontId="6" fillId="0" borderId="18" xfId="4" applyFont="1" applyBorder="1" applyAlignment="1" applyProtection="1">
      <alignment horizontal="center" vertical="center"/>
      <protection hidden="1"/>
    </xf>
    <xf numFmtId="2" fontId="4" fillId="0" borderId="17" xfId="4" applyNumberFormat="1" applyFont="1" applyBorder="1" applyAlignment="1" applyProtection="1">
      <alignment horizontal="center" vertical="center"/>
      <protection hidden="1"/>
    </xf>
    <xf numFmtId="0" fontId="11" fillId="0" borderId="0" xfId="4" applyFont="1" applyAlignment="1" applyProtection="1">
      <alignment horizontal="center" vertical="center"/>
      <protection hidden="1"/>
    </xf>
    <xf numFmtId="2" fontId="6" fillId="0" borderId="21" xfId="4" applyNumberFormat="1" applyFont="1" applyBorder="1" applyAlignment="1" applyProtection="1">
      <alignment horizontal="center" vertical="center"/>
      <protection hidden="1"/>
    </xf>
    <xf numFmtId="2" fontId="6" fillId="0" borderId="22" xfId="4" applyNumberFormat="1" applyFont="1" applyBorder="1" applyAlignment="1" applyProtection="1">
      <alignment horizontal="center" vertical="center"/>
      <protection hidden="1"/>
    </xf>
    <xf numFmtId="0" fontId="6" fillId="0" borderId="5" xfId="4" applyFont="1" applyBorder="1" applyAlignment="1" applyProtection="1">
      <alignment horizontal="center" vertical="center"/>
      <protection hidden="1"/>
    </xf>
    <xf numFmtId="2" fontId="6" fillId="0" borderId="15" xfId="4" applyNumberFormat="1" applyFont="1" applyBorder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left" vertical="center"/>
      <protection hidden="1"/>
    </xf>
    <xf numFmtId="0" fontId="6" fillId="0" borderId="7" xfId="4" applyFont="1" applyBorder="1" applyAlignment="1" applyProtection="1">
      <alignment horizontal="center" vertical="center"/>
      <protection hidden="1"/>
    </xf>
    <xf numFmtId="0" fontId="6" fillId="0" borderId="7" xfId="4" applyFont="1" applyBorder="1" applyAlignment="1" applyProtection="1">
      <alignment horizontal="right" vertical="center"/>
      <protection hidden="1"/>
    </xf>
    <xf numFmtId="10" fontId="6" fillId="0" borderId="4" xfId="4" applyNumberFormat="1" applyFont="1" applyBorder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left" vertical="center"/>
      <protection hidden="1"/>
    </xf>
    <xf numFmtId="10" fontId="6" fillId="0" borderId="0" xfId="4" applyNumberFormat="1" applyFont="1" applyAlignment="1" applyProtection="1">
      <alignment horizontal="center" vertical="center"/>
      <protection hidden="1"/>
    </xf>
    <xf numFmtId="10" fontId="6" fillId="0" borderId="4" xfId="5" applyNumberFormat="1" applyFont="1" applyFill="1" applyBorder="1" applyAlignment="1" applyProtection="1">
      <alignment horizontal="center" vertical="center"/>
      <protection locked="0"/>
    </xf>
    <xf numFmtId="169" fontId="6" fillId="0" borderId="15" xfId="5" applyNumberFormat="1" applyFont="1" applyFill="1" applyBorder="1" applyAlignment="1" applyProtection="1">
      <alignment horizontal="center" vertical="center"/>
      <protection hidden="1"/>
    </xf>
    <xf numFmtId="10" fontId="6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9" xfId="4" applyFont="1" applyBorder="1" applyAlignment="1" applyProtection="1">
      <alignment vertical="center"/>
      <protection hidden="1"/>
    </xf>
    <xf numFmtId="0" fontId="6" fillId="0" borderId="14" xfId="4" applyFont="1" applyBorder="1" applyAlignment="1" applyProtection="1">
      <alignment horizontal="center" vertical="center"/>
      <protection hidden="1"/>
    </xf>
    <xf numFmtId="0" fontId="6" fillId="0" borderId="14" xfId="4" applyFont="1" applyBorder="1" applyAlignment="1" applyProtection="1">
      <alignment horizontal="right" vertical="center"/>
      <protection hidden="1"/>
    </xf>
    <xf numFmtId="10" fontId="6" fillId="0" borderId="10" xfId="5" applyNumberFormat="1" applyFont="1" applyFill="1" applyBorder="1" applyAlignment="1" applyProtection="1">
      <alignment horizontal="center" vertical="center"/>
      <protection hidden="1"/>
    </xf>
    <xf numFmtId="169" fontId="4" fillId="0" borderId="15" xfId="5" applyNumberFormat="1" applyFont="1" applyFill="1" applyBorder="1" applyAlignment="1" applyProtection="1">
      <alignment horizontal="center" vertical="center"/>
      <protection hidden="1"/>
    </xf>
    <xf numFmtId="10" fontId="6" fillId="0" borderId="24" xfId="5" applyNumberFormat="1" applyFont="1" applyFill="1" applyBorder="1" applyAlignment="1" applyProtection="1">
      <alignment horizontal="center" vertical="center"/>
      <protection locked="0"/>
    </xf>
    <xf numFmtId="2" fontId="4" fillId="0" borderId="15" xfId="5" applyNumberFormat="1" applyFont="1" applyFill="1" applyBorder="1" applyAlignment="1" applyProtection="1">
      <alignment horizontal="center" vertical="center"/>
      <protection hidden="1"/>
    </xf>
    <xf numFmtId="0" fontId="6" fillId="0" borderId="12" xfId="4" applyFont="1" applyBorder="1" applyAlignment="1" applyProtection="1">
      <alignment horizontal="center" vertical="center"/>
      <protection hidden="1"/>
    </xf>
    <xf numFmtId="0" fontId="6" fillId="0" borderId="13" xfId="4" applyFont="1" applyBorder="1" applyAlignment="1" applyProtection="1">
      <alignment horizontal="center" vertical="center"/>
      <protection hidden="1"/>
    </xf>
    <xf numFmtId="0" fontId="6" fillId="0" borderId="13" xfId="4" applyFont="1" applyBorder="1" applyAlignment="1" applyProtection="1">
      <alignment horizontal="right" vertical="center"/>
      <protection hidden="1"/>
    </xf>
    <xf numFmtId="10" fontId="6" fillId="0" borderId="6" xfId="4" applyNumberFormat="1" applyFont="1" applyBorder="1" applyAlignment="1" applyProtection="1">
      <alignment horizontal="center" vertical="center"/>
      <protection locked="0"/>
    </xf>
    <xf numFmtId="0" fontId="6" fillId="0" borderId="23" xfId="4" applyFont="1" applyBorder="1" applyAlignment="1" applyProtection="1">
      <alignment vertical="center"/>
      <protection hidden="1"/>
    </xf>
    <xf numFmtId="10" fontId="6" fillId="0" borderId="24" xfId="5" applyNumberFormat="1" applyFont="1" applyFill="1" applyBorder="1" applyAlignment="1" applyProtection="1">
      <alignment horizontal="center" vertical="center"/>
      <protection hidden="1"/>
    </xf>
    <xf numFmtId="2" fontId="6" fillId="0" borderId="15" xfId="5" applyNumberFormat="1" applyFont="1" applyFill="1" applyBorder="1" applyAlignment="1" applyProtection="1">
      <alignment horizontal="center" vertical="center"/>
      <protection hidden="1"/>
    </xf>
    <xf numFmtId="10" fontId="6" fillId="0" borderId="24" xfId="5" applyNumberFormat="1" applyFont="1" applyFill="1" applyBorder="1" applyAlignment="1" applyProtection="1">
      <alignment horizontal="center" vertical="center"/>
    </xf>
    <xf numFmtId="10" fontId="6" fillId="0" borderId="6" xfId="5" applyNumberFormat="1" applyFont="1" applyFill="1" applyBorder="1" applyAlignment="1" applyProtection="1">
      <alignment horizontal="center" vertical="center"/>
      <protection hidden="1"/>
    </xf>
    <xf numFmtId="0" fontId="6" fillId="0" borderId="16" xfId="4" applyFont="1" applyBorder="1" applyAlignment="1" applyProtection="1">
      <alignment horizontal="center" vertical="center"/>
      <protection hidden="1"/>
    </xf>
    <xf numFmtId="165" fontId="6" fillId="0" borderId="18" xfId="5" applyFont="1" applyFill="1" applyBorder="1" applyAlignment="1" applyProtection="1">
      <alignment horizontal="center" vertical="center"/>
      <protection hidden="1"/>
    </xf>
    <xf numFmtId="2" fontId="6" fillId="0" borderId="18" xfId="5" applyNumberFormat="1" applyFont="1" applyFill="1" applyBorder="1" applyAlignment="1" applyProtection="1">
      <alignment horizontal="center" vertical="center"/>
      <protection hidden="1"/>
    </xf>
    <xf numFmtId="2" fontId="4" fillId="0" borderId="19" xfId="5" applyNumberFormat="1" applyFont="1" applyFill="1" applyBorder="1" applyAlignment="1" applyProtection="1">
      <alignment horizontal="center" vertical="center"/>
      <protection hidden="1"/>
    </xf>
    <xf numFmtId="1" fontId="9" fillId="0" borderId="0" xfId="4" applyNumberFormat="1" applyFont="1" applyAlignment="1" applyProtection="1">
      <alignment horizontal="center" vertical="center"/>
      <protection hidden="1"/>
    </xf>
    <xf numFmtId="0" fontId="6" fillId="0" borderId="18" xfId="4" applyFont="1" applyBorder="1" applyAlignment="1" applyProtection="1">
      <alignment vertical="center"/>
      <protection hidden="1"/>
    </xf>
    <xf numFmtId="2" fontId="6" fillId="0" borderId="18" xfId="4" applyNumberFormat="1" applyFont="1" applyBorder="1" applyAlignment="1" applyProtection="1">
      <alignment horizontal="center" vertical="center"/>
      <protection hidden="1"/>
    </xf>
    <xf numFmtId="2" fontId="6" fillId="0" borderId="19" xfId="4" applyNumberFormat="1" applyFont="1" applyBorder="1" applyAlignment="1" applyProtection="1">
      <alignment horizontal="center" vertical="center"/>
      <protection hidden="1"/>
    </xf>
    <xf numFmtId="0" fontId="6" fillId="0" borderId="21" xfId="4" applyFont="1" applyBorder="1" applyAlignment="1" applyProtection="1">
      <alignment horizontal="center" vertical="center"/>
      <protection hidden="1"/>
    </xf>
    <xf numFmtId="169" fontId="9" fillId="0" borderId="0" xfId="4" applyNumberFormat="1" applyFont="1" applyAlignment="1" applyProtection="1">
      <alignment horizontal="center" vertical="center"/>
      <protection hidden="1"/>
    </xf>
    <xf numFmtId="0" fontId="6" fillId="0" borderId="2" xfId="4" applyFont="1" applyBorder="1" applyAlignment="1" applyProtection="1">
      <alignment horizontal="center" vertical="center"/>
      <protection hidden="1"/>
    </xf>
    <xf numFmtId="10" fontId="6" fillId="0" borderId="2" xfId="4" applyNumberFormat="1" applyFont="1" applyBorder="1" applyAlignment="1" applyProtection="1">
      <alignment horizontal="center" vertical="center"/>
      <protection hidden="1"/>
    </xf>
    <xf numFmtId="10" fontId="6" fillId="0" borderId="18" xfId="4" applyNumberFormat="1" applyFont="1" applyBorder="1" applyAlignment="1" applyProtection="1">
      <alignment horizontal="center" vertical="center"/>
      <protection hidden="1"/>
    </xf>
    <xf numFmtId="170" fontId="9" fillId="0" borderId="0" xfId="4" applyNumberFormat="1" applyFont="1" applyAlignment="1" applyProtection="1">
      <alignment horizontal="center" vertical="center"/>
      <protection hidden="1"/>
    </xf>
    <xf numFmtId="0" fontId="9" fillId="0" borderId="0" xfId="4" applyFont="1" applyAlignment="1" applyProtection="1">
      <alignment horizontal="center" vertical="center"/>
      <protection hidden="1"/>
    </xf>
    <xf numFmtId="0" fontId="6" fillId="0" borderId="3" xfId="4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0" fontId="4" fillId="0" borderId="2" xfId="0" applyNumberFormat="1" applyFont="1" applyBorder="1" applyAlignment="1">
      <alignment horizontal="center" vertical="center" shrinkToFit="1"/>
    </xf>
    <xf numFmtId="44" fontId="7" fillId="5" borderId="2" xfId="2" applyFont="1" applyFill="1" applyBorder="1" applyAlignment="1">
      <alignment horizontal="center" vertical="center" wrapText="1"/>
    </xf>
    <xf numFmtId="10" fontId="7" fillId="5" borderId="2" xfId="1" applyNumberFormat="1" applyFont="1" applyFill="1" applyBorder="1" applyAlignment="1">
      <alignment horizontal="center" vertical="center" wrapText="1"/>
    </xf>
    <xf numFmtId="44" fontId="7" fillId="3" borderId="2" xfId="2" applyFont="1" applyFill="1" applyBorder="1" applyAlignment="1">
      <alignment horizontal="center" vertical="center" wrapText="1"/>
    </xf>
    <xf numFmtId="44" fontId="7" fillId="0" borderId="2" xfId="2" applyFont="1" applyFill="1" applyBorder="1" applyAlignment="1">
      <alignment horizontal="center" vertical="center" wrapText="1"/>
    </xf>
    <xf numFmtId="10" fontId="7" fillId="0" borderId="2" xfId="1" applyNumberFormat="1" applyFont="1" applyFill="1" applyBorder="1" applyAlignment="1">
      <alignment horizontal="center" vertical="center" wrapText="1"/>
    </xf>
    <xf numFmtId="1" fontId="4" fillId="5" borderId="2" xfId="1" applyNumberFormat="1" applyFont="1" applyFill="1" applyBorder="1" applyAlignment="1">
      <alignment horizontal="center" vertical="center" wrapText="1"/>
    </xf>
    <xf numFmtId="0" fontId="12" fillId="0" borderId="0" xfId="0" applyFont="1"/>
    <xf numFmtId="0" fontId="4" fillId="0" borderId="18" xfId="4" applyFont="1" applyBorder="1" applyAlignment="1" applyProtection="1">
      <alignment horizontal="center" vertical="center"/>
      <protection hidden="1"/>
    </xf>
    <xf numFmtId="0" fontId="4" fillId="0" borderId="5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1" xfId="4" applyFont="1" applyBorder="1" applyAlignment="1" applyProtection="1">
      <alignment horizontal="center" vertical="center"/>
      <protection hidden="1"/>
    </xf>
    <xf numFmtId="0" fontId="6" fillId="0" borderId="23" xfId="4" applyFont="1" applyBorder="1" applyAlignment="1" applyProtection="1">
      <alignment horizontal="center" vertical="center"/>
      <protection hidden="1"/>
    </xf>
    <xf numFmtId="171" fontId="4" fillId="3" borderId="2" xfId="2" applyNumberFormat="1" applyFont="1" applyFill="1" applyBorder="1" applyAlignment="1">
      <alignment horizontal="center" vertical="center" wrapText="1"/>
    </xf>
    <xf numFmtId="10" fontId="4" fillId="3" borderId="2" xfId="3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4" xfId="0" applyFont="1" applyBorder="1"/>
    <xf numFmtId="0" fontId="3" fillId="0" borderId="10" xfId="0" applyFont="1" applyBorder="1"/>
    <xf numFmtId="0" fontId="4" fillId="0" borderId="12" xfId="4" applyFont="1" applyBorder="1" applyAlignment="1" applyProtection="1">
      <alignment horizontal="center" vertical="center"/>
      <protection hidden="1"/>
    </xf>
    <xf numFmtId="0" fontId="4" fillId="0" borderId="13" xfId="4" applyFont="1" applyBorder="1" applyAlignment="1" applyProtection="1">
      <alignment horizontal="center" vertical="center"/>
      <protection hidden="1"/>
    </xf>
    <xf numFmtId="0" fontId="4" fillId="0" borderId="6" xfId="4" applyFont="1" applyBorder="1" applyAlignment="1" applyProtection="1">
      <alignment horizontal="center" vertical="center"/>
      <protection hidden="1"/>
    </xf>
    <xf numFmtId="2" fontId="4" fillId="0" borderId="22" xfId="4" applyNumberFormat="1" applyFont="1" applyBorder="1" applyAlignment="1" applyProtection="1">
      <alignment horizontal="center" vertical="center"/>
      <protection hidden="1"/>
    </xf>
    <xf numFmtId="2" fontId="4" fillId="0" borderId="15" xfId="4" applyNumberFormat="1" applyFont="1" applyBorder="1" applyAlignment="1" applyProtection="1">
      <alignment horizontal="center" vertical="center"/>
      <protection hidden="1"/>
    </xf>
    <xf numFmtId="165" fontId="6" fillId="0" borderId="0" xfId="5" applyFont="1" applyFill="1" applyBorder="1" applyAlignment="1" applyProtection="1">
      <alignment horizontal="center" vertical="center"/>
      <protection hidden="1"/>
    </xf>
    <xf numFmtId="2" fontId="6" fillId="0" borderId="0" xfId="5" applyNumberFormat="1" applyFont="1" applyFill="1" applyBorder="1" applyAlignment="1" applyProtection="1">
      <alignment horizontal="center" vertical="center"/>
      <protection hidden="1"/>
    </xf>
    <xf numFmtId="2" fontId="4" fillId="0" borderId="0" xfId="5" applyNumberFormat="1" applyFont="1" applyFill="1" applyBorder="1" applyAlignment="1" applyProtection="1">
      <alignment horizontal="center" vertical="center"/>
      <protection hidden="1"/>
    </xf>
    <xf numFmtId="0" fontId="6" fillId="0" borderId="15" xfId="4" applyFont="1" applyBorder="1" applyAlignment="1" applyProtection="1">
      <alignment horizontal="center" vertical="center"/>
      <protection hidden="1"/>
    </xf>
    <xf numFmtId="10" fontId="4" fillId="0" borderId="26" xfId="5" applyNumberFormat="1" applyFont="1" applyFill="1" applyBorder="1" applyAlignment="1" applyProtection="1">
      <alignment horizontal="center" vertical="center"/>
      <protection hidden="1"/>
    </xf>
    <xf numFmtId="10" fontId="4" fillId="0" borderId="27" xfId="5" applyNumberFormat="1" applyFont="1" applyFill="1" applyBorder="1" applyAlignment="1" applyProtection="1">
      <alignment horizontal="center" vertical="center"/>
      <protection hidden="1"/>
    </xf>
    <xf numFmtId="10" fontId="4" fillId="0" borderId="0" xfId="5" applyNumberFormat="1" applyFont="1" applyFill="1" applyBorder="1" applyAlignment="1" applyProtection="1">
      <alignment horizontal="center" vertical="center"/>
      <protection hidden="1"/>
    </xf>
    <xf numFmtId="170" fontId="6" fillId="0" borderId="0" xfId="4" applyNumberFormat="1" applyFont="1" applyAlignment="1" applyProtection="1">
      <alignment horizontal="center" vertical="center"/>
      <protection locked="0" hidden="1"/>
    </xf>
    <xf numFmtId="170" fontId="6" fillId="0" borderId="0" xfId="4" applyNumberFormat="1" applyFont="1" applyAlignment="1" applyProtection="1">
      <alignment horizontal="center" vertical="center"/>
      <protection hidden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0" fontId="15" fillId="4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justify" vertical="center"/>
    </xf>
    <xf numFmtId="0" fontId="16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44" fontId="8" fillId="0" borderId="8" xfId="0" applyNumberFormat="1" applyFont="1" applyBorder="1" applyAlignment="1">
      <alignment horizontal="center" vertical="center"/>
    </xf>
    <xf numFmtId="10" fontId="8" fillId="0" borderId="8" xfId="3" applyNumberFormat="1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justify" vertical="center" wrapText="1"/>
    </xf>
    <xf numFmtId="0" fontId="15" fillId="3" borderId="2" xfId="0" applyFont="1" applyFill="1" applyBorder="1" applyAlignment="1">
      <alignment horizontal="justify" vertical="center" wrapText="1"/>
    </xf>
    <xf numFmtId="44" fontId="14" fillId="4" borderId="2" xfId="0" applyNumberFormat="1" applyFont="1" applyFill="1" applyBorder="1" applyAlignment="1">
      <alignment vertical="center"/>
    </xf>
    <xf numFmtId="10" fontId="14" fillId="4" borderId="2" xfId="3" applyNumberFormat="1" applyFont="1" applyFill="1" applyBorder="1" applyAlignment="1">
      <alignment horizontal="center" vertical="center"/>
    </xf>
    <xf numFmtId="9" fontId="2" fillId="4" borderId="2" xfId="3" applyFont="1" applyFill="1" applyBorder="1" applyAlignment="1">
      <alignment horizontal="center" vertical="center"/>
    </xf>
    <xf numFmtId="0" fontId="19" fillId="0" borderId="0" xfId="11" applyAlignment="1">
      <alignment horizontal="left" vertical="top"/>
    </xf>
    <xf numFmtId="165" fontId="8" fillId="0" borderId="0" xfId="13" applyFont="1" applyBorder="1" applyAlignment="1"/>
    <xf numFmtId="165" fontId="16" fillId="0" borderId="0" xfId="13" applyFont="1" applyFill="1" applyBorder="1" applyAlignment="1"/>
    <xf numFmtId="165" fontId="22" fillId="0" borderId="0" xfId="13" applyFont="1" applyBorder="1" applyAlignment="1"/>
    <xf numFmtId="165" fontId="8" fillId="0" borderId="0" xfId="13" applyFont="1" applyBorder="1" applyAlignment="1">
      <alignment vertical="center"/>
    </xf>
    <xf numFmtId="49" fontId="19" fillId="0" borderId="0" xfId="11" applyNumberFormat="1"/>
    <xf numFmtId="0" fontId="19" fillId="0" borderId="0" xfId="11" applyAlignment="1">
      <alignment horizontal="center" vertical="center"/>
    </xf>
    <xf numFmtId="174" fontId="8" fillId="0" borderId="0" xfId="13" applyNumberFormat="1" applyFont="1" applyBorder="1" applyAlignment="1"/>
    <xf numFmtId="165" fontId="8" fillId="0" borderId="0" xfId="13" applyFont="1" applyFill="1" applyBorder="1" applyAlignment="1"/>
    <xf numFmtId="10" fontId="3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0" fontId="6" fillId="0" borderId="2" xfId="0" applyNumberFormat="1" applyFont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4" fontId="26" fillId="0" borderId="0" xfId="2" applyFont="1"/>
    <xf numFmtId="44" fontId="26" fillId="0" borderId="0" xfId="0" applyNumberFormat="1" applyFont="1"/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/>
    </xf>
    <xf numFmtId="10" fontId="26" fillId="0" borderId="0" xfId="0" applyNumberFormat="1" applyFont="1"/>
    <xf numFmtId="165" fontId="8" fillId="0" borderId="0" xfId="13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vertical="center"/>
    </xf>
    <xf numFmtId="165" fontId="8" fillId="8" borderId="0" xfId="13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8" fillId="0" borderId="0" xfId="11" applyFont="1" applyAlignment="1">
      <alignment horizontal="left" vertical="top"/>
    </xf>
    <xf numFmtId="0" fontId="29" fillId="0" borderId="0" xfId="11" applyFont="1" applyAlignment="1">
      <alignment horizontal="left" vertical="top"/>
    </xf>
    <xf numFmtId="0" fontId="4" fillId="5" borderId="2" xfId="0" applyFont="1" applyFill="1" applyBorder="1" applyAlignment="1">
      <alignment horizontal="center" vertical="center"/>
    </xf>
    <xf numFmtId="167" fontId="7" fillId="0" borderId="2" xfId="1" applyNumberFormat="1" applyFont="1" applyFill="1" applyBorder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43" fontId="0" fillId="0" borderId="0" xfId="0" applyNumberFormat="1"/>
    <xf numFmtId="0" fontId="4" fillId="0" borderId="0" xfId="0" applyFont="1" applyAlignment="1">
      <alignment horizontal="center" vertical="center" wrapText="1"/>
    </xf>
    <xf numFmtId="168" fontId="0" fillId="0" borderId="0" xfId="0" applyNumberFormat="1"/>
    <xf numFmtId="167" fontId="0" fillId="0" borderId="0" xfId="0" applyNumberFormat="1"/>
    <xf numFmtId="44" fontId="0" fillId="0" borderId="0" xfId="0" applyNumberFormat="1"/>
    <xf numFmtId="0" fontId="31" fillId="9" borderId="29" xfId="0" applyFont="1" applyFill="1" applyBorder="1" applyAlignment="1">
      <alignment horizontal="left" vertical="top" wrapText="1"/>
    </xf>
    <xf numFmtId="0" fontId="31" fillId="9" borderId="29" xfId="0" applyFont="1" applyFill="1" applyBorder="1" applyAlignment="1">
      <alignment horizontal="right" vertical="top" wrapText="1"/>
    </xf>
    <xf numFmtId="0" fontId="31" fillId="9" borderId="29" xfId="0" applyFont="1" applyFill="1" applyBorder="1" applyAlignment="1">
      <alignment horizontal="center" vertical="top" wrapText="1"/>
    </xf>
    <xf numFmtId="0" fontId="32" fillId="10" borderId="29" xfId="0" applyFont="1" applyFill="1" applyBorder="1" applyAlignment="1">
      <alignment horizontal="left" vertical="top" wrapText="1"/>
    </xf>
    <xf numFmtId="0" fontId="32" fillId="10" borderId="29" xfId="0" applyFont="1" applyFill="1" applyBorder="1" applyAlignment="1">
      <alignment horizontal="right" vertical="top" wrapText="1"/>
    </xf>
    <xf numFmtId="0" fontId="32" fillId="10" borderId="29" xfId="0" applyFont="1" applyFill="1" applyBorder="1" applyAlignment="1">
      <alignment horizontal="center" vertical="top" wrapText="1"/>
    </xf>
    <xf numFmtId="173" fontId="32" fillId="10" borderId="29" xfId="0" applyNumberFormat="1" applyFont="1" applyFill="1" applyBorder="1" applyAlignment="1">
      <alignment horizontal="right" vertical="top" wrapText="1"/>
    </xf>
    <xf numFmtId="4" fontId="32" fillId="10" borderId="29" xfId="0" applyNumberFormat="1" applyFont="1" applyFill="1" applyBorder="1" applyAlignment="1">
      <alignment horizontal="right" vertical="top" wrapText="1"/>
    </xf>
    <xf numFmtId="0" fontId="33" fillId="11" borderId="29" xfId="0" applyFont="1" applyFill="1" applyBorder="1" applyAlignment="1">
      <alignment horizontal="left" vertical="top" wrapText="1"/>
    </xf>
    <xf numFmtId="0" fontId="33" fillId="11" borderId="29" xfId="0" applyFont="1" applyFill="1" applyBorder="1" applyAlignment="1">
      <alignment horizontal="right" vertical="top" wrapText="1"/>
    </xf>
    <xf numFmtId="0" fontId="33" fillId="11" borderId="29" xfId="0" applyFont="1" applyFill="1" applyBorder="1" applyAlignment="1">
      <alignment horizontal="center" vertical="top" wrapText="1"/>
    </xf>
    <xf numFmtId="173" fontId="33" fillId="11" borderId="29" xfId="0" applyNumberFormat="1" applyFont="1" applyFill="1" applyBorder="1" applyAlignment="1">
      <alignment horizontal="right" vertical="top" wrapText="1"/>
    </xf>
    <xf numFmtId="4" fontId="33" fillId="11" borderId="29" xfId="0" applyNumberFormat="1" applyFont="1" applyFill="1" applyBorder="1" applyAlignment="1">
      <alignment horizontal="right" vertical="top" wrapText="1"/>
    </xf>
    <xf numFmtId="0" fontId="33" fillId="12" borderId="29" xfId="0" applyFont="1" applyFill="1" applyBorder="1" applyAlignment="1">
      <alignment horizontal="left" vertical="top" wrapText="1"/>
    </xf>
    <xf numFmtId="0" fontId="33" fillId="12" borderId="29" xfId="0" applyFont="1" applyFill="1" applyBorder="1" applyAlignment="1">
      <alignment horizontal="right" vertical="top" wrapText="1"/>
    </xf>
    <xf numFmtId="0" fontId="33" fillId="12" borderId="29" xfId="0" applyFont="1" applyFill="1" applyBorder="1" applyAlignment="1">
      <alignment horizontal="center" vertical="top" wrapText="1"/>
    </xf>
    <xf numFmtId="173" fontId="33" fillId="12" borderId="29" xfId="0" applyNumberFormat="1" applyFont="1" applyFill="1" applyBorder="1" applyAlignment="1">
      <alignment horizontal="right" vertical="top" wrapText="1"/>
    </xf>
    <xf numFmtId="4" fontId="33" fillId="12" borderId="29" xfId="0" applyNumberFormat="1" applyFont="1" applyFill="1" applyBorder="1" applyAlignment="1">
      <alignment horizontal="right" vertical="top" wrapText="1"/>
    </xf>
    <xf numFmtId="0" fontId="33" fillId="9" borderId="0" xfId="0" applyFont="1" applyFill="1" applyAlignment="1">
      <alignment horizontal="right" vertical="top" wrapText="1"/>
    </xf>
    <xf numFmtId="4" fontId="33" fillId="9" borderId="0" xfId="0" applyNumberFormat="1" applyFont="1" applyFill="1" applyAlignment="1">
      <alignment horizontal="right" vertical="top" wrapText="1"/>
    </xf>
    <xf numFmtId="0" fontId="34" fillId="9" borderId="0" xfId="0" applyFont="1" applyFill="1" applyAlignment="1">
      <alignment horizontal="right" vertical="top" wrapText="1"/>
    </xf>
    <xf numFmtId="173" fontId="34" fillId="9" borderId="0" xfId="0" applyNumberFormat="1" applyFont="1" applyFill="1" applyAlignment="1">
      <alignment horizontal="right" vertical="top" wrapText="1"/>
    </xf>
    <xf numFmtId="4" fontId="34" fillId="9" borderId="0" xfId="0" applyNumberFormat="1" applyFont="1" applyFill="1" applyAlignment="1">
      <alignment horizontal="right" vertical="top" wrapText="1"/>
    </xf>
    <xf numFmtId="0" fontId="32" fillId="10" borderId="30" xfId="0" applyFont="1" applyFill="1" applyBorder="1" applyAlignment="1">
      <alignment horizontal="left" vertical="top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0" fillId="0" borderId="31" xfId="0" applyFont="1" applyBorder="1" applyAlignment="1">
      <alignment horizontal="left" vertical="top" wrapText="1"/>
    </xf>
    <xf numFmtId="0" fontId="30" fillId="0" borderId="31" xfId="0" applyFont="1" applyBorder="1" applyAlignment="1">
      <alignment horizontal="right" vertical="top" wrapText="1"/>
    </xf>
    <xf numFmtId="4" fontId="30" fillId="0" borderId="31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31" fillId="0" borderId="29" xfId="0" applyFont="1" applyBorder="1" applyAlignment="1">
      <alignment horizontal="left" vertical="top" wrapText="1"/>
    </xf>
    <xf numFmtId="0" fontId="31" fillId="0" borderId="29" xfId="0" applyFont="1" applyBorder="1" applyAlignment="1">
      <alignment horizontal="right" vertical="top" wrapText="1"/>
    </xf>
    <xf numFmtId="0" fontId="31" fillId="0" borderId="29" xfId="0" applyFont="1" applyBorder="1" applyAlignment="1">
      <alignment horizontal="center" vertical="top" wrapText="1"/>
    </xf>
    <xf numFmtId="0" fontId="32" fillId="0" borderId="29" xfId="0" applyFont="1" applyBorder="1" applyAlignment="1">
      <alignment horizontal="left" vertical="top" wrapText="1"/>
    </xf>
    <xf numFmtId="0" fontId="32" fillId="0" borderId="29" xfId="0" applyFont="1" applyBorder="1" applyAlignment="1">
      <alignment horizontal="right" vertical="top" wrapText="1"/>
    </xf>
    <xf numFmtId="0" fontId="32" fillId="0" borderId="29" xfId="0" applyFont="1" applyBorder="1" applyAlignment="1">
      <alignment horizontal="center" vertical="top" wrapText="1"/>
    </xf>
    <xf numFmtId="173" fontId="32" fillId="0" borderId="29" xfId="0" applyNumberFormat="1" applyFont="1" applyBorder="1" applyAlignment="1">
      <alignment horizontal="right" vertical="top" wrapText="1"/>
    </xf>
    <xf numFmtId="4" fontId="32" fillId="0" borderId="29" xfId="0" applyNumberFormat="1" applyFont="1" applyBorder="1" applyAlignment="1">
      <alignment horizontal="right" vertical="top" wrapText="1"/>
    </xf>
    <xf numFmtId="0" fontId="33" fillId="0" borderId="29" xfId="0" applyFont="1" applyBorder="1" applyAlignment="1">
      <alignment horizontal="left" vertical="top" wrapText="1"/>
    </xf>
    <xf numFmtId="0" fontId="33" fillId="0" borderId="29" xfId="0" applyFont="1" applyBorder="1" applyAlignment="1">
      <alignment horizontal="right" vertical="top" wrapText="1"/>
    </xf>
    <xf numFmtId="0" fontId="33" fillId="0" borderId="29" xfId="0" applyFont="1" applyBorder="1" applyAlignment="1">
      <alignment horizontal="center" vertical="top" wrapText="1"/>
    </xf>
    <xf numFmtId="173" fontId="33" fillId="0" borderId="29" xfId="0" applyNumberFormat="1" applyFont="1" applyBorder="1" applyAlignment="1">
      <alignment horizontal="right" vertical="top" wrapText="1"/>
    </xf>
    <xf numFmtId="4" fontId="33" fillId="0" borderId="29" xfId="0" applyNumberFormat="1" applyFont="1" applyBorder="1" applyAlignment="1">
      <alignment horizontal="right" vertical="top" wrapText="1"/>
    </xf>
    <xf numFmtId="0" fontId="33" fillId="0" borderId="0" xfId="0" applyFont="1" applyAlignment="1">
      <alignment horizontal="right" vertical="top" wrapText="1"/>
    </xf>
    <xf numFmtId="4" fontId="33" fillId="0" borderId="0" xfId="0" applyNumberFormat="1" applyFont="1" applyAlignment="1">
      <alignment horizontal="right" vertical="top" wrapText="1"/>
    </xf>
    <xf numFmtId="0" fontId="34" fillId="0" borderId="0" xfId="0" applyFont="1" applyAlignment="1">
      <alignment horizontal="right" vertical="top" wrapText="1"/>
    </xf>
    <xf numFmtId="173" fontId="34" fillId="0" borderId="0" xfId="0" applyNumberFormat="1" applyFont="1" applyAlignment="1">
      <alignment horizontal="right" vertical="top" wrapText="1"/>
    </xf>
    <xf numFmtId="4" fontId="34" fillId="0" borderId="0" xfId="0" applyNumberFormat="1" applyFont="1" applyAlignment="1">
      <alignment horizontal="right" vertical="top" wrapText="1"/>
    </xf>
    <xf numFmtId="0" fontId="32" fillId="0" borderId="30" xfId="0" applyFont="1" applyBorder="1" applyAlignment="1">
      <alignment horizontal="left" vertical="top" wrapText="1"/>
    </xf>
    <xf numFmtId="0" fontId="32" fillId="0" borderId="29" xfId="0" applyFont="1" applyBorder="1" applyAlignment="1">
      <alignment horizontal="left" vertical="top"/>
    </xf>
    <xf numFmtId="0" fontId="5" fillId="0" borderId="0" xfId="4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right" vertical="top" wrapText="1"/>
    </xf>
    <xf numFmtId="0" fontId="31" fillId="0" borderId="0" xfId="0" applyFont="1" applyAlignment="1">
      <alignment horizontal="center" vertical="top" wrapText="1"/>
    </xf>
    <xf numFmtId="0" fontId="33" fillId="0" borderId="0" xfId="0" applyFont="1" applyAlignment="1">
      <alignment horizontal="left" vertical="top" wrapText="1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172" fontId="7" fillId="0" borderId="0" xfId="5" applyNumberFormat="1" applyFont="1" applyFill="1" applyBorder="1" applyAlignment="1">
      <alignment horizontal="center" vertical="center" wrapText="1"/>
    </xf>
    <xf numFmtId="167" fontId="7" fillId="0" borderId="0" xfId="4" applyNumberFormat="1" applyFont="1" applyAlignment="1">
      <alignment horizontal="center" vertical="center" wrapText="1"/>
    </xf>
    <xf numFmtId="0" fontId="5" fillId="0" borderId="0" xfId="4" applyFont="1" applyAlignment="1">
      <alignment vertical="center" wrapText="1"/>
    </xf>
    <xf numFmtId="167" fontId="5" fillId="0" borderId="0" xfId="4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167" fontId="7" fillId="8" borderId="0" xfId="4" applyNumberFormat="1" applyFont="1" applyFill="1" applyAlignment="1">
      <alignment horizontal="center" vertical="center" wrapText="1"/>
    </xf>
    <xf numFmtId="44" fontId="0" fillId="0" borderId="0" xfId="2" applyFont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167" fontId="7" fillId="0" borderId="2" xfId="1" applyNumberFormat="1" applyFont="1" applyFill="1" applyBorder="1" applyAlignment="1">
      <alignment horizontal="center" vertical="center" wrapText="1"/>
    </xf>
    <xf numFmtId="171" fontId="4" fillId="0" borderId="2" xfId="2" applyNumberFormat="1" applyFont="1" applyFill="1" applyBorder="1" applyAlignment="1">
      <alignment horizontal="center" vertical="center" wrapText="1"/>
    </xf>
    <xf numFmtId="171" fontId="0" fillId="0" borderId="0" xfId="0" applyNumberFormat="1"/>
    <xf numFmtId="44" fontId="7" fillId="3" borderId="28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3" fontId="4" fillId="5" borderId="0" xfId="1" applyFont="1" applyFill="1" applyBorder="1" applyAlignment="1">
      <alignment horizontal="center" vertical="center" wrapText="1"/>
    </xf>
    <xf numFmtId="43" fontId="4" fillId="5" borderId="0" xfId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7" fontId="5" fillId="2" borderId="0" xfId="1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167" fontId="7" fillId="0" borderId="0" xfId="1" applyNumberFormat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/>
    </xf>
    <xf numFmtId="44" fontId="4" fillId="7" borderId="0" xfId="2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20" fillId="3" borderId="0" xfId="11" applyFont="1" applyFill="1" applyBorder="1" applyAlignment="1">
      <alignment vertical="center"/>
    </xf>
    <xf numFmtId="0" fontId="21" fillId="3" borderId="0" xfId="11" applyFont="1" applyFill="1" applyBorder="1" applyAlignment="1">
      <alignment vertical="center"/>
    </xf>
    <xf numFmtId="0" fontId="20" fillId="3" borderId="0" xfId="11" applyFont="1" applyFill="1" applyBorder="1" applyAlignment="1">
      <alignment vertical="center" wrapText="1"/>
    </xf>
    <xf numFmtId="43" fontId="20" fillId="0" borderId="0" xfId="12" applyFont="1" applyFill="1" applyBorder="1" applyAlignment="1">
      <alignment horizontal="left" vertical="center"/>
    </xf>
    <xf numFmtId="43" fontId="20" fillId="0" borderId="0" xfId="12" applyFont="1" applyFill="1" applyBorder="1" applyAlignment="1">
      <alignment vertical="center"/>
    </xf>
    <xf numFmtId="165" fontId="16" fillId="0" borderId="0" xfId="4" applyNumberFormat="1" applyFont="1" applyBorder="1" applyAlignment="1">
      <alignment horizontal="center" vertical="top"/>
    </xf>
    <xf numFmtId="0" fontId="16" fillId="0" borderId="0" xfId="4" applyFont="1" applyBorder="1" applyAlignment="1">
      <alignment horizontal="justify" wrapText="1"/>
    </xf>
    <xf numFmtId="0" fontId="8" fillId="0" borderId="0" xfId="4" applyBorder="1" applyAlignment="1">
      <alignment vertical="center"/>
    </xf>
    <xf numFmtId="165" fontId="8" fillId="0" borderId="0" xfId="4" applyNumberFormat="1" applyBorder="1" applyAlignment="1">
      <alignment vertical="center"/>
    </xf>
    <xf numFmtId="165" fontId="16" fillId="0" borderId="0" xfId="4" applyNumberFormat="1" applyFont="1" applyBorder="1" applyAlignment="1">
      <alignment horizontal="center"/>
    </xf>
    <xf numFmtId="165" fontId="8" fillId="0" borderId="0" xfId="4" applyNumberFormat="1" applyBorder="1" applyAlignment="1">
      <alignment horizontal="center" vertical="top"/>
    </xf>
    <xf numFmtId="49" fontId="8" fillId="0" borderId="0" xfId="4" applyNumberFormat="1" applyBorder="1"/>
    <xf numFmtId="0" fontId="8" fillId="0" borderId="0" xfId="4" applyBorder="1"/>
    <xf numFmtId="165" fontId="8" fillId="0" borderId="0" xfId="4" applyNumberFormat="1" applyBorder="1"/>
    <xf numFmtId="165" fontId="8" fillId="0" borderId="0" xfId="4" applyNumberFormat="1" applyBorder="1" applyAlignment="1">
      <alignment horizontal="center"/>
    </xf>
    <xf numFmtId="0" fontId="8" fillId="0" borderId="0" xfId="4" applyBorder="1" applyAlignment="1">
      <alignment horizontal="justify" wrapText="1"/>
    </xf>
    <xf numFmtId="165" fontId="16" fillId="2" borderId="0" xfId="13" applyFont="1" applyFill="1" applyBorder="1" applyAlignment="1"/>
    <xf numFmtId="165" fontId="16" fillId="2" borderId="0" xfId="4" applyNumberFormat="1" applyFont="1" applyFill="1" applyBorder="1"/>
    <xf numFmtId="0" fontId="16" fillId="6" borderId="0" xfId="4" applyFont="1" applyFill="1" applyBorder="1" applyAlignment="1">
      <alignment vertical="top"/>
    </xf>
    <xf numFmtId="0" fontId="16" fillId="6" borderId="0" xfId="4" applyFont="1" applyFill="1" applyBorder="1" applyAlignment="1">
      <alignment vertical="center"/>
    </xf>
    <xf numFmtId="0" fontId="16" fillId="0" borderId="0" xfId="4" applyFont="1" applyBorder="1" applyAlignment="1">
      <alignment vertical="top"/>
    </xf>
    <xf numFmtId="49" fontId="8" fillId="0" borderId="0" xfId="4" applyNumberFormat="1" applyBorder="1" applyAlignment="1">
      <alignment vertical="center"/>
    </xf>
    <xf numFmtId="165" fontId="16" fillId="8" borderId="0" xfId="4" applyNumberFormat="1" applyFont="1" applyFill="1" applyBorder="1" applyAlignment="1">
      <alignment horizontal="center"/>
    </xf>
    <xf numFmtId="49" fontId="16" fillId="0" borderId="0" xfId="4" applyNumberFormat="1" applyFont="1" applyBorder="1" applyAlignment="1">
      <alignment wrapText="1"/>
    </xf>
    <xf numFmtId="165" fontId="16" fillId="0" borderId="0" xfId="4" applyNumberFormat="1" applyFont="1" applyBorder="1" applyAlignment="1">
      <alignment horizontal="center" vertical="center"/>
    </xf>
    <xf numFmtId="165" fontId="22" fillId="0" borderId="0" xfId="4" applyNumberFormat="1" applyFont="1" applyBorder="1" applyAlignment="1">
      <alignment horizontal="center"/>
    </xf>
    <xf numFmtId="0" fontId="22" fillId="0" borderId="0" xfId="4" applyFont="1" applyBorder="1" applyAlignment="1">
      <alignment horizontal="justify" wrapText="1"/>
    </xf>
    <xf numFmtId="165" fontId="22" fillId="0" borderId="0" xfId="4" applyNumberFormat="1" applyFont="1" applyBorder="1"/>
    <xf numFmtId="165" fontId="23" fillId="0" borderId="0" xfId="4" applyNumberFormat="1" applyFont="1" applyBorder="1" applyAlignment="1">
      <alignment horizontal="center"/>
    </xf>
    <xf numFmtId="165" fontId="8" fillId="0" borderId="0" xfId="4" applyNumberFormat="1" applyBorder="1" applyAlignment="1">
      <alignment horizontal="center" vertical="center"/>
    </xf>
    <xf numFmtId="0" fontId="19" fillId="0" borderId="0" xfId="11" applyBorder="1" applyAlignment="1">
      <alignment horizontal="left" vertical="top"/>
    </xf>
    <xf numFmtId="165" fontId="24" fillId="0" borderId="0" xfId="4" applyNumberFormat="1" applyFont="1" applyBorder="1" applyAlignment="1">
      <alignment horizontal="center"/>
    </xf>
    <xf numFmtId="165" fontId="25" fillId="0" borderId="0" xfId="4" applyNumberFormat="1" applyFont="1" applyBorder="1" applyAlignment="1">
      <alignment horizontal="center"/>
    </xf>
    <xf numFmtId="165" fontId="16" fillId="0" borderId="0" xfId="4" applyNumberFormat="1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4" fillId="4" borderId="3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7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/>
    </xf>
    <xf numFmtId="10" fontId="15" fillId="0" borderId="10" xfId="3" applyNumberFormat="1" applyFont="1" applyFill="1" applyBorder="1" applyAlignment="1">
      <alignment horizontal="center" vertical="center"/>
    </xf>
    <xf numFmtId="10" fontId="15" fillId="0" borderId="6" xfId="3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44" fontId="15" fillId="3" borderId="8" xfId="0" applyNumberFormat="1" applyFont="1" applyFill="1" applyBorder="1" applyAlignment="1">
      <alignment horizontal="center" vertical="center"/>
    </xf>
    <xf numFmtId="44" fontId="15" fillId="3" borderId="11" xfId="0" applyNumberFormat="1" applyFont="1" applyFill="1" applyBorder="1" applyAlignment="1">
      <alignment horizontal="center" vertical="center"/>
    </xf>
    <xf numFmtId="10" fontId="15" fillId="3" borderId="8" xfId="3" applyNumberFormat="1" applyFont="1" applyFill="1" applyBorder="1" applyAlignment="1">
      <alignment horizontal="center" vertical="center"/>
    </xf>
    <xf numFmtId="10" fontId="15" fillId="3" borderId="11" xfId="3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44" fontId="8" fillId="3" borderId="8" xfId="0" applyNumberFormat="1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10" fontId="8" fillId="3" borderId="8" xfId="3" applyNumberFormat="1" applyFont="1" applyFill="1" applyBorder="1" applyAlignment="1">
      <alignment horizontal="center" vertical="center"/>
    </xf>
    <xf numFmtId="10" fontId="8" fillId="3" borderId="28" xfId="3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44" fontId="15" fillId="0" borderId="8" xfId="0" applyNumberFormat="1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10" fontId="15" fillId="0" borderId="8" xfId="3" applyNumberFormat="1" applyFont="1" applyFill="1" applyBorder="1" applyAlignment="1">
      <alignment horizontal="center" vertical="center"/>
    </xf>
    <xf numFmtId="10" fontId="15" fillId="0" borderId="28" xfId="3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right" vertical="center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4" fontId="3" fillId="0" borderId="3" xfId="2" applyFont="1" applyFill="1" applyBorder="1" applyAlignment="1">
      <alignment horizontal="center" vertical="center"/>
    </xf>
    <xf numFmtId="44" fontId="3" fillId="0" borderId="4" xfId="2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43" fontId="4" fillId="5" borderId="8" xfId="1" applyFont="1" applyFill="1" applyBorder="1" applyAlignment="1">
      <alignment horizontal="center" vertical="center"/>
    </xf>
    <xf numFmtId="43" fontId="4" fillId="5" borderId="11" xfId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3" fontId="4" fillId="5" borderId="9" xfId="1" applyFont="1" applyFill="1" applyBorder="1" applyAlignment="1">
      <alignment horizontal="center" vertical="center"/>
    </xf>
    <xf numFmtId="43" fontId="4" fillId="5" borderId="10" xfId="1" applyFont="1" applyFill="1" applyBorder="1" applyAlignment="1">
      <alignment horizontal="center" vertical="center"/>
    </xf>
    <xf numFmtId="43" fontId="4" fillId="5" borderId="12" xfId="1" applyFont="1" applyFill="1" applyBorder="1" applyAlignment="1">
      <alignment horizontal="center" vertical="center"/>
    </xf>
    <xf numFmtId="43" fontId="4" fillId="5" borderId="6" xfId="1" applyFont="1" applyFill="1" applyBorder="1" applyAlignment="1">
      <alignment horizontal="center" vertical="center"/>
    </xf>
    <xf numFmtId="167" fontId="7" fillId="0" borderId="3" xfId="1" applyNumberFormat="1" applyFont="1" applyFill="1" applyBorder="1" applyAlignment="1">
      <alignment horizontal="center" vertical="center" wrapText="1"/>
    </xf>
    <xf numFmtId="167" fontId="7" fillId="0" borderId="4" xfId="1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166" fontId="5" fillId="2" borderId="7" xfId="0" applyNumberFormat="1" applyFont="1" applyFill="1" applyBorder="1" applyAlignment="1">
      <alignment horizontal="center" vertical="center" wrapText="1"/>
    </xf>
    <xf numFmtId="166" fontId="5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4" fillId="7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43" fontId="4" fillId="5" borderId="0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33" fillId="0" borderId="0" xfId="0" applyFont="1" applyAlignment="1">
      <alignment horizontal="right" vertical="top" wrapText="1"/>
    </xf>
    <xf numFmtId="0" fontId="5" fillId="0" borderId="0" xfId="4" applyFont="1" applyAlignment="1">
      <alignment horizontal="right" vertical="center" wrapText="1"/>
    </xf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5" borderId="2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167" fontId="7" fillId="0" borderId="2" xfId="1" applyNumberFormat="1" applyFont="1" applyFill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165" fontId="4" fillId="5" borderId="2" xfId="1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wrapText="1"/>
    </xf>
    <xf numFmtId="10" fontId="7" fillId="5" borderId="2" xfId="0" applyNumberFormat="1" applyFont="1" applyFill="1" applyBorder="1" applyAlignment="1">
      <alignment horizontal="center" vertical="center" wrapText="1"/>
    </xf>
    <xf numFmtId="167" fontId="7" fillId="5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1" fontId="5" fillId="3" borderId="8" xfId="2" applyNumberFormat="1" applyFont="1" applyFill="1" applyBorder="1" applyAlignment="1">
      <alignment horizontal="center" vertical="center" wrapText="1"/>
    </xf>
    <xf numFmtId="171" fontId="5" fillId="3" borderId="28" xfId="2" applyNumberFormat="1" applyFont="1" applyFill="1" applyBorder="1" applyAlignment="1">
      <alignment horizontal="center" vertical="center" wrapText="1"/>
    </xf>
    <xf numFmtId="171" fontId="5" fillId="3" borderId="11" xfId="2" applyNumberFormat="1" applyFont="1" applyFill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165" fontId="27" fillId="0" borderId="0" xfId="4" applyNumberFormat="1" applyFont="1" applyBorder="1" applyAlignment="1">
      <alignment horizontal="center" wrapText="1"/>
    </xf>
    <xf numFmtId="49" fontId="8" fillId="0" borderId="0" xfId="4" applyNumberFormat="1" applyBorder="1" applyAlignment="1">
      <alignment horizontal="left" vertical="center" wrapText="1"/>
    </xf>
    <xf numFmtId="17" fontId="16" fillId="6" borderId="0" xfId="4" applyNumberFormat="1" applyFont="1" applyFill="1" applyBorder="1" applyAlignment="1">
      <alignment horizontal="left" vertical="center"/>
    </xf>
    <xf numFmtId="0" fontId="16" fillId="6" borderId="0" xfId="4" applyFont="1" applyFill="1" applyBorder="1" applyAlignment="1">
      <alignment horizontal="left" vertical="center"/>
    </xf>
    <xf numFmtId="165" fontId="16" fillId="2" borderId="0" xfId="4" applyNumberFormat="1" applyFont="1" applyFill="1" applyBorder="1" applyAlignment="1">
      <alignment horizontal="center" vertical="justify" wrapText="1"/>
    </xf>
    <xf numFmtId="0" fontId="16" fillId="4" borderId="0" xfId="4" applyFont="1" applyFill="1" applyBorder="1" applyAlignment="1">
      <alignment horizontal="center" vertical="center"/>
    </xf>
    <xf numFmtId="0" fontId="4" fillId="0" borderId="18" xfId="4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4" fillId="0" borderId="5" xfId="4" applyFont="1" applyBorder="1" applyAlignment="1" applyProtection="1">
      <alignment horizontal="left" vertical="center"/>
      <protection hidden="1"/>
    </xf>
    <xf numFmtId="0" fontId="4" fillId="0" borderId="0" xfId="4" applyFont="1" applyAlignment="1" applyProtection="1">
      <alignment horizontal="left" vertical="center"/>
      <protection hidden="1"/>
    </xf>
    <xf numFmtId="0" fontId="4" fillId="0" borderId="17" xfId="4" applyFont="1" applyBorder="1" applyAlignment="1" applyProtection="1">
      <alignment horizontal="left" vertical="center"/>
      <protection hidden="1"/>
    </xf>
    <xf numFmtId="0" fontId="4" fillId="0" borderId="18" xfId="4" applyFont="1" applyBorder="1" applyAlignment="1" applyProtection="1">
      <alignment horizontal="left" vertical="center"/>
      <protection hidden="1"/>
    </xf>
    <xf numFmtId="0" fontId="4" fillId="0" borderId="20" xfId="4" applyFont="1" applyBorder="1" applyAlignment="1" applyProtection="1">
      <alignment horizontal="left" vertical="center"/>
      <protection hidden="1"/>
    </xf>
    <xf numFmtId="0" fontId="4" fillId="0" borderId="21" xfId="4" applyFont="1" applyBorder="1" applyAlignment="1" applyProtection="1">
      <alignment horizontal="left" vertical="center"/>
      <protection hidden="1"/>
    </xf>
    <xf numFmtId="0" fontId="6" fillId="0" borderId="0" xfId="4" applyFont="1" applyAlignment="1" applyProtection="1">
      <alignment horizontal="center" vertical="center"/>
      <protection hidden="1"/>
    </xf>
    <xf numFmtId="0" fontId="4" fillId="0" borderId="25" xfId="4" applyFont="1" applyBorder="1" applyAlignment="1" applyProtection="1">
      <alignment horizontal="right" vertical="center"/>
      <protection hidden="1"/>
    </xf>
    <xf numFmtId="0" fontId="4" fillId="0" borderId="26" xfId="4" applyFont="1" applyBorder="1" applyAlignment="1" applyProtection="1">
      <alignment horizontal="right" vertical="center"/>
      <protection hidden="1"/>
    </xf>
    <xf numFmtId="170" fontId="6" fillId="0" borderId="0" xfId="4" applyNumberFormat="1" applyFont="1" applyAlignment="1" applyProtection="1">
      <alignment horizontal="center" vertical="center"/>
      <protection hidden="1"/>
    </xf>
    <xf numFmtId="2" fontId="6" fillId="0" borderId="0" xfId="4" applyNumberFormat="1" applyFont="1" applyAlignment="1" applyProtection="1">
      <alignment horizontal="center" vertical="center"/>
      <protection hidden="1"/>
    </xf>
    <xf numFmtId="170" fontId="6" fillId="0" borderId="7" xfId="4" applyNumberFormat="1" applyFont="1" applyBorder="1" applyAlignment="1" applyProtection="1">
      <alignment horizontal="center" vertical="center"/>
      <protection hidden="1"/>
    </xf>
    <xf numFmtId="170" fontId="6" fillId="0" borderId="4" xfId="4" applyNumberFormat="1" applyFont="1" applyBorder="1" applyAlignment="1" applyProtection="1">
      <alignment horizontal="center" vertical="center"/>
      <protection hidden="1"/>
    </xf>
    <xf numFmtId="0" fontId="4" fillId="0" borderId="21" xfId="4" applyFont="1" applyBorder="1" applyAlignment="1" applyProtection="1">
      <alignment horizontal="center" vertical="center"/>
      <protection hidden="1"/>
    </xf>
    <xf numFmtId="0" fontId="6" fillId="0" borderId="23" xfId="4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33" fillId="9" borderId="0" xfId="0" applyFont="1" applyFill="1" applyAlignment="1">
      <alignment horizontal="right" vertical="top" wrapText="1"/>
    </xf>
    <xf numFmtId="0" fontId="26" fillId="0" borderId="0" xfId="0" applyFont="1"/>
    <xf numFmtId="167" fontId="26" fillId="0" borderId="0" xfId="0" applyNumberFormat="1" applyFont="1"/>
  </cellXfs>
  <cellStyles count="14">
    <cellStyle name="Moeda" xfId="2" builtinId="4"/>
    <cellStyle name="Normal" xfId="0" builtinId="0"/>
    <cellStyle name="Normal 2" xfId="4" xr:uid="{00000000-0005-0000-0000-000002000000}"/>
    <cellStyle name="Normal 2 2 2 2" xfId="8" xr:uid="{00000000-0005-0000-0000-000003000000}"/>
    <cellStyle name="Normal 3" xfId="6" xr:uid="{00000000-0005-0000-0000-000004000000}"/>
    <cellStyle name="Normal 4" xfId="11" xr:uid="{00000000-0005-0000-0000-000005000000}"/>
    <cellStyle name="Porcentagem" xfId="3" builtinId="5"/>
    <cellStyle name="Porcentagem 2" xfId="7" xr:uid="{00000000-0005-0000-0000-000007000000}"/>
    <cellStyle name="Porcentagem 3" xfId="9" xr:uid="{00000000-0005-0000-0000-000008000000}"/>
    <cellStyle name="Separador de milhares 2" xfId="5" xr:uid="{00000000-0005-0000-0000-000009000000}"/>
    <cellStyle name="Vírgula" xfId="1" builtinId="3"/>
    <cellStyle name="Vírgula 2" xfId="12" xr:uid="{00000000-0005-0000-0000-00000B000000}"/>
    <cellStyle name="Vírgula 2 2" xfId="13" xr:uid="{00000000-0005-0000-0000-00000C000000}"/>
    <cellStyle name="Vírgula 3" xfId="10" xr:uid="{00000000-0005-0000-0000-00000D000000}"/>
  </cellStyles>
  <dxfs count="10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auto="1"/>
      </font>
      <fill>
        <patternFill patternType="lightDown"/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  <dxf>
      <font>
        <strike val="0"/>
        <color auto="1"/>
        <name val="Cambria"/>
        <scheme val="none"/>
      </font>
      <fill>
        <patternFill>
          <bgColor indexed="27"/>
        </patternFill>
      </fill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45</xdr:row>
      <xdr:rowOff>28575</xdr:rowOff>
    </xdr:from>
    <xdr:to>
      <xdr:col>6</xdr:col>
      <xdr:colOff>110977</xdr:colOff>
      <xdr:row>49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88487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46</xdr:row>
      <xdr:rowOff>28575</xdr:rowOff>
    </xdr:from>
    <xdr:to>
      <xdr:col>6</xdr:col>
      <xdr:colOff>110977</xdr:colOff>
      <xdr:row>50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9039225"/>
          <a:ext cx="6187927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Graficos\CARACT%20PAV%20EXISTEN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lu/AppData/Local/Temp/b0b09fd2-5f33-4a3b-a2b8-cf450d6a7862_Reden&#231;&#227;o%20Sada%202%20Rural.zip.862/Reden&#231;&#227;o%20Sada%202%20Rural/Or&#231;amento/Reden&#231;&#227;o%20do%20Gurgueia%20Zona%20Rur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ACILIO\SharedDocs\Documents%20and%20Settings\OTACILIO_\Meus%20documentos\OR&#199;AMENTOS\SC-487\NATALINA\DNER\Br116_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astellar%20engenharia%20ltda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arah/Desktop/IDEPI/ABASTECIMENTO%20-%20BALNE&#193;RIO%20-%20MELHORIAS%20SANIT&#193;RIAS%20-%20BUEIRO/AGRICOLANDIA%20-%20BURACO%20DAGUA/AGRICOLANDIA%20-%20BURACO%20DAGUA/BDI%202016%20SEINFRA%20INSS%204,5%25%20ONERAD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  <cell r="C3" t="str">
            <v>ICDS</v>
          </cell>
          <cell r="D3" t="str">
            <v>ICDP</v>
          </cell>
          <cell r="E3" t="str">
            <v>ICDE</v>
          </cell>
        </row>
        <row r="4">
          <cell r="A4" t="str">
            <v>EXCELENTE</v>
          </cell>
          <cell r="B4">
            <v>0</v>
          </cell>
          <cell r="C4">
            <v>2.52</v>
          </cell>
          <cell r="D4">
            <v>1.1200000000000001</v>
          </cell>
          <cell r="E4">
            <v>0</v>
          </cell>
        </row>
        <row r="5">
          <cell r="A5" t="str">
            <v>BOM</v>
          </cell>
          <cell r="B5">
            <v>9.86</v>
          </cell>
          <cell r="C5">
            <v>32.18</v>
          </cell>
          <cell r="D5">
            <v>39.72</v>
          </cell>
          <cell r="E5">
            <v>8.2799999999999994</v>
          </cell>
        </row>
        <row r="6">
          <cell r="A6" t="str">
            <v>REGULAR</v>
          </cell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A7" t="str">
            <v>MAU</v>
          </cell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A8" t="str">
            <v>PÉSSIMO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</row>
        <row r="9">
          <cell r="A9" t="str">
            <v>Total</v>
          </cell>
          <cell r="B9">
            <v>85.32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/>
      <sheetData sheetId="1">
        <row r="6">
          <cell r="B6">
            <v>11.439114391143912</v>
          </cell>
          <cell r="C6">
            <v>33.210332103321036</v>
          </cell>
          <cell r="D6">
            <v>9.9630996309963091</v>
          </cell>
          <cell r="E6">
            <v>37.269372693726936</v>
          </cell>
          <cell r="F6">
            <v>8.1180811808118083</v>
          </cell>
        </row>
        <row r="8">
          <cell r="B8">
            <v>36.531365313653133</v>
          </cell>
          <cell r="C8">
            <v>14.760147601476014</v>
          </cell>
          <cell r="D8">
            <v>4.7970479704797047</v>
          </cell>
          <cell r="E8">
            <v>36.531365313653133</v>
          </cell>
          <cell r="F8">
            <v>7.3800738007380069</v>
          </cell>
        </row>
        <row r="10">
          <cell r="B10">
            <v>11.439114391143912</v>
          </cell>
          <cell r="C10">
            <v>23.247232472324722</v>
          </cell>
          <cell r="D10">
            <v>9.9630996309963091</v>
          </cell>
          <cell r="E10">
            <v>3.3210332103321036</v>
          </cell>
          <cell r="F10">
            <v>52.02952029520295</v>
          </cell>
        </row>
        <row r="12">
          <cell r="B12">
            <v>0</v>
          </cell>
          <cell r="C12">
            <v>45.38745387453875</v>
          </cell>
          <cell r="D12">
            <v>1.107011070110701</v>
          </cell>
          <cell r="E12">
            <v>53.505535055350549</v>
          </cell>
          <cell r="F12">
            <v>0</v>
          </cell>
        </row>
        <row r="14">
          <cell r="B14">
            <v>0</v>
          </cell>
          <cell r="C14">
            <v>45.38745387453875</v>
          </cell>
          <cell r="D14">
            <v>1.107011070110701</v>
          </cell>
          <cell r="E14">
            <v>53.505535055350549</v>
          </cell>
          <cell r="F14">
            <v>0</v>
          </cell>
        </row>
        <row r="16">
          <cell r="B16">
            <v>100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22">
          <cell r="B22">
            <v>0</v>
          </cell>
          <cell r="C22">
            <v>46.494464944649444</v>
          </cell>
          <cell r="D22">
            <v>53.505535055350549</v>
          </cell>
          <cell r="E22">
            <v>0</v>
          </cell>
          <cell r="F22">
            <v>0</v>
          </cell>
          <cell r="I22">
            <v>0</v>
          </cell>
          <cell r="J22">
            <v>2.52</v>
          </cell>
          <cell r="K22">
            <v>2.9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46.494464944649444</v>
          </cell>
          <cell r="C24">
            <v>0</v>
          </cell>
          <cell r="D24">
            <v>4.7970479704797047</v>
          </cell>
          <cell r="E24">
            <v>48.708487084870846</v>
          </cell>
          <cell r="F24">
            <v>0</v>
          </cell>
          <cell r="I24">
            <v>2.52</v>
          </cell>
          <cell r="J24">
            <v>0</v>
          </cell>
          <cell r="K24">
            <v>0.26</v>
          </cell>
          <cell r="L24">
            <v>2.64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54.243542435424352</v>
          </cell>
          <cell r="C26">
            <v>45.756457564575648</v>
          </cell>
          <cell r="D26">
            <v>0</v>
          </cell>
          <cell r="E26">
            <v>0</v>
          </cell>
          <cell r="F26">
            <v>0</v>
          </cell>
          <cell r="I26">
            <v>2.94</v>
          </cell>
          <cell r="J26">
            <v>2.48</v>
          </cell>
          <cell r="K26">
            <v>0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0</v>
          </cell>
          <cell r="D28">
            <v>49.815498154981555</v>
          </cell>
          <cell r="E28">
            <v>50.184501845018445</v>
          </cell>
          <cell r="F28">
            <v>0</v>
          </cell>
          <cell r="I28">
            <v>0</v>
          </cell>
          <cell r="J28">
            <v>0</v>
          </cell>
          <cell r="K28">
            <v>2.7</v>
          </cell>
          <cell r="L28">
            <v>2.72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ABC_S"/>
      <sheetName val="Plan1"/>
      <sheetName val="ABC_I"/>
      <sheetName val="COMPRAS"/>
      <sheetName val="CONTRATOS"/>
      <sheetName val="S"/>
      <sheetName val="I"/>
    </sheetNames>
    <sheetDataSet>
      <sheetData sheetId="0">
        <row r="7">
          <cell r="B7">
            <v>22.040000000000003</v>
          </cell>
        </row>
        <row r="8">
          <cell r="F8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CHE"/>
      <sheetName val="MObra"/>
      <sheetName val="Crono"/>
      <sheetName val="BDI"/>
      <sheetName val="EncSoc"/>
      <sheetName val="Cadastros"/>
      <sheetName val="QTR"/>
      <sheetName val="Dados"/>
      <sheetName val="TABELA"/>
      <sheetName val="QuQuant"/>
      <sheetName val="qorcamentodnerL1"/>
      <sheetName val="PROJETO"/>
      <sheetName val="A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  <sheetName val="61M_CBMI"/>
      <sheetName val="MAT_BET"/>
      <sheetName val="PLANO TRAB"/>
      <sheetName val="MATERIAIS"/>
      <sheetName val="matbet"/>
      <sheetName val="quantidades"/>
      <sheetName val="adequação"/>
      <sheetName val="comparativo"/>
      <sheetName val="CROQUI"/>
      <sheetName val="PEM"/>
      <sheetName val="CADASTRO"/>
      <sheetName val="Ativos"/>
      <sheetName val="61MCBMI.DNIT"/>
      <sheetName val="TAPA_BURACO"/>
      <sheetName val="RECOMP_REVESTIMENTO"/>
      <sheetName val="LIMP_MEIO_FIO"/>
      <sheetName val="LIMP_VALETAS"/>
      <sheetName val="REMOCAO_MEC_BAR"/>
      <sheetName val="REMOCAO_MEC_BAR_(2)"/>
      <sheetName val="M_OBRA_MARCO"/>
      <sheetName val="RESUMO_"/>
      <sheetName val="H-HORAS_MARCO"/>
      <sheetName val="CONT_MAT_BET"/>
      <sheetName val="QUADRO_COMPARATIVO"/>
      <sheetName val="PLANO_TRAB"/>
      <sheetName val="61MCBMI_DNIT"/>
      <sheetName val="Solicitação Interna de Fab"/>
      <sheetName val="Serviços"/>
      <sheetName val="Mat"/>
      <sheetName val="Faturamento 2016 (Diferimento)"/>
      <sheetName val="aux"/>
      <sheetName val="COMPOS1"/>
      <sheetName val="Calendário"/>
    </sheetNames>
    <sheetDataSet>
      <sheetData sheetId="0"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ências"/>
      <sheetName val="BDI"/>
      <sheetName val="INFORMATIVO LEI"/>
      <sheetName val="ACÓRDÃO TCU 2622-37 P DE 2013"/>
    </sheetNames>
    <sheetDataSet>
      <sheetData sheetId="0" refreshError="1">
        <row r="11">
          <cell r="A11">
            <v>0</v>
          </cell>
        </row>
        <row r="13">
          <cell r="A13">
            <v>2</v>
          </cell>
          <cell r="B13">
            <v>3.7999999999999999E-2</v>
          </cell>
          <cell r="C13">
            <v>4.0099999999999997E-2</v>
          </cell>
          <cell r="D13">
            <v>4.6699999999999998E-2</v>
          </cell>
        </row>
        <row r="14">
          <cell r="A14">
            <v>3</v>
          </cell>
          <cell r="B14">
            <v>3.4299999999999997E-2</v>
          </cell>
          <cell r="C14">
            <v>4.9299999999999997E-2</v>
          </cell>
          <cell r="D14">
            <v>6.7100000000000007E-2</v>
          </cell>
        </row>
        <row r="15">
          <cell r="A15">
            <v>4</v>
          </cell>
          <cell r="B15">
            <v>5.2900000000000003E-2</v>
          </cell>
          <cell r="C15">
            <v>5.9200000000000003E-2</v>
          </cell>
          <cell r="D15">
            <v>7.9299999999999995E-2</v>
          </cell>
        </row>
        <row r="16">
          <cell r="A16">
            <v>5</v>
          </cell>
          <cell r="B16">
            <v>0.04</v>
          </cell>
          <cell r="C16">
            <v>5.5199999999999999E-2</v>
          </cell>
          <cell r="D16">
            <v>7.85E-2</v>
          </cell>
        </row>
        <row r="17">
          <cell r="A17">
            <v>6</v>
          </cell>
          <cell r="B17">
            <v>1.4999999999999999E-2</v>
          </cell>
          <cell r="C17">
            <v>3.4500000000000003E-2</v>
          </cell>
          <cell r="D17">
            <v>4.4900000000000002E-2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1</v>
          </cell>
        </row>
        <row r="22">
          <cell r="A22">
            <v>2</v>
          </cell>
          <cell r="B22">
            <v>3.2000000000000002E-3</v>
          </cell>
          <cell r="C22">
            <v>4.0000000000000001E-3</v>
          </cell>
          <cell r="D22">
            <v>7.4000000000000003E-3</v>
          </cell>
        </row>
        <row r="23">
          <cell r="A23">
            <v>3</v>
          </cell>
          <cell r="B23">
            <v>2.8E-3</v>
          </cell>
          <cell r="C23">
            <v>4.8999999999999998E-3</v>
          </cell>
          <cell r="D23">
            <v>7.4999999999999997E-3</v>
          </cell>
        </row>
        <row r="24">
          <cell r="A24">
            <v>4</v>
          </cell>
          <cell r="B24">
            <v>2.5000000000000001E-3</v>
          </cell>
          <cell r="C24">
            <v>5.1000000000000004E-3</v>
          </cell>
          <cell r="D24">
            <v>5.5999999999999999E-3</v>
          </cell>
        </row>
        <row r="25">
          <cell r="A25">
            <v>5</v>
          </cell>
          <cell r="B25">
            <v>8.0999999999999996E-3</v>
          </cell>
          <cell r="C25">
            <v>1.2200000000000001E-2</v>
          </cell>
          <cell r="D25">
            <v>1.9900000000000001E-2</v>
          </cell>
        </row>
        <row r="26">
          <cell r="A26">
            <v>6</v>
          </cell>
          <cell r="B26">
            <v>3.0000000000000001E-3</v>
          </cell>
          <cell r="C26">
            <v>4.7999999999999996E-3</v>
          </cell>
          <cell r="D26">
            <v>8.2000000000000007E-3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1</v>
          </cell>
        </row>
        <row r="31">
          <cell r="A31">
            <v>2</v>
          </cell>
          <cell r="B31">
            <v>5.0000000000000001E-3</v>
          </cell>
          <cell r="C31">
            <v>5.5999999999999999E-3</v>
          </cell>
          <cell r="D31">
            <v>9.7000000000000003E-3</v>
          </cell>
        </row>
        <row r="32">
          <cell r="A32">
            <v>3</v>
          </cell>
          <cell r="B32">
            <v>0.01</v>
          </cell>
          <cell r="C32">
            <v>1.3899999999999999E-2</v>
          </cell>
          <cell r="D32">
            <v>1.7399999999999999E-2</v>
          </cell>
        </row>
        <row r="33">
          <cell r="A33">
            <v>4</v>
          </cell>
          <cell r="B33">
            <v>0.01</v>
          </cell>
          <cell r="C33">
            <v>1.4800000000000001E-2</v>
          </cell>
          <cell r="D33">
            <v>1.9699999999999999E-2</v>
          </cell>
        </row>
        <row r="34">
          <cell r="A34">
            <v>5</v>
          </cell>
          <cell r="B34">
            <v>1.46E-2</v>
          </cell>
          <cell r="C34">
            <v>2.3199999999999998E-2</v>
          </cell>
          <cell r="D34">
            <v>3.1600000000000003E-2</v>
          </cell>
        </row>
        <row r="35">
          <cell r="A35">
            <v>6</v>
          </cell>
          <cell r="B35">
            <v>5.5999999999999999E-3</v>
          </cell>
          <cell r="C35">
            <v>8.5000000000000006E-3</v>
          </cell>
          <cell r="D35">
            <v>8.8999999999999999E-3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1</v>
          </cell>
        </row>
        <row r="40">
          <cell r="A40">
            <v>2</v>
          </cell>
          <cell r="B40">
            <v>1.0200000000000001E-2</v>
          </cell>
          <cell r="C40">
            <v>1.11E-2</v>
          </cell>
          <cell r="D40">
            <v>1.21E-2</v>
          </cell>
        </row>
        <row r="41">
          <cell r="A41">
            <v>3</v>
          </cell>
          <cell r="B41">
            <v>9.4000000000000004E-3</v>
          </cell>
          <cell r="C41">
            <v>9.9000000000000008E-3</v>
          </cell>
          <cell r="D41">
            <v>1.17E-2</v>
          </cell>
        </row>
        <row r="42">
          <cell r="A42">
            <v>4</v>
          </cell>
          <cell r="B42">
            <v>1.01E-2</v>
          </cell>
          <cell r="C42">
            <v>1.0699999999999999E-2</v>
          </cell>
          <cell r="D42">
            <v>1.11E-2</v>
          </cell>
        </row>
        <row r="43">
          <cell r="A43">
            <v>5</v>
          </cell>
          <cell r="B43">
            <v>9.4000000000000004E-3</v>
          </cell>
          <cell r="C43">
            <v>1.0200000000000001E-2</v>
          </cell>
          <cell r="D43">
            <v>1.3299999999999999E-2</v>
          </cell>
        </row>
        <row r="44">
          <cell r="A44">
            <v>6</v>
          </cell>
          <cell r="B44">
            <v>8.5000000000000006E-3</v>
          </cell>
          <cell r="C44">
            <v>8.5000000000000006E-3</v>
          </cell>
          <cell r="D44">
            <v>1.11E-2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1</v>
          </cell>
        </row>
        <row r="49">
          <cell r="A49">
            <v>2</v>
          </cell>
          <cell r="B49">
            <v>6.6400000000000001E-2</v>
          </cell>
          <cell r="C49">
            <v>7.2999999999999995E-2</v>
          </cell>
          <cell r="D49">
            <v>8.6900000000000005E-2</v>
          </cell>
        </row>
        <row r="50">
          <cell r="A50">
            <v>3</v>
          </cell>
          <cell r="B50">
            <v>6.7400000000000002E-2</v>
          </cell>
          <cell r="C50">
            <v>8.0399999999999999E-2</v>
          </cell>
          <cell r="D50">
            <v>9.4E-2</v>
          </cell>
        </row>
        <row r="51">
          <cell r="A51">
            <v>4</v>
          </cell>
          <cell r="B51">
            <v>0.08</v>
          </cell>
          <cell r="C51">
            <v>8.3099999999999993E-2</v>
          </cell>
          <cell r="D51">
            <v>9.5100000000000004E-2</v>
          </cell>
        </row>
        <row r="52">
          <cell r="A52">
            <v>5</v>
          </cell>
          <cell r="B52">
            <v>7.1400000000000005E-2</v>
          </cell>
          <cell r="C52">
            <v>8.4000000000000005E-2</v>
          </cell>
          <cell r="D52">
            <v>0.1043</v>
          </cell>
        </row>
        <row r="53">
          <cell r="A53">
            <v>6</v>
          </cell>
          <cell r="B53">
            <v>3.5000000000000003E-2</v>
          </cell>
          <cell r="C53">
            <v>5.11E-2</v>
          </cell>
          <cell r="D53">
            <v>6.2199999999999998E-2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1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F28"/>
  <sheetViews>
    <sheetView view="pageBreakPreview" topLeftCell="A6" zoomScale="90" zoomScaleNormal="90" zoomScaleSheetLayoutView="90" workbookViewId="0">
      <selection activeCell="C26" sqref="C26"/>
    </sheetView>
  </sheetViews>
  <sheetFormatPr defaultRowHeight="14.4" x14ac:dyDescent="0.3"/>
  <cols>
    <col min="1" max="1" width="25.5546875" bestFit="1" customWidth="1"/>
    <col min="2" max="2" width="68" bestFit="1" customWidth="1"/>
    <col min="3" max="3" width="19" customWidth="1"/>
    <col min="4" max="4" width="16.33203125" customWidth="1"/>
    <col min="6" max="6" width="16.6640625" bestFit="1" customWidth="1"/>
  </cols>
  <sheetData>
    <row r="1" spans="1:6" x14ac:dyDescent="0.3">
      <c r="A1" s="338" t="s">
        <v>219</v>
      </c>
      <c r="B1" s="338"/>
      <c r="C1" s="338"/>
      <c r="D1" s="338"/>
    </row>
    <row r="2" spans="1:6" x14ac:dyDescent="0.3">
      <c r="A2" s="351" t="str">
        <f>CONCATENATE("OBRA: ",'RESUMO SD '!A2)</f>
        <v>OBRA: PAVIMENTAÇÃO DE VIAS PÚBLICAS NO MUNÍCIO DE JOSÉ DE FREITAS - PI</v>
      </c>
      <c r="B2" s="352"/>
      <c r="C2" s="352"/>
      <c r="D2" s="352"/>
    </row>
    <row r="3" spans="1:6" ht="15" customHeight="1" x14ac:dyDescent="0.3">
      <c r="A3" s="351" t="str">
        <f>CONCATENATE("BASE DE PREÇO: ",'GERAL '!F1)</f>
        <v>BASE DE PREÇO: SINAPI 05/2025</v>
      </c>
      <c r="B3" s="352"/>
      <c r="C3" s="352"/>
      <c r="D3" s="352"/>
    </row>
    <row r="4" spans="1:6" x14ac:dyDescent="0.3">
      <c r="A4" s="338" t="str">
        <f>'RESUMO SD '!E2</f>
        <v>SEM DESONERAÇÃO 
BDI: 21,96%</v>
      </c>
      <c r="B4" s="338"/>
      <c r="C4" s="338"/>
      <c r="D4" s="338"/>
    </row>
    <row r="5" spans="1:6" x14ac:dyDescent="0.3">
      <c r="A5" s="350" t="s">
        <v>220</v>
      </c>
      <c r="B5" s="350"/>
      <c r="C5" s="350"/>
      <c r="D5" s="143">
        <f>ENCARGOS!E39</f>
        <v>1.1333</v>
      </c>
    </row>
    <row r="6" spans="1:6" x14ac:dyDescent="0.3">
      <c r="A6" s="350" t="s">
        <v>221</v>
      </c>
      <c r="B6" s="350"/>
      <c r="C6" s="350"/>
      <c r="D6" s="143">
        <f>ENCARGOS!F39</f>
        <v>0.71120000000000005</v>
      </c>
    </row>
    <row r="7" spans="1:6" x14ac:dyDescent="0.3">
      <c r="A7" s="335"/>
      <c r="B7" s="336"/>
      <c r="C7" s="336"/>
      <c r="D7" s="337"/>
    </row>
    <row r="8" spans="1:6" x14ac:dyDescent="0.3">
      <c r="A8" s="338" t="s">
        <v>222</v>
      </c>
      <c r="B8" s="338" t="s">
        <v>223</v>
      </c>
      <c r="C8" s="338" t="s">
        <v>224</v>
      </c>
      <c r="D8" s="339" t="s">
        <v>21</v>
      </c>
    </row>
    <row r="9" spans="1:6" x14ac:dyDescent="0.3">
      <c r="A9" s="338"/>
      <c r="B9" s="338"/>
      <c r="C9" s="338"/>
      <c r="D9" s="340"/>
    </row>
    <row r="10" spans="1:6" x14ac:dyDescent="0.3">
      <c r="A10" s="341" t="s">
        <v>30</v>
      </c>
      <c r="B10" s="144" t="s">
        <v>36</v>
      </c>
      <c r="C10" s="343">
        <f>'ORÇAMENTO SD'!H8</f>
        <v>30360.63</v>
      </c>
      <c r="D10" s="345">
        <f>C10/$C$26</f>
        <v>1.6638180949253963E-2</v>
      </c>
    </row>
    <row r="11" spans="1:6" x14ac:dyDescent="0.3">
      <c r="A11" s="342"/>
      <c r="B11" s="144" t="s">
        <v>37</v>
      </c>
      <c r="C11" s="344"/>
      <c r="D11" s="346"/>
    </row>
    <row r="12" spans="1:6" x14ac:dyDescent="0.3">
      <c r="A12" s="347"/>
      <c r="B12" s="348"/>
      <c r="C12" s="348"/>
      <c r="D12" s="349"/>
    </row>
    <row r="13" spans="1:6" x14ac:dyDescent="0.3">
      <c r="A13" s="145" t="s">
        <v>225</v>
      </c>
      <c r="B13" s="146" t="s">
        <v>166</v>
      </c>
      <c r="C13" s="147">
        <f>'ORÇAMENTO SD'!H14+'ORÇAMENTO SD'!H33+'ORÇAMENTO SD'!H52+'ORÇAMENTO SD'!H71+'ORÇAMENTO SD'!H90+'ORÇAMENTO SD'!H109+'ORÇAMENTO SD'!H128+'ORÇAMENTO SD'!H147+'ORÇAMENTO SD'!H166+'ORÇAMENTO SD'!H185+'ORÇAMENTO SD'!H204+'ORÇAMENTO SD'!H223+'ORÇAMENTO SD'!H242+'ORÇAMENTO SD'!H261</f>
        <v>29637.719999999994</v>
      </c>
      <c r="D13" s="148">
        <f>C13/$C$26</f>
        <v>1.6242013037388321E-2</v>
      </c>
    </row>
    <row r="14" spans="1:6" x14ac:dyDescent="0.3">
      <c r="A14" s="314"/>
      <c r="B14" s="315"/>
      <c r="C14" s="315"/>
      <c r="D14" s="316"/>
    </row>
    <row r="15" spans="1:6" ht="25.5" customHeight="1" x14ac:dyDescent="0.3">
      <c r="A15" s="327" t="s">
        <v>226</v>
      </c>
      <c r="B15" s="329" t="str">
        <f>'ORÇAMENTO SD'!C17</f>
        <v>Execução de pavimento em paralelepípedos, rejuntamento com argamassa traço 1:3 (cimento e areia)</v>
      </c>
      <c r="C15" s="331">
        <f>'ORÇAMENTO SD'!H17+'ORÇAMENTO SD'!H36+'ORÇAMENTO SD'!H55+'ORÇAMENTO SD'!H74+'ORÇAMENTO SD'!H93+'ORÇAMENTO SD'!H112+'ORÇAMENTO SD'!H131+'ORÇAMENTO SD'!H150+'ORÇAMENTO SD'!H169+'ORÇAMENTO SD'!H188+'ORÇAMENTO SD'!H207+'ORÇAMENTO SD'!H226+'ORÇAMENTO SD'!H245+'ORÇAMENTO SD'!H264</f>
        <v>1248943.92</v>
      </c>
      <c r="D15" s="333">
        <f>C15/C26</f>
        <v>0.68444412834748691</v>
      </c>
      <c r="F15" s="186"/>
    </row>
    <row r="16" spans="1:6" x14ac:dyDescent="0.3">
      <c r="A16" s="328"/>
      <c r="B16" s="330"/>
      <c r="C16" s="332"/>
      <c r="D16" s="334"/>
    </row>
    <row r="17" spans="1:4" x14ac:dyDescent="0.3">
      <c r="A17" s="314"/>
      <c r="B17" s="315"/>
      <c r="C17" s="315"/>
      <c r="D17" s="316"/>
    </row>
    <row r="18" spans="1:4" ht="39.6" x14ac:dyDescent="0.3">
      <c r="A18" s="317" t="s">
        <v>227</v>
      </c>
      <c r="B18" s="149" t="str">
        <f>'ORÇAMENTO SD'!C20</f>
        <v>Assentamento de guia (meio-fio), confeccionada em concreto pré-fabricado, dimensões 100x15x13x30 (comprimento x base inferiror x base superior x altura), para vias urbanas</v>
      </c>
      <c r="C18" s="319">
        <f>'ORÇAMENTO SD'!H20+'ORÇAMENTO SD'!H21+'ORÇAMENTO SD'!H39+'ORÇAMENTO SD'!H40+'ORÇAMENTO SD'!H58+'ORÇAMENTO SD'!H59+'ORÇAMENTO SD'!H77+'ORÇAMENTO SD'!H78+'ORÇAMENTO SD'!H96+'ORÇAMENTO SD'!H97+'ORÇAMENTO SD'!H115+'ORÇAMENTO SD'!H116+'ORÇAMENTO SD'!H134+'ORÇAMENTO SD'!H135+'ORÇAMENTO SD'!H153+'ORÇAMENTO SD'!H154+'ORÇAMENTO SD'!H172+'ORÇAMENTO SD'!H173+'ORÇAMENTO SD'!H191+'ORÇAMENTO SD'!H192+'ORÇAMENTO SD'!H210+'ORÇAMENTO SD'!H211+'ORÇAMENTO SD'!H229+'ORÇAMENTO SD'!H230+'ORÇAMENTO SD'!H248+'ORÇAMENTO SD'!H249+'ORÇAMENTO SD'!H267+'ORÇAMENTO SD'!H268</f>
        <v>340435.52</v>
      </c>
      <c r="D18" s="320">
        <f>C18/C26</f>
        <v>0.18656489616036842</v>
      </c>
    </row>
    <row r="19" spans="1:4" ht="26.4" x14ac:dyDescent="0.3">
      <c r="A19" s="318"/>
      <c r="B19" s="149" t="str">
        <f>'ORÇAMENTO SD'!C21</f>
        <v>Execução de sarjeta de concreto usinado, moldada in loco em trecho reto, 30 cm base x  3 cm altura</v>
      </c>
      <c r="C19" s="319"/>
      <c r="D19" s="321"/>
    </row>
    <row r="20" spans="1:4" x14ac:dyDescent="0.3">
      <c r="A20" s="314"/>
      <c r="B20" s="315"/>
      <c r="C20" s="315"/>
      <c r="D20" s="316"/>
    </row>
    <row r="21" spans="1:4" ht="26.4" x14ac:dyDescent="0.3">
      <c r="A21" s="322" t="s">
        <v>215</v>
      </c>
      <c r="B21" s="150" t="str">
        <f>'ORÇAMENTO SD'!C24</f>
        <v>Transporte com caminhão basculante de 10 m³, em via urbana pavimentada, dmt até 30 km (unidade: txkm). af_07/2020</v>
      </c>
      <c r="C21" s="323">
        <f>'ORÇAMENTO SD'!H24+'ORÇAMENTO SD'!H25+'ORÇAMENTO SD'!H43+'ORÇAMENTO SD'!H44+'ORÇAMENTO SD'!H62+'ORÇAMENTO SD'!H63+'ORÇAMENTO SD'!H81+'ORÇAMENTO SD'!H82+'ORÇAMENTO SD'!H100+'ORÇAMENTO SD'!H101+'ORÇAMENTO SD'!H119+'ORÇAMENTO SD'!H120+'ORÇAMENTO SD'!H138+'ORÇAMENTO SD'!H139+'ORÇAMENTO SD'!H157+'ORÇAMENTO SD'!H158+'ORÇAMENTO SD'!H176+'ORÇAMENTO SD'!H177+'ORÇAMENTO SD'!H195+'ORÇAMENTO SD'!H196+'ORÇAMENTO SD'!H214+'ORÇAMENTO SD'!H215+'ORÇAMENTO SD'!H233+'ORÇAMENTO SD'!H234+'ORÇAMENTO SD'!H252+'ORÇAMENTO SD'!H253+'ORÇAMENTO SD'!H271+'ORÇAMENTO SD'!H272</f>
        <v>157179.19999999998</v>
      </c>
      <c r="D21" s="325">
        <f>C21/C26</f>
        <v>8.6137078547414134E-2</v>
      </c>
    </row>
    <row r="22" spans="1:4" ht="26.4" x14ac:dyDescent="0.3">
      <c r="A22" s="322"/>
      <c r="B22" s="150" t="str">
        <f>'ORÇAMENTO SD'!C25</f>
        <v>Transporte com caminhão basculante de 10 m³, em via urbana pavimentada, adicional para dmt excedente a 30 km (unidade: txkm). af_07/2020</v>
      </c>
      <c r="C22" s="324"/>
      <c r="D22" s="326"/>
    </row>
    <row r="23" spans="1:4" x14ac:dyDescent="0.3">
      <c r="A23" s="314"/>
      <c r="B23" s="315"/>
      <c r="C23" s="315"/>
      <c r="D23" s="316"/>
    </row>
    <row r="24" spans="1:4" ht="26.4" x14ac:dyDescent="0.3">
      <c r="A24" s="322" t="s">
        <v>255</v>
      </c>
      <c r="B24" s="150" t="str">
        <f>'ORÇAMENTO SD'!C28</f>
        <v xml:space="preserve">Placa esmaltada para identificação de nome de rua, dimensões 45 x 20 cm com tubo de aço - 2 placas </v>
      </c>
      <c r="C24" s="323">
        <f>'ORÇAMENTO SD'!H28+'ORÇAMENTO SD'!H29+'ORÇAMENTO SD'!H47+'ORÇAMENTO SD'!H48+'ORÇAMENTO SD'!H66+'ORÇAMENTO SD'!H67+'ORÇAMENTO SD'!H85+'ORÇAMENTO SD'!H86+'ORÇAMENTO SD'!H104+'ORÇAMENTO SD'!H105+'ORÇAMENTO SD'!H123+'ORÇAMENTO SD'!H124+'ORÇAMENTO SD'!H142+'ORÇAMENTO SD'!H143+'ORÇAMENTO SD'!H161+'ORÇAMENTO SD'!H162+'ORÇAMENTO SD'!H180+'ORÇAMENTO SD'!H181+'ORÇAMENTO SD'!H199+'ORÇAMENTO SD'!H200+'ORÇAMENTO SD'!H218+'ORÇAMENTO SD'!H219+'ORÇAMENTO SD'!H237+'ORÇAMENTO SD'!H238+'ORÇAMENTO SD'!H256+'ORÇAMENTO SD'!H257+'ORÇAMENTO SD'!H275+'ORÇAMENTO SD'!H276</f>
        <v>18199.580000000002</v>
      </c>
      <c r="D24" s="325">
        <f>C24/C26</f>
        <v>9.9737029580882694E-3</v>
      </c>
    </row>
    <row r="25" spans="1:4" ht="26.4" x14ac:dyDescent="0.3">
      <c r="A25" s="322"/>
      <c r="B25" s="150" t="str">
        <f>'ORÇAMENTO SD'!C29</f>
        <v>Fornecimento e instalação de suporte metálico galvanizado para placas de sinalização em solo, com h= de 2,5 m e diâmetro de 2''. af_03/2022</v>
      </c>
      <c r="C25" s="324"/>
      <c r="D25" s="326"/>
    </row>
    <row r="26" spans="1:4" x14ac:dyDescent="0.3">
      <c r="A26" s="312" t="s">
        <v>201</v>
      </c>
      <c r="B26" s="313"/>
      <c r="C26" s="151">
        <f>SUM(C21,C18,C15,C13,C10,C24)</f>
        <v>1824756.5699999998</v>
      </c>
      <c r="D26" s="152">
        <f>SUM(D21,D18,D15,D13,D10,D24,)</f>
        <v>1</v>
      </c>
    </row>
    <row r="28" spans="1:4" x14ac:dyDescent="0.3">
      <c r="C28" s="169">
        <f>C26-'RESUMO SD '!F25</f>
        <v>0</v>
      </c>
    </row>
  </sheetData>
  <mergeCells count="33">
    <mergeCell ref="A6:C6"/>
    <mergeCell ref="A1:D1"/>
    <mergeCell ref="A2:D2"/>
    <mergeCell ref="A3:D3"/>
    <mergeCell ref="A4:D4"/>
    <mergeCell ref="A5:C5"/>
    <mergeCell ref="A15:A16"/>
    <mergeCell ref="B15:B16"/>
    <mergeCell ref="C15:C16"/>
    <mergeCell ref="D15:D16"/>
    <mergeCell ref="A7:D7"/>
    <mergeCell ref="A8:A9"/>
    <mergeCell ref="B8:B9"/>
    <mergeCell ref="C8:C9"/>
    <mergeCell ref="D8:D9"/>
    <mergeCell ref="A10:A11"/>
    <mergeCell ref="C10:C11"/>
    <mergeCell ref="D10:D11"/>
    <mergeCell ref="A12:D12"/>
    <mergeCell ref="A14:D14"/>
    <mergeCell ref="A26:B26"/>
    <mergeCell ref="A17:D17"/>
    <mergeCell ref="A18:A19"/>
    <mergeCell ref="C18:C19"/>
    <mergeCell ref="D18:D19"/>
    <mergeCell ref="A20:D20"/>
    <mergeCell ref="A21:A22"/>
    <mergeCell ref="C21:C22"/>
    <mergeCell ref="D21:D22"/>
    <mergeCell ref="A23:D23"/>
    <mergeCell ref="A24:A25"/>
    <mergeCell ref="C24:C25"/>
    <mergeCell ref="D24:D25"/>
  </mergeCells>
  <pageMargins left="0.39370078740157483" right="0.39370078740157483" top="1.1811023622047245" bottom="1.1811023622047245" header="0" footer="0"/>
  <pageSetup paperSize="9" scale="73" fitToHeight="0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14999847407452621"/>
    <pageSetUpPr fitToPage="1"/>
  </sheetPr>
  <dimension ref="A1:G25"/>
  <sheetViews>
    <sheetView view="pageBreakPreview" zoomScale="110" zoomScaleNormal="100" zoomScaleSheetLayoutView="110" workbookViewId="0">
      <selection activeCell="D8" sqref="D8"/>
    </sheetView>
  </sheetViews>
  <sheetFormatPr defaultColWidth="6.5546875" defaultRowHeight="14.4" x14ac:dyDescent="0.3"/>
  <cols>
    <col min="1" max="1" width="10" customWidth="1"/>
    <col min="2" max="2" width="56.88671875" customWidth="1"/>
    <col min="3" max="3" width="10" customWidth="1"/>
    <col min="4" max="4" width="11" customWidth="1"/>
    <col min="5" max="6" width="17.5546875" customWidth="1"/>
    <col min="7" max="7" width="22.44140625" bestFit="1" customWidth="1"/>
  </cols>
  <sheetData>
    <row r="1" spans="1:7" x14ac:dyDescent="0.3">
      <c r="A1" s="381" t="s">
        <v>39</v>
      </c>
      <c r="B1" s="381"/>
      <c r="C1" s="381"/>
      <c r="D1" s="381"/>
      <c r="E1" s="381"/>
      <c r="F1" s="381"/>
    </row>
    <row r="2" spans="1:7" ht="20.399999999999999" x14ac:dyDescent="0.3">
      <c r="A2" s="382" t="str">
        <f>CONCATENATE("PAVIMENTAÇÃO DE VIAS PÚBLICAS NO MUNÍCIO DE ",'GERAL '!B2," - PI")</f>
        <v>PAVIMENTAÇÃO DE VIAS PÚBLICAS NO MUNÍCIO DE JOSÉ DE FREITAS - PI</v>
      </c>
      <c r="B2" s="383"/>
      <c r="C2" s="384" t="s">
        <v>248</v>
      </c>
      <c r="D2" s="384"/>
      <c r="E2" s="16" t="s">
        <v>211</v>
      </c>
      <c r="F2" s="17" t="s">
        <v>311</v>
      </c>
    </row>
    <row r="3" spans="1:7" x14ac:dyDescent="0.3">
      <c r="A3" s="385" t="str">
        <f>CONCATENATE("LOCAL: ", 'GERAL '!B3)</f>
        <v>LOCAL: DIVERSAS</v>
      </c>
      <c r="B3" s="386"/>
      <c r="C3" s="386"/>
      <c r="D3" s="386"/>
      <c r="E3" s="18" t="s">
        <v>23</v>
      </c>
      <c r="F3" s="19">
        <f>'GERAL '!B25</f>
        <v>12999</v>
      </c>
    </row>
    <row r="4" spans="1:7" x14ac:dyDescent="0.3">
      <c r="A4" s="377" t="s">
        <v>24</v>
      </c>
      <c r="B4" s="377" t="s">
        <v>25</v>
      </c>
      <c r="C4" s="377" t="s">
        <v>26</v>
      </c>
      <c r="D4" s="379" t="s">
        <v>27</v>
      </c>
      <c r="E4" s="387" t="s">
        <v>28</v>
      </c>
      <c r="F4" s="388"/>
    </row>
    <row r="5" spans="1:7" x14ac:dyDescent="0.3">
      <c r="A5" s="378"/>
      <c r="B5" s="378"/>
      <c r="C5" s="378"/>
      <c r="D5" s="380"/>
      <c r="E5" s="389"/>
      <c r="F5" s="390"/>
    </row>
    <row r="6" spans="1:7" ht="20.100000000000001" customHeight="1" x14ac:dyDescent="0.3">
      <c r="A6" s="20" t="s">
        <v>29</v>
      </c>
      <c r="B6" s="394" t="s">
        <v>30</v>
      </c>
      <c r="C6" s="395"/>
      <c r="D6" s="395"/>
      <c r="E6" s="396">
        <f>SUM(E7:F8)</f>
        <v>29019.599999999999</v>
      </c>
      <c r="F6" s="397"/>
    </row>
    <row r="7" spans="1:7" ht="20.100000000000001" customHeight="1" x14ac:dyDescent="0.3">
      <c r="A7" s="21" t="s">
        <v>31</v>
      </c>
      <c r="B7" s="28" t="s">
        <v>36</v>
      </c>
      <c r="C7" s="22" t="s">
        <v>15</v>
      </c>
      <c r="D7" s="29">
        <f>'ORÇAMENTO SD'!E9</f>
        <v>6</v>
      </c>
      <c r="E7" s="391">
        <f>'ORÇAMENTO CD (2)'!H9</f>
        <v>3546.42</v>
      </c>
      <c r="F7" s="392"/>
    </row>
    <row r="8" spans="1:7" ht="20.100000000000001" customHeight="1" x14ac:dyDescent="0.3">
      <c r="A8" s="21" t="s">
        <v>31</v>
      </c>
      <c r="B8" s="28" t="s">
        <v>37</v>
      </c>
      <c r="C8" s="22" t="s">
        <v>38</v>
      </c>
      <c r="D8" s="29">
        <f>'ORÇAMENTO SD'!E10</f>
        <v>3</v>
      </c>
      <c r="E8" s="391">
        <f>'ORÇAMENTO CD (2)'!H10</f>
        <v>25473.18</v>
      </c>
      <c r="F8" s="392"/>
    </row>
    <row r="9" spans="1:7" ht="20.100000000000001" customHeight="1" x14ac:dyDescent="0.3">
      <c r="A9" s="20" t="s">
        <v>32</v>
      </c>
      <c r="B9" s="394" t="s">
        <v>33</v>
      </c>
      <c r="C9" s="395"/>
      <c r="D9" s="395"/>
      <c r="E9" s="396">
        <f>SUM(E10:F23)</f>
        <v>1806191.04</v>
      </c>
      <c r="F9" s="397"/>
    </row>
    <row r="10" spans="1:7" ht="20.100000000000001" customHeight="1" x14ac:dyDescent="0.3">
      <c r="A10" s="21" t="s">
        <v>34</v>
      </c>
      <c r="B10" s="28" t="str">
        <f>'GERAL '!A10</f>
        <v>RUA ANTONIO ANANIAS SAMPAIO</v>
      </c>
      <c r="C10" s="22" t="s">
        <v>15</v>
      </c>
      <c r="D10" s="30">
        <f>'GERAL '!B10</f>
        <v>306</v>
      </c>
      <c r="E10" s="391">
        <f>'ORÇAMENTO CD (2)'!H12</f>
        <v>43990.77</v>
      </c>
      <c r="F10" s="392"/>
      <c r="G10" s="185"/>
    </row>
    <row r="11" spans="1:7" ht="20.100000000000001" customHeight="1" x14ac:dyDescent="0.3">
      <c r="A11" s="21" t="s">
        <v>314</v>
      </c>
      <c r="B11" s="28" t="str">
        <f>'GERAL '!A11</f>
        <v>RUA PROJETADA 257</v>
      </c>
      <c r="C11" s="22" t="s">
        <v>15</v>
      </c>
      <c r="D11" s="30">
        <f>'GERAL '!B11</f>
        <v>570</v>
      </c>
      <c r="E11" s="391">
        <f>'ORÇAMENTO CD (2)'!H31</f>
        <v>80231.259999999995</v>
      </c>
      <c r="F11" s="392"/>
      <c r="G11" s="185"/>
    </row>
    <row r="12" spans="1:7" ht="20.100000000000001" customHeight="1" x14ac:dyDescent="0.3">
      <c r="A12" s="21" t="s">
        <v>315</v>
      </c>
      <c r="B12" s="28" t="str">
        <f>'GERAL '!A12</f>
        <v>RUA DEUSDETH ROCHA</v>
      </c>
      <c r="C12" s="22" t="s">
        <v>15</v>
      </c>
      <c r="D12" s="30">
        <f>'GERAL '!B12</f>
        <v>390</v>
      </c>
      <c r="E12" s="391">
        <f>'ORÇAMENTO CD (2)'!H50</f>
        <v>55521.829999999994</v>
      </c>
      <c r="F12" s="392"/>
      <c r="G12" s="185"/>
    </row>
    <row r="13" spans="1:7" ht="20.100000000000001" customHeight="1" x14ac:dyDescent="0.3">
      <c r="A13" s="21" t="s">
        <v>316</v>
      </c>
      <c r="B13" s="28" t="str">
        <f>'GERAL '!A13</f>
        <v xml:space="preserve">RUA FRANCISCO FORTES MARTINS </v>
      </c>
      <c r="C13" s="22"/>
      <c r="D13" s="30">
        <f>'GERAL '!B13</f>
        <v>288</v>
      </c>
      <c r="E13" s="391">
        <f>'ORÇAMENTO CD (2)'!H69</f>
        <v>41519.840000000004</v>
      </c>
      <c r="F13" s="392"/>
      <c r="G13" s="185"/>
    </row>
    <row r="14" spans="1:7" ht="20.100000000000001" customHeight="1" x14ac:dyDescent="0.3">
      <c r="A14" s="21" t="s">
        <v>317</v>
      </c>
      <c r="B14" s="28" t="str">
        <f>'GERAL '!A14</f>
        <v>RUA MANOEL SENHOR</v>
      </c>
      <c r="C14" s="22" t="s">
        <v>15</v>
      </c>
      <c r="D14" s="30">
        <f>'GERAL '!B14</f>
        <v>150</v>
      </c>
      <c r="E14" s="391">
        <f>'ORÇAMENTO CD (2)'!H88</f>
        <v>22575.93</v>
      </c>
      <c r="F14" s="392"/>
    </row>
    <row r="15" spans="1:7" ht="20.100000000000001" customHeight="1" x14ac:dyDescent="0.3">
      <c r="A15" s="21" t="s">
        <v>327</v>
      </c>
      <c r="B15" s="28" t="str">
        <f>'GERAL '!A15</f>
        <v>PROJETADA 01 - COMUNIDADE GRACIOSA</v>
      </c>
      <c r="C15" s="22" t="s">
        <v>15</v>
      </c>
      <c r="D15" s="30">
        <f>'GERAL '!B15</f>
        <v>3798</v>
      </c>
      <c r="E15" s="391">
        <f>'ORÇAMENTO CD (2)'!H107</f>
        <v>523353.55000000005</v>
      </c>
      <c r="F15" s="392"/>
    </row>
    <row r="16" spans="1:7" ht="20.100000000000001" customHeight="1" x14ac:dyDescent="0.3">
      <c r="A16" s="21" t="s">
        <v>328</v>
      </c>
      <c r="B16" s="28" t="str">
        <f>'GERAL '!A16</f>
        <v>PROJETADA 01 - COMUNIDADE LAGOA DO PIRIPIRI</v>
      </c>
      <c r="C16" s="22" t="s">
        <v>15</v>
      </c>
      <c r="D16" s="30">
        <f>'GERAL '!B16</f>
        <v>780</v>
      </c>
      <c r="E16" s="391">
        <f>'ORÇAMENTO CD (2)'!H126</f>
        <v>109058.90999999999</v>
      </c>
      <c r="F16" s="392"/>
      <c r="G16" s="182"/>
    </row>
    <row r="17" spans="1:7" ht="20.100000000000001" customHeight="1" x14ac:dyDescent="0.3">
      <c r="A17" s="21" t="s">
        <v>329</v>
      </c>
      <c r="B17" s="28" t="str">
        <f>'GERAL '!A17</f>
        <v>RUA PROJETADA 01 - COMUNIDADE ALIVIO</v>
      </c>
      <c r="C17" s="22" t="s">
        <v>15</v>
      </c>
      <c r="D17" s="30">
        <f>'GERAL '!B17</f>
        <v>1740</v>
      </c>
      <c r="E17" s="391">
        <f>'ORÇAMENTO CD (2)'!H145</f>
        <v>240842.49000000002</v>
      </c>
      <c r="F17" s="392"/>
    </row>
    <row r="18" spans="1:7" ht="20.100000000000001" customHeight="1" x14ac:dyDescent="0.3">
      <c r="A18" s="21" t="s">
        <v>330</v>
      </c>
      <c r="B18" s="28" t="str">
        <f>'GERAL '!A18</f>
        <v>RUA PROJETADA 08</v>
      </c>
      <c r="C18" s="22" t="s">
        <v>15</v>
      </c>
      <c r="D18" s="30">
        <f>'GERAL '!B18</f>
        <v>642</v>
      </c>
      <c r="E18" s="391">
        <f>'ORÇAMENTO CD (2)'!H164</f>
        <v>90115.030000000013</v>
      </c>
      <c r="F18" s="392"/>
      <c r="G18" s="185"/>
    </row>
    <row r="19" spans="1:7" ht="20.100000000000001" customHeight="1" x14ac:dyDescent="0.3">
      <c r="A19" s="21" t="s">
        <v>331</v>
      </c>
      <c r="B19" s="28" t="str">
        <f>'GERAL '!A19</f>
        <v>RUA PROJETADA 09</v>
      </c>
      <c r="C19" s="22" t="s">
        <v>15</v>
      </c>
      <c r="D19" s="30">
        <f>'GERAL '!B19</f>
        <v>822</v>
      </c>
      <c r="E19" s="391">
        <f>'ORÇAMENTO CD (2)'!H183</f>
        <v>114824.44000000002</v>
      </c>
      <c r="F19" s="392"/>
    </row>
    <row r="20" spans="1:7" ht="20.100000000000001" customHeight="1" x14ac:dyDescent="0.3">
      <c r="A20" s="21" t="s">
        <v>428</v>
      </c>
      <c r="B20" s="28" t="str">
        <f>'GERAL '!A20</f>
        <v xml:space="preserve">RUA COQUEIRO VERDE </v>
      </c>
      <c r="C20" s="22" t="s">
        <v>15</v>
      </c>
      <c r="D20" s="30">
        <f>'GERAL '!B20</f>
        <v>1020</v>
      </c>
      <c r="E20" s="391">
        <f>'ORÇAMENTO CD (2)'!H202</f>
        <v>142004.81</v>
      </c>
      <c r="F20" s="392"/>
    </row>
    <row r="21" spans="1:7" ht="20.100000000000001" customHeight="1" x14ac:dyDescent="0.3">
      <c r="A21" s="21" t="s">
        <v>429</v>
      </c>
      <c r="B21" s="28" t="str">
        <f>'GERAL '!A21</f>
        <v>RUA PROJETADA (LAGOA FUNDA)</v>
      </c>
      <c r="C21" s="22" t="s">
        <v>15</v>
      </c>
      <c r="D21" s="30">
        <f>'GERAL '!B21</f>
        <v>120</v>
      </c>
      <c r="E21" s="391">
        <f>'ORÇAMENTO CD (2)'!H221</f>
        <v>18457.7</v>
      </c>
      <c r="F21" s="392"/>
    </row>
    <row r="22" spans="1:7" ht="20.100000000000001" customHeight="1" x14ac:dyDescent="0.3">
      <c r="A22" s="21" t="s">
        <v>430</v>
      </c>
      <c r="B22" s="28" t="str">
        <f>'GERAL '!A22</f>
        <v xml:space="preserve">RUA PACAJÚ </v>
      </c>
      <c r="C22" s="22" t="s">
        <v>15</v>
      </c>
      <c r="D22" s="30">
        <f>'GERAL '!B22</f>
        <v>1617</v>
      </c>
      <c r="E22" s="391">
        <f>'ORÇAMENTO CD (2)'!H240</f>
        <v>217930.15999999997</v>
      </c>
      <c r="F22" s="392"/>
    </row>
    <row r="23" spans="1:7" ht="20.100000000000001" customHeight="1" x14ac:dyDescent="0.3">
      <c r="A23" s="21" t="s">
        <v>431</v>
      </c>
      <c r="B23" s="28" t="str">
        <f>'GERAL '!A23</f>
        <v>RUA 07 DE ABRIL</v>
      </c>
      <c r="C23" s="22" t="s">
        <v>15</v>
      </c>
      <c r="D23" s="30">
        <f>'GERAL '!B23</f>
        <v>756</v>
      </c>
      <c r="E23" s="391">
        <f>'ORÇAMENTO CD (2)'!H259</f>
        <v>105764.31999999999</v>
      </c>
      <c r="F23" s="392"/>
    </row>
    <row r="24" spans="1:7" ht="20.100000000000001" customHeight="1" x14ac:dyDescent="0.3">
      <c r="A24" s="23"/>
      <c r="B24" s="24"/>
      <c r="C24" s="24"/>
      <c r="D24" s="25"/>
      <c r="E24" s="25"/>
      <c r="F24" s="26"/>
    </row>
    <row r="25" spans="1:7" ht="20.100000000000001" customHeight="1" x14ac:dyDescent="0.3">
      <c r="A25" s="393" t="s">
        <v>35</v>
      </c>
      <c r="B25" s="393"/>
      <c r="C25" s="393"/>
      <c r="D25" s="393"/>
      <c r="E25" s="393"/>
      <c r="F25" s="27">
        <f>E6+E9</f>
        <v>1835210.6400000001</v>
      </c>
      <c r="G25" s="184"/>
    </row>
  </sheetData>
  <mergeCells count="30">
    <mergeCell ref="A1:F1"/>
    <mergeCell ref="A2:B2"/>
    <mergeCell ref="C2:D2"/>
    <mergeCell ref="A3:D3"/>
    <mergeCell ref="A4:A5"/>
    <mergeCell ref="B4:B5"/>
    <mergeCell ref="C4:C5"/>
    <mergeCell ref="D4:D5"/>
    <mergeCell ref="E4:F5"/>
    <mergeCell ref="E16:F16"/>
    <mergeCell ref="B6:D6"/>
    <mergeCell ref="E6:F6"/>
    <mergeCell ref="E7:F7"/>
    <mergeCell ref="E8:F8"/>
    <mergeCell ref="B9:D9"/>
    <mergeCell ref="E9:F9"/>
    <mergeCell ref="E10:F10"/>
    <mergeCell ref="E11:F11"/>
    <mergeCell ref="E12:F12"/>
    <mergeCell ref="E14:F14"/>
    <mergeCell ref="E15:F15"/>
    <mergeCell ref="E13:F13"/>
    <mergeCell ref="E17:F17"/>
    <mergeCell ref="E18:F18"/>
    <mergeCell ref="E19:F19"/>
    <mergeCell ref="E23:F23"/>
    <mergeCell ref="A25:E25"/>
    <mergeCell ref="E20:F20"/>
    <mergeCell ref="E21:F21"/>
    <mergeCell ref="E22:F22"/>
  </mergeCells>
  <phoneticPr fontId="17" type="noConversion"/>
  <pageMargins left="0.98425196850393704" right="0.51181102362204722" top="2.204724409448819" bottom="1.1811023622047245" header="0.51181102362204722" footer="0.51181102362204722"/>
  <pageSetup paperSize="9" scale="68" orientation="landscape" r:id="rId1"/>
  <headerFooter>
    <oddHeader>&amp;C&amp;G</oddHeader>
    <oddFooter>&amp;C&amp;G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14999847407452621"/>
    <pageSetUpPr fitToPage="1"/>
  </sheetPr>
  <dimension ref="A1:H276"/>
  <sheetViews>
    <sheetView tabSelected="1" view="pageBreakPreview" zoomScaleNormal="100" zoomScaleSheetLayoutView="100" workbookViewId="0">
      <selection activeCell="H10" sqref="H10"/>
    </sheetView>
  </sheetViews>
  <sheetFormatPr defaultRowHeight="14.4" x14ac:dyDescent="0.3"/>
  <cols>
    <col min="1" max="1" width="9.33203125" style="310" bestFit="1" customWidth="1"/>
    <col min="2" max="2" width="17.5546875" style="311" customWidth="1"/>
    <col min="3" max="3" width="44.6640625" style="311" bestFit="1" customWidth="1"/>
    <col min="4" max="4" width="12.5546875" style="311" bestFit="1" customWidth="1"/>
    <col min="5" max="5" width="8.6640625" style="311" bestFit="1" customWidth="1"/>
    <col min="6" max="6" width="12" style="311" bestFit="1" customWidth="1"/>
    <col min="7" max="7" width="16.33203125" style="311" bestFit="1" customWidth="1"/>
    <col min="8" max="8" width="17.33203125" style="310" bestFit="1" customWidth="1"/>
  </cols>
  <sheetData>
    <row r="1" spans="1:8" ht="15" customHeight="1" x14ac:dyDescent="0.3">
      <c r="A1" s="401" t="s">
        <v>159</v>
      </c>
      <c r="B1" s="401"/>
      <c r="C1" s="401"/>
      <c r="D1" s="401"/>
      <c r="E1" s="401"/>
      <c r="F1" s="401"/>
      <c r="G1" s="401"/>
      <c r="H1" s="401"/>
    </row>
    <row r="2" spans="1:8" ht="15" customHeight="1" x14ac:dyDescent="0.3">
      <c r="A2" s="401"/>
      <c r="B2" s="401"/>
      <c r="C2" s="401"/>
      <c r="D2" s="401"/>
      <c r="E2" s="401"/>
      <c r="F2" s="401"/>
      <c r="G2" s="401"/>
      <c r="H2" s="401"/>
    </row>
    <row r="3" spans="1:8" ht="23.25" customHeight="1" x14ac:dyDescent="0.3">
      <c r="A3" s="403" t="str">
        <f>'RESUMO SD '!A2:B2</f>
        <v>PAVIMENTAÇÃO DE VIAS PÚBLICAS NO MUNÍCIO DE JOSÉ DE FREITAS - PI</v>
      </c>
      <c r="B3" s="403"/>
      <c r="C3" s="403"/>
      <c r="D3" s="403"/>
      <c r="E3" s="403"/>
      <c r="F3" s="404" t="str">
        <f>'RESUMO SD '!C2</f>
        <v>FONTE:  
SINAPI 05/2025</v>
      </c>
      <c r="G3" s="404" t="str">
        <f>'RESUMO CD  '!E2</f>
        <v>COM DESONERAÇÃO
BDI: 28,14%</v>
      </c>
      <c r="H3" s="404" t="str">
        <f>'RESUMO CD  '!F2</f>
        <v>HORISTA: 90,66%
MENSALISTA: 52,90%</v>
      </c>
    </row>
    <row r="4" spans="1:8" x14ac:dyDescent="0.3">
      <c r="A4" s="258" t="str">
        <f>'RESUMO SD '!A3:D3</f>
        <v>LOCAL: DIVERSAS</v>
      </c>
      <c r="B4" s="259"/>
      <c r="C4" s="259"/>
      <c r="D4" s="405"/>
      <c r="E4" s="405"/>
      <c r="F4" s="404"/>
      <c r="G4" s="404"/>
      <c r="H4" s="404"/>
    </row>
    <row r="5" spans="1:8" x14ac:dyDescent="0.3">
      <c r="A5" s="260"/>
      <c r="B5" s="259"/>
      <c r="C5" s="259"/>
      <c r="D5" s="261"/>
      <c r="E5" s="261"/>
      <c r="F5" s="262"/>
      <c r="G5" s="262"/>
      <c r="H5" s="263"/>
    </row>
    <row r="6" spans="1:8" x14ac:dyDescent="0.3">
      <c r="A6" s="401" t="s">
        <v>24</v>
      </c>
      <c r="B6" s="401" t="s">
        <v>89</v>
      </c>
      <c r="C6" s="401" t="s">
        <v>25</v>
      </c>
      <c r="D6" s="401" t="s">
        <v>26</v>
      </c>
      <c r="E6" s="402" t="s">
        <v>27</v>
      </c>
      <c r="F6" s="402" t="s">
        <v>160</v>
      </c>
      <c r="G6" s="402"/>
      <c r="H6" s="402"/>
    </row>
    <row r="7" spans="1:8" x14ac:dyDescent="0.3">
      <c r="A7" s="401"/>
      <c r="B7" s="401"/>
      <c r="C7" s="401"/>
      <c r="D7" s="401"/>
      <c r="E7" s="402"/>
      <c r="F7" s="264" t="s">
        <v>161</v>
      </c>
      <c r="G7" s="264" t="s">
        <v>162</v>
      </c>
      <c r="H7" s="265" t="s">
        <v>163</v>
      </c>
    </row>
    <row r="8" spans="1:8" x14ac:dyDescent="0.3">
      <c r="A8" s="266" t="s">
        <v>29</v>
      </c>
      <c r="B8" s="399" t="s">
        <v>30</v>
      </c>
      <c r="C8" s="399"/>
      <c r="D8" s="399"/>
      <c r="E8" s="399"/>
      <c r="F8" s="399"/>
      <c r="G8" s="399"/>
      <c r="H8" s="267">
        <f>SUM(H9:H10)</f>
        <v>29019.599999999999</v>
      </c>
    </row>
    <row r="9" spans="1:8" x14ac:dyDescent="0.3">
      <c r="A9" s="268" t="s">
        <v>31</v>
      </c>
      <c r="B9" s="261" t="s">
        <v>250</v>
      </c>
      <c r="C9" s="269" t="s">
        <v>36</v>
      </c>
      <c r="D9" s="261" t="s">
        <v>15</v>
      </c>
      <c r="E9" s="270">
        <f>MC!C10</f>
        <v>6</v>
      </c>
      <c r="F9" s="270">
        <f>'COMPOSIÇÕES UNITÁRIAS CD '!H7</f>
        <v>461.27</v>
      </c>
      <c r="G9" s="271">
        <f>'COMPOSIÇÕES UNITÁRIAS CD '!H17</f>
        <v>591.07000000000005</v>
      </c>
      <c r="H9" s="271">
        <f>ROUND(E9*G9,2)</f>
        <v>3546.42</v>
      </c>
    </row>
    <row r="10" spans="1:8" x14ac:dyDescent="0.3">
      <c r="A10" s="268" t="s">
        <v>164</v>
      </c>
      <c r="B10" s="261" t="s">
        <v>251</v>
      </c>
      <c r="C10" s="269" t="s">
        <v>37</v>
      </c>
      <c r="D10" s="261" t="s">
        <v>38</v>
      </c>
      <c r="E10" s="270">
        <f>MC!C14</f>
        <v>3</v>
      </c>
      <c r="F10" s="270">
        <f>'COMPOSIÇÕES UNITÁRIAS CD '!H20</f>
        <v>6626.4</v>
      </c>
      <c r="G10" s="271">
        <f>'COMPOSIÇÕES UNITÁRIAS CD '!H26</f>
        <v>8491.06</v>
      </c>
      <c r="H10" s="271">
        <f>ROUND(E10*G10,2)</f>
        <v>25473.18</v>
      </c>
    </row>
    <row r="11" spans="1:8" x14ac:dyDescent="0.3">
      <c r="A11" s="398"/>
      <c r="B11" s="398"/>
      <c r="C11" s="398"/>
      <c r="D11" s="398"/>
      <c r="E11" s="398"/>
      <c r="F11" s="398"/>
      <c r="G11" s="398"/>
      <c r="H11" s="398"/>
    </row>
    <row r="12" spans="1:8" x14ac:dyDescent="0.3">
      <c r="A12" s="400" t="str">
        <f>MC!B16</f>
        <v>RUA ANTONIO ANANIAS SAMPAIO</v>
      </c>
      <c r="B12" s="400"/>
      <c r="C12" s="400"/>
      <c r="D12" s="400"/>
      <c r="E12" s="400"/>
      <c r="F12" s="400"/>
      <c r="G12" s="400"/>
      <c r="H12" s="272">
        <f>SUM(H13,H16,H19,H23,H27)</f>
        <v>43990.77</v>
      </c>
    </row>
    <row r="13" spans="1:8" x14ac:dyDescent="0.3">
      <c r="A13" s="266" t="s">
        <v>32</v>
      </c>
      <c r="B13" s="399" t="s">
        <v>165</v>
      </c>
      <c r="C13" s="399"/>
      <c r="D13" s="399"/>
      <c r="E13" s="399"/>
      <c r="F13" s="399"/>
      <c r="G13" s="399"/>
      <c r="H13" s="267">
        <f>H14</f>
        <v>712.98</v>
      </c>
    </row>
    <row r="14" spans="1:8" x14ac:dyDescent="0.3">
      <c r="A14" s="268" t="s">
        <v>34</v>
      </c>
      <c r="B14" s="261">
        <v>100575</v>
      </c>
      <c r="C14" s="273" t="s">
        <v>166</v>
      </c>
      <c r="D14" s="274" t="s">
        <v>15</v>
      </c>
      <c r="E14" s="270">
        <f>MC!C25</f>
        <v>306</v>
      </c>
      <c r="F14" s="270">
        <f>'COMPOSIÇÕES UNITÁRIAS CD '!H29</f>
        <v>1.82</v>
      </c>
      <c r="G14" s="271">
        <f>'COMPOSIÇÕES UNITÁRIAS CD '!H39</f>
        <v>2.33</v>
      </c>
      <c r="H14" s="271">
        <f>ROUND(E14*G14,2)</f>
        <v>712.98</v>
      </c>
    </row>
    <row r="15" spans="1:8" x14ac:dyDescent="0.3">
      <c r="A15" s="398"/>
      <c r="B15" s="398"/>
      <c r="C15" s="398"/>
      <c r="D15" s="398"/>
      <c r="E15" s="398"/>
      <c r="F15" s="398"/>
      <c r="G15" s="398"/>
      <c r="H15" s="398"/>
    </row>
    <row r="16" spans="1:8" x14ac:dyDescent="0.3">
      <c r="A16" s="266" t="s">
        <v>167</v>
      </c>
      <c r="B16" s="399" t="s">
        <v>168</v>
      </c>
      <c r="C16" s="399"/>
      <c r="D16" s="399"/>
      <c r="E16" s="399"/>
      <c r="F16" s="399"/>
      <c r="G16" s="399"/>
      <c r="H16" s="267">
        <f>SUM(H17:H17)</f>
        <v>29354.58</v>
      </c>
    </row>
    <row r="17" spans="1:8" ht="20.399999999999999" x14ac:dyDescent="0.3">
      <c r="A17" s="268" t="s">
        <v>169</v>
      </c>
      <c r="B17" s="261" t="s">
        <v>252</v>
      </c>
      <c r="C17" s="273" t="s">
        <v>253</v>
      </c>
      <c r="D17" s="274" t="s">
        <v>15</v>
      </c>
      <c r="E17" s="270">
        <f>MC!C31</f>
        <v>306</v>
      </c>
      <c r="F17" s="270">
        <f>'COMPOSIÇÕES UNITÁRIAS CD '!H42</f>
        <v>74.87</v>
      </c>
      <c r="G17" s="271">
        <f>'COMPOSIÇÕES UNITÁRIAS CD '!H52</f>
        <v>95.93</v>
      </c>
      <c r="H17" s="271">
        <f>ROUND(E17*G17,2)</f>
        <v>29354.58</v>
      </c>
    </row>
    <row r="18" spans="1:8" x14ac:dyDescent="0.3">
      <c r="A18" s="398"/>
      <c r="B18" s="398"/>
      <c r="C18" s="398"/>
      <c r="D18" s="398"/>
      <c r="E18" s="398"/>
      <c r="F18" s="398"/>
      <c r="G18" s="398"/>
      <c r="H18" s="398"/>
    </row>
    <row r="19" spans="1:8" x14ac:dyDescent="0.3">
      <c r="A19" s="266" t="s">
        <v>170</v>
      </c>
      <c r="B19" s="399" t="s">
        <v>171</v>
      </c>
      <c r="C19" s="399"/>
      <c r="D19" s="399"/>
      <c r="E19" s="399"/>
      <c r="F19" s="399"/>
      <c r="G19" s="399"/>
      <c r="H19" s="267">
        <f>SUM(H20:H21)</f>
        <v>8745.9</v>
      </c>
    </row>
    <row r="20" spans="1:8" ht="30.6" x14ac:dyDescent="0.3">
      <c r="A20" s="268" t="s">
        <v>172</v>
      </c>
      <c r="B20" s="261">
        <v>94273</v>
      </c>
      <c r="C20" s="273" t="s">
        <v>173</v>
      </c>
      <c r="D20" s="274" t="s">
        <v>174</v>
      </c>
      <c r="E20" s="270">
        <f>MC!C38</f>
        <v>114</v>
      </c>
      <c r="F20" s="270">
        <f>'COMPOSIÇÕES UNITÁRIAS CD '!H64</f>
        <v>40.56</v>
      </c>
      <c r="G20" s="271">
        <f>'COMPOSIÇÕES UNITÁRIAS CD '!H72</f>
        <v>51.97</v>
      </c>
      <c r="H20" s="271">
        <f>ROUND(E20*G20,2)</f>
        <v>5924.58</v>
      </c>
    </row>
    <row r="21" spans="1:8" ht="20.399999999999999" x14ac:dyDescent="0.3">
      <c r="A21" s="268" t="s">
        <v>175</v>
      </c>
      <c r="B21" s="261" t="s">
        <v>257</v>
      </c>
      <c r="C21" s="273" t="s">
        <v>258</v>
      </c>
      <c r="D21" s="274" t="s">
        <v>174</v>
      </c>
      <c r="E21" s="270">
        <f>MC!C43</f>
        <v>102</v>
      </c>
      <c r="F21" s="270">
        <f>'COMPOSIÇÕES UNITÁRIAS CD '!H75</f>
        <v>21.59</v>
      </c>
      <c r="G21" s="271">
        <f>'COMPOSIÇÕES UNITÁRIAS CD '!H84</f>
        <v>27.66</v>
      </c>
      <c r="H21" s="271">
        <f>ROUND(E21*G21,2)</f>
        <v>2821.32</v>
      </c>
    </row>
    <row r="22" spans="1:8" x14ac:dyDescent="0.3">
      <c r="A22" s="398"/>
      <c r="B22" s="398"/>
      <c r="C22" s="398"/>
      <c r="D22" s="398"/>
      <c r="E22" s="398"/>
      <c r="F22" s="398"/>
      <c r="G22" s="398"/>
      <c r="H22" s="398"/>
    </row>
    <row r="23" spans="1:8" x14ac:dyDescent="0.3">
      <c r="A23" s="266" t="s">
        <v>217</v>
      </c>
      <c r="B23" s="399" t="s">
        <v>215</v>
      </c>
      <c r="C23" s="399"/>
      <c r="D23" s="399"/>
      <c r="E23" s="399"/>
      <c r="F23" s="399"/>
      <c r="G23" s="399"/>
      <c r="H23" s="267">
        <f>SUM(H24:H25)</f>
        <v>3816.2</v>
      </c>
    </row>
    <row r="24" spans="1:8" ht="20.399999999999999" x14ac:dyDescent="0.3">
      <c r="A24" s="268" t="s">
        <v>218</v>
      </c>
      <c r="B24" s="261">
        <v>95878</v>
      </c>
      <c r="C24" s="273" t="s">
        <v>278</v>
      </c>
      <c r="D24" s="274" t="s">
        <v>216</v>
      </c>
      <c r="E24" s="270">
        <f>MC!C52</f>
        <v>1457.42</v>
      </c>
      <c r="F24" s="270">
        <f>'COMPOSIÇÕES UNITÁRIAS CD '!H87</f>
        <v>1.63</v>
      </c>
      <c r="G24" s="271">
        <f>'COMPOSIÇÕES UNITÁRIAS CD '!H92</f>
        <v>2.08</v>
      </c>
      <c r="H24" s="271">
        <f>ROUND(E24*G24,2)</f>
        <v>3031.43</v>
      </c>
    </row>
    <row r="25" spans="1:8" ht="30.6" x14ac:dyDescent="0.3">
      <c r="A25" s="268" t="s">
        <v>277</v>
      </c>
      <c r="B25" s="261">
        <v>93596</v>
      </c>
      <c r="C25" s="273" t="s">
        <v>279</v>
      </c>
      <c r="D25" s="274" t="s">
        <v>216</v>
      </c>
      <c r="E25" s="270">
        <f>MC!C60</f>
        <v>957.04</v>
      </c>
      <c r="F25" s="270">
        <f>'COMPOSIÇÕES UNITÁRIAS CD '!H95</f>
        <v>0.64</v>
      </c>
      <c r="G25" s="271">
        <f>'COMPOSIÇÕES UNITÁRIAS CD '!H100</f>
        <v>0.82</v>
      </c>
      <c r="H25" s="271">
        <f>ROUND(E25*G25,2)</f>
        <v>784.77</v>
      </c>
    </row>
    <row r="26" spans="1:8" x14ac:dyDescent="0.3">
      <c r="A26" s="398"/>
      <c r="B26" s="398"/>
      <c r="C26" s="398"/>
      <c r="D26" s="398"/>
      <c r="E26" s="398"/>
      <c r="F26" s="398"/>
      <c r="G26" s="398"/>
      <c r="H26" s="398"/>
    </row>
    <row r="27" spans="1:8" x14ac:dyDescent="0.3">
      <c r="A27" s="266" t="s">
        <v>254</v>
      </c>
      <c r="B27" s="399" t="s">
        <v>255</v>
      </c>
      <c r="C27" s="399"/>
      <c r="D27" s="399"/>
      <c r="E27" s="399"/>
      <c r="F27" s="399"/>
      <c r="G27" s="399"/>
      <c r="H27" s="267">
        <f>SUM(H28:H29)</f>
        <v>1361.1100000000001</v>
      </c>
    </row>
    <row r="28" spans="1:8" ht="20.399999999999999" x14ac:dyDescent="0.3">
      <c r="A28" s="268" t="s">
        <v>256</v>
      </c>
      <c r="B28" s="261" t="s">
        <v>273</v>
      </c>
      <c r="C28" s="273" t="s">
        <v>259</v>
      </c>
      <c r="D28" s="274" t="s">
        <v>15</v>
      </c>
      <c r="E28" s="270">
        <f>MC!C65</f>
        <v>0.23</v>
      </c>
      <c r="F28" s="270">
        <f>'COMPOSIÇÕES UNITÁRIAS CD '!H103</f>
        <v>978.79</v>
      </c>
      <c r="G28" s="271">
        <f>'COMPOSIÇÕES UNITÁRIAS CD '!H110</f>
        <v>1254.22</v>
      </c>
      <c r="H28" s="271">
        <f>ROUND(E28*G28,2)</f>
        <v>288.47000000000003</v>
      </c>
    </row>
    <row r="29" spans="1:8" ht="30.6" x14ac:dyDescent="0.3">
      <c r="A29" s="268" t="s">
        <v>256</v>
      </c>
      <c r="B29" s="261" t="s">
        <v>275</v>
      </c>
      <c r="C29" s="273" t="s">
        <v>276</v>
      </c>
      <c r="D29" s="274" t="s">
        <v>176</v>
      </c>
      <c r="E29" s="270">
        <f>MC!C69</f>
        <v>2</v>
      </c>
      <c r="F29" s="270">
        <f>'COMPOSIÇÕES UNITÁRIAS CD '!H113</f>
        <v>418.55</v>
      </c>
      <c r="G29" s="271">
        <f>'COMPOSIÇÕES UNITÁRIAS CD '!H120</f>
        <v>536.32000000000005</v>
      </c>
      <c r="H29" s="271">
        <f>ROUND(E29*G29,2)</f>
        <v>1072.6400000000001</v>
      </c>
    </row>
    <row r="30" spans="1:8" x14ac:dyDescent="0.3">
      <c r="A30" s="398"/>
      <c r="B30" s="398"/>
      <c r="C30" s="398"/>
      <c r="D30" s="398"/>
      <c r="E30" s="398"/>
      <c r="F30" s="398"/>
      <c r="G30" s="398"/>
      <c r="H30" s="398"/>
    </row>
    <row r="31" spans="1:8" x14ac:dyDescent="0.3">
      <c r="A31" s="400" t="str">
        <f>MC!B71</f>
        <v>RUA PROJETADA 257</v>
      </c>
      <c r="B31" s="400"/>
      <c r="C31" s="400"/>
      <c r="D31" s="400"/>
      <c r="E31" s="400"/>
      <c r="F31" s="400"/>
      <c r="G31" s="400"/>
      <c r="H31" s="272">
        <f>SUM(H32,H35,H38,H42,H46)</f>
        <v>80231.259999999995</v>
      </c>
    </row>
    <row r="32" spans="1:8" x14ac:dyDescent="0.3">
      <c r="A32" s="266" t="s">
        <v>32</v>
      </c>
      <c r="B32" s="399" t="s">
        <v>165</v>
      </c>
      <c r="C32" s="399"/>
      <c r="D32" s="399"/>
      <c r="E32" s="399"/>
      <c r="F32" s="399"/>
      <c r="G32" s="399"/>
      <c r="H32" s="267">
        <f>H33</f>
        <v>1328.1</v>
      </c>
    </row>
    <row r="33" spans="1:8" x14ac:dyDescent="0.3">
      <c r="A33" s="268" t="s">
        <v>34</v>
      </c>
      <c r="B33" s="261">
        <v>100575</v>
      </c>
      <c r="C33" s="273" t="s">
        <v>166</v>
      </c>
      <c r="D33" s="274" t="s">
        <v>15</v>
      </c>
      <c r="E33" s="270">
        <f>MC!C80</f>
        <v>570</v>
      </c>
      <c r="F33" s="270">
        <f>F14</f>
        <v>1.82</v>
      </c>
      <c r="G33" s="271">
        <f>G14</f>
        <v>2.33</v>
      </c>
      <c r="H33" s="271">
        <f>ROUND(E33*G33,2)</f>
        <v>1328.1</v>
      </c>
    </row>
    <row r="34" spans="1:8" x14ac:dyDescent="0.3">
      <c r="A34" s="398"/>
      <c r="B34" s="398"/>
      <c r="C34" s="398"/>
      <c r="D34" s="398"/>
      <c r="E34" s="398"/>
      <c r="F34" s="398"/>
      <c r="G34" s="398"/>
      <c r="H34" s="398"/>
    </row>
    <row r="35" spans="1:8" x14ac:dyDescent="0.3">
      <c r="A35" s="266" t="s">
        <v>167</v>
      </c>
      <c r="B35" s="399" t="s">
        <v>168</v>
      </c>
      <c r="C35" s="399"/>
      <c r="D35" s="399"/>
      <c r="E35" s="399"/>
      <c r="F35" s="399"/>
      <c r="G35" s="399"/>
      <c r="H35" s="267">
        <f>SUM(H36:H36)</f>
        <v>54680.1</v>
      </c>
    </row>
    <row r="36" spans="1:8" ht="20.399999999999999" x14ac:dyDescent="0.3">
      <c r="A36" s="268" t="s">
        <v>169</v>
      </c>
      <c r="B36" s="261" t="s">
        <v>252</v>
      </c>
      <c r="C36" s="273" t="s">
        <v>253</v>
      </c>
      <c r="D36" s="274" t="s">
        <v>15</v>
      </c>
      <c r="E36" s="270">
        <f>MC!C86</f>
        <v>570</v>
      </c>
      <c r="F36" s="270">
        <f>F17</f>
        <v>74.87</v>
      </c>
      <c r="G36" s="271">
        <f>G17</f>
        <v>95.93</v>
      </c>
      <c r="H36" s="271">
        <f>ROUND(E36*G36,2)</f>
        <v>54680.1</v>
      </c>
    </row>
    <row r="37" spans="1:8" x14ac:dyDescent="0.3">
      <c r="A37" s="398"/>
      <c r="B37" s="398"/>
      <c r="C37" s="398"/>
      <c r="D37" s="398"/>
      <c r="E37" s="398"/>
      <c r="F37" s="398"/>
      <c r="G37" s="398"/>
      <c r="H37" s="398"/>
    </row>
    <row r="38" spans="1:8" x14ac:dyDescent="0.3">
      <c r="A38" s="266" t="s">
        <v>170</v>
      </c>
      <c r="B38" s="399" t="s">
        <v>171</v>
      </c>
      <c r="C38" s="399"/>
      <c r="D38" s="399"/>
      <c r="E38" s="399"/>
      <c r="F38" s="399"/>
      <c r="G38" s="399"/>
      <c r="H38" s="267">
        <f>SUM(H39:H40)</f>
        <v>15753.34</v>
      </c>
    </row>
    <row r="39" spans="1:8" ht="30.6" x14ac:dyDescent="0.3">
      <c r="A39" s="268" t="s">
        <v>172</v>
      </c>
      <c r="B39" s="261">
        <v>94273</v>
      </c>
      <c r="C39" s="273" t="s">
        <v>173</v>
      </c>
      <c r="D39" s="274" t="s">
        <v>174</v>
      </c>
      <c r="E39" s="270">
        <f>MC!C93</f>
        <v>202</v>
      </c>
      <c r="F39" s="270">
        <f>F20</f>
        <v>40.56</v>
      </c>
      <c r="G39" s="270">
        <f>G20</f>
        <v>51.97</v>
      </c>
      <c r="H39" s="271">
        <f>ROUND(E39*G39,2)</f>
        <v>10497.94</v>
      </c>
    </row>
    <row r="40" spans="1:8" ht="20.399999999999999" x14ac:dyDescent="0.3">
      <c r="A40" s="268" t="s">
        <v>175</v>
      </c>
      <c r="B40" s="261" t="s">
        <v>257</v>
      </c>
      <c r="C40" s="273" t="s">
        <v>258</v>
      </c>
      <c r="D40" s="274" t="s">
        <v>174</v>
      </c>
      <c r="E40" s="270">
        <f>MC!C98</f>
        <v>190</v>
      </c>
      <c r="F40" s="270">
        <f>F21</f>
        <v>21.59</v>
      </c>
      <c r="G40" s="270">
        <f>G21</f>
        <v>27.66</v>
      </c>
      <c r="H40" s="271">
        <f>ROUND(E40*G40,2)</f>
        <v>5255.4</v>
      </c>
    </row>
    <row r="41" spans="1:8" x14ac:dyDescent="0.3">
      <c r="A41" s="398"/>
      <c r="B41" s="398"/>
      <c r="C41" s="398"/>
      <c r="D41" s="398"/>
      <c r="E41" s="398"/>
      <c r="F41" s="398"/>
      <c r="G41" s="398"/>
      <c r="H41" s="398"/>
    </row>
    <row r="42" spans="1:8" x14ac:dyDescent="0.3">
      <c r="A42" s="266" t="s">
        <v>217</v>
      </c>
      <c r="B42" s="399" t="s">
        <v>215</v>
      </c>
      <c r="C42" s="399"/>
      <c r="D42" s="399"/>
      <c r="E42" s="399"/>
      <c r="F42" s="399"/>
      <c r="G42" s="399"/>
      <c r="H42" s="267">
        <f>SUM(H43:H44)</f>
        <v>7108.61</v>
      </c>
    </row>
    <row r="43" spans="1:8" ht="20.399999999999999" x14ac:dyDescent="0.3">
      <c r="A43" s="268" t="s">
        <v>218</v>
      </c>
      <c r="B43" s="261">
        <v>95878</v>
      </c>
      <c r="C43" s="273" t="s">
        <v>278</v>
      </c>
      <c r="D43" s="274" t="s">
        <v>216</v>
      </c>
      <c r="E43" s="270">
        <f>MC!C107</f>
        <v>2714.8</v>
      </c>
      <c r="F43" s="270">
        <f>F24</f>
        <v>1.63</v>
      </c>
      <c r="G43" s="270">
        <f>G24</f>
        <v>2.08</v>
      </c>
      <c r="H43" s="271">
        <f>ROUND(E43*G43,2)</f>
        <v>5646.78</v>
      </c>
    </row>
    <row r="44" spans="1:8" ht="30.6" x14ac:dyDescent="0.3">
      <c r="A44" s="268" t="s">
        <v>277</v>
      </c>
      <c r="B44" s="261">
        <v>93596</v>
      </c>
      <c r="C44" s="273" t="s">
        <v>279</v>
      </c>
      <c r="D44" s="274" t="s">
        <v>216</v>
      </c>
      <c r="E44" s="270">
        <f>MC!C115</f>
        <v>1782.72</v>
      </c>
      <c r="F44" s="270">
        <f>F25</f>
        <v>0.64</v>
      </c>
      <c r="G44" s="270">
        <f>G25</f>
        <v>0.82</v>
      </c>
      <c r="H44" s="271">
        <f>ROUND(E44*G44,2)</f>
        <v>1461.83</v>
      </c>
    </row>
    <row r="45" spans="1:8" x14ac:dyDescent="0.3">
      <c r="A45" s="398"/>
      <c r="B45" s="398"/>
      <c r="C45" s="398"/>
      <c r="D45" s="398"/>
      <c r="E45" s="398"/>
      <c r="F45" s="398"/>
      <c r="G45" s="398"/>
      <c r="H45" s="398"/>
    </row>
    <row r="46" spans="1:8" x14ac:dyDescent="0.3">
      <c r="A46" s="266" t="s">
        <v>254</v>
      </c>
      <c r="B46" s="399" t="s">
        <v>255</v>
      </c>
      <c r="C46" s="399"/>
      <c r="D46" s="399"/>
      <c r="E46" s="399"/>
      <c r="F46" s="399"/>
      <c r="G46" s="399"/>
      <c r="H46" s="267">
        <f>SUM(H47:H48)</f>
        <v>1361.1100000000001</v>
      </c>
    </row>
    <row r="47" spans="1:8" ht="20.399999999999999" x14ac:dyDescent="0.3">
      <c r="A47" s="268" t="s">
        <v>256</v>
      </c>
      <c r="B47" s="261" t="s">
        <v>273</v>
      </c>
      <c r="C47" s="273" t="s">
        <v>259</v>
      </c>
      <c r="D47" s="274" t="s">
        <v>15</v>
      </c>
      <c r="E47" s="270">
        <f>MC!C120</f>
        <v>0.23</v>
      </c>
      <c r="F47" s="270">
        <f>F28</f>
        <v>978.79</v>
      </c>
      <c r="G47" s="270">
        <f>G28</f>
        <v>1254.22</v>
      </c>
      <c r="H47" s="271">
        <f>ROUND(E47*G47,2)</f>
        <v>288.47000000000003</v>
      </c>
    </row>
    <row r="48" spans="1:8" ht="30.6" x14ac:dyDescent="0.3">
      <c r="A48" s="268" t="s">
        <v>256</v>
      </c>
      <c r="B48" s="261" t="s">
        <v>275</v>
      </c>
      <c r="C48" s="273" t="s">
        <v>276</v>
      </c>
      <c r="D48" s="274" t="s">
        <v>176</v>
      </c>
      <c r="E48" s="270">
        <f>MC!C124</f>
        <v>2</v>
      </c>
      <c r="F48" s="270">
        <f>F29</f>
        <v>418.55</v>
      </c>
      <c r="G48" s="270">
        <f>G29</f>
        <v>536.32000000000005</v>
      </c>
      <c r="H48" s="271">
        <f>ROUND(E48*G48,2)</f>
        <v>1072.6400000000001</v>
      </c>
    </row>
    <row r="49" spans="1:8" x14ac:dyDescent="0.3">
      <c r="A49" s="398"/>
      <c r="B49" s="398"/>
      <c r="C49" s="398"/>
      <c r="D49" s="398"/>
      <c r="E49" s="398"/>
      <c r="F49" s="398"/>
      <c r="G49" s="398"/>
      <c r="H49" s="398"/>
    </row>
    <row r="50" spans="1:8" x14ac:dyDescent="0.3">
      <c r="A50" s="400" t="str">
        <f>MC!B126</f>
        <v>RUA DEUSDETH ROCHA</v>
      </c>
      <c r="B50" s="400"/>
      <c r="C50" s="400"/>
      <c r="D50" s="400"/>
      <c r="E50" s="400"/>
      <c r="F50" s="400"/>
      <c r="G50" s="400"/>
      <c r="H50" s="272">
        <f>SUM(H51,H54,H57,H61,H65)</f>
        <v>55521.829999999994</v>
      </c>
    </row>
    <row r="51" spans="1:8" x14ac:dyDescent="0.3">
      <c r="A51" s="266" t="s">
        <v>32</v>
      </c>
      <c r="B51" s="399" t="s">
        <v>165</v>
      </c>
      <c r="C51" s="399"/>
      <c r="D51" s="399"/>
      <c r="E51" s="399"/>
      <c r="F51" s="399"/>
      <c r="G51" s="399"/>
      <c r="H51" s="267">
        <f>H52</f>
        <v>908.7</v>
      </c>
    </row>
    <row r="52" spans="1:8" x14ac:dyDescent="0.3">
      <c r="A52" s="268" t="s">
        <v>34</v>
      </c>
      <c r="B52" s="261">
        <v>100575</v>
      </c>
      <c r="C52" s="273" t="s">
        <v>166</v>
      </c>
      <c r="D52" s="274" t="s">
        <v>15</v>
      </c>
      <c r="E52" s="270">
        <f>MC!C135</f>
        <v>390</v>
      </c>
      <c r="F52" s="270">
        <f>F14</f>
        <v>1.82</v>
      </c>
      <c r="G52" s="271">
        <f>G14</f>
        <v>2.33</v>
      </c>
      <c r="H52" s="271">
        <f>ROUND(E52*G52,2)</f>
        <v>908.7</v>
      </c>
    </row>
    <row r="53" spans="1:8" x14ac:dyDescent="0.3">
      <c r="A53" s="398"/>
      <c r="B53" s="398"/>
      <c r="C53" s="398"/>
      <c r="D53" s="398"/>
      <c r="E53" s="398"/>
      <c r="F53" s="398"/>
      <c r="G53" s="398"/>
      <c r="H53" s="398"/>
    </row>
    <row r="54" spans="1:8" x14ac:dyDescent="0.3">
      <c r="A54" s="266" t="s">
        <v>167</v>
      </c>
      <c r="B54" s="399" t="s">
        <v>168</v>
      </c>
      <c r="C54" s="399"/>
      <c r="D54" s="399"/>
      <c r="E54" s="399"/>
      <c r="F54" s="399"/>
      <c r="G54" s="399"/>
      <c r="H54" s="267">
        <f>SUM(H55:H55)</f>
        <v>37412.699999999997</v>
      </c>
    </row>
    <row r="55" spans="1:8" ht="20.399999999999999" x14ac:dyDescent="0.3">
      <c r="A55" s="268" t="s">
        <v>169</v>
      </c>
      <c r="B55" s="261" t="s">
        <v>252</v>
      </c>
      <c r="C55" s="273" t="s">
        <v>253</v>
      </c>
      <c r="D55" s="274" t="s">
        <v>15</v>
      </c>
      <c r="E55" s="270">
        <f>MC!C141</f>
        <v>390</v>
      </c>
      <c r="F55" s="270">
        <f>F17</f>
        <v>74.87</v>
      </c>
      <c r="G55" s="271">
        <f>G17</f>
        <v>95.93</v>
      </c>
      <c r="H55" s="271">
        <f>ROUND(E55*G55,2)</f>
        <v>37412.699999999997</v>
      </c>
    </row>
    <row r="56" spans="1:8" x14ac:dyDescent="0.3">
      <c r="A56" s="398"/>
      <c r="B56" s="398"/>
      <c r="C56" s="398"/>
      <c r="D56" s="398"/>
      <c r="E56" s="398"/>
      <c r="F56" s="398"/>
      <c r="G56" s="398"/>
      <c r="H56" s="398"/>
    </row>
    <row r="57" spans="1:8" x14ac:dyDescent="0.3">
      <c r="A57" s="266" t="s">
        <v>170</v>
      </c>
      <c r="B57" s="399" t="s">
        <v>171</v>
      </c>
      <c r="C57" s="399"/>
      <c r="D57" s="399"/>
      <c r="E57" s="399"/>
      <c r="F57" s="399"/>
      <c r="G57" s="399"/>
      <c r="H57" s="267">
        <f>SUM(H58:H59)</f>
        <v>10975.54</v>
      </c>
    </row>
    <row r="58" spans="1:8" ht="30.6" x14ac:dyDescent="0.3">
      <c r="A58" s="268" t="s">
        <v>172</v>
      </c>
      <c r="B58" s="261">
        <v>94273</v>
      </c>
      <c r="C58" s="273" t="s">
        <v>173</v>
      </c>
      <c r="D58" s="274" t="s">
        <v>174</v>
      </c>
      <c r="E58" s="270">
        <f>MC!C148</f>
        <v>142</v>
      </c>
      <c r="F58" s="270">
        <f>F20</f>
        <v>40.56</v>
      </c>
      <c r="G58" s="270">
        <f>G20</f>
        <v>51.97</v>
      </c>
      <c r="H58" s="271">
        <f>ROUND(E58*G58,2)</f>
        <v>7379.74</v>
      </c>
    </row>
    <row r="59" spans="1:8" ht="20.399999999999999" x14ac:dyDescent="0.3">
      <c r="A59" s="268" t="s">
        <v>175</v>
      </c>
      <c r="B59" s="261" t="s">
        <v>257</v>
      </c>
      <c r="C59" s="273" t="s">
        <v>258</v>
      </c>
      <c r="D59" s="274" t="s">
        <v>174</v>
      </c>
      <c r="E59" s="270">
        <f>MC!C153</f>
        <v>130</v>
      </c>
      <c r="F59" s="270">
        <f>F21</f>
        <v>21.59</v>
      </c>
      <c r="G59" s="270">
        <f>G21</f>
        <v>27.66</v>
      </c>
      <c r="H59" s="271">
        <f>ROUND(E59*G59,2)</f>
        <v>3595.8</v>
      </c>
    </row>
    <row r="60" spans="1:8" x14ac:dyDescent="0.3">
      <c r="A60" s="398"/>
      <c r="B60" s="398"/>
      <c r="C60" s="398"/>
      <c r="D60" s="398"/>
      <c r="E60" s="398"/>
      <c r="F60" s="398"/>
      <c r="G60" s="398"/>
      <c r="H60" s="398"/>
    </row>
    <row r="61" spans="1:8" x14ac:dyDescent="0.3">
      <c r="A61" s="266" t="s">
        <v>217</v>
      </c>
      <c r="B61" s="399" t="s">
        <v>215</v>
      </c>
      <c r="C61" s="399"/>
      <c r="D61" s="399"/>
      <c r="E61" s="399"/>
      <c r="F61" s="399"/>
      <c r="G61" s="399"/>
      <c r="H61" s="267">
        <f>SUM(H62:H63)</f>
        <v>4863.78</v>
      </c>
    </row>
    <row r="62" spans="1:8" ht="20.399999999999999" x14ac:dyDescent="0.3">
      <c r="A62" s="268" t="s">
        <v>218</v>
      </c>
      <c r="B62" s="261">
        <v>95878</v>
      </c>
      <c r="C62" s="273" t="s">
        <v>278</v>
      </c>
      <c r="D62" s="274" t="s">
        <v>216</v>
      </c>
      <c r="E62" s="270">
        <f>MC!C162</f>
        <v>1857.49</v>
      </c>
      <c r="F62" s="270">
        <f>F24</f>
        <v>1.63</v>
      </c>
      <c r="G62" s="270">
        <f>G24</f>
        <v>2.08</v>
      </c>
      <c r="H62" s="271">
        <f>ROUND(E62*G62,2)</f>
        <v>3863.58</v>
      </c>
    </row>
    <row r="63" spans="1:8" ht="30.6" x14ac:dyDescent="0.3">
      <c r="A63" s="268" t="s">
        <v>277</v>
      </c>
      <c r="B63" s="261">
        <v>93596</v>
      </c>
      <c r="C63" s="273" t="s">
        <v>279</v>
      </c>
      <c r="D63" s="274" t="s">
        <v>216</v>
      </c>
      <c r="E63" s="270">
        <f>MC!C170</f>
        <v>1219.75</v>
      </c>
      <c r="F63" s="270">
        <f>F25</f>
        <v>0.64</v>
      </c>
      <c r="G63" s="270">
        <f>G25</f>
        <v>0.82</v>
      </c>
      <c r="H63" s="271">
        <f>ROUND(E63*G63,2)</f>
        <v>1000.2</v>
      </c>
    </row>
    <row r="64" spans="1:8" x14ac:dyDescent="0.3">
      <c r="A64" s="398"/>
      <c r="B64" s="398"/>
      <c r="C64" s="398"/>
      <c r="D64" s="398"/>
      <c r="E64" s="398"/>
      <c r="F64" s="398"/>
      <c r="G64" s="398"/>
      <c r="H64" s="398"/>
    </row>
    <row r="65" spans="1:8" x14ac:dyDescent="0.3">
      <c r="A65" s="266" t="s">
        <v>254</v>
      </c>
      <c r="B65" s="399" t="s">
        <v>255</v>
      </c>
      <c r="C65" s="399"/>
      <c r="D65" s="399"/>
      <c r="E65" s="399"/>
      <c r="F65" s="399"/>
      <c r="G65" s="399"/>
      <c r="H65" s="267">
        <f>SUM(H66:H67)</f>
        <v>1361.1100000000001</v>
      </c>
    </row>
    <row r="66" spans="1:8" ht="20.399999999999999" x14ac:dyDescent="0.3">
      <c r="A66" s="268" t="s">
        <v>256</v>
      </c>
      <c r="B66" s="261" t="s">
        <v>273</v>
      </c>
      <c r="C66" s="273" t="s">
        <v>259</v>
      </c>
      <c r="D66" s="274" t="s">
        <v>15</v>
      </c>
      <c r="E66" s="270">
        <f>MC!C175</f>
        <v>0.23</v>
      </c>
      <c r="F66" s="270">
        <f>F28</f>
        <v>978.79</v>
      </c>
      <c r="G66" s="270">
        <f>G28</f>
        <v>1254.22</v>
      </c>
      <c r="H66" s="271">
        <f>ROUND(E66*G66,2)</f>
        <v>288.47000000000003</v>
      </c>
    </row>
    <row r="67" spans="1:8" ht="30.6" x14ac:dyDescent="0.3">
      <c r="A67" s="268" t="s">
        <v>256</v>
      </c>
      <c r="B67" s="261" t="s">
        <v>275</v>
      </c>
      <c r="C67" s="273" t="s">
        <v>276</v>
      </c>
      <c r="D67" s="274" t="s">
        <v>176</v>
      </c>
      <c r="E67" s="270">
        <f>MC!C179</f>
        <v>2</v>
      </c>
      <c r="F67" s="270">
        <f>F29</f>
        <v>418.55</v>
      </c>
      <c r="G67" s="270">
        <f>G29</f>
        <v>536.32000000000005</v>
      </c>
      <c r="H67" s="271">
        <f>ROUND(E67*G67,2)</f>
        <v>1072.6400000000001</v>
      </c>
    </row>
    <row r="68" spans="1:8" x14ac:dyDescent="0.3">
      <c r="A68" s="398"/>
      <c r="B68" s="398"/>
      <c r="C68" s="398"/>
      <c r="D68" s="398"/>
      <c r="E68" s="398"/>
      <c r="F68" s="398"/>
      <c r="G68" s="398"/>
      <c r="H68" s="398"/>
    </row>
    <row r="69" spans="1:8" x14ac:dyDescent="0.3">
      <c r="A69" s="400" t="str">
        <f>MC!B181</f>
        <v xml:space="preserve">RUA FRANCISCO FORTES MARTINS </v>
      </c>
      <c r="B69" s="400"/>
      <c r="C69" s="400"/>
      <c r="D69" s="400"/>
      <c r="E69" s="400"/>
      <c r="F69" s="400"/>
      <c r="G69" s="400"/>
      <c r="H69" s="272">
        <f>SUM(H70,H73,H76,H80,H84)</f>
        <v>41519.840000000004</v>
      </c>
    </row>
    <row r="70" spans="1:8" x14ac:dyDescent="0.3">
      <c r="A70" s="266" t="s">
        <v>32</v>
      </c>
      <c r="B70" s="399" t="s">
        <v>165</v>
      </c>
      <c r="C70" s="399"/>
      <c r="D70" s="399"/>
      <c r="E70" s="399"/>
      <c r="F70" s="399"/>
      <c r="G70" s="399"/>
      <c r="H70" s="267">
        <f>H71</f>
        <v>671.04</v>
      </c>
    </row>
    <row r="71" spans="1:8" x14ac:dyDescent="0.3">
      <c r="A71" s="268" t="s">
        <v>34</v>
      </c>
      <c r="B71" s="261">
        <v>100575</v>
      </c>
      <c r="C71" s="273" t="s">
        <v>166</v>
      </c>
      <c r="D71" s="274" t="s">
        <v>15</v>
      </c>
      <c r="E71" s="270">
        <f>MC!C190</f>
        <v>288</v>
      </c>
      <c r="F71" s="270">
        <f>F14</f>
        <v>1.82</v>
      </c>
      <c r="G71" s="271">
        <f>G14</f>
        <v>2.33</v>
      </c>
      <c r="H71" s="271">
        <f>ROUND(E71*G71,2)</f>
        <v>671.04</v>
      </c>
    </row>
    <row r="72" spans="1:8" x14ac:dyDescent="0.3">
      <c r="A72" s="398"/>
      <c r="B72" s="398"/>
      <c r="C72" s="398"/>
      <c r="D72" s="398"/>
      <c r="E72" s="398"/>
      <c r="F72" s="398"/>
      <c r="G72" s="398"/>
      <c r="H72" s="398"/>
    </row>
    <row r="73" spans="1:8" x14ac:dyDescent="0.3">
      <c r="A73" s="266" t="s">
        <v>167</v>
      </c>
      <c r="B73" s="399" t="s">
        <v>168</v>
      </c>
      <c r="C73" s="399"/>
      <c r="D73" s="399"/>
      <c r="E73" s="399"/>
      <c r="F73" s="399"/>
      <c r="G73" s="399"/>
      <c r="H73" s="267">
        <f>SUM(H74:H74)</f>
        <v>27627.84</v>
      </c>
    </row>
    <row r="74" spans="1:8" ht="20.399999999999999" x14ac:dyDescent="0.3">
      <c r="A74" s="268" t="s">
        <v>169</v>
      </c>
      <c r="B74" s="261" t="s">
        <v>252</v>
      </c>
      <c r="C74" s="273" t="s">
        <v>253</v>
      </c>
      <c r="D74" s="274" t="s">
        <v>15</v>
      </c>
      <c r="E74" s="270">
        <f>MC!C196</f>
        <v>288</v>
      </c>
      <c r="F74" s="270">
        <f>F17</f>
        <v>74.87</v>
      </c>
      <c r="G74" s="271">
        <f>G17</f>
        <v>95.93</v>
      </c>
      <c r="H74" s="271">
        <f>ROUND(E74*G74,2)</f>
        <v>27627.84</v>
      </c>
    </row>
    <row r="75" spans="1:8" x14ac:dyDescent="0.3">
      <c r="A75" s="398"/>
      <c r="B75" s="398"/>
      <c r="C75" s="398"/>
      <c r="D75" s="398"/>
      <c r="E75" s="398"/>
      <c r="F75" s="398"/>
      <c r="G75" s="398"/>
      <c r="H75" s="398"/>
    </row>
    <row r="76" spans="1:8" x14ac:dyDescent="0.3">
      <c r="A76" s="266" t="s">
        <v>170</v>
      </c>
      <c r="B76" s="399" t="s">
        <v>171</v>
      </c>
      <c r="C76" s="399"/>
      <c r="D76" s="399"/>
      <c r="E76" s="399"/>
      <c r="F76" s="399"/>
      <c r="G76" s="399"/>
      <c r="H76" s="267">
        <f>SUM(H77:H78)</f>
        <v>8268.1200000000008</v>
      </c>
    </row>
    <row r="77" spans="1:8" ht="30.6" x14ac:dyDescent="0.3">
      <c r="A77" s="268" t="s">
        <v>172</v>
      </c>
      <c r="B77" s="261">
        <v>94273</v>
      </c>
      <c r="C77" s="273" t="s">
        <v>173</v>
      </c>
      <c r="D77" s="274" t="s">
        <v>174</v>
      </c>
      <c r="E77" s="270">
        <f>MC!C203</f>
        <v>108</v>
      </c>
      <c r="F77" s="270">
        <f>F20</f>
        <v>40.56</v>
      </c>
      <c r="G77" s="270">
        <f>G20</f>
        <v>51.97</v>
      </c>
      <c r="H77" s="271">
        <f>ROUND(E77*G77,2)</f>
        <v>5612.76</v>
      </c>
    </row>
    <row r="78" spans="1:8" ht="20.399999999999999" x14ac:dyDescent="0.3">
      <c r="A78" s="268" t="s">
        <v>175</v>
      </c>
      <c r="B78" s="261" t="s">
        <v>257</v>
      </c>
      <c r="C78" s="273" t="s">
        <v>258</v>
      </c>
      <c r="D78" s="274" t="s">
        <v>174</v>
      </c>
      <c r="E78" s="270">
        <f>MC!C208</f>
        <v>96</v>
      </c>
      <c r="F78" s="270">
        <f>F21</f>
        <v>21.59</v>
      </c>
      <c r="G78" s="270">
        <f>G21</f>
        <v>27.66</v>
      </c>
      <c r="H78" s="271">
        <f>ROUND(E78*G78,2)</f>
        <v>2655.36</v>
      </c>
    </row>
    <row r="79" spans="1:8" x14ac:dyDescent="0.3">
      <c r="A79" s="398"/>
      <c r="B79" s="398"/>
      <c r="C79" s="398"/>
      <c r="D79" s="398"/>
      <c r="E79" s="398"/>
      <c r="F79" s="398"/>
      <c r="G79" s="398"/>
      <c r="H79" s="398"/>
    </row>
    <row r="80" spans="1:8" x14ac:dyDescent="0.3">
      <c r="A80" s="266" t="s">
        <v>217</v>
      </c>
      <c r="B80" s="399" t="s">
        <v>215</v>
      </c>
      <c r="C80" s="399"/>
      <c r="D80" s="399"/>
      <c r="E80" s="399"/>
      <c r="F80" s="399"/>
      <c r="G80" s="399"/>
      <c r="H80" s="267">
        <f>SUM(H81:H82)</f>
        <v>3591.73</v>
      </c>
    </row>
    <row r="81" spans="1:8" ht="20.399999999999999" x14ac:dyDescent="0.3">
      <c r="A81" s="268" t="s">
        <v>218</v>
      </c>
      <c r="B81" s="261">
        <v>95878</v>
      </c>
      <c r="C81" s="273" t="s">
        <v>278</v>
      </c>
      <c r="D81" s="274" t="s">
        <v>216</v>
      </c>
      <c r="E81" s="270">
        <f>MC!C217</f>
        <v>1371.69</v>
      </c>
      <c r="F81" s="270">
        <f>F24</f>
        <v>1.63</v>
      </c>
      <c r="G81" s="270">
        <f>G24</f>
        <v>2.08</v>
      </c>
      <c r="H81" s="271">
        <f>ROUND(E81*G81,2)</f>
        <v>2853.12</v>
      </c>
    </row>
    <row r="82" spans="1:8" ht="30.6" x14ac:dyDescent="0.3">
      <c r="A82" s="268" t="s">
        <v>277</v>
      </c>
      <c r="B82" s="261">
        <v>93596</v>
      </c>
      <c r="C82" s="273" t="s">
        <v>279</v>
      </c>
      <c r="D82" s="274" t="s">
        <v>216</v>
      </c>
      <c r="E82" s="270">
        <f>MC!C225</f>
        <v>900.74</v>
      </c>
      <c r="F82" s="270">
        <f>F25</f>
        <v>0.64</v>
      </c>
      <c r="G82" s="270">
        <f>G25</f>
        <v>0.82</v>
      </c>
      <c r="H82" s="271">
        <f>ROUND(E82*G82,2)</f>
        <v>738.61</v>
      </c>
    </row>
    <row r="83" spans="1:8" x14ac:dyDescent="0.3">
      <c r="A83" s="398"/>
      <c r="B83" s="398"/>
      <c r="C83" s="398"/>
      <c r="D83" s="398"/>
      <c r="E83" s="398"/>
      <c r="F83" s="398"/>
      <c r="G83" s="398"/>
      <c r="H83" s="398"/>
    </row>
    <row r="84" spans="1:8" x14ac:dyDescent="0.3">
      <c r="A84" s="266" t="s">
        <v>254</v>
      </c>
      <c r="B84" s="399" t="s">
        <v>255</v>
      </c>
      <c r="C84" s="399"/>
      <c r="D84" s="399"/>
      <c r="E84" s="399"/>
      <c r="F84" s="399"/>
      <c r="G84" s="399"/>
      <c r="H84" s="267">
        <f>SUM(H85:H86)</f>
        <v>1361.1100000000001</v>
      </c>
    </row>
    <row r="85" spans="1:8" ht="20.399999999999999" x14ac:dyDescent="0.3">
      <c r="A85" s="268" t="s">
        <v>256</v>
      </c>
      <c r="B85" s="261" t="s">
        <v>273</v>
      </c>
      <c r="C85" s="273" t="s">
        <v>259</v>
      </c>
      <c r="D85" s="274" t="s">
        <v>15</v>
      </c>
      <c r="E85" s="270">
        <f>MC!C230</f>
        <v>0.23</v>
      </c>
      <c r="F85" s="270">
        <f>F28</f>
        <v>978.79</v>
      </c>
      <c r="G85" s="270">
        <f>G28</f>
        <v>1254.22</v>
      </c>
      <c r="H85" s="271">
        <f>ROUND(E85*G85,2)</f>
        <v>288.47000000000003</v>
      </c>
    </row>
    <row r="86" spans="1:8" ht="30.6" x14ac:dyDescent="0.3">
      <c r="A86" s="268" t="s">
        <v>256</v>
      </c>
      <c r="B86" s="261" t="s">
        <v>275</v>
      </c>
      <c r="C86" s="273" t="s">
        <v>276</v>
      </c>
      <c r="D86" s="274" t="s">
        <v>176</v>
      </c>
      <c r="E86" s="270">
        <f>MC!C234</f>
        <v>2</v>
      </c>
      <c r="F86" s="270">
        <f>F29</f>
        <v>418.55</v>
      </c>
      <c r="G86" s="270">
        <f>G29</f>
        <v>536.32000000000005</v>
      </c>
      <c r="H86" s="271">
        <f>ROUND(E86*G86,2)</f>
        <v>1072.6400000000001</v>
      </c>
    </row>
    <row r="87" spans="1:8" x14ac:dyDescent="0.3">
      <c r="A87" s="398"/>
      <c r="B87" s="398"/>
      <c r="C87" s="398"/>
      <c r="D87" s="398"/>
      <c r="E87" s="398"/>
      <c r="F87" s="398"/>
      <c r="G87" s="398"/>
      <c r="H87" s="398"/>
    </row>
    <row r="88" spans="1:8" x14ac:dyDescent="0.3">
      <c r="A88" s="400" t="str">
        <f>MC!B236</f>
        <v>RUA MANOEL SENHOR</v>
      </c>
      <c r="B88" s="400"/>
      <c r="C88" s="400"/>
      <c r="D88" s="400"/>
      <c r="E88" s="400"/>
      <c r="F88" s="400"/>
      <c r="G88" s="400"/>
      <c r="H88" s="272">
        <f>SUM(H89,H92,H95,H99,H103)</f>
        <v>22575.93</v>
      </c>
    </row>
    <row r="89" spans="1:8" x14ac:dyDescent="0.3">
      <c r="A89" s="266" t="s">
        <v>32</v>
      </c>
      <c r="B89" s="399" t="s">
        <v>165</v>
      </c>
      <c r="C89" s="399"/>
      <c r="D89" s="399"/>
      <c r="E89" s="399"/>
      <c r="F89" s="399"/>
      <c r="G89" s="399"/>
      <c r="H89" s="267">
        <f>H90</f>
        <v>349.5</v>
      </c>
    </row>
    <row r="90" spans="1:8" x14ac:dyDescent="0.3">
      <c r="A90" s="268" t="s">
        <v>34</v>
      </c>
      <c r="B90" s="261">
        <v>100575</v>
      </c>
      <c r="C90" s="273" t="s">
        <v>166</v>
      </c>
      <c r="D90" s="274" t="s">
        <v>15</v>
      </c>
      <c r="E90" s="270">
        <f>MC!C245</f>
        <v>150</v>
      </c>
      <c r="F90" s="270">
        <f>F14</f>
        <v>1.82</v>
      </c>
      <c r="G90" s="271">
        <f>G14</f>
        <v>2.33</v>
      </c>
      <c r="H90" s="271">
        <f>ROUND(E90*G90,2)</f>
        <v>349.5</v>
      </c>
    </row>
    <row r="91" spans="1:8" x14ac:dyDescent="0.3">
      <c r="A91" s="398"/>
      <c r="B91" s="398"/>
      <c r="C91" s="398"/>
      <c r="D91" s="398"/>
      <c r="E91" s="398"/>
      <c r="F91" s="398"/>
      <c r="G91" s="398"/>
      <c r="H91" s="398"/>
    </row>
    <row r="92" spans="1:8" x14ac:dyDescent="0.3">
      <c r="A92" s="266" t="s">
        <v>167</v>
      </c>
      <c r="B92" s="399" t="s">
        <v>168</v>
      </c>
      <c r="C92" s="399"/>
      <c r="D92" s="399"/>
      <c r="E92" s="399"/>
      <c r="F92" s="399"/>
      <c r="G92" s="399"/>
      <c r="H92" s="267">
        <f>SUM(H93:H93)</f>
        <v>14389.5</v>
      </c>
    </row>
    <row r="93" spans="1:8" ht="20.399999999999999" x14ac:dyDescent="0.3">
      <c r="A93" s="268" t="s">
        <v>169</v>
      </c>
      <c r="B93" s="261" t="s">
        <v>252</v>
      </c>
      <c r="C93" s="273" t="s">
        <v>253</v>
      </c>
      <c r="D93" s="274" t="s">
        <v>15</v>
      </c>
      <c r="E93" s="270">
        <f>MC!C251</f>
        <v>150</v>
      </c>
      <c r="F93" s="270">
        <f>F17</f>
        <v>74.87</v>
      </c>
      <c r="G93" s="271">
        <f>G17</f>
        <v>95.93</v>
      </c>
      <c r="H93" s="271">
        <f>ROUND(E93*G93,2)</f>
        <v>14389.5</v>
      </c>
    </row>
    <row r="94" spans="1:8" x14ac:dyDescent="0.3">
      <c r="A94" s="398"/>
      <c r="B94" s="398"/>
      <c r="C94" s="398"/>
      <c r="D94" s="398"/>
      <c r="E94" s="398"/>
      <c r="F94" s="398"/>
      <c r="G94" s="398"/>
      <c r="H94" s="398"/>
    </row>
    <row r="95" spans="1:8" x14ac:dyDescent="0.3">
      <c r="A95" s="266" t="s">
        <v>170</v>
      </c>
      <c r="B95" s="399" t="s">
        <v>171</v>
      </c>
      <c r="C95" s="399"/>
      <c r="D95" s="399"/>
      <c r="E95" s="399"/>
      <c r="F95" s="399"/>
      <c r="G95" s="399"/>
      <c r="H95" s="267">
        <f>SUM(H96:H97)</f>
        <v>4605.1399999999994</v>
      </c>
    </row>
    <row r="96" spans="1:8" ht="30.6" x14ac:dyDescent="0.3">
      <c r="A96" s="268" t="s">
        <v>172</v>
      </c>
      <c r="B96" s="261">
        <v>94273</v>
      </c>
      <c r="C96" s="273" t="s">
        <v>173</v>
      </c>
      <c r="D96" s="274" t="s">
        <v>174</v>
      </c>
      <c r="E96" s="270">
        <f>MC!C258</f>
        <v>62</v>
      </c>
      <c r="F96" s="270">
        <f>F20</f>
        <v>40.56</v>
      </c>
      <c r="G96" s="270">
        <f>G20</f>
        <v>51.97</v>
      </c>
      <c r="H96" s="271">
        <f>ROUND(E96*G96,2)</f>
        <v>3222.14</v>
      </c>
    </row>
    <row r="97" spans="1:8" ht="20.399999999999999" x14ac:dyDescent="0.3">
      <c r="A97" s="268" t="s">
        <v>175</v>
      </c>
      <c r="B97" s="261" t="s">
        <v>257</v>
      </c>
      <c r="C97" s="273" t="s">
        <v>258</v>
      </c>
      <c r="D97" s="274" t="s">
        <v>174</v>
      </c>
      <c r="E97" s="270">
        <f>MC!C263</f>
        <v>50</v>
      </c>
      <c r="F97" s="270">
        <f>F21</f>
        <v>21.59</v>
      </c>
      <c r="G97" s="270">
        <f>G21</f>
        <v>27.66</v>
      </c>
      <c r="H97" s="271">
        <f>ROUND(E97*G97,2)</f>
        <v>1383</v>
      </c>
    </row>
    <row r="98" spans="1:8" x14ac:dyDescent="0.3">
      <c r="A98" s="398"/>
      <c r="B98" s="398"/>
      <c r="C98" s="398"/>
      <c r="D98" s="398"/>
      <c r="E98" s="398"/>
      <c r="F98" s="398"/>
      <c r="G98" s="398"/>
      <c r="H98" s="398"/>
    </row>
    <row r="99" spans="1:8" x14ac:dyDescent="0.3">
      <c r="A99" s="266" t="s">
        <v>217</v>
      </c>
      <c r="B99" s="399" t="s">
        <v>215</v>
      </c>
      <c r="C99" s="399"/>
      <c r="D99" s="399"/>
      <c r="E99" s="399"/>
      <c r="F99" s="399"/>
      <c r="G99" s="399"/>
      <c r="H99" s="267">
        <f>SUM(H100:H101)</f>
        <v>1870.68</v>
      </c>
    </row>
    <row r="100" spans="1:8" ht="20.399999999999999" x14ac:dyDescent="0.3">
      <c r="A100" s="268" t="s">
        <v>218</v>
      </c>
      <c r="B100" s="261">
        <v>95878</v>
      </c>
      <c r="C100" s="273" t="s">
        <v>278</v>
      </c>
      <c r="D100" s="274" t="s">
        <v>216</v>
      </c>
      <c r="E100" s="270">
        <f>MC!C272</f>
        <v>714.42</v>
      </c>
      <c r="F100" s="270">
        <f>F24</f>
        <v>1.63</v>
      </c>
      <c r="G100" s="270">
        <f>G24</f>
        <v>2.08</v>
      </c>
      <c r="H100" s="271">
        <f>ROUND(E100*G100,2)</f>
        <v>1485.99</v>
      </c>
    </row>
    <row r="101" spans="1:8" ht="30.6" x14ac:dyDescent="0.3">
      <c r="A101" s="268" t="s">
        <v>277</v>
      </c>
      <c r="B101" s="261">
        <v>93596</v>
      </c>
      <c r="C101" s="273" t="s">
        <v>279</v>
      </c>
      <c r="D101" s="274" t="s">
        <v>216</v>
      </c>
      <c r="E101" s="270">
        <f>MC!C280</f>
        <v>469.14</v>
      </c>
      <c r="F101" s="270">
        <f>F25</f>
        <v>0.64</v>
      </c>
      <c r="G101" s="270">
        <f>G25</f>
        <v>0.82</v>
      </c>
      <c r="H101" s="271">
        <f>ROUND(E101*G101,2)</f>
        <v>384.69</v>
      </c>
    </row>
    <row r="102" spans="1:8" x14ac:dyDescent="0.3">
      <c r="A102" s="398"/>
      <c r="B102" s="398"/>
      <c r="C102" s="398"/>
      <c r="D102" s="398"/>
      <c r="E102" s="398"/>
      <c r="F102" s="398"/>
      <c r="G102" s="398"/>
      <c r="H102" s="398"/>
    </row>
    <row r="103" spans="1:8" x14ac:dyDescent="0.3">
      <c r="A103" s="266" t="s">
        <v>254</v>
      </c>
      <c r="B103" s="399" t="s">
        <v>255</v>
      </c>
      <c r="C103" s="399"/>
      <c r="D103" s="399"/>
      <c r="E103" s="399"/>
      <c r="F103" s="399"/>
      <c r="G103" s="399"/>
      <c r="H103" s="267">
        <f>SUM(H104:H105)</f>
        <v>1361.1100000000001</v>
      </c>
    </row>
    <row r="104" spans="1:8" ht="20.399999999999999" x14ac:dyDescent="0.3">
      <c r="A104" s="268" t="s">
        <v>256</v>
      </c>
      <c r="B104" s="261" t="s">
        <v>273</v>
      </c>
      <c r="C104" s="273" t="s">
        <v>259</v>
      </c>
      <c r="D104" s="274" t="s">
        <v>15</v>
      </c>
      <c r="E104" s="270">
        <f>MC!C285</f>
        <v>0.23</v>
      </c>
      <c r="F104" s="270">
        <f>F28</f>
        <v>978.79</v>
      </c>
      <c r="G104" s="270">
        <f>G28</f>
        <v>1254.22</v>
      </c>
      <c r="H104" s="271">
        <f>ROUND(E104*G104,2)</f>
        <v>288.47000000000003</v>
      </c>
    </row>
    <row r="105" spans="1:8" ht="30.6" x14ac:dyDescent="0.3">
      <c r="A105" s="268" t="s">
        <v>256</v>
      </c>
      <c r="B105" s="261" t="s">
        <v>275</v>
      </c>
      <c r="C105" s="273" t="s">
        <v>276</v>
      </c>
      <c r="D105" s="274" t="s">
        <v>176</v>
      </c>
      <c r="E105" s="270">
        <f>MC!C289</f>
        <v>2</v>
      </c>
      <c r="F105" s="270">
        <f>F29</f>
        <v>418.55</v>
      </c>
      <c r="G105" s="270">
        <f>G29</f>
        <v>536.32000000000005</v>
      </c>
      <c r="H105" s="271">
        <f>ROUND(E105*G105,2)</f>
        <v>1072.6400000000001</v>
      </c>
    </row>
    <row r="106" spans="1:8" x14ac:dyDescent="0.3">
      <c r="A106" s="398"/>
      <c r="B106" s="398"/>
      <c r="C106" s="398"/>
      <c r="D106" s="398"/>
      <c r="E106" s="398"/>
      <c r="F106" s="398"/>
      <c r="G106" s="398"/>
      <c r="H106" s="398"/>
    </row>
    <row r="107" spans="1:8" x14ac:dyDescent="0.3">
      <c r="A107" s="400" t="str">
        <f>MC!B291</f>
        <v>PROJETADA 01 - COMUNIDADE GRACIOSA</v>
      </c>
      <c r="B107" s="400"/>
      <c r="C107" s="400"/>
      <c r="D107" s="400"/>
      <c r="E107" s="400"/>
      <c r="F107" s="400"/>
      <c r="G107" s="400"/>
      <c r="H107" s="272">
        <f>SUM(H108,H111,H114,H118,H122)</f>
        <v>523353.55000000005</v>
      </c>
    </row>
    <row r="108" spans="1:8" x14ac:dyDescent="0.3">
      <c r="A108" s="266" t="s">
        <v>32</v>
      </c>
      <c r="B108" s="399" t="s">
        <v>165</v>
      </c>
      <c r="C108" s="399"/>
      <c r="D108" s="399"/>
      <c r="E108" s="399"/>
      <c r="F108" s="399"/>
      <c r="G108" s="399"/>
      <c r="H108" s="267">
        <f>H109</f>
        <v>8849.34</v>
      </c>
    </row>
    <row r="109" spans="1:8" x14ac:dyDescent="0.3">
      <c r="A109" s="268" t="s">
        <v>34</v>
      </c>
      <c r="B109" s="261">
        <v>100575</v>
      </c>
      <c r="C109" s="273" t="s">
        <v>166</v>
      </c>
      <c r="D109" s="274" t="s">
        <v>15</v>
      </c>
      <c r="E109" s="270">
        <f>MC!C300</f>
        <v>3798</v>
      </c>
      <c r="F109" s="270">
        <f>F14</f>
        <v>1.82</v>
      </c>
      <c r="G109" s="270">
        <f>G14</f>
        <v>2.33</v>
      </c>
      <c r="H109" s="271">
        <f>ROUND(E109*G109,2)</f>
        <v>8849.34</v>
      </c>
    </row>
    <row r="110" spans="1:8" x14ac:dyDescent="0.3">
      <c r="A110" s="398"/>
      <c r="B110" s="398"/>
      <c r="C110" s="398"/>
      <c r="D110" s="398"/>
      <c r="E110" s="398"/>
      <c r="F110" s="398"/>
      <c r="G110" s="398"/>
      <c r="H110" s="398"/>
    </row>
    <row r="111" spans="1:8" x14ac:dyDescent="0.3">
      <c r="A111" s="266" t="s">
        <v>167</v>
      </c>
      <c r="B111" s="399" t="s">
        <v>168</v>
      </c>
      <c r="C111" s="399"/>
      <c r="D111" s="399"/>
      <c r="E111" s="399"/>
      <c r="F111" s="399"/>
      <c r="G111" s="399"/>
      <c r="H111" s="267">
        <f>SUM(H112:H112)</f>
        <v>364342.14</v>
      </c>
    </row>
    <row r="112" spans="1:8" ht="20.399999999999999" x14ac:dyDescent="0.3">
      <c r="A112" s="268" t="s">
        <v>169</v>
      </c>
      <c r="B112" s="261" t="s">
        <v>252</v>
      </c>
      <c r="C112" s="273" t="s">
        <v>253</v>
      </c>
      <c r="D112" s="274" t="s">
        <v>15</v>
      </c>
      <c r="E112" s="270">
        <f>MC!C306</f>
        <v>3798</v>
      </c>
      <c r="F112" s="270">
        <f>F17</f>
        <v>74.87</v>
      </c>
      <c r="G112" s="270">
        <f>G17</f>
        <v>95.93</v>
      </c>
      <c r="H112" s="271">
        <f>ROUND(E112*G112,2)</f>
        <v>364342.14</v>
      </c>
    </row>
    <row r="113" spans="1:8" x14ac:dyDescent="0.3">
      <c r="A113" s="398"/>
      <c r="B113" s="398"/>
      <c r="C113" s="398"/>
      <c r="D113" s="398"/>
      <c r="E113" s="398"/>
      <c r="F113" s="398"/>
      <c r="G113" s="398"/>
      <c r="H113" s="398"/>
    </row>
    <row r="114" spans="1:8" x14ac:dyDescent="0.3">
      <c r="A114" s="266" t="s">
        <v>170</v>
      </c>
      <c r="B114" s="399" t="s">
        <v>171</v>
      </c>
      <c r="C114" s="399"/>
      <c r="D114" s="399"/>
      <c r="E114" s="399"/>
      <c r="F114" s="399"/>
      <c r="G114" s="399"/>
      <c r="H114" s="267">
        <f>SUM(H115:H116)</f>
        <v>101435.22</v>
      </c>
    </row>
    <row r="115" spans="1:8" ht="30.6" x14ac:dyDescent="0.3">
      <c r="A115" s="268" t="s">
        <v>172</v>
      </c>
      <c r="B115" s="261">
        <v>94273</v>
      </c>
      <c r="C115" s="273" t="s">
        <v>173</v>
      </c>
      <c r="D115" s="274" t="s">
        <v>174</v>
      </c>
      <c r="E115" s="270">
        <f>MC!C313</f>
        <v>1278</v>
      </c>
      <c r="F115" s="270">
        <f>F20</f>
        <v>40.56</v>
      </c>
      <c r="G115" s="270">
        <f>G20</f>
        <v>51.97</v>
      </c>
      <c r="H115" s="271">
        <f>ROUND(E115*G115,2)</f>
        <v>66417.66</v>
      </c>
    </row>
    <row r="116" spans="1:8" ht="20.399999999999999" x14ac:dyDescent="0.3">
      <c r="A116" s="268" t="s">
        <v>175</v>
      </c>
      <c r="B116" s="261" t="s">
        <v>257</v>
      </c>
      <c r="C116" s="273" t="s">
        <v>258</v>
      </c>
      <c r="D116" s="274" t="s">
        <v>174</v>
      </c>
      <c r="E116" s="270">
        <f>MC!C318</f>
        <v>1266</v>
      </c>
      <c r="F116" s="270">
        <f>F21</f>
        <v>21.59</v>
      </c>
      <c r="G116" s="270">
        <f>G21</f>
        <v>27.66</v>
      </c>
      <c r="H116" s="271">
        <f>ROUND(E116*G116,2)</f>
        <v>35017.56</v>
      </c>
    </row>
    <row r="117" spans="1:8" x14ac:dyDescent="0.3">
      <c r="A117" s="398"/>
      <c r="B117" s="398"/>
      <c r="C117" s="398"/>
      <c r="D117" s="398"/>
      <c r="E117" s="398"/>
      <c r="F117" s="398"/>
      <c r="G117" s="398"/>
      <c r="H117" s="398"/>
    </row>
    <row r="118" spans="1:8" x14ac:dyDescent="0.3">
      <c r="A118" s="266" t="s">
        <v>217</v>
      </c>
      <c r="B118" s="399" t="s">
        <v>215</v>
      </c>
      <c r="C118" s="399"/>
      <c r="D118" s="399"/>
      <c r="E118" s="399"/>
      <c r="F118" s="399"/>
      <c r="G118" s="399"/>
      <c r="H118" s="267">
        <f>SUM(H119:H120)</f>
        <v>47365.74</v>
      </c>
    </row>
    <row r="119" spans="1:8" ht="20.399999999999999" x14ac:dyDescent="0.3">
      <c r="A119" s="268" t="s">
        <v>218</v>
      </c>
      <c r="B119" s="261">
        <v>95878</v>
      </c>
      <c r="C119" s="273" t="s">
        <v>278</v>
      </c>
      <c r="D119" s="274" t="s">
        <v>216</v>
      </c>
      <c r="E119" s="270">
        <f>MC!C327</f>
        <v>18089.11</v>
      </c>
      <c r="F119" s="270">
        <f>F24</f>
        <v>1.63</v>
      </c>
      <c r="G119" s="270">
        <f>G24</f>
        <v>2.08</v>
      </c>
      <c r="H119" s="271">
        <f>ROUND(E119*G119,2)</f>
        <v>37625.35</v>
      </c>
    </row>
    <row r="120" spans="1:8" ht="30.6" x14ac:dyDescent="0.3">
      <c r="A120" s="268" t="s">
        <v>277</v>
      </c>
      <c r="B120" s="261">
        <v>93596</v>
      </c>
      <c r="C120" s="273" t="s">
        <v>279</v>
      </c>
      <c r="D120" s="274" t="s">
        <v>216</v>
      </c>
      <c r="E120" s="270">
        <f>MC!C335</f>
        <v>11878.52</v>
      </c>
      <c r="F120" s="270">
        <f>F25</f>
        <v>0.64</v>
      </c>
      <c r="G120" s="270">
        <f>G25</f>
        <v>0.82</v>
      </c>
      <c r="H120" s="271">
        <f>ROUND(E120*G120,2)</f>
        <v>9740.39</v>
      </c>
    </row>
    <row r="121" spans="1:8" x14ac:dyDescent="0.3">
      <c r="A121" s="398"/>
      <c r="B121" s="398"/>
      <c r="C121" s="398"/>
      <c r="D121" s="398"/>
      <c r="E121" s="398"/>
      <c r="F121" s="398"/>
      <c r="G121" s="398"/>
      <c r="H121" s="398"/>
    </row>
    <row r="122" spans="1:8" x14ac:dyDescent="0.3">
      <c r="A122" s="266" t="s">
        <v>254</v>
      </c>
      <c r="B122" s="399" t="s">
        <v>255</v>
      </c>
      <c r="C122" s="399"/>
      <c r="D122" s="399"/>
      <c r="E122" s="399"/>
      <c r="F122" s="399"/>
      <c r="G122" s="399"/>
      <c r="H122" s="267">
        <f>SUM(H123:H124)</f>
        <v>1361.1100000000001</v>
      </c>
    </row>
    <row r="123" spans="1:8" ht="20.399999999999999" x14ac:dyDescent="0.3">
      <c r="A123" s="268" t="s">
        <v>256</v>
      </c>
      <c r="B123" s="261" t="s">
        <v>273</v>
      </c>
      <c r="C123" s="273" t="s">
        <v>259</v>
      </c>
      <c r="D123" s="274" t="s">
        <v>15</v>
      </c>
      <c r="E123" s="270">
        <f>MC!C340</f>
        <v>0.23</v>
      </c>
      <c r="F123" s="270">
        <f>F28</f>
        <v>978.79</v>
      </c>
      <c r="G123" s="270">
        <f>G28</f>
        <v>1254.22</v>
      </c>
      <c r="H123" s="271">
        <f>ROUND(E123*G123,2)</f>
        <v>288.47000000000003</v>
      </c>
    </row>
    <row r="124" spans="1:8" ht="30.6" x14ac:dyDescent="0.3">
      <c r="A124" s="268" t="s">
        <v>256</v>
      </c>
      <c r="B124" s="261" t="s">
        <v>275</v>
      </c>
      <c r="C124" s="273" t="s">
        <v>276</v>
      </c>
      <c r="D124" s="274" t="s">
        <v>176</v>
      </c>
      <c r="E124" s="270">
        <f>MC!C344</f>
        <v>2</v>
      </c>
      <c r="F124" s="270">
        <f>F29</f>
        <v>418.55</v>
      </c>
      <c r="G124" s="270">
        <f>G29</f>
        <v>536.32000000000005</v>
      </c>
      <c r="H124" s="271">
        <f>ROUND(E124*G124,2)</f>
        <v>1072.6400000000001</v>
      </c>
    </row>
    <row r="125" spans="1:8" x14ac:dyDescent="0.3">
      <c r="A125" s="398"/>
      <c r="B125" s="398"/>
      <c r="C125" s="398"/>
      <c r="D125" s="398"/>
      <c r="E125" s="398"/>
      <c r="F125" s="398"/>
      <c r="G125" s="398"/>
      <c r="H125" s="398"/>
    </row>
    <row r="126" spans="1:8" x14ac:dyDescent="0.3">
      <c r="A126" s="400" t="str">
        <f>MC!B346</f>
        <v>PROJETADA 01 - COMUNIDADE LAGOA DO PIRIPIRI</v>
      </c>
      <c r="B126" s="400"/>
      <c r="C126" s="400"/>
      <c r="D126" s="400"/>
      <c r="E126" s="400"/>
      <c r="F126" s="400"/>
      <c r="G126" s="400"/>
      <c r="H126" s="272">
        <f>SUM(H127,H130,H133,H137,H141)</f>
        <v>109058.90999999999</v>
      </c>
    </row>
    <row r="127" spans="1:8" x14ac:dyDescent="0.3">
      <c r="A127" s="266" t="s">
        <v>32</v>
      </c>
      <c r="B127" s="399" t="s">
        <v>165</v>
      </c>
      <c r="C127" s="399"/>
      <c r="D127" s="399"/>
      <c r="E127" s="399"/>
      <c r="F127" s="399"/>
      <c r="G127" s="399"/>
      <c r="H127" s="267">
        <f>H128</f>
        <v>1817.4</v>
      </c>
    </row>
    <row r="128" spans="1:8" x14ac:dyDescent="0.3">
      <c r="A128" s="268" t="s">
        <v>34</v>
      </c>
      <c r="B128" s="261">
        <v>100575</v>
      </c>
      <c r="C128" s="273" t="s">
        <v>166</v>
      </c>
      <c r="D128" s="274" t="s">
        <v>15</v>
      </c>
      <c r="E128" s="270">
        <f>MC!C355</f>
        <v>780</v>
      </c>
      <c r="F128" s="270">
        <f>F14</f>
        <v>1.82</v>
      </c>
      <c r="G128" s="270">
        <f>G14</f>
        <v>2.33</v>
      </c>
      <c r="H128" s="271">
        <f>ROUND(E128*G128,2)</f>
        <v>1817.4</v>
      </c>
    </row>
    <row r="129" spans="1:8" x14ac:dyDescent="0.3">
      <c r="A129" s="398"/>
      <c r="B129" s="398"/>
      <c r="C129" s="398"/>
      <c r="D129" s="398"/>
      <c r="E129" s="398"/>
      <c r="F129" s="398"/>
      <c r="G129" s="398"/>
      <c r="H129" s="398"/>
    </row>
    <row r="130" spans="1:8" x14ac:dyDescent="0.3">
      <c r="A130" s="266" t="s">
        <v>167</v>
      </c>
      <c r="B130" s="399" t="s">
        <v>168</v>
      </c>
      <c r="C130" s="399"/>
      <c r="D130" s="399"/>
      <c r="E130" s="399"/>
      <c r="F130" s="399"/>
      <c r="G130" s="399"/>
      <c r="H130" s="267">
        <f>SUM(H131:H131)</f>
        <v>74825.399999999994</v>
      </c>
    </row>
    <row r="131" spans="1:8" ht="20.399999999999999" x14ac:dyDescent="0.3">
      <c r="A131" s="268" t="s">
        <v>169</v>
      </c>
      <c r="B131" s="261" t="s">
        <v>252</v>
      </c>
      <c r="C131" s="273" t="s">
        <v>253</v>
      </c>
      <c r="D131" s="274" t="s">
        <v>15</v>
      </c>
      <c r="E131" s="270">
        <f>MC!C361</f>
        <v>780</v>
      </c>
      <c r="F131" s="270">
        <f>F17</f>
        <v>74.87</v>
      </c>
      <c r="G131" s="270">
        <f>G17</f>
        <v>95.93</v>
      </c>
      <c r="H131" s="271">
        <f>ROUND(E131*G131,2)</f>
        <v>74825.399999999994</v>
      </c>
    </row>
    <row r="132" spans="1:8" x14ac:dyDescent="0.3">
      <c r="A132" s="398"/>
      <c r="B132" s="398"/>
      <c r="C132" s="398"/>
      <c r="D132" s="398"/>
      <c r="E132" s="398"/>
      <c r="F132" s="398"/>
      <c r="G132" s="398"/>
      <c r="H132" s="398"/>
    </row>
    <row r="133" spans="1:8" x14ac:dyDescent="0.3">
      <c r="A133" s="266" t="s">
        <v>170</v>
      </c>
      <c r="B133" s="399" t="s">
        <v>171</v>
      </c>
      <c r="C133" s="399"/>
      <c r="D133" s="399"/>
      <c r="E133" s="399"/>
      <c r="F133" s="399"/>
      <c r="G133" s="399"/>
      <c r="H133" s="267">
        <f>SUM(H134:H135)</f>
        <v>21327.440000000002</v>
      </c>
    </row>
    <row r="134" spans="1:8" ht="30.6" x14ac:dyDescent="0.3">
      <c r="A134" s="268" t="s">
        <v>172</v>
      </c>
      <c r="B134" s="261">
        <v>94273</v>
      </c>
      <c r="C134" s="273" t="s">
        <v>173</v>
      </c>
      <c r="D134" s="274" t="s">
        <v>174</v>
      </c>
      <c r="E134" s="270">
        <f>MC!C368</f>
        <v>272</v>
      </c>
      <c r="F134" s="270">
        <f>F20</f>
        <v>40.56</v>
      </c>
      <c r="G134" s="270">
        <f>G20</f>
        <v>51.97</v>
      </c>
      <c r="H134" s="271">
        <f>ROUND(E134*G134,2)</f>
        <v>14135.84</v>
      </c>
    </row>
    <row r="135" spans="1:8" ht="20.399999999999999" x14ac:dyDescent="0.3">
      <c r="A135" s="268" t="s">
        <v>175</v>
      </c>
      <c r="B135" s="261" t="s">
        <v>257</v>
      </c>
      <c r="C135" s="273" t="s">
        <v>258</v>
      </c>
      <c r="D135" s="274" t="s">
        <v>174</v>
      </c>
      <c r="E135" s="270">
        <f>MC!C373</f>
        <v>260</v>
      </c>
      <c r="F135" s="270">
        <f>F21</f>
        <v>21.59</v>
      </c>
      <c r="G135" s="270">
        <f>G21</f>
        <v>27.66</v>
      </c>
      <c r="H135" s="271">
        <f>ROUND(E135*G135,2)</f>
        <v>7191.6</v>
      </c>
    </row>
    <row r="136" spans="1:8" x14ac:dyDescent="0.3">
      <c r="A136" s="398"/>
      <c r="B136" s="398"/>
      <c r="C136" s="398"/>
      <c r="D136" s="398"/>
      <c r="E136" s="398"/>
      <c r="F136" s="398"/>
      <c r="G136" s="398"/>
      <c r="H136" s="398"/>
    </row>
    <row r="137" spans="1:8" x14ac:dyDescent="0.3">
      <c r="A137" s="266" t="s">
        <v>217</v>
      </c>
      <c r="B137" s="399" t="s">
        <v>215</v>
      </c>
      <c r="C137" s="399"/>
      <c r="D137" s="399"/>
      <c r="E137" s="399"/>
      <c r="F137" s="399"/>
      <c r="G137" s="399"/>
      <c r="H137" s="267">
        <f>SUM(H138:H139)</f>
        <v>9727.56</v>
      </c>
    </row>
    <row r="138" spans="1:8" ht="20.399999999999999" x14ac:dyDescent="0.3">
      <c r="A138" s="268" t="s">
        <v>218</v>
      </c>
      <c r="B138" s="261">
        <v>95878</v>
      </c>
      <c r="C138" s="273" t="s">
        <v>278</v>
      </c>
      <c r="D138" s="274" t="s">
        <v>216</v>
      </c>
      <c r="E138" s="270">
        <f>MC!C382</f>
        <v>3714.98</v>
      </c>
      <c r="F138" s="270">
        <f>F24</f>
        <v>1.63</v>
      </c>
      <c r="G138" s="270">
        <f>G24</f>
        <v>2.08</v>
      </c>
      <c r="H138" s="271">
        <f>ROUND(E138*G138,2)</f>
        <v>7727.16</v>
      </c>
    </row>
    <row r="139" spans="1:8" ht="30.6" x14ac:dyDescent="0.3">
      <c r="A139" s="268" t="s">
        <v>277</v>
      </c>
      <c r="B139" s="261">
        <v>93596</v>
      </c>
      <c r="C139" s="273" t="s">
        <v>279</v>
      </c>
      <c r="D139" s="274" t="s">
        <v>216</v>
      </c>
      <c r="E139" s="270">
        <f>MC!C390</f>
        <v>2439.5100000000002</v>
      </c>
      <c r="F139" s="270">
        <f>F25</f>
        <v>0.64</v>
      </c>
      <c r="G139" s="270">
        <f>G25</f>
        <v>0.82</v>
      </c>
      <c r="H139" s="271">
        <f>ROUND(E139*G139,2)</f>
        <v>2000.4</v>
      </c>
    </row>
    <row r="140" spans="1:8" x14ac:dyDescent="0.3">
      <c r="A140" s="398"/>
      <c r="B140" s="398"/>
      <c r="C140" s="398"/>
      <c r="D140" s="398"/>
      <c r="E140" s="398"/>
      <c r="F140" s="398"/>
      <c r="G140" s="398"/>
      <c r="H140" s="398"/>
    </row>
    <row r="141" spans="1:8" x14ac:dyDescent="0.3">
      <c r="A141" s="266" t="s">
        <v>254</v>
      </c>
      <c r="B141" s="399" t="s">
        <v>255</v>
      </c>
      <c r="C141" s="399"/>
      <c r="D141" s="399"/>
      <c r="E141" s="399"/>
      <c r="F141" s="399"/>
      <c r="G141" s="399"/>
      <c r="H141" s="267">
        <f>SUM(H142:H143)</f>
        <v>1361.1100000000001</v>
      </c>
    </row>
    <row r="142" spans="1:8" ht="20.399999999999999" x14ac:dyDescent="0.3">
      <c r="A142" s="268" t="s">
        <v>256</v>
      </c>
      <c r="B142" s="261" t="s">
        <v>273</v>
      </c>
      <c r="C142" s="273" t="s">
        <v>259</v>
      </c>
      <c r="D142" s="274" t="s">
        <v>15</v>
      </c>
      <c r="E142" s="270">
        <f>MC!C395</f>
        <v>0.23</v>
      </c>
      <c r="F142" s="270">
        <f>F28</f>
        <v>978.79</v>
      </c>
      <c r="G142" s="270">
        <f>G28</f>
        <v>1254.22</v>
      </c>
      <c r="H142" s="271">
        <f>ROUND(E142*G142,2)</f>
        <v>288.47000000000003</v>
      </c>
    </row>
    <row r="143" spans="1:8" ht="30.6" x14ac:dyDescent="0.3">
      <c r="A143" s="268" t="s">
        <v>256</v>
      </c>
      <c r="B143" s="261" t="s">
        <v>275</v>
      </c>
      <c r="C143" s="273" t="s">
        <v>276</v>
      </c>
      <c r="D143" s="274" t="s">
        <v>176</v>
      </c>
      <c r="E143" s="270">
        <f>MC!C399</f>
        <v>2</v>
      </c>
      <c r="F143" s="270">
        <f>F29</f>
        <v>418.55</v>
      </c>
      <c r="G143" s="270">
        <f>G29</f>
        <v>536.32000000000005</v>
      </c>
      <c r="H143" s="271">
        <f>ROUND(E143*G143,2)</f>
        <v>1072.6400000000001</v>
      </c>
    </row>
    <row r="144" spans="1:8" x14ac:dyDescent="0.3">
      <c r="A144" s="398"/>
      <c r="B144" s="398"/>
      <c r="C144" s="398"/>
      <c r="D144" s="398"/>
      <c r="E144" s="398"/>
      <c r="F144" s="398"/>
      <c r="G144" s="398"/>
      <c r="H144" s="398"/>
    </row>
    <row r="145" spans="1:8" x14ac:dyDescent="0.3">
      <c r="A145" s="400" t="str">
        <f>MC!B401</f>
        <v>RUA PROJETADA 01 - COMUNIDADE ALIVIO</v>
      </c>
      <c r="B145" s="400"/>
      <c r="C145" s="400"/>
      <c r="D145" s="400"/>
      <c r="E145" s="400"/>
      <c r="F145" s="400"/>
      <c r="G145" s="400"/>
      <c r="H145" s="272">
        <f>SUM(H146,H149,H152,H156,H160)</f>
        <v>240842.49000000002</v>
      </c>
    </row>
    <row r="146" spans="1:8" x14ac:dyDescent="0.3">
      <c r="A146" s="266" t="s">
        <v>32</v>
      </c>
      <c r="B146" s="399" t="s">
        <v>165</v>
      </c>
      <c r="C146" s="399"/>
      <c r="D146" s="399"/>
      <c r="E146" s="399"/>
      <c r="F146" s="399"/>
      <c r="G146" s="399"/>
      <c r="H146" s="267">
        <f>H147</f>
        <v>4054.2</v>
      </c>
    </row>
    <row r="147" spans="1:8" x14ac:dyDescent="0.3">
      <c r="A147" s="268" t="s">
        <v>34</v>
      </c>
      <c r="B147" s="261">
        <v>100575</v>
      </c>
      <c r="C147" s="273" t="s">
        <v>166</v>
      </c>
      <c r="D147" s="274" t="s">
        <v>15</v>
      </c>
      <c r="E147" s="270">
        <f>MC!C410</f>
        <v>1740</v>
      </c>
      <c r="F147" s="270">
        <f>F14</f>
        <v>1.82</v>
      </c>
      <c r="G147" s="270">
        <f>G14</f>
        <v>2.33</v>
      </c>
      <c r="H147" s="271">
        <f>ROUND(E147*G147,2)</f>
        <v>4054.2</v>
      </c>
    </row>
    <row r="148" spans="1:8" x14ac:dyDescent="0.3">
      <c r="A148" s="398"/>
      <c r="B148" s="398"/>
      <c r="C148" s="398"/>
      <c r="D148" s="398"/>
      <c r="E148" s="398"/>
      <c r="F148" s="398"/>
      <c r="G148" s="398"/>
      <c r="H148" s="398"/>
    </row>
    <row r="149" spans="1:8" x14ac:dyDescent="0.3">
      <c r="A149" s="266" t="s">
        <v>167</v>
      </c>
      <c r="B149" s="399" t="s">
        <v>168</v>
      </c>
      <c r="C149" s="399"/>
      <c r="D149" s="399"/>
      <c r="E149" s="399"/>
      <c r="F149" s="399"/>
      <c r="G149" s="399"/>
      <c r="H149" s="267">
        <f>SUM(H150:H150)</f>
        <v>166918.20000000001</v>
      </c>
    </row>
    <row r="150" spans="1:8" ht="20.399999999999999" x14ac:dyDescent="0.3">
      <c r="A150" s="268" t="s">
        <v>169</v>
      </c>
      <c r="B150" s="261" t="s">
        <v>252</v>
      </c>
      <c r="C150" s="273" t="s">
        <v>253</v>
      </c>
      <c r="D150" s="274" t="s">
        <v>15</v>
      </c>
      <c r="E150" s="270">
        <f>MC!C416</f>
        <v>1740</v>
      </c>
      <c r="F150" s="270">
        <f>F17</f>
        <v>74.87</v>
      </c>
      <c r="G150" s="270">
        <f>G17</f>
        <v>95.93</v>
      </c>
      <c r="H150" s="271">
        <f>ROUND(E150*G150,2)</f>
        <v>166918.20000000001</v>
      </c>
    </row>
    <row r="151" spans="1:8" x14ac:dyDescent="0.3">
      <c r="A151" s="398"/>
      <c r="B151" s="398"/>
      <c r="C151" s="398"/>
      <c r="D151" s="398"/>
      <c r="E151" s="398"/>
      <c r="F151" s="398"/>
      <c r="G151" s="398"/>
      <c r="H151" s="398"/>
    </row>
    <row r="152" spans="1:8" x14ac:dyDescent="0.3">
      <c r="A152" s="266" t="s">
        <v>170</v>
      </c>
      <c r="B152" s="399" t="s">
        <v>171</v>
      </c>
      <c r="C152" s="399"/>
      <c r="D152" s="399"/>
      <c r="E152" s="399"/>
      <c r="F152" s="399"/>
      <c r="G152" s="399"/>
      <c r="H152" s="267">
        <f>SUM(H153:H154)</f>
        <v>46809.04</v>
      </c>
    </row>
    <row r="153" spans="1:8" ht="30.6" x14ac:dyDescent="0.3">
      <c r="A153" s="268" t="s">
        <v>172</v>
      </c>
      <c r="B153" s="261">
        <v>94273</v>
      </c>
      <c r="C153" s="273" t="s">
        <v>173</v>
      </c>
      <c r="D153" s="274" t="s">
        <v>174</v>
      </c>
      <c r="E153" s="270">
        <f>MC!C423</f>
        <v>592</v>
      </c>
      <c r="F153" s="270">
        <f>F20</f>
        <v>40.56</v>
      </c>
      <c r="G153" s="270">
        <f>G20</f>
        <v>51.97</v>
      </c>
      <c r="H153" s="271">
        <f>ROUND(E153*G153,2)</f>
        <v>30766.240000000002</v>
      </c>
    </row>
    <row r="154" spans="1:8" ht="20.399999999999999" x14ac:dyDescent="0.3">
      <c r="A154" s="268" t="s">
        <v>175</v>
      </c>
      <c r="B154" s="261" t="s">
        <v>257</v>
      </c>
      <c r="C154" s="273" t="s">
        <v>258</v>
      </c>
      <c r="D154" s="274" t="s">
        <v>174</v>
      </c>
      <c r="E154" s="270">
        <f>MC!C428</f>
        <v>580</v>
      </c>
      <c r="F154" s="270">
        <f>F21</f>
        <v>21.59</v>
      </c>
      <c r="G154" s="270">
        <f>G21</f>
        <v>27.66</v>
      </c>
      <c r="H154" s="271">
        <f>ROUND(E154*G154,2)</f>
        <v>16042.8</v>
      </c>
    </row>
    <row r="155" spans="1:8" x14ac:dyDescent="0.3">
      <c r="A155" s="398"/>
      <c r="B155" s="398"/>
      <c r="C155" s="398"/>
      <c r="D155" s="398"/>
      <c r="E155" s="398"/>
      <c r="F155" s="398"/>
      <c r="G155" s="398"/>
      <c r="H155" s="398"/>
    </row>
    <row r="156" spans="1:8" x14ac:dyDescent="0.3">
      <c r="A156" s="266" t="s">
        <v>217</v>
      </c>
      <c r="B156" s="399" t="s">
        <v>215</v>
      </c>
      <c r="C156" s="399"/>
      <c r="D156" s="399"/>
      <c r="E156" s="399"/>
      <c r="F156" s="399"/>
      <c r="G156" s="399"/>
      <c r="H156" s="267">
        <f>SUM(H157:H158)</f>
        <v>21699.940000000002</v>
      </c>
    </row>
    <row r="157" spans="1:8" ht="20.399999999999999" x14ac:dyDescent="0.3">
      <c r="A157" s="268" t="s">
        <v>218</v>
      </c>
      <c r="B157" s="261">
        <v>95878</v>
      </c>
      <c r="C157" s="273" t="s">
        <v>278</v>
      </c>
      <c r="D157" s="274" t="s">
        <v>216</v>
      </c>
      <c r="E157" s="270">
        <f>MC!C437</f>
        <v>8287.27</v>
      </c>
      <c r="F157" s="270">
        <f>F24</f>
        <v>1.63</v>
      </c>
      <c r="G157" s="270">
        <f>G24</f>
        <v>2.08</v>
      </c>
      <c r="H157" s="271">
        <f>ROUND(E157*G157,2)</f>
        <v>17237.52</v>
      </c>
    </row>
    <row r="158" spans="1:8" ht="30.6" x14ac:dyDescent="0.3">
      <c r="A158" s="268" t="s">
        <v>277</v>
      </c>
      <c r="B158" s="261">
        <v>93596</v>
      </c>
      <c r="C158" s="273" t="s">
        <v>279</v>
      </c>
      <c r="D158" s="274" t="s">
        <v>216</v>
      </c>
      <c r="E158" s="270">
        <f>MC!C445</f>
        <v>5441.98</v>
      </c>
      <c r="F158" s="270">
        <f>F25</f>
        <v>0.64</v>
      </c>
      <c r="G158" s="270">
        <f>G25</f>
        <v>0.82</v>
      </c>
      <c r="H158" s="271">
        <f>ROUND(E158*G158,2)</f>
        <v>4462.42</v>
      </c>
    </row>
    <row r="159" spans="1:8" x14ac:dyDescent="0.3">
      <c r="A159" s="398"/>
      <c r="B159" s="398"/>
      <c r="C159" s="398"/>
      <c r="D159" s="398"/>
      <c r="E159" s="398"/>
      <c r="F159" s="398"/>
      <c r="G159" s="398"/>
      <c r="H159" s="398"/>
    </row>
    <row r="160" spans="1:8" x14ac:dyDescent="0.3">
      <c r="A160" s="266" t="s">
        <v>254</v>
      </c>
      <c r="B160" s="399" t="s">
        <v>255</v>
      </c>
      <c r="C160" s="399"/>
      <c r="D160" s="399"/>
      <c r="E160" s="399"/>
      <c r="F160" s="399"/>
      <c r="G160" s="399"/>
      <c r="H160" s="267">
        <f>SUM(H161:H162)</f>
        <v>1361.1100000000001</v>
      </c>
    </row>
    <row r="161" spans="1:8" ht="20.399999999999999" x14ac:dyDescent="0.3">
      <c r="A161" s="268" t="s">
        <v>256</v>
      </c>
      <c r="B161" s="261" t="s">
        <v>273</v>
      </c>
      <c r="C161" s="273" t="s">
        <v>259</v>
      </c>
      <c r="D161" s="274" t="s">
        <v>15</v>
      </c>
      <c r="E161" s="270">
        <f>MC!C450</f>
        <v>0.23</v>
      </c>
      <c r="F161" s="270">
        <f>F28</f>
        <v>978.79</v>
      </c>
      <c r="G161" s="270">
        <f>G28</f>
        <v>1254.22</v>
      </c>
      <c r="H161" s="271">
        <f>ROUND(E161*G161,2)</f>
        <v>288.47000000000003</v>
      </c>
    </row>
    <row r="162" spans="1:8" ht="30.6" x14ac:dyDescent="0.3">
      <c r="A162" s="268" t="s">
        <v>256</v>
      </c>
      <c r="B162" s="261" t="s">
        <v>275</v>
      </c>
      <c r="C162" s="273" t="s">
        <v>276</v>
      </c>
      <c r="D162" s="274" t="s">
        <v>176</v>
      </c>
      <c r="E162" s="270">
        <f>MC!C454</f>
        <v>2</v>
      </c>
      <c r="F162" s="270">
        <f>F29</f>
        <v>418.55</v>
      </c>
      <c r="G162" s="270">
        <f>G29</f>
        <v>536.32000000000005</v>
      </c>
      <c r="H162" s="271">
        <f>ROUND(E162*G162,2)</f>
        <v>1072.6400000000001</v>
      </c>
    </row>
    <row r="163" spans="1:8" x14ac:dyDescent="0.3">
      <c r="A163" s="398"/>
      <c r="B163" s="398"/>
      <c r="C163" s="398"/>
      <c r="D163" s="398"/>
      <c r="E163" s="398"/>
      <c r="F163" s="398"/>
      <c r="G163" s="398"/>
      <c r="H163" s="398"/>
    </row>
    <row r="164" spans="1:8" x14ac:dyDescent="0.3">
      <c r="A164" s="400" t="str">
        <f>MC!B456</f>
        <v>RUA PROJETADA 08</v>
      </c>
      <c r="B164" s="400"/>
      <c r="C164" s="400"/>
      <c r="D164" s="400"/>
      <c r="E164" s="400"/>
      <c r="F164" s="400"/>
      <c r="G164" s="400"/>
      <c r="H164" s="272">
        <f>SUM(H165,H168,H171,H175,H179)</f>
        <v>90115.030000000013</v>
      </c>
    </row>
    <row r="165" spans="1:8" x14ac:dyDescent="0.3">
      <c r="A165" s="266" t="s">
        <v>32</v>
      </c>
      <c r="B165" s="399" t="s">
        <v>165</v>
      </c>
      <c r="C165" s="399"/>
      <c r="D165" s="399"/>
      <c r="E165" s="399"/>
      <c r="F165" s="399"/>
      <c r="G165" s="399"/>
      <c r="H165" s="267">
        <f>H166</f>
        <v>1495.86</v>
      </c>
    </row>
    <row r="166" spans="1:8" x14ac:dyDescent="0.3">
      <c r="A166" s="268" t="s">
        <v>34</v>
      </c>
      <c r="B166" s="261">
        <v>100575</v>
      </c>
      <c r="C166" s="273" t="s">
        <v>166</v>
      </c>
      <c r="D166" s="274" t="s">
        <v>15</v>
      </c>
      <c r="E166" s="270">
        <f>MC!C465</f>
        <v>642</v>
      </c>
      <c r="F166" s="270">
        <f>F14</f>
        <v>1.82</v>
      </c>
      <c r="G166" s="270">
        <f>G14</f>
        <v>2.33</v>
      </c>
      <c r="H166" s="271">
        <f>ROUND(E166*G166,2)</f>
        <v>1495.86</v>
      </c>
    </row>
    <row r="167" spans="1:8" x14ac:dyDescent="0.3">
      <c r="A167" s="398"/>
      <c r="B167" s="398"/>
      <c r="C167" s="398"/>
      <c r="D167" s="398"/>
      <c r="E167" s="398"/>
      <c r="F167" s="398"/>
      <c r="G167" s="398"/>
      <c r="H167" s="398"/>
    </row>
    <row r="168" spans="1:8" x14ac:dyDescent="0.3">
      <c r="A168" s="266" t="s">
        <v>167</v>
      </c>
      <c r="B168" s="399" t="s">
        <v>168</v>
      </c>
      <c r="C168" s="399"/>
      <c r="D168" s="399"/>
      <c r="E168" s="399"/>
      <c r="F168" s="399"/>
      <c r="G168" s="399"/>
      <c r="H168" s="267">
        <f>SUM(H169:H169)</f>
        <v>61587.06</v>
      </c>
    </row>
    <row r="169" spans="1:8" ht="20.399999999999999" x14ac:dyDescent="0.3">
      <c r="A169" s="268" t="s">
        <v>169</v>
      </c>
      <c r="B169" s="261" t="s">
        <v>252</v>
      </c>
      <c r="C169" s="273" t="s">
        <v>253</v>
      </c>
      <c r="D169" s="274" t="s">
        <v>15</v>
      </c>
      <c r="E169" s="270">
        <f>MC!C471</f>
        <v>642</v>
      </c>
      <c r="F169" s="270">
        <f>F17</f>
        <v>74.87</v>
      </c>
      <c r="G169" s="270">
        <f>G17</f>
        <v>95.93</v>
      </c>
      <c r="H169" s="271">
        <f>ROUND(E169*G169,2)</f>
        <v>61587.06</v>
      </c>
    </row>
    <row r="170" spans="1:8" x14ac:dyDescent="0.3">
      <c r="A170" s="398"/>
      <c r="B170" s="398"/>
      <c r="C170" s="398"/>
      <c r="D170" s="398"/>
      <c r="E170" s="398"/>
      <c r="F170" s="398"/>
      <c r="G170" s="398"/>
      <c r="H170" s="398"/>
    </row>
    <row r="171" spans="1:8" x14ac:dyDescent="0.3">
      <c r="A171" s="266" t="s">
        <v>170</v>
      </c>
      <c r="B171" s="399" t="s">
        <v>171</v>
      </c>
      <c r="C171" s="399"/>
      <c r="D171" s="399"/>
      <c r="E171" s="399"/>
      <c r="F171" s="399"/>
      <c r="G171" s="399"/>
      <c r="H171" s="267">
        <f>SUM(H172:H173)</f>
        <v>17664.46</v>
      </c>
    </row>
    <row r="172" spans="1:8" ht="30.6" x14ac:dyDescent="0.3">
      <c r="A172" s="268" t="s">
        <v>172</v>
      </c>
      <c r="B172" s="261">
        <v>94273</v>
      </c>
      <c r="C172" s="273" t="s">
        <v>173</v>
      </c>
      <c r="D172" s="274" t="s">
        <v>174</v>
      </c>
      <c r="E172" s="270">
        <f>MC!C478</f>
        <v>226</v>
      </c>
      <c r="F172" s="270">
        <f>F20</f>
        <v>40.56</v>
      </c>
      <c r="G172" s="270">
        <f>G20</f>
        <v>51.97</v>
      </c>
      <c r="H172" s="271">
        <f>ROUND(E172*G172,2)</f>
        <v>11745.22</v>
      </c>
    </row>
    <row r="173" spans="1:8" ht="20.399999999999999" x14ac:dyDescent="0.3">
      <c r="A173" s="268" t="s">
        <v>175</v>
      </c>
      <c r="B173" s="261" t="s">
        <v>257</v>
      </c>
      <c r="C173" s="273" t="s">
        <v>258</v>
      </c>
      <c r="D173" s="274" t="s">
        <v>174</v>
      </c>
      <c r="E173" s="270">
        <f>MC!C483</f>
        <v>214</v>
      </c>
      <c r="F173" s="270">
        <f>F21</f>
        <v>21.59</v>
      </c>
      <c r="G173" s="270">
        <f>G21</f>
        <v>27.66</v>
      </c>
      <c r="H173" s="271">
        <f>ROUND(E173*G173,2)</f>
        <v>5919.24</v>
      </c>
    </row>
    <row r="174" spans="1:8" x14ac:dyDescent="0.3">
      <c r="A174" s="398"/>
      <c r="B174" s="398"/>
      <c r="C174" s="398"/>
      <c r="D174" s="398"/>
      <c r="E174" s="398"/>
      <c r="F174" s="398"/>
      <c r="G174" s="398"/>
      <c r="H174" s="398"/>
    </row>
    <row r="175" spans="1:8" x14ac:dyDescent="0.3">
      <c r="A175" s="266" t="s">
        <v>217</v>
      </c>
      <c r="B175" s="399" t="s">
        <v>215</v>
      </c>
      <c r="C175" s="399"/>
      <c r="D175" s="399"/>
      <c r="E175" s="399"/>
      <c r="F175" s="399"/>
      <c r="G175" s="399"/>
      <c r="H175" s="267">
        <f>SUM(H176:H177)</f>
        <v>8006.5400000000009</v>
      </c>
    </row>
    <row r="176" spans="1:8" ht="20.399999999999999" x14ac:dyDescent="0.3">
      <c r="A176" s="268" t="s">
        <v>218</v>
      </c>
      <c r="B176" s="261">
        <v>95878</v>
      </c>
      <c r="C176" s="273" t="s">
        <v>278</v>
      </c>
      <c r="D176" s="274" t="s">
        <v>216</v>
      </c>
      <c r="E176" s="270">
        <f>MC!C492</f>
        <v>3057.72</v>
      </c>
      <c r="F176" s="270">
        <f>F24</f>
        <v>1.63</v>
      </c>
      <c r="G176" s="270">
        <f>G24</f>
        <v>2.08</v>
      </c>
      <c r="H176" s="271">
        <f>ROUND(E176*G176,2)</f>
        <v>6360.06</v>
      </c>
    </row>
    <row r="177" spans="1:8" ht="30.6" x14ac:dyDescent="0.3">
      <c r="A177" s="268" t="s">
        <v>277</v>
      </c>
      <c r="B177" s="261">
        <v>93596</v>
      </c>
      <c r="C177" s="273" t="s">
        <v>279</v>
      </c>
      <c r="D177" s="274" t="s">
        <v>216</v>
      </c>
      <c r="E177" s="270">
        <f>MC!C500</f>
        <v>2007.9</v>
      </c>
      <c r="F177" s="270">
        <f>F25</f>
        <v>0.64</v>
      </c>
      <c r="G177" s="270">
        <f>G25</f>
        <v>0.82</v>
      </c>
      <c r="H177" s="271">
        <f>ROUND(E177*G177,2)</f>
        <v>1646.48</v>
      </c>
    </row>
    <row r="178" spans="1:8" x14ac:dyDescent="0.3">
      <c r="A178" s="398"/>
      <c r="B178" s="398"/>
      <c r="C178" s="398"/>
      <c r="D178" s="398"/>
      <c r="E178" s="398"/>
      <c r="F178" s="398"/>
      <c r="G178" s="398"/>
      <c r="H178" s="398"/>
    </row>
    <row r="179" spans="1:8" x14ac:dyDescent="0.3">
      <c r="A179" s="266" t="s">
        <v>254</v>
      </c>
      <c r="B179" s="399" t="s">
        <v>255</v>
      </c>
      <c r="C179" s="399"/>
      <c r="D179" s="399"/>
      <c r="E179" s="399"/>
      <c r="F179" s="399"/>
      <c r="G179" s="399"/>
      <c r="H179" s="267">
        <f>SUM(H180:H181)</f>
        <v>1361.1100000000001</v>
      </c>
    </row>
    <row r="180" spans="1:8" ht="20.399999999999999" x14ac:dyDescent="0.3">
      <c r="A180" s="268" t="s">
        <v>256</v>
      </c>
      <c r="B180" s="261" t="s">
        <v>273</v>
      </c>
      <c r="C180" s="273" t="s">
        <v>259</v>
      </c>
      <c r="D180" s="274" t="s">
        <v>15</v>
      </c>
      <c r="E180" s="270">
        <f>MC!C505</f>
        <v>0.23</v>
      </c>
      <c r="F180" s="270">
        <f>F28</f>
        <v>978.79</v>
      </c>
      <c r="G180" s="270">
        <f>G28</f>
        <v>1254.22</v>
      </c>
      <c r="H180" s="271">
        <f>ROUND(E180*G180,2)</f>
        <v>288.47000000000003</v>
      </c>
    </row>
    <row r="181" spans="1:8" ht="30.6" x14ac:dyDescent="0.3">
      <c r="A181" s="268" t="s">
        <v>256</v>
      </c>
      <c r="B181" s="261" t="s">
        <v>275</v>
      </c>
      <c r="C181" s="273" t="s">
        <v>276</v>
      </c>
      <c r="D181" s="274" t="s">
        <v>176</v>
      </c>
      <c r="E181" s="270">
        <f>MC!C509</f>
        <v>2</v>
      </c>
      <c r="F181" s="270">
        <f>F29</f>
        <v>418.55</v>
      </c>
      <c r="G181" s="270">
        <f>G29</f>
        <v>536.32000000000005</v>
      </c>
      <c r="H181" s="271">
        <f>ROUND(E181*G181,2)</f>
        <v>1072.6400000000001</v>
      </c>
    </row>
    <row r="182" spans="1:8" x14ac:dyDescent="0.3">
      <c r="A182" s="398"/>
      <c r="B182" s="398"/>
      <c r="C182" s="398"/>
      <c r="D182" s="398"/>
      <c r="E182" s="398"/>
      <c r="F182" s="398"/>
      <c r="G182" s="398"/>
      <c r="H182" s="398"/>
    </row>
    <row r="183" spans="1:8" x14ac:dyDescent="0.3">
      <c r="A183" s="400" t="str">
        <f>MC!B511</f>
        <v>RUA PROJETADA 09</v>
      </c>
      <c r="B183" s="400"/>
      <c r="C183" s="400"/>
      <c r="D183" s="400"/>
      <c r="E183" s="400"/>
      <c r="F183" s="400"/>
      <c r="G183" s="400"/>
      <c r="H183" s="272">
        <f>SUM(H184,H187,H190,H194,H198)</f>
        <v>114824.44000000002</v>
      </c>
    </row>
    <row r="184" spans="1:8" x14ac:dyDescent="0.3">
      <c r="A184" s="266" t="s">
        <v>32</v>
      </c>
      <c r="B184" s="399" t="s">
        <v>165</v>
      </c>
      <c r="C184" s="399"/>
      <c r="D184" s="399"/>
      <c r="E184" s="399"/>
      <c r="F184" s="399"/>
      <c r="G184" s="399"/>
      <c r="H184" s="267">
        <f>H185</f>
        <v>1915.26</v>
      </c>
    </row>
    <row r="185" spans="1:8" x14ac:dyDescent="0.3">
      <c r="A185" s="268" t="s">
        <v>34</v>
      </c>
      <c r="B185" s="261">
        <v>100575</v>
      </c>
      <c r="C185" s="273" t="s">
        <v>166</v>
      </c>
      <c r="D185" s="274" t="s">
        <v>15</v>
      </c>
      <c r="E185" s="270">
        <f>MC!C520</f>
        <v>822</v>
      </c>
      <c r="F185" s="270">
        <f>F14</f>
        <v>1.82</v>
      </c>
      <c r="G185" s="270">
        <f>G14</f>
        <v>2.33</v>
      </c>
      <c r="H185" s="271">
        <f>ROUND(E185*G185,2)</f>
        <v>1915.26</v>
      </c>
    </row>
    <row r="186" spans="1:8" x14ac:dyDescent="0.3">
      <c r="A186" s="398"/>
      <c r="B186" s="398"/>
      <c r="C186" s="398"/>
      <c r="D186" s="398"/>
      <c r="E186" s="398"/>
      <c r="F186" s="398"/>
      <c r="G186" s="398"/>
      <c r="H186" s="398"/>
    </row>
    <row r="187" spans="1:8" x14ac:dyDescent="0.3">
      <c r="A187" s="266" t="s">
        <v>167</v>
      </c>
      <c r="B187" s="399" t="s">
        <v>168</v>
      </c>
      <c r="C187" s="399"/>
      <c r="D187" s="399"/>
      <c r="E187" s="399"/>
      <c r="F187" s="399"/>
      <c r="G187" s="399"/>
      <c r="H187" s="267">
        <f>SUM(H188:H188)</f>
        <v>78854.460000000006</v>
      </c>
    </row>
    <row r="188" spans="1:8" ht="20.399999999999999" x14ac:dyDescent="0.3">
      <c r="A188" s="268" t="s">
        <v>169</v>
      </c>
      <c r="B188" s="261" t="s">
        <v>252</v>
      </c>
      <c r="C188" s="273" t="s">
        <v>253</v>
      </c>
      <c r="D188" s="274" t="s">
        <v>15</v>
      </c>
      <c r="E188" s="270">
        <f>MC!C526</f>
        <v>822</v>
      </c>
      <c r="F188" s="270">
        <f>F17</f>
        <v>74.87</v>
      </c>
      <c r="G188" s="270">
        <f>G17</f>
        <v>95.93</v>
      </c>
      <c r="H188" s="271">
        <f>ROUND(E188*G188,2)</f>
        <v>78854.460000000006</v>
      </c>
    </row>
    <row r="189" spans="1:8" x14ac:dyDescent="0.3">
      <c r="A189" s="398"/>
      <c r="B189" s="398"/>
      <c r="C189" s="398"/>
      <c r="D189" s="398"/>
      <c r="E189" s="398"/>
      <c r="F189" s="398"/>
      <c r="G189" s="398"/>
      <c r="H189" s="398"/>
    </row>
    <row r="190" spans="1:8" x14ac:dyDescent="0.3">
      <c r="A190" s="266" t="s">
        <v>170</v>
      </c>
      <c r="B190" s="399" t="s">
        <v>171</v>
      </c>
      <c r="C190" s="399"/>
      <c r="D190" s="399"/>
      <c r="E190" s="399"/>
      <c r="F190" s="399"/>
      <c r="G190" s="399"/>
      <c r="H190" s="267">
        <f>SUM(H191:H192)</f>
        <v>22442.260000000002</v>
      </c>
    </row>
    <row r="191" spans="1:8" ht="30.6" x14ac:dyDescent="0.3">
      <c r="A191" s="268" t="s">
        <v>172</v>
      </c>
      <c r="B191" s="261">
        <v>94273</v>
      </c>
      <c r="C191" s="273" t="s">
        <v>173</v>
      </c>
      <c r="D191" s="274" t="s">
        <v>174</v>
      </c>
      <c r="E191" s="270">
        <f>MC!C533</f>
        <v>286</v>
      </c>
      <c r="F191" s="270">
        <f>F20</f>
        <v>40.56</v>
      </c>
      <c r="G191" s="270">
        <f>G20</f>
        <v>51.97</v>
      </c>
      <c r="H191" s="271">
        <f>ROUND(E191*G191,2)</f>
        <v>14863.42</v>
      </c>
    </row>
    <row r="192" spans="1:8" ht="20.399999999999999" x14ac:dyDescent="0.3">
      <c r="A192" s="268" t="s">
        <v>175</v>
      </c>
      <c r="B192" s="261" t="s">
        <v>257</v>
      </c>
      <c r="C192" s="273" t="s">
        <v>258</v>
      </c>
      <c r="D192" s="274" t="s">
        <v>174</v>
      </c>
      <c r="E192" s="270">
        <f>MC!C538</f>
        <v>274</v>
      </c>
      <c r="F192" s="270">
        <f>F21</f>
        <v>21.59</v>
      </c>
      <c r="G192" s="270">
        <f>G21</f>
        <v>27.66</v>
      </c>
      <c r="H192" s="271">
        <f>ROUND(E192*G192,2)</f>
        <v>7578.84</v>
      </c>
    </row>
    <row r="193" spans="1:8" x14ac:dyDescent="0.3">
      <c r="A193" s="398"/>
      <c r="B193" s="398"/>
      <c r="C193" s="398"/>
      <c r="D193" s="398"/>
      <c r="E193" s="398"/>
      <c r="F193" s="398"/>
      <c r="G193" s="398"/>
      <c r="H193" s="398"/>
    </row>
    <row r="194" spans="1:8" x14ac:dyDescent="0.3">
      <c r="A194" s="266" t="s">
        <v>217</v>
      </c>
      <c r="B194" s="399" t="s">
        <v>215</v>
      </c>
      <c r="C194" s="399"/>
      <c r="D194" s="399"/>
      <c r="E194" s="399"/>
      <c r="F194" s="399"/>
      <c r="G194" s="399"/>
      <c r="H194" s="267">
        <f>SUM(H195:H196)</f>
        <v>10251.35</v>
      </c>
    </row>
    <row r="195" spans="1:8" ht="20.399999999999999" x14ac:dyDescent="0.3">
      <c r="A195" s="268" t="s">
        <v>218</v>
      </c>
      <c r="B195" s="261">
        <v>95878</v>
      </c>
      <c r="C195" s="273" t="s">
        <v>278</v>
      </c>
      <c r="D195" s="274" t="s">
        <v>216</v>
      </c>
      <c r="E195" s="270">
        <f>MC!C547</f>
        <v>3915.02</v>
      </c>
      <c r="F195" s="270">
        <f>F24</f>
        <v>1.63</v>
      </c>
      <c r="G195" s="270">
        <f>G24</f>
        <v>2.08</v>
      </c>
      <c r="H195" s="271">
        <f>ROUND(E195*G195,2)</f>
        <v>8143.24</v>
      </c>
    </row>
    <row r="196" spans="1:8" ht="30.6" x14ac:dyDescent="0.3">
      <c r="A196" s="268" t="s">
        <v>277</v>
      </c>
      <c r="B196" s="261">
        <v>93596</v>
      </c>
      <c r="C196" s="273" t="s">
        <v>279</v>
      </c>
      <c r="D196" s="274" t="s">
        <v>216</v>
      </c>
      <c r="E196" s="270">
        <f>MC!C555</f>
        <v>2570.86</v>
      </c>
      <c r="F196" s="270">
        <f>F25</f>
        <v>0.64</v>
      </c>
      <c r="G196" s="270">
        <f>G25</f>
        <v>0.82</v>
      </c>
      <c r="H196" s="271">
        <f>ROUND(E196*G196,2)</f>
        <v>2108.11</v>
      </c>
    </row>
    <row r="197" spans="1:8" x14ac:dyDescent="0.3">
      <c r="A197" s="398"/>
      <c r="B197" s="398"/>
      <c r="C197" s="398"/>
      <c r="D197" s="398"/>
      <c r="E197" s="398"/>
      <c r="F197" s="398"/>
      <c r="G197" s="398"/>
      <c r="H197" s="398"/>
    </row>
    <row r="198" spans="1:8" x14ac:dyDescent="0.3">
      <c r="A198" s="266" t="s">
        <v>254</v>
      </c>
      <c r="B198" s="399" t="s">
        <v>255</v>
      </c>
      <c r="C198" s="399"/>
      <c r="D198" s="399"/>
      <c r="E198" s="399"/>
      <c r="F198" s="399"/>
      <c r="G198" s="399"/>
      <c r="H198" s="267">
        <f>SUM(H199:H200)</f>
        <v>1361.1100000000001</v>
      </c>
    </row>
    <row r="199" spans="1:8" ht="20.399999999999999" x14ac:dyDescent="0.3">
      <c r="A199" s="268" t="s">
        <v>256</v>
      </c>
      <c r="B199" s="261" t="s">
        <v>273</v>
      </c>
      <c r="C199" s="273" t="s">
        <v>259</v>
      </c>
      <c r="D199" s="274" t="s">
        <v>15</v>
      </c>
      <c r="E199" s="270">
        <f>MC!C560</f>
        <v>0.23</v>
      </c>
      <c r="F199" s="270">
        <f>F28</f>
        <v>978.79</v>
      </c>
      <c r="G199" s="270">
        <f>G28</f>
        <v>1254.22</v>
      </c>
      <c r="H199" s="271">
        <f>ROUND(E199*G199,2)</f>
        <v>288.47000000000003</v>
      </c>
    </row>
    <row r="200" spans="1:8" ht="30.6" x14ac:dyDescent="0.3">
      <c r="A200" s="268" t="s">
        <v>256</v>
      </c>
      <c r="B200" s="261" t="s">
        <v>275</v>
      </c>
      <c r="C200" s="273" t="s">
        <v>276</v>
      </c>
      <c r="D200" s="274" t="s">
        <v>176</v>
      </c>
      <c r="E200" s="270">
        <f>MC!C564</f>
        <v>2</v>
      </c>
      <c r="F200" s="270">
        <f>F29</f>
        <v>418.55</v>
      </c>
      <c r="G200" s="270">
        <f>G29</f>
        <v>536.32000000000005</v>
      </c>
      <c r="H200" s="271">
        <f>ROUND(E200*G200,2)</f>
        <v>1072.6400000000001</v>
      </c>
    </row>
    <row r="201" spans="1:8" x14ac:dyDescent="0.3">
      <c r="A201" s="466"/>
      <c r="B201" s="466"/>
      <c r="C201" s="466"/>
      <c r="D201" s="466"/>
      <c r="E201" s="466"/>
      <c r="F201" s="466"/>
      <c r="G201" s="466"/>
      <c r="H201" s="466"/>
    </row>
    <row r="202" spans="1:8" x14ac:dyDescent="0.3">
      <c r="A202" s="400" t="str">
        <f>MC!B566</f>
        <v xml:space="preserve">RUA COQUEIRO VERDE </v>
      </c>
      <c r="B202" s="400"/>
      <c r="C202" s="400"/>
      <c r="D202" s="400"/>
      <c r="E202" s="400"/>
      <c r="F202" s="400"/>
      <c r="G202" s="400"/>
      <c r="H202" s="272">
        <f>SUM(H203,H206,H209,H213,H217)</f>
        <v>142004.81</v>
      </c>
    </row>
    <row r="203" spans="1:8" x14ac:dyDescent="0.3">
      <c r="A203" s="266" t="s">
        <v>32</v>
      </c>
      <c r="B203" s="399" t="s">
        <v>165</v>
      </c>
      <c r="C203" s="399"/>
      <c r="D203" s="399"/>
      <c r="E203" s="399"/>
      <c r="F203" s="399"/>
      <c r="G203" s="399"/>
      <c r="H203" s="267">
        <f>H204</f>
        <v>2376.6</v>
      </c>
    </row>
    <row r="204" spans="1:8" x14ac:dyDescent="0.3">
      <c r="A204" s="268" t="s">
        <v>34</v>
      </c>
      <c r="B204" s="261">
        <v>100575</v>
      </c>
      <c r="C204" s="273" t="s">
        <v>166</v>
      </c>
      <c r="D204" s="274" t="s">
        <v>15</v>
      </c>
      <c r="E204" s="270">
        <f>MC!C575</f>
        <v>1020</v>
      </c>
      <c r="F204" s="270">
        <f>F33</f>
        <v>1.82</v>
      </c>
      <c r="G204" s="270">
        <f>G33</f>
        <v>2.33</v>
      </c>
      <c r="H204" s="271">
        <f>ROUND(E204*G204,2)</f>
        <v>2376.6</v>
      </c>
    </row>
    <row r="205" spans="1:8" x14ac:dyDescent="0.3">
      <c r="A205" s="398"/>
      <c r="B205" s="398"/>
      <c r="C205" s="398"/>
      <c r="D205" s="398"/>
      <c r="E205" s="398"/>
      <c r="F205" s="398"/>
      <c r="G205" s="398"/>
      <c r="H205" s="398"/>
    </row>
    <row r="206" spans="1:8" x14ac:dyDescent="0.3">
      <c r="A206" s="266" t="s">
        <v>167</v>
      </c>
      <c r="B206" s="399" t="s">
        <v>168</v>
      </c>
      <c r="C206" s="399"/>
      <c r="D206" s="399"/>
      <c r="E206" s="399"/>
      <c r="F206" s="399"/>
      <c r="G206" s="399"/>
      <c r="H206" s="267">
        <f>SUM(H207:H207)</f>
        <v>97848.6</v>
      </c>
    </row>
    <row r="207" spans="1:8" ht="20.399999999999999" x14ac:dyDescent="0.3">
      <c r="A207" s="268" t="s">
        <v>169</v>
      </c>
      <c r="B207" s="261" t="s">
        <v>252</v>
      </c>
      <c r="C207" s="273" t="s">
        <v>253</v>
      </c>
      <c r="D207" s="274" t="s">
        <v>15</v>
      </c>
      <c r="E207" s="270">
        <f>MC!C581</f>
        <v>1020</v>
      </c>
      <c r="F207" s="270">
        <f>F36</f>
        <v>74.87</v>
      </c>
      <c r="G207" s="270">
        <f>G36</f>
        <v>95.93</v>
      </c>
      <c r="H207" s="271">
        <f>ROUND(E207*G207,2)</f>
        <v>97848.6</v>
      </c>
    </row>
    <row r="208" spans="1:8" x14ac:dyDescent="0.3">
      <c r="A208" s="398"/>
      <c r="B208" s="398"/>
      <c r="C208" s="398"/>
      <c r="D208" s="398"/>
      <c r="E208" s="398"/>
      <c r="F208" s="398"/>
      <c r="G208" s="398"/>
      <c r="H208" s="398"/>
    </row>
    <row r="209" spans="1:8" x14ac:dyDescent="0.3">
      <c r="A209" s="266" t="s">
        <v>170</v>
      </c>
      <c r="B209" s="399" t="s">
        <v>171</v>
      </c>
      <c r="C209" s="399"/>
      <c r="D209" s="399"/>
      <c r="E209" s="399"/>
      <c r="F209" s="399"/>
      <c r="G209" s="399"/>
      <c r="H209" s="267">
        <f>SUM(H210:H211)</f>
        <v>27697.839999999997</v>
      </c>
    </row>
    <row r="210" spans="1:8" ht="30.6" x14ac:dyDescent="0.3">
      <c r="A210" s="268" t="s">
        <v>172</v>
      </c>
      <c r="B210" s="261">
        <v>94273</v>
      </c>
      <c r="C210" s="273" t="s">
        <v>173</v>
      </c>
      <c r="D210" s="274" t="s">
        <v>174</v>
      </c>
      <c r="E210" s="270">
        <f>MC!C588</f>
        <v>352</v>
      </c>
      <c r="F210" s="270">
        <f>F39</f>
        <v>40.56</v>
      </c>
      <c r="G210" s="270">
        <f>G39</f>
        <v>51.97</v>
      </c>
      <c r="H210" s="271">
        <f>ROUND(E210*G210,2)</f>
        <v>18293.439999999999</v>
      </c>
    </row>
    <row r="211" spans="1:8" ht="20.399999999999999" x14ac:dyDescent="0.3">
      <c r="A211" s="268" t="s">
        <v>175</v>
      </c>
      <c r="B211" s="261" t="s">
        <v>257</v>
      </c>
      <c r="C211" s="273" t="s">
        <v>258</v>
      </c>
      <c r="D211" s="274" t="s">
        <v>174</v>
      </c>
      <c r="E211" s="270">
        <f>MC!C593</f>
        <v>340</v>
      </c>
      <c r="F211" s="270">
        <f>F40</f>
        <v>21.59</v>
      </c>
      <c r="G211" s="270">
        <f>G40</f>
        <v>27.66</v>
      </c>
      <c r="H211" s="271">
        <f>ROUND(E211*G211,2)</f>
        <v>9404.4</v>
      </c>
    </row>
    <row r="212" spans="1:8" x14ac:dyDescent="0.3">
      <c r="A212" s="398"/>
      <c r="B212" s="398"/>
      <c r="C212" s="398"/>
      <c r="D212" s="398"/>
      <c r="E212" s="398"/>
      <c r="F212" s="398"/>
      <c r="G212" s="398"/>
      <c r="H212" s="398"/>
    </row>
    <row r="213" spans="1:8" x14ac:dyDescent="0.3">
      <c r="A213" s="266" t="s">
        <v>217</v>
      </c>
      <c r="B213" s="399" t="s">
        <v>215</v>
      </c>
      <c r="C213" s="399"/>
      <c r="D213" s="399"/>
      <c r="E213" s="399"/>
      <c r="F213" s="399"/>
      <c r="G213" s="399"/>
      <c r="H213" s="267">
        <f>SUM(H214:H215)</f>
        <v>12720.66</v>
      </c>
    </row>
    <row r="214" spans="1:8" ht="20.399999999999999" x14ac:dyDescent="0.3">
      <c r="A214" s="268" t="s">
        <v>218</v>
      </c>
      <c r="B214" s="261">
        <v>95878</v>
      </c>
      <c r="C214" s="273" t="s">
        <v>278</v>
      </c>
      <c r="D214" s="274" t="s">
        <v>216</v>
      </c>
      <c r="E214" s="270">
        <f>MC!C602</f>
        <v>4858.0600000000004</v>
      </c>
      <c r="F214" s="270">
        <f>F43</f>
        <v>1.63</v>
      </c>
      <c r="G214" s="270">
        <f>G43</f>
        <v>2.08</v>
      </c>
      <c r="H214" s="271">
        <f>ROUND(E214*G214,2)</f>
        <v>10104.76</v>
      </c>
    </row>
    <row r="215" spans="1:8" ht="30.6" x14ac:dyDescent="0.3">
      <c r="A215" s="268" t="s">
        <v>277</v>
      </c>
      <c r="B215" s="261">
        <v>93596</v>
      </c>
      <c r="C215" s="273" t="s">
        <v>279</v>
      </c>
      <c r="D215" s="274" t="s">
        <v>216</v>
      </c>
      <c r="E215" s="270">
        <f>MC!C610</f>
        <v>3190.12</v>
      </c>
      <c r="F215" s="270">
        <f>F44</f>
        <v>0.64</v>
      </c>
      <c r="G215" s="270">
        <f>G44</f>
        <v>0.82</v>
      </c>
      <c r="H215" s="271">
        <f>ROUND(E215*G215,2)</f>
        <v>2615.9</v>
      </c>
    </row>
    <row r="216" spans="1:8" x14ac:dyDescent="0.3">
      <c r="A216" s="398"/>
      <c r="B216" s="398"/>
      <c r="C216" s="398"/>
      <c r="D216" s="398"/>
      <c r="E216" s="398"/>
      <c r="F216" s="398"/>
      <c r="G216" s="398"/>
      <c r="H216" s="398"/>
    </row>
    <row r="217" spans="1:8" x14ac:dyDescent="0.3">
      <c r="A217" s="266" t="s">
        <v>254</v>
      </c>
      <c r="B217" s="399" t="s">
        <v>255</v>
      </c>
      <c r="C217" s="399"/>
      <c r="D217" s="399"/>
      <c r="E217" s="399"/>
      <c r="F217" s="399"/>
      <c r="G217" s="399"/>
      <c r="H217" s="267">
        <f>SUM(H218:H219)</f>
        <v>1361.1100000000001</v>
      </c>
    </row>
    <row r="218" spans="1:8" ht="20.399999999999999" x14ac:dyDescent="0.3">
      <c r="A218" s="268" t="s">
        <v>256</v>
      </c>
      <c r="B218" s="261" t="s">
        <v>273</v>
      </c>
      <c r="C218" s="273" t="s">
        <v>259</v>
      </c>
      <c r="D218" s="274" t="s">
        <v>15</v>
      </c>
      <c r="E218" s="270">
        <f>MC!C615</f>
        <v>0.23</v>
      </c>
      <c r="F218" s="270">
        <f>F47</f>
        <v>978.79</v>
      </c>
      <c r="G218" s="270">
        <f>G47</f>
        <v>1254.22</v>
      </c>
      <c r="H218" s="271">
        <f>ROUND(E218*G218,2)</f>
        <v>288.47000000000003</v>
      </c>
    </row>
    <row r="219" spans="1:8" ht="30.6" x14ac:dyDescent="0.3">
      <c r="A219" s="268" t="s">
        <v>256</v>
      </c>
      <c r="B219" s="261" t="s">
        <v>275</v>
      </c>
      <c r="C219" s="273" t="s">
        <v>276</v>
      </c>
      <c r="D219" s="274" t="s">
        <v>176</v>
      </c>
      <c r="E219" s="270">
        <f>MC!C619</f>
        <v>2</v>
      </c>
      <c r="F219" s="270">
        <f>F48</f>
        <v>418.55</v>
      </c>
      <c r="G219" s="270">
        <f>G48</f>
        <v>536.32000000000005</v>
      </c>
      <c r="H219" s="271">
        <f>ROUND(E219*G219,2)</f>
        <v>1072.6400000000001</v>
      </c>
    </row>
    <row r="220" spans="1:8" x14ac:dyDescent="0.3">
      <c r="A220" s="466"/>
      <c r="B220" s="466"/>
      <c r="C220" s="466"/>
      <c r="D220" s="466"/>
      <c r="E220" s="466"/>
      <c r="F220" s="466"/>
      <c r="G220" s="466"/>
      <c r="H220" s="466"/>
    </row>
    <row r="221" spans="1:8" x14ac:dyDescent="0.3">
      <c r="A221" s="400" t="str">
        <f>MC!B620</f>
        <v>RUA PROJETADA (LAGOA FUNDA)</v>
      </c>
      <c r="B221" s="400"/>
      <c r="C221" s="400"/>
      <c r="D221" s="400"/>
      <c r="E221" s="400"/>
      <c r="F221" s="400"/>
      <c r="G221" s="400"/>
      <c r="H221" s="272">
        <f>SUM(H222,H225,H228,H232,H236)</f>
        <v>18457.7</v>
      </c>
    </row>
    <row r="222" spans="1:8" x14ac:dyDescent="0.3">
      <c r="A222" s="266" t="s">
        <v>32</v>
      </c>
      <c r="B222" s="399" t="s">
        <v>165</v>
      </c>
      <c r="C222" s="399"/>
      <c r="D222" s="399"/>
      <c r="E222" s="399"/>
      <c r="F222" s="399"/>
      <c r="G222" s="399"/>
      <c r="H222" s="267">
        <f>H223</f>
        <v>279.60000000000002</v>
      </c>
    </row>
    <row r="223" spans="1:8" x14ac:dyDescent="0.3">
      <c r="A223" s="268" t="s">
        <v>34</v>
      </c>
      <c r="B223" s="261">
        <v>100575</v>
      </c>
      <c r="C223" s="273" t="s">
        <v>166</v>
      </c>
      <c r="D223" s="274" t="s">
        <v>15</v>
      </c>
      <c r="E223" s="270">
        <f>MC!C629</f>
        <v>120</v>
      </c>
      <c r="F223" s="270">
        <f>F52</f>
        <v>1.82</v>
      </c>
      <c r="G223" s="270">
        <f>G52</f>
        <v>2.33</v>
      </c>
      <c r="H223" s="271">
        <f>ROUND(E223*G223,2)</f>
        <v>279.60000000000002</v>
      </c>
    </row>
    <row r="224" spans="1:8" x14ac:dyDescent="0.3">
      <c r="A224" s="398"/>
      <c r="B224" s="398"/>
      <c r="C224" s="398"/>
      <c r="D224" s="398"/>
      <c r="E224" s="398"/>
      <c r="F224" s="398"/>
      <c r="G224" s="398"/>
      <c r="H224" s="398"/>
    </row>
    <row r="225" spans="1:8" x14ac:dyDescent="0.3">
      <c r="A225" s="266" t="s">
        <v>167</v>
      </c>
      <c r="B225" s="399" t="s">
        <v>168</v>
      </c>
      <c r="C225" s="399"/>
      <c r="D225" s="399"/>
      <c r="E225" s="399"/>
      <c r="F225" s="399"/>
      <c r="G225" s="399"/>
      <c r="H225" s="267">
        <f>SUM(H226:H226)</f>
        <v>11511.6</v>
      </c>
    </row>
    <row r="226" spans="1:8" ht="20.399999999999999" x14ac:dyDescent="0.3">
      <c r="A226" s="268" t="s">
        <v>169</v>
      </c>
      <c r="B226" s="261" t="s">
        <v>252</v>
      </c>
      <c r="C226" s="273" t="s">
        <v>253</v>
      </c>
      <c r="D226" s="274" t="s">
        <v>15</v>
      </c>
      <c r="E226" s="270">
        <f>MC!C635</f>
        <v>120</v>
      </c>
      <c r="F226" s="270">
        <f>F55</f>
        <v>74.87</v>
      </c>
      <c r="G226" s="270">
        <f>G55</f>
        <v>95.93</v>
      </c>
      <c r="H226" s="271">
        <f>ROUND(E226*G226,2)</f>
        <v>11511.6</v>
      </c>
    </row>
    <row r="227" spans="1:8" x14ac:dyDescent="0.3">
      <c r="A227" s="398"/>
      <c r="B227" s="398"/>
      <c r="C227" s="398"/>
      <c r="D227" s="398"/>
      <c r="E227" s="398"/>
      <c r="F227" s="398"/>
      <c r="G227" s="398"/>
      <c r="H227" s="398"/>
    </row>
    <row r="228" spans="1:8" x14ac:dyDescent="0.3">
      <c r="A228" s="266" t="s">
        <v>170</v>
      </c>
      <c r="B228" s="399" t="s">
        <v>171</v>
      </c>
      <c r="C228" s="399"/>
      <c r="D228" s="399"/>
      <c r="E228" s="399"/>
      <c r="F228" s="399"/>
      <c r="G228" s="399"/>
      <c r="H228" s="267">
        <f>SUM(H229:H230)</f>
        <v>3808.84</v>
      </c>
    </row>
    <row r="229" spans="1:8" ht="30.6" x14ac:dyDescent="0.3">
      <c r="A229" s="268" t="s">
        <v>172</v>
      </c>
      <c r="B229" s="261">
        <v>94273</v>
      </c>
      <c r="C229" s="273" t="s">
        <v>173</v>
      </c>
      <c r="D229" s="274" t="s">
        <v>174</v>
      </c>
      <c r="E229" s="270">
        <f>MC!C642</f>
        <v>52</v>
      </c>
      <c r="F229" s="270">
        <f>F58</f>
        <v>40.56</v>
      </c>
      <c r="G229" s="270">
        <f>G58</f>
        <v>51.97</v>
      </c>
      <c r="H229" s="271">
        <f>ROUND(E229*G229,2)</f>
        <v>2702.44</v>
      </c>
    </row>
    <row r="230" spans="1:8" ht="20.399999999999999" x14ac:dyDescent="0.3">
      <c r="A230" s="268" t="s">
        <v>175</v>
      </c>
      <c r="B230" s="261" t="s">
        <v>257</v>
      </c>
      <c r="C230" s="273" t="s">
        <v>258</v>
      </c>
      <c r="D230" s="274" t="s">
        <v>174</v>
      </c>
      <c r="E230" s="270">
        <f>MC!C647</f>
        <v>40</v>
      </c>
      <c r="F230" s="270">
        <f>F59</f>
        <v>21.59</v>
      </c>
      <c r="G230" s="270">
        <f>G59</f>
        <v>27.66</v>
      </c>
      <c r="H230" s="271">
        <f>ROUND(E230*G230,2)</f>
        <v>1106.4000000000001</v>
      </c>
    </row>
    <row r="231" spans="1:8" x14ac:dyDescent="0.3">
      <c r="A231" s="398"/>
      <c r="B231" s="398"/>
      <c r="C231" s="398"/>
      <c r="D231" s="398"/>
      <c r="E231" s="398"/>
      <c r="F231" s="398"/>
      <c r="G231" s="398"/>
      <c r="H231" s="398"/>
    </row>
    <row r="232" spans="1:8" x14ac:dyDescent="0.3">
      <c r="A232" s="266" t="s">
        <v>217</v>
      </c>
      <c r="B232" s="399" t="s">
        <v>215</v>
      </c>
      <c r="C232" s="399"/>
      <c r="D232" s="399"/>
      <c r="E232" s="399"/>
      <c r="F232" s="399"/>
      <c r="G232" s="399"/>
      <c r="H232" s="267">
        <f>SUM(H233:H234)</f>
        <v>1496.55</v>
      </c>
    </row>
    <row r="233" spans="1:8" ht="20.399999999999999" x14ac:dyDescent="0.3">
      <c r="A233" s="268" t="s">
        <v>218</v>
      </c>
      <c r="B233" s="261">
        <v>95878</v>
      </c>
      <c r="C233" s="273" t="s">
        <v>278</v>
      </c>
      <c r="D233" s="274" t="s">
        <v>216</v>
      </c>
      <c r="E233" s="270">
        <f>MC!C656</f>
        <v>571.54</v>
      </c>
      <c r="F233" s="270">
        <f>F62</f>
        <v>1.63</v>
      </c>
      <c r="G233" s="270">
        <f>G62</f>
        <v>2.08</v>
      </c>
      <c r="H233" s="271">
        <f>ROUND(E233*G233,2)</f>
        <v>1188.8</v>
      </c>
    </row>
    <row r="234" spans="1:8" ht="30.6" x14ac:dyDescent="0.3">
      <c r="A234" s="268" t="s">
        <v>277</v>
      </c>
      <c r="B234" s="261">
        <v>93596</v>
      </c>
      <c r="C234" s="273" t="s">
        <v>279</v>
      </c>
      <c r="D234" s="274" t="s">
        <v>216</v>
      </c>
      <c r="E234" s="270">
        <f>MC!C664</f>
        <v>375.31</v>
      </c>
      <c r="F234" s="270">
        <f>F63</f>
        <v>0.64</v>
      </c>
      <c r="G234" s="270">
        <f>G63</f>
        <v>0.82</v>
      </c>
      <c r="H234" s="271">
        <f>ROUND(E234*G234,2)</f>
        <v>307.75</v>
      </c>
    </row>
    <row r="235" spans="1:8" x14ac:dyDescent="0.3">
      <c r="A235" s="398"/>
      <c r="B235" s="398"/>
      <c r="C235" s="398"/>
      <c r="D235" s="398"/>
      <c r="E235" s="398"/>
      <c r="F235" s="398"/>
      <c r="G235" s="398"/>
      <c r="H235" s="398"/>
    </row>
    <row r="236" spans="1:8" x14ac:dyDescent="0.3">
      <c r="A236" s="266" t="s">
        <v>254</v>
      </c>
      <c r="B236" s="399" t="s">
        <v>255</v>
      </c>
      <c r="C236" s="399"/>
      <c r="D236" s="399"/>
      <c r="E236" s="399"/>
      <c r="F236" s="399"/>
      <c r="G236" s="399"/>
      <c r="H236" s="267">
        <f>SUM(H237:H238)</f>
        <v>1361.1100000000001</v>
      </c>
    </row>
    <row r="237" spans="1:8" ht="20.399999999999999" x14ac:dyDescent="0.3">
      <c r="A237" s="268" t="s">
        <v>256</v>
      </c>
      <c r="B237" s="261" t="s">
        <v>273</v>
      </c>
      <c r="C237" s="273" t="s">
        <v>259</v>
      </c>
      <c r="D237" s="274" t="s">
        <v>15</v>
      </c>
      <c r="E237" s="270">
        <f>MC!C669</f>
        <v>0.23</v>
      </c>
      <c r="F237" s="270">
        <f>F66</f>
        <v>978.79</v>
      </c>
      <c r="G237" s="270">
        <f>G66</f>
        <v>1254.22</v>
      </c>
      <c r="H237" s="271">
        <f>ROUND(E237*G237,2)</f>
        <v>288.47000000000003</v>
      </c>
    </row>
    <row r="238" spans="1:8" ht="30.6" x14ac:dyDescent="0.3">
      <c r="A238" s="268" t="s">
        <v>256</v>
      </c>
      <c r="B238" s="261" t="s">
        <v>275</v>
      </c>
      <c r="C238" s="273" t="s">
        <v>276</v>
      </c>
      <c r="D238" s="274" t="s">
        <v>176</v>
      </c>
      <c r="E238" s="270">
        <f>MC!C673</f>
        <v>2</v>
      </c>
      <c r="F238" s="270">
        <f>F67</f>
        <v>418.55</v>
      </c>
      <c r="G238" s="270">
        <f>G67</f>
        <v>536.32000000000005</v>
      </c>
      <c r="H238" s="271">
        <f>ROUND(E238*G238,2)</f>
        <v>1072.6400000000001</v>
      </c>
    </row>
    <row r="239" spans="1:8" x14ac:dyDescent="0.3">
      <c r="A239" s="466"/>
      <c r="B239" s="466"/>
      <c r="C239" s="466"/>
      <c r="D239" s="466"/>
      <c r="E239" s="466"/>
      <c r="F239" s="466"/>
      <c r="G239" s="466"/>
      <c r="H239" s="466"/>
    </row>
    <row r="240" spans="1:8" x14ac:dyDescent="0.3">
      <c r="A240" s="400" t="str">
        <f>MC!B675</f>
        <v xml:space="preserve">RUA PACAJÚ </v>
      </c>
      <c r="B240" s="400"/>
      <c r="C240" s="400"/>
      <c r="D240" s="400"/>
      <c r="E240" s="400"/>
      <c r="F240" s="400"/>
      <c r="G240" s="400"/>
      <c r="H240" s="272">
        <f>SUM(H241,H244,H247,H251,H255)</f>
        <v>217930.15999999997</v>
      </c>
    </row>
    <row r="241" spans="1:8" x14ac:dyDescent="0.3">
      <c r="A241" s="266" t="s">
        <v>32</v>
      </c>
      <c r="B241" s="399" t="s">
        <v>165</v>
      </c>
      <c r="C241" s="399"/>
      <c r="D241" s="399"/>
      <c r="E241" s="399"/>
      <c r="F241" s="399"/>
      <c r="G241" s="399"/>
      <c r="H241" s="267">
        <f>H242</f>
        <v>3767.61</v>
      </c>
    </row>
    <row r="242" spans="1:8" x14ac:dyDescent="0.3">
      <c r="A242" s="268" t="s">
        <v>34</v>
      </c>
      <c r="B242" s="261">
        <v>100575</v>
      </c>
      <c r="C242" s="273" t="s">
        <v>166</v>
      </c>
      <c r="D242" s="274" t="s">
        <v>15</v>
      </c>
      <c r="E242" s="270">
        <f>MC!C684</f>
        <v>1617</v>
      </c>
      <c r="F242" s="270">
        <f>F71</f>
        <v>1.82</v>
      </c>
      <c r="G242" s="270">
        <f>G71</f>
        <v>2.33</v>
      </c>
      <c r="H242" s="271">
        <f>ROUND(E242*G242,2)</f>
        <v>3767.61</v>
      </c>
    </row>
    <row r="243" spans="1:8" x14ac:dyDescent="0.3">
      <c r="A243" s="398"/>
      <c r="B243" s="398"/>
      <c r="C243" s="398"/>
      <c r="D243" s="398"/>
      <c r="E243" s="398"/>
      <c r="F243" s="398"/>
      <c r="G243" s="398"/>
      <c r="H243" s="398"/>
    </row>
    <row r="244" spans="1:8" x14ac:dyDescent="0.3">
      <c r="A244" s="266" t="s">
        <v>167</v>
      </c>
      <c r="B244" s="399" t="s">
        <v>168</v>
      </c>
      <c r="C244" s="399"/>
      <c r="D244" s="399"/>
      <c r="E244" s="399"/>
      <c r="F244" s="399"/>
      <c r="G244" s="399"/>
      <c r="H244" s="267">
        <f>SUM(H245:H245)</f>
        <v>155118.81</v>
      </c>
    </row>
    <row r="245" spans="1:8" ht="20.399999999999999" x14ac:dyDescent="0.3">
      <c r="A245" s="268" t="s">
        <v>169</v>
      </c>
      <c r="B245" s="261" t="s">
        <v>252</v>
      </c>
      <c r="C245" s="273" t="s">
        <v>253</v>
      </c>
      <c r="D245" s="274" t="s">
        <v>15</v>
      </c>
      <c r="E245" s="270">
        <f>MC!C690</f>
        <v>1617</v>
      </c>
      <c r="F245" s="270">
        <f>F74</f>
        <v>74.87</v>
      </c>
      <c r="G245" s="270">
        <f>G74</f>
        <v>95.93</v>
      </c>
      <c r="H245" s="271">
        <f>ROUND(E245*G245,2)</f>
        <v>155118.81</v>
      </c>
    </row>
    <row r="246" spans="1:8" x14ac:dyDescent="0.3">
      <c r="A246" s="398"/>
      <c r="B246" s="398"/>
      <c r="C246" s="398"/>
      <c r="D246" s="398"/>
      <c r="E246" s="398"/>
      <c r="F246" s="398"/>
      <c r="G246" s="398"/>
      <c r="H246" s="398"/>
    </row>
    <row r="247" spans="1:8" x14ac:dyDescent="0.3">
      <c r="A247" s="266" t="s">
        <v>170</v>
      </c>
      <c r="B247" s="399" t="s">
        <v>171</v>
      </c>
      <c r="C247" s="399"/>
      <c r="D247" s="399"/>
      <c r="E247" s="399"/>
      <c r="F247" s="399"/>
      <c r="G247" s="399"/>
      <c r="H247" s="267">
        <f>SUM(H248:H249)</f>
        <v>37516.639999999999</v>
      </c>
    </row>
    <row r="248" spans="1:8" ht="30.6" x14ac:dyDescent="0.3">
      <c r="A248" s="268" t="s">
        <v>172</v>
      </c>
      <c r="B248" s="261">
        <v>94273</v>
      </c>
      <c r="C248" s="273" t="s">
        <v>173</v>
      </c>
      <c r="D248" s="274" t="s">
        <v>174</v>
      </c>
      <c r="E248" s="270">
        <f>MC!C697</f>
        <v>476</v>
      </c>
      <c r="F248" s="270">
        <f>F77</f>
        <v>40.56</v>
      </c>
      <c r="G248" s="270">
        <f>G77</f>
        <v>51.97</v>
      </c>
      <c r="H248" s="271">
        <f>ROUND(E248*G248,2)</f>
        <v>24737.72</v>
      </c>
    </row>
    <row r="249" spans="1:8" ht="20.399999999999999" x14ac:dyDescent="0.3">
      <c r="A249" s="268" t="s">
        <v>175</v>
      </c>
      <c r="B249" s="261" t="s">
        <v>257</v>
      </c>
      <c r="C249" s="273" t="s">
        <v>258</v>
      </c>
      <c r="D249" s="274" t="s">
        <v>174</v>
      </c>
      <c r="E249" s="270">
        <f>MC!C702</f>
        <v>462</v>
      </c>
      <c r="F249" s="270">
        <f>F78</f>
        <v>21.59</v>
      </c>
      <c r="G249" s="270">
        <f>G78</f>
        <v>27.66</v>
      </c>
      <c r="H249" s="271">
        <f>ROUND(E249*G249,2)</f>
        <v>12778.92</v>
      </c>
    </row>
    <row r="250" spans="1:8" x14ac:dyDescent="0.3">
      <c r="A250" s="398"/>
      <c r="B250" s="398"/>
      <c r="C250" s="398"/>
      <c r="D250" s="398"/>
      <c r="E250" s="398"/>
      <c r="F250" s="398"/>
      <c r="G250" s="398"/>
      <c r="H250" s="398"/>
    </row>
    <row r="251" spans="1:8" x14ac:dyDescent="0.3">
      <c r="A251" s="266" t="s">
        <v>217</v>
      </c>
      <c r="B251" s="399" t="s">
        <v>215</v>
      </c>
      <c r="C251" s="399"/>
      <c r="D251" s="399"/>
      <c r="E251" s="399"/>
      <c r="F251" s="399"/>
      <c r="G251" s="399"/>
      <c r="H251" s="267">
        <f>SUM(H252:H253)</f>
        <v>20165.990000000002</v>
      </c>
    </row>
    <row r="252" spans="1:8" ht="20.399999999999999" x14ac:dyDescent="0.3">
      <c r="A252" s="268" t="s">
        <v>218</v>
      </c>
      <c r="B252" s="261">
        <v>95878</v>
      </c>
      <c r="C252" s="273" t="s">
        <v>278</v>
      </c>
      <c r="D252" s="274" t="s">
        <v>216</v>
      </c>
      <c r="E252" s="270">
        <f>MC!C711</f>
        <v>7701.45</v>
      </c>
      <c r="F252" s="270">
        <f>F81</f>
        <v>1.63</v>
      </c>
      <c r="G252" s="270">
        <f>G81</f>
        <v>2.08</v>
      </c>
      <c r="H252" s="271">
        <f>ROUND(E252*G252,2)</f>
        <v>16019.02</v>
      </c>
    </row>
    <row r="253" spans="1:8" ht="30.6" x14ac:dyDescent="0.3">
      <c r="A253" s="268" t="s">
        <v>277</v>
      </c>
      <c r="B253" s="261">
        <v>93596</v>
      </c>
      <c r="C253" s="273" t="s">
        <v>279</v>
      </c>
      <c r="D253" s="274" t="s">
        <v>216</v>
      </c>
      <c r="E253" s="270">
        <f>MC!C719</f>
        <v>5057.28</v>
      </c>
      <c r="F253" s="270">
        <f>F82</f>
        <v>0.64</v>
      </c>
      <c r="G253" s="270">
        <f>G82</f>
        <v>0.82</v>
      </c>
      <c r="H253" s="271">
        <f>ROUND(E253*G253,2)</f>
        <v>4146.97</v>
      </c>
    </row>
    <row r="254" spans="1:8" x14ac:dyDescent="0.3">
      <c r="A254" s="398"/>
      <c r="B254" s="398"/>
      <c r="C254" s="398"/>
      <c r="D254" s="398"/>
      <c r="E254" s="398"/>
      <c r="F254" s="398"/>
      <c r="G254" s="398"/>
      <c r="H254" s="398"/>
    </row>
    <row r="255" spans="1:8" x14ac:dyDescent="0.3">
      <c r="A255" s="266" t="s">
        <v>254</v>
      </c>
      <c r="B255" s="399" t="s">
        <v>255</v>
      </c>
      <c r="C255" s="399"/>
      <c r="D255" s="399"/>
      <c r="E255" s="399"/>
      <c r="F255" s="399"/>
      <c r="G255" s="399"/>
      <c r="H255" s="267">
        <f>SUM(H256:H257)</f>
        <v>1361.1100000000001</v>
      </c>
    </row>
    <row r="256" spans="1:8" ht="20.399999999999999" x14ac:dyDescent="0.3">
      <c r="A256" s="268" t="s">
        <v>256</v>
      </c>
      <c r="B256" s="261" t="s">
        <v>273</v>
      </c>
      <c r="C256" s="273" t="s">
        <v>259</v>
      </c>
      <c r="D256" s="274" t="s">
        <v>15</v>
      </c>
      <c r="E256" s="270">
        <f>MC!C724</f>
        <v>0.23</v>
      </c>
      <c r="F256" s="270">
        <f>F85</f>
        <v>978.79</v>
      </c>
      <c r="G256" s="270">
        <f>G85</f>
        <v>1254.22</v>
      </c>
      <c r="H256" s="271">
        <f>ROUND(E256*G256,2)</f>
        <v>288.47000000000003</v>
      </c>
    </row>
    <row r="257" spans="1:8" ht="30.6" x14ac:dyDescent="0.3">
      <c r="A257" s="268" t="s">
        <v>256</v>
      </c>
      <c r="B257" s="261" t="s">
        <v>275</v>
      </c>
      <c r="C257" s="273" t="s">
        <v>276</v>
      </c>
      <c r="D257" s="274" t="s">
        <v>176</v>
      </c>
      <c r="E257" s="270">
        <f>MC!C728</f>
        <v>2</v>
      </c>
      <c r="F257" s="270">
        <f>F86</f>
        <v>418.55</v>
      </c>
      <c r="G257" s="270">
        <f>G86</f>
        <v>536.32000000000005</v>
      </c>
      <c r="H257" s="271">
        <f>ROUND(E257*G257,2)</f>
        <v>1072.6400000000001</v>
      </c>
    </row>
    <row r="258" spans="1:8" x14ac:dyDescent="0.3">
      <c r="A258" s="466"/>
      <c r="B258" s="466"/>
      <c r="C258" s="466"/>
      <c r="D258" s="466"/>
      <c r="E258" s="466"/>
      <c r="F258" s="466"/>
      <c r="G258" s="466"/>
      <c r="H258" s="466"/>
    </row>
    <row r="259" spans="1:8" x14ac:dyDescent="0.3">
      <c r="A259" s="400" t="str">
        <f>MC!B730</f>
        <v>RUA 07 DE ABRIL</v>
      </c>
      <c r="B259" s="400"/>
      <c r="C259" s="400"/>
      <c r="D259" s="400"/>
      <c r="E259" s="400"/>
      <c r="F259" s="400"/>
      <c r="G259" s="400"/>
      <c r="H259" s="272">
        <f>SUM(H260,H263,H266,H270,H274)</f>
        <v>105764.31999999999</v>
      </c>
    </row>
    <row r="260" spans="1:8" x14ac:dyDescent="0.3">
      <c r="A260" s="266" t="s">
        <v>32</v>
      </c>
      <c r="B260" s="399" t="s">
        <v>165</v>
      </c>
      <c r="C260" s="399"/>
      <c r="D260" s="399"/>
      <c r="E260" s="399"/>
      <c r="F260" s="399"/>
      <c r="G260" s="399"/>
      <c r="H260" s="267">
        <f>H261</f>
        <v>1761.48</v>
      </c>
    </row>
    <row r="261" spans="1:8" x14ac:dyDescent="0.3">
      <c r="A261" s="268" t="s">
        <v>34</v>
      </c>
      <c r="B261" s="261">
        <v>100575</v>
      </c>
      <c r="C261" s="273" t="s">
        <v>166</v>
      </c>
      <c r="D261" s="274" t="s">
        <v>15</v>
      </c>
      <c r="E261" s="270">
        <f>MC!C739</f>
        <v>756</v>
      </c>
      <c r="F261" s="270">
        <f>F90</f>
        <v>1.82</v>
      </c>
      <c r="G261" s="270">
        <f>G90</f>
        <v>2.33</v>
      </c>
      <c r="H261" s="271">
        <f>ROUND(E261*G261,2)</f>
        <v>1761.48</v>
      </c>
    </row>
    <row r="262" spans="1:8" x14ac:dyDescent="0.3">
      <c r="A262" s="398"/>
      <c r="B262" s="398"/>
      <c r="C262" s="398"/>
      <c r="D262" s="398"/>
      <c r="E262" s="398"/>
      <c r="F262" s="398"/>
      <c r="G262" s="398"/>
      <c r="H262" s="398"/>
    </row>
    <row r="263" spans="1:8" x14ac:dyDescent="0.3">
      <c r="A263" s="266" t="s">
        <v>167</v>
      </c>
      <c r="B263" s="399" t="s">
        <v>168</v>
      </c>
      <c r="C263" s="399"/>
      <c r="D263" s="399"/>
      <c r="E263" s="399"/>
      <c r="F263" s="399"/>
      <c r="G263" s="399"/>
      <c r="H263" s="267">
        <f>SUM(H264:H264)</f>
        <v>72523.08</v>
      </c>
    </row>
    <row r="264" spans="1:8" ht="20.399999999999999" x14ac:dyDescent="0.3">
      <c r="A264" s="268" t="s">
        <v>169</v>
      </c>
      <c r="B264" s="261" t="s">
        <v>252</v>
      </c>
      <c r="C264" s="273" t="s">
        <v>253</v>
      </c>
      <c r="D264" s="274" t="s">
        <v>15</v>
      </c>
      <c r="E264" s="270">
        <f>MC!C745</f>
        <v>756</v>
      </c>
      <c r="F264" s="270">
        <f>F93</f>
        <v>74.87</v>
      </c>
      <c r="G264" s="270">
        <f>G93</f>
        <v>95.93</v>
      </c>
      <c r="H264" s="271">
        <f>ROUND(E264*G264,2)</f>
        <v>72523.08</v>
      </c>
    </row>
    <row r="265" spans="1:8" x14ac:dyDescent="0.3">
      <c r="A265" s="398"/>
      <c r="B265" s="398"/>
      <c r="C265" s="398"/>
      <c r="D265" s="398"/>
      <c r="E265" s="398"/>
      <c r="F265" s="398"/>
      <c r="G265" s="398"/>
      <c r="H265" s="398"/>
    </row>
    <row r="266" spans="1:8" x14ac:dyDescent="0.3">
      <c r="A266" s="266" t="s">
        <v>170</v>
      </c>
      <c r="B266" s="399" t="s">
        <v>171</v>
      </c>
      <c r="C266" s="399"/>
      <c r="D266" s="399"/>
      <c r="E266" s="399"/>
      <c r="F266" s="399"/>
      <c r="G266" s="399"/>
      <c r="H266" s="267">
        <f>SUM(H267:H268)</f>
        <v>20690.400000000001</v>
      </c>
    </row>
    <row r="267" spans="1:8" ht="30.6" x14ac:dyDescent="0.3">
      <c r="A267" s="268" t="s">
        <v>172</v>
      </c>
      <c r="B267" s="261">
        <v>94273</v>
      </c>
      <c r="C267" s="273" t="s">
        <v>173</v>
      </c>
      <c r="D267" s="274" t="s">
        <v>174</v>
      </c>
      <c r="E267" s="270">
        <f>MC!C752</f>
        <v>264</v>
      </c>
      <c r="F267" s="270">
        <f>F96</f>
        <v>40.56</v>
      </c>
      <c r="G267" s="270">
        <f>G96</f>
        <v>51.97</v>
      </c>
      <c r="H267" s="271">
        <f>ROUND(E267*G267,2)</f>
        <v>13720.08</v>
      </c>
    </row>
    <row r="268" spans="1:8" ht="20.399999999999999" x14ac:dyDescent="0.3">
      <c r="A268" s="268" t="s">
        <v>175</v>
      </c>
      <c r="B268" s="261" t="s">
        <v>257</v>
      </c>
      <c r="C268" s="273" t="s">
        <v>258</v>
      </c>
      <c r="D268" s="274" t="s">
        <v>174</v>
      </c>
      <c r="E268" s="270">
        <f>MC!C757</f>
        <v>252</v>
      </c>
      <c r="F268" s="270">
        <f>F97</f>
        <v>21.59</v>
      </c>
      <c r="G268" s="270">
        <f>G97</f>
        <v>27.66</v>
      </c>
      <c r="H268" s="271">
        <f>ROUND(E268*G268,2)</f>
        <v>6970.32</v>
      </c>
    </row>
    <row r="269" spans="1:8" x14ac:dyDescent="0.3">
      <c r="A269" s="398"/>
      <c r="B269" s="398"/>
      <c r="C269" s="398"/>
      <c r="D269" s="398"/>
      <c r="E269" s="398"/>
      <c r="F269" s="398"/>
      <c r="G269" s="398"/>
      <c r="H269" s="398"/>
    </row>
    <row r="270" spans="1:8" x14ac:dyDescent="0.3">
      <c r="A270" s="266" t="s">
        <v>217</v>
      </c>
      <c r="B270" s="399" t="s">
        <v>215</v>
      </c>
      <c r="C270" s="399"/>
      <c r="D270" s="399"/>
      <c r="E270" s="399"/>
      <c r="F270" s="399"/>
      <c r="G270" s="399"/>
      <c r="H270" s="267">
        <f>SUM(H271:H272)</f>
        <v>9428.25</v>
      </c>
    </row>
    <row r="271" spans="1:8" ht="20.399999999999999" x14ac:dyDescent="0.3">
      <c r="A271" s="268" t="s">
        <v>218</v>
      </c>
      <c r="B271" s="261">
        <v>95878</v>
      </c>
      <c r="C271" s="273" t="s">
        <v>278</v>
      </c>
      <c r="D271" s="274" t="s">
        <v>216</v>
      </c>
      <c r="E271" s="270">
        <f>MC!C766</f>
        <v>3600.68</v>
      </c>
      <c r="F271" s="270">
        <f>F100</f>
        <v>1.63</v>
      </c>
      <c r="G271" s="270">
        <f>G100</f>
        <v>2.08</v>
      </c>
      <c r="H271" s="271">
        <f>ROUND(E271*G271,2)</f>
        <v>7489.41</v>
      </c>
    </row>
    <row r="272" spans="1:8" ht="30.6" x14ac:dyDescent="0.3">
      <c r="A272" s="268" t="s">
        <v>277</v>
      </c>
      <c r="B272" s="261">
        <v>93596</v>
      </c>
      <c r="C272" s="273" t="s">
        <v>279</v>
      </c>
      <c r="D272" s="274" t="s">
        <v>216</v>
      </c>
      <c r="E272" s="270">
        <f>MC!C774</f>
        <v>2364.44</v>
      </c>
      <c r="F272" s="270">
        <f>F101</f>
        <v>0.64</v>
      </c>
      <c r="G272" s="270">
        <f>G101</f>
        <v>0.82</v>
      </c>
      <c r="H272" s="271">
        <f>ROUND(E272*G272,2)</f>
        <v>1938.84</v>
      </c>
    </row>
    <row r="273" spans="1:8" x14ac:dyDescent="0.3">
      <c r="A273" s="398"/>
      <c r="B273" s="398"/>
      <c r="C273" s="398"/>
      <c r="D273" s="398"/>
      <c r="E273" s="398"/>
      <c r="F273" s="398"/>
      <c r="G273" s="398"/>
      <c r="H273" s="398"/>
    </row>
    <row r="274" spans="1:8" x14ac:dyDescent="0.3">
      <c r="A274" s="266" t="s">
        <v>254</v>
      </c>
      <c r="B274" s="399" t="s">
        <v>255</v>
      </c>
      <c r="C274" s="399"/>
      <c r="D274" s="399"/>
      <c r="E274" s="399"/>
      <c r="F274" s="399"/>
      <c r="G274" s="399"/>
      <c r="H274" s="267">
        <f>SUM(H275:H276)</f>
        <v>1361.1100000000001</v>
      </c>
    </row>
    <row r="275" spans="1:8" ht="20.399999999999999" x14ac:dyDescent="0.3">
      <c r="A275" s="268" t="s">
        <v>256</v>
      </c>
      <c r="B275" s="261" t="s">
        <v>273</v>
      </c>
      <c r="C275" s="273" t="s">
        <v>259</v>
      </c>
      <c r="D275" s="274" t="s">
        <v>15</v>
      </c>
      <c r="E275" s="270">
        <f>MC!C779</f>
        <v>0.23</v>
      </c>
      <c r="F275" s="270">
        <f>F104</f>
        <v>978.79</v>
      </c>
      <c r="G275" s="270">
        <f>G104</f>
        <v>1254.22</v>
      </c>
      <c r="H275" s="271">
        <f>ROUND(E275*G275,2)</f>
        <v>288.47000000000003</v>
      </c>
    </row>
    <row r="276" spans="1:8" ht="30.6" x14ac:dyDescent="0.3">
      <c r="A276" s="268" t="s">
        <v>256</v>
      </c>
      <c r="B276" s="261" t="s">
        <v>275</v>
      </c>
      <c r="C276" s="273" t="s">
        <v>276</v>
      </c>
      <c r="D276" s="274" t="s">
        <v>176</v>
      </c>
      <c r="E276" s="270">
        <f>MC!C783</f>
        <v>2</v>
      </c>
      <c r="F276" s="270">
        <f>F105</f>
        <v>418.55</v>
      </c>
      <c r="G276" s="270">
        <f>G105</f>
        <v>536.32000000000005</v>
      </c>
      <c r="H276" s="271">
        <f>ROUND(E276*G276,2)</f>
        <v>1072.6400000000001</v>
      </c>
    </row>
  </sheetData>
  <mergeCells count="167">
    <mergeCell ref="A269:H269"/>
    <mergeCell ref="B270:G270"/>
    <mergeCell ref="A273:H273"/>
    <mergeCell ref="B274:G274"/>
    <mergeCell ref="A258:H258"/>
    <mergeCell ref="A239:H239"/>
    <mergeCell ref="A220:H220"/>
    <mergeCell ref="A201:H201"/>
    <mergeCell ref="B251:G251"/>
    <mergeCell ref="A254:H254"/>
    <mergeCell ref="B255:G255"/>
    <mergeCell ref="A259:G259"/>
    <mergeCell ref="B260:G260"/>
    <mergeCell ref="A262:H262"/>
    <mergeCell ref="B263:G263"/>
    <mergeCell ref="A265:H265"/>
    <mergeCell ref="B266:G266"/>
    <mergeCell ref="A235:H235"/>
    <mergeCell ref="B236:G236"/>
    <mergeCell ref="A240:G240"/>
    <mergeCell ref="B241:G241"/>
    <mergeCell ref="A243:H243"/>
    <mergeCell ref="B244:G244"/>
    <mergeCell ref="A246:H246"/>
    <mergeCell ref="B247:G247"/>
    <mergeCell ref="A250:H250"/>
    <mergeCell ref="B217:G217"/>
    <mergeCell ref="A221:G221"/>
    <mergeCell ref="B222:G222"/>
    <mergeCell ref="A224:H224"/>
    <mergeCell ref="B225:G225"/>
    <mergeCell ref="A227:H227"/>
    <mergeCell ref="B228:G228"/>
    <mergeCell ref="A231:H231"/>
    <mergeCell ref="B232:G232"/>
    <mergeCell ref="A202:G202"/>
    <mergeCell ref="B203:G203"/>
    <mergeCell ref="A205:H205"/>
    <mergeCell ref="B206:G206"/>
    <mergeCell ref="A208:H208"/>
    <mergeCell ref="B209:G209"/>
    <mergeCell ref="A212:H212"/>
    <mergeCell ref="B213:G213"/>
    <mergeCell ref="A216:H216"/>
    <mergeCell ref="A1:H2"/>
    <mergeCell ref="A3:E3"/>
    <mergeCell ref="F3:F4"/>
    <mergeCell ref="G3:G4"/>
    <mergeCell ref="H3:H4"/>
    <mergeCell ref="D4:E4"/>
    <mergeCell ref="B8:G8"/>
    <mergeCell ref="A11:H11"/>
    <mergeCell ref="A12:G12"/>
    <mergeCell ref="B13:G13"/>
    <mergeCell ref="A15:H15"/>
    <mergeCell ref="B16:G16"/>
    <mergeCell ref="A6:A7"/>
    <mergeCell ref="B6:B7"/>
    <mergeCell ref="C6:C7"/>
    <mergeCell ref="D6:D7"/>
    <mergeCell ref="E6:E7"/>
    <mergeCell ref="F6:H6"/>
    <mergeCell ref="A30:H30"/>
    <mergeCell ref="A31:G31"/>
    <mergeCell ref="B32:G32"/>
    <mergeCell ref="A34:H34"/>
    <mergeCell ref="B35:G35"/>
    <mergeCell ref="A37:H37"/>
    <mergeCell ref="A18:H18"/>
    <mergeCell ref="B19:G19"/>
    <mergeCell ref="A22:H22"/>
    <mergeCell ref="B23:G23"/>
    <mergeCell ref="A26:H26"/>
    <mergeCell ref="B27:G27"/>
    <mergeCell ref="A50:G50"/>
    <mergeCell ref="B51:G51"/>
    <mergeCell ref="A53:H53"/>
    <mergeCell ref="B54:G54"/>
    <mergeCell ref="A56:H56"/>
    <mergeCell ref="B57:G57"/>
    <mergeCell ref="B38:G38"/>
    <mergeCell ref="A41:H41"/>
    <mergeCell ref="B42:G42"/>
    <mergeCell ref="A45:H45"/>
    <mergeCell ref="B46:G46"/>
    <mergeCell ref="A49:H49"/>
    <mergeCell ref="B70:G70"/>
    <mergeCell ref="A72:H72"/>
    <mergeCell ref="B73:G73"/>
    <mergeCell ref="A75:H75"/>
    <mergeCell ref="B76:G76"/>
    <mergeCell ref="A79:H79"/>
    <mergeCell ref="A60:H60"/>
    <mergeCell ref="B61:G61"/>
    <mergeCell ref="A64:H64"/>
    <mergeCell ref="B65:G65"/>
    <mergeCell ref="A68:H68"/>
    <mergeCell ref="A69:G69"/>
    <mergeCell ref="A91:H91"/>
    <mergeCell ref="B92:G92"/>
    <mergeCell ref="A94:H94"/>
    <mergeCell ref="B95:G95"/>
    <mergeCell ref="A98:H98"/>
    <mergeCell ref="B99:G99"/>
    <mergeCell ref="B80:G80"/>
    <mergeCell ref="A83:H83"/>
    <mergeCell ref="B84:G84"/>
    <mergeCell ref="A87:H87"/>
    <mergeCell ref="A88:G88"/>
    <mergeCell ref="B89:G89"/>
    <mergeCell ref="B111:G111"/>
    <mergeCell ref="A113:H113"/>
    <mergeCell ref="B114:G114"/>
    <mergeCell ref="A117:H117"/>
    <mergeCell ref="B118:G118"/>
    <mergeCell ref="A121:H121"/>
    <mergeCell ref="A102:H102"/>
    <mergeCell ref="B103:G103"/>
    <mergeCell ref="A106:H106"/>
    <mergeCell ref="A107:G107"/>
    <mergeCell ref="B108:G108"/>
    <mergeCell ref="A110:H110"/>
    <mergeCell ref="A132:H132"/>
    <mergeCell ref="B133:G133"/>
    <mergeCell ref="A136:H136"/>
    <mergeCell ref="B137:G137"/>
    <mergeCell ref="A140:H140"/>
    <mergeCell ref="B141:G141"/>
    <mergeCell ref="B122:G122"/>
    <mergeCell ref="A125:H125"/>
    <mergeCell ref="A126:G126"/>
    <mergeCell ref="B127:G127"/>
    <mergeCell ref="A129:H129"/>
    <mergeCell ref="B130:G130"/>
    <mergeCell ref="B152:G152"/>
    <mergeCell ref="A155:H155"/>
    <mergeCell ref="B156:G156"/>
    <mergeCell ref="A159:H159"/>
    <mergeCell ref="B160:G160"/>
    <mergeCell ref="A163:H163"/>
    <mergeCell ref="A144:H144"/>
    <mergeCell ref="A145:G145"/>
    <mergeCell ref="B146:G146"/>
    <mergeCell ref="A148:H148"/>
    <mergeCell ref="B149:G149"/>
    <mergeCell ref="A151:H151"/>
    <mergeCell ref="A174:H174"/>
    <mergeCell ref="B175:G175"/>
    <mergeCell ref="A178:H178"/>
    <mergeCell ref="B179:G179"/>
    <mergeCell ref="A182:H182"/>
    <mergeCell ref="A183:G183"/>
    <mergeCell ref="A164:G164"/>
    <mergeCell ref="B165:G165"/>
    <mergeCell ref="A167:H167"/>
    <mergeCell ref="B168:G168"/>
    <mergeCell ref="A170:H170"/>
    <mergeCell ref="B171:G171"/>
    <mergeCell ref="B194:G194"/>
    <mergeCell ref="A197:H197"/>
    <mergeCell ref="B198:G198"/>
    <mergeCell ref="B184:G184"/>
    <mergeCell ref="A186:H186"/>
    <mergeCell ref="B187:G187"/>
    <mergeCell ref="A189:H189"/>
    <mergeCell ref="B190:G190"/>
    <mergeCell ref="A193:H193"/>
  </mergeCells>
  <pageMargins left="0.51181102362204722" right="0.51181102362204722" top="1.7716535433070868" bottom="1.1811023622047245" header="0.51181102362204722" footer="0.51181102362204722"/>
  <pageSetup paperSize="9" scale="66" fitToHeight="0" orientation="portrait" r:id="rId1"/>
  <headerFooter>
    <oddHeader>&amp;C&amp;G</oddHeader>
  </headerFooter>
  <rowBreaks count="6" manualBreakCount="6">
    <brk id="49" max="16383" man="1"/>
    <brk id="87" max="16383" man="1"/>
    <brk id="125" max="16383" man="1"/>
    <brk id="163" max="16383" man="1"/>
    <brk id="201" max="7" man="1"/>
    <brk id="239" max="7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14999847407452621"/>
    <pageSetUpPr fitToPage="1"/>
  </sheetPr>
  <dimension ref="A1:H120"/>
  <sheetViews>
    <sheetView view="pageBreakPreview" zoomScale="90" zoomScaleNormal="100" zoomScaleSheetLayoutView="90" workbookViewId="0">
      <selection activeCell="D26" sqref="D26"/>
    </sheetView>
  </sheetViews>
  <sheetFormatPr defaultRowHeight="14.4" x14ac:dyDescent="0.3"/>
  <cols>
    <col min="1" max="1" width="22.88671875" style="15" customWidth="1"/>
    <col min="2" max="2" width="16.5546875" style="15" customWidth="1"/>
    <col min="3" max="3" width="9.44140625" customWidth="1"/>
    <col min="4" max="4" width="59.109375" customWidth="1"/>
    <col min="5" max="5" width="13.5546875" customWidth="1"/>
    <col min="6" max="6" width="17.33203125" bestFit="1" customWidth="1"/>
    <col min="7" max="7" width="9.109375" customWidth="1"/>
    <col min="8" max="8" width="10" customWidth="1"/>
  </cols>
  <sheetData>
    <row r="1" spans="1:8" x14ac:dyDescent="0.3">
      <c r="A1" s="412" t="s">
        <v>186</v>
      </c>
      <c r="B1" s="412"/>
      <c r="C1" s="412"/>
      <c r="D1" s="412"/>
      <c r="E1" s="412"/>
      <c r="F1" s="412"/>
      <c r="G1" s="412"/>
      <c r="H1" s="412"/>
    </row>
    <row r="2" spans="1:8" x14ac:dyDescent="0.3">
      <c r="A2" s="412"/>
      <c r="B2" s="412"/>
      <c r="C2" s="412"/>
      <c r="D2" s="412"/>
      <c r="E2" s="412"/>
      <c r="F2" s="412"/>
      <c r="G2" s="412"/>
      <c r="H2" s="412"/>
    </row>
    <row r="3" spans="1:8" ht="23.25" customHeight="1" x14ac:dyDescent="0.3">
      <c r="A3" s="414" t="str">
        <f>'ORÇAMENTO SD'!A3:E3</f>
        <v>PAVIMENTAÇÃO DE VIAS PÚBLICAS NO MUNÍCIO DE JOSÉ DE FREITAS - PI</v>
      </c>
      <c r="B3" s="414"/>
      <c r="C3" s="414"/>
      <c r="D3" s="183" t="s">
        <v>187</v>
      </c>
      <c r="E3" s="211">
        <v>0.21959999999999999</v>
      </c>
      <c r="F3" s="413" t="str">
        <f>'ORÇAMENTO SD'!F3:F4</f>
        <v>FONTE:  
SINAPI 05/2025</v>
      </c>
      <c r="G3" s="413"/>
      <c r="H3" s="413"/>
    </row>
    <row r="4" spans="1:8" ht="25.5" customHeight="1" x14ac:dyDescent="0.3">
      <c r="A4" s="212" t="str">
        <f>'ORÇAMENTO SD'!A4</f>
        <v>LOCAL: DIVERSAS</v>
      </c>
      <c r="B4" s="212"/>
      <c r="C4" s="212"/>
      <c r="D4" s="415" t="s">
        <v>9</v>
      </c>
      <c r="E4" s="415"/>
      <c r="F4" s="413"/>
      <c r="G4" s="413"/>
      <c r="H4" s="413"/>
    </row>
    <row r="5" spans="1:8" x14ac:dyDescent="0.3">
      <c r="A5" s="213"/>
      <c r="B5" s="213"/>
      <c r="C5" s="213"/>
      <c r="D5" s="213"/>
      <c r="E5" s="213"/>
      <c r="F5" s="214"/>
      <c r="G5" s="213"/>
      <c r="H5" s="215"/>
    </row>
    <row r="6" spans="1:8" ht="27.6" x14ac:dyDescent="0.3">
      <c r="A6" s="217" t="s">
        <v>333</v>
      </c>
      <c r="B6" s="218" t="s">
        <v>188</v>
      </c>
      <c r="C6" s="217" t="s">
        <v>228</v>
      </c>
      <c r="D6" s="217" t="s">
        <v>189</v>
      </c>
      <c r="E6" s="219" t="s">
        <v>229</v>
      </c>
      <c r="F6" s="218" t="s">
        <v>230</v>
      </c>
      <c r="G6" s="218" t="s">
        <v>231</v>
      </c>
      <c r="H6" s="218" t="s">
        <v>115</v>
      </c>
    </row>
    <row r="7" spans="1:8" s="115" customFormat="1" ht="39.6" x14ac:dyDescent="0.3">
      <c r="A7" s="190" t="s">
        <v>334</v>
      </c>
      <c r="B7" s="191" t="s">
        <v>260</v>
      </c>
      <c r="C7" s="190" t="s">
        <v>193</v>
      </c>
      <c r="D7" s="190" t="s">
        <v>335</v>
      </c>
      <c r="E7" s="192" t="s">
        <v>15</v>
      </c>
      <c r="F7" s="193">
        <v>1</v>
      </c>
      <c r="G7" s="194">
        <v>461.27</v>
      </c>
      <c r="H7" s="194">
        <v>461.27</v>
      </c>
    </row>
    <row r="8" spans="1:8" ht="15" customHeight="1" x14ac:dyDescent="0.3">
      <c r="A8" s="195" t="s">
        <v>336</v>
      </c>
      <c r="B8" s="196" t="s">
        <v>261</v>
      </c>
      <c r="C8" s="195" t="s">
        <v>193</v>
      </c>
      <c r="D8" s="195" t="s">
        <v>337</v>
      </c>
      <c r="E8" s="197" t="s">
        <v>15</v>
      </c>
      <c r="F8" s="198">
        <v>0.5</v>
      </c>
      <c r="G8" s="199">
        <v>25</v>
      </c>
      <c r="H8" s="199">
        <v>12.5</v>
      </c>
    </row>
    <row r="9" spans="1:8" ht="25.5" customHeight="1" x14ac:dyDescent="0.3">
      <c r="A9" s="195" t="s">
        <v>336</v>
      </c>
      <c r="B9" s="196" t="s">
        <v>194</v>
      </c>
      <c r="C9" s="195" t="s">
        <v>193</v>
      </c>
      <c r="D9" s="195" t="s">
        <v>338</v>
      </c>
      <c r="E9" s="197" t="s">
        <v>195</v>
      </c>
      <c r="F9" s="198">
        <v>0.37290000000000001</v>
      </c>
      <c r="G9" s="199">
        <v>24.77</v>
      </c>
      <c r="H9" s="199">
        <v>9.23</v>
      </c>
    </row>
    <row r="10" spans="1:8" ht="15" customHeight="1" x14ac:dyDescent="0.3">
      <c r="A10" s="195" t="s">
        <v>336</v>
      </c>
      <c r="B10" s="196" t="s">
        <v>196</v>
      </c>
      <c r="C10" s="195" t="s">
        <v>193</v>
      </c>
      <c r="D10" s="195" t="s">
        <v>339</v>
      </c>
      <c r="E10" s="197" t="s">
        <v>195</v>
      </c>
      <c r="F10" s="198">
        <v>1.1186</v>
      </c>
      <c r="G10" s="199">
        <v>20.100000000000001</v>
      </c>
      <c r="H10" s="199">
        <v>22.48</v>
      </c>
    </row>
    <row r="11" spans="1:8" ht="39.6" x14ac:dyDescent="0.3">
      <c r="A11" s="200" t="s">
        <v>340</v>
      </c>
      <c r="B11" s="201" t="s">
        <v>199</v>
      </c>
      <c r="C11" s="200" t="s">
        <v>193</v>
      </c>
      <c r="D11" s="200" t="s">
        <v>341</v>
      </c>
      <c r="E11" s="202" t="s">
        <v>342</v>
      </c>
      <c r="F11" s="203">
        <v>1</v>
      </c>
      <c r="G11" s="204">
        <v>400</v>
      </c>
      <c r="H11" s="204">
        <v>400</v>
      </c>
    </row>
    <row r="12" spans="1:8" ht="26.4" x14ac:dyDescent="0.3">
      <c r="A12" s="200" t="s">
        <v>340</v>
      </c>
      <c r="B12" s="201" t="s">
        <v>262</v>
      </c>
      <c r="C12" s="200" t="s">
        <v>193</v>
      </c>
      <c r="D12" s="200" t="s">
        <v>343</v>
      </c>
      <c r="E12" s="202" t="s">
        <v>198</v>
      </c>
      <c r="F12" s="203">
        <v>3.2082999999999999</v>
      </c>
      <c r="G12" s="204">
        <v>5.0999999999999996</v>
      </c>
      <c r="H12" s="204">
        <v>16.36</v>
      </c>
    </row>
    <row r="13" spans="1:8" x14ac:dyDescent="0.3">
      <c r="A13" s="200" t="s">
        <v>340</v>
      </c>
      <c r="B13" s="201" t="s">
        <v>264</v>
      </c>
      <c r="C13" s="200" t="s">
        <v>193</v>
      </c>
      <c r="D13" s="200" t="s">
        <v>344</v>
      </c>
      <c r="E13" s="202" t="s">
        <v>200</v>
      </c>
      <c r="F13" s="203">
        <v>1.32E-2</v>
      </c>
      <c r="G13" s="204">
        <v>20.74</v>
      </c>
      <c r="H13" s="204">
        <v>0.27</v>
      </c>
    </row>
    <row r="14" spans="1:8" x14ac:dyDescent="0.3">
      <c r="A14" s="200" t="s">
        <v>340</v>
      </c>
      <c r="B14" s="201" t="s">
        <v>263</v>
      </c>
      <c r="C14" s="200" t="s">
        <v>193</v>
      </c>
      <c r="D14" s="200" t="s">
        <v>345</v>
      </c>
      <c r="E14" s="202" t="s">
        <v>200</v>
      </c>
      <c r="F14" s="203">
        <v>1.1299999999999999E-2</v>
      </c>
      <c r="G14" s="204">
        <v>38.700000000000003</v>
      </c>
      <c r="H14" s="204">
        <v>0.43</v>
      </c>
    </row>
    <row r="15" spans="1:8" ht="26.4" x14ac:dyDescent="0.3">
      <c r="A15" s="205"/>
      <c r="B15" s="205"/>
      <c r="C15" s="205"/>
      <c r="D15" s="205"/>
      <c r="E15" s="205" t="s">
        <v>346</v>
      </c>
      <c r="F15" s="206">
        <v>0</v>
      </c>
      <c r="G15" s="205" t="s">
        <v>347</v>
      </c>
      <c r="H15" s="206">
        <v>26.17</v>
      </c>
    </row>
    <row r="16" spans="1:8" ht="25.5" customHeight="1" x14ac:dyDescent="0.3">
      <c r="A16" s="205"/>
      <c r="B16" s="205"/>
      <c r="C16" s="205"/>
      <c r="D16" s="205"/>
      <c r="E16" s="205"/>
      <c r="F16" s="467" t="s">
        <v>348</v>
      </c>
      <c r="G16" s="467"/>
      <c r="H16" s="206">
        <v>591.07000000000005</v>
      </c>
    </row>
    <row r="17" spans="1:8" ht="27" thickBot="1" x14ac:dyDescent="0.35">
      <c r="A17" s="207"/>
      <c r="B17" s="207"/>
      <c r="C17" s="207"/>
      <c r="D17" s="207"/>
      <c r="E17" s="207" t="s">
        <v>349</v>
      </c>
      <c r="F17" s="208" t="s">
        <v>350</v>
      </c>
      <c r="G17" s="207" t="s">
        <v>351</v>
      </c>
      <c r="H17" s="209">
        <v>591.07000000000005</v>
      </c>
    </row>
    <row r="18" spans="1:8" ht="15" thickTop="1" x14ac:dyDescent="0.3">
      <c r="A18" s="210"/>
      <c r="B18" s="210"/>
      <c r="C18" s="210"/>
      <c r="D18" s="210"/>
      <c r="E18" s="210"/>
      <c r="F18" s="210"/>
      <c r="G18" s="210"/>
      <c r="H18" s="210"/>
    </row>
    <row r="19" spans="1:8" ht="27.6" x14ac:dyDescent="0.3">
      <c r="A19" s="187" t="s">
        <v>352</v>
      </c>
      <c r="B19" s="188" t="s">
        <v>188</v>
      </c>
      <c r="C19" s="187" t="s">
        <v>228</v>
      </c>
      <c r="D19" s="187" t="s">
        <v>189</v>
      </c>
      <c r="E19" s="189" t="s">
        <v>229</v>
      </c>
      <c r="F19" s="188" t="s">
        <v>230</v>
      </c>
      <c r="G19" s="188" t="s">
        <v>231</v>
      </c>
      <c r="H19" s="188" t="s">
        <v>115</v>
      </c>
    </row>
    <row r="20" spans="1:8" ht="25.5" customHeight="1" x14ac:dyDescent="0.3">
      <c r="A20" s="190" t="s">
        <v>334</v>
      </c>
      <c r="B20" s="191" t="s">
        <v>353</v>
      </c>
      <c r="C20" s="190" t="s">
        <v>354</v>
      </c>
      <c r="D20" s="190" t="s">
        <v>355</v>
      </c>
      <c r="E20" s="192" t="s">
        <v>38</v>
      </c>
      <c r="F20" s="193">
        <v>1</v>
      </c>
      <c r="G20" s="194">
        <v>6626.4</v>
      </c>
      <c r="H20" s="194">
        <v>6626.4</v>
      </c>
    </row>
    <row r="21" spans="1:8" ht="15" customHeight="1" x14ac:dyDescent="0.3">
      <c r="A21" s="195" t="s">
        <v>336</v>
      </c>
      <c r="B21" s="196" t="s">
        <v>356</v>
      </c>
      <c r="C21" s="195" t="s">
        <v>193</v>
      </c>
      <c r="D21" s="195" t="s">
        <v>357</v>
      </c>
      <c r="E21" s="197" t="s">
        <v>195</v>
      </c>
      <c r="F21" s="198">
        <v>60</v>
      </c>
      <c r="G21" s="199">
        <v>31.93</v>
      </c>
      <c r="H21" s="199">
        <v>1915.8</v>
      </c>
    </row>
    <row r="22" spans="1:8" ht="15" customHeight="1" x14ac:dyDescent="0.3">
      <c r="A22" s="195" t="s">
        <v>336</v>
      </c>
      <c r="B22" s="196" t="s">
        <v>358</v>
      </c>
      <c r="C22" s="195" t="s">
        <v>193</v>
      </c>
      <c r="D22" s="195" t="s">
        <v>359</v>
      </c>
      <c r="E22" s="197" t="s">
        <v>195</v>
      </c>
      <c r="F22" s="198">
        <v>60</v>
      </c>
      <c r="G22" s="199">
        <v>20.63</v>
      </c>
      <c r="H22" s="199">
        <v>1237.8</v>
      </c>
    </row>
    <row r="23" spans="1:8" ht="25.5" customHeight="1" x14ac:dyDescent="0.3">
      <c r="A23" s="195" t="s">
        <v>336</v>
      </c>
      <c r="B23" s="196" t="s">
        <v>360</v>
      </c>
      <c r="C23" s="195" t="s">
        <v>193</v>
      </c>
      <c r="D23" s="195" t="s">
        <v>361</v>
      </c>
      <c r="E23" s="197" t="s">
        <v>195</v>
      </c>
      <c r="F23" s="198">
        <v>30</v>
      </c>
      <c r="G23" s="199">
        <v>115.76</v>
      </c>
      <c r="H23" s="199">
        <v>3472.8</v>
      </c>
    </row>
    <row r="24" spans="1:8" ht="26.4" x14ac:dyDescent="0.3">
      <c r="A24" s="205"/>
      <c r="B24" s="205"/>
      <c r="C24" s="205"/>
      <c r="D24" s="205"/>
      <c r="E24" s="205" t="s">
        <v>346</v>
      </c>
      <c r="F24" s="206">
        <v>0</v>
      </c>
      <c r="G24" s="205" t="s">
        <v>347</v>
      </c>
      <c r="H24" s="206">
        <v>6242.7</v>
      </c>
    </row>
    <row r="25" spans="1:8" ht="25.5" customHeight="1" x14ac:dyDescent="0.3">
      <c r="A25" s="205"/>
      <c r="B25" s="205"/>
      <c r="C25" s="205"/>
      <c r="D25" s="205"/>
      <c r="E25" s="205"/>
      <c r="F25" s="467" t="s">
        <v>348</v>
      </c>
      <c r="G25" s="467"/>
      <c r="H25" s="206">
        <v>8491.06</v>
      </c>
    </row>
    <row r="26" spans="1:8" ht="27" thickBot="1" x14ac:dyDescent="0.35">
      <c r="A26" s="207"/>
      <c r="B26" s="207"/>
      <c r="C26" s="207"/>
      <c r="D26" s="207"/>
      <c r="E26" s="207" t="s">
        <v>349</v>
      </c>
      <c r="F26" s="208" t="s">
        <v>350</v>
      </c>
      <c r="G26" s="207" t="s">
        <v>351</v>
      </c>
      <c r="H26" s="209">
        <v>8491.06</v>
      </c>
    </row>
    <row r="27" spans="1:8" ht="15" thickTop="1" x14ac:dyDescent="0.3">
      <c r="A27" s="235"/>
      <c r="B27" s="235"/>
      <c r="C27" s="235"/>
      <c r="D27" s="235"/>
      <c r="E27" s="235"/>
      <c r="F27" s="235"/>
      <c r="G27" s="235"/>
      <c r="H27" s="235"/>
    </row>
    <row r="28" spans="1:8" ht="27.6" x14ac:dyDescent="0.3">
      <c r="A28" s="217" t="s">
        <v>362</v>
      </c>
      <c r="B28" s="218" t="s">
        <v>188</v>
      </c>
      <c r="C28" s="217" t="s">
        <v>228</v>
      </c>
      <c r="D28" s="217" t="s">
        <v>189</v>
      </c>
      <c r="E28" s="219" t="s">
        <v>229</v>
      </c>
      <c r="F28" s="218" t="s">
        <v>230</v>
      </c>
      <c r="G28" s="218" t="s">
        <v>231</v>
      </c>
      <c r="H28" s="218" t="s">
        <v>115</v>
      </c>
    </row>
    <row r="29" spans="1:8" s="216" customFormat="1" ht="45" customHeight="1" x14ac:dyDescent="0.3">
      <c r="A29" s="220" t="s">
        <v>334</v>
      </c>
      <c r="B29" s="221" t="s">
        <v>265</v>
      </c>
      <c r="C29" s="220" t="s">
        <v>193</v>
      </c>
      <c r="D29" s="220" t="s">
        <v>363</v>
      </c>
      <c r="E29" s="222" t="s">
        <v>15</v>
      </c>
      <c r="F29" s="193">
        <v>1</v>
      </c>
      <c r="G29" s="194">
        <v>1.82</v>
      </c>
      <c r="H29" s="194">
        <v>1.82</v>
      </c>
    </row>
    <row r="30" spans="1:8" x14ac:dyDescent="0.3">
      <c r="A30" s="225" t="s">
        <v>336</v>
      </c>
      <c r="B30" s="226" t="s">
        <v>196</v>
      </c>
      <c r="C30" s="225" t="s">
        <v>193</v>
      </c>
      <c r="D30" s="225" t="s">
        <v>339</v>
      </c>
      <c r="E30" s="227" t="s">
        <v>195</v>
      </c>
      <c r="F30" s="198">
        <v>1.0342999999999999E-3</v>
      </c>
      <c r="G30" s="199">
        <v>20.100000000000001</v>
      </c>
      <c r="H30" s="199">
        <v>0.02</v>
      </c>
    </row>
    <row r="31" spans="1:8" ht="52.8" x14ac:dyDescent="0.3">
      <c r="A31" s="225" t="s">
        <v>336</v>
      </c>
      <c r="B31" s="226" t="s">
        <v>267</v>
      </c>
      <c r="C31" s="225" t="s">
        <v>193</v>
      </c>
      <c r="D31" s="225" t="s">
        <v>364</v>
      </c>
      <c r="E31" s="227" t="s">
        <v>236</v>
      </c>
      <c r="F31" s="198">
        <v>7.5449999999999996E-3</v>
      </c>
      <c r="G31" s="199">
        <v>68.7</v>
      </c>
      <c r="H31" s="199">
        <v>0.51</v>
      </c>
    </row>
    <row r="32" spans="1:8" ht="39.6" x14ac:dyDescent="0.3">
      <c r="A32" s="225" t="s">
        <v>336</v>
      </c>
      <c r="B32" s="226" t="s">
        <v>269</v>
      </c>
      <c r="C32" s="225" t="s">
        <v>193</v>
      </c>
      <c r="D32" s="225" t="s">
        <v>365</v>
      </c>
      <c r="E32" s="227" t="s">
        <v>236</v>
      </c>
      <c r="F32" s="198">
        <v>7.3180000000000001E-4</v>
      </c>
      <c r="G32" s="199">
        <v>105.07</v>
      </c>
      <c r="H32" s="199">
        <v>7.0000000000000007E-2</v>
      </c>
    </row>
    <row r="33" spans="1:8" ht="52.8" x14ac:dyDescent="0.3">
      <c r="A33" s="225" t="s">
        <v>336</v>
      </c>
      <c r="B33" s="226" t="s">
        <v>270</v>
      </c>
      <c r="C33" s="225" t="s">
        <v>193</v>
      </c>
      <c r="D33" s="225" t="s">
        <v>366</v>
      </c>
      <c r="E33" s="227" t="s">
        <v>234</v>
      </c>
      <c r="F33" s="198">
        <v>2.5195E-3</v>
      </c>
      <c r="G33" s="199">
        <v>165.55</v>
      </c>
      <c r="H33" s="199">
        <v>0.41</v>
      </c>
    </row>
    <row r="34" spans="1:8" s="115" customFormat="1" ht="25.5" customHeight="1" x14ac:dyDescent="0.3">
      <c r="A34" s="225" t="s">
        <v>336</v>
      </c>
      <c r="B34" s="226" t="s">
        <v>266</v>
      </c>
      <c r="C34" s="225" t="s">
        <v>193</v>
      </c>
      <c r="D34" s="225" t="s">
        <v>367</v>
      </c>
      <c r="E34" s="227" t="s">
        <v>234</v>
      </c>
      <c r="F34" s="198">
        <v>1.0702000000000001E-3</v>
      </c>
      <c r="G34" s="199">
        <v>314.07</v>
      </c>
      <c r="H34" s="199">
        <v>0.33</v>
      </c>
    </row>
    <row r="35" spans="1:8" ht="52.8" x14ac:dyDescent="0.3">
      <c r="A35" s="225" t="s">
        <v>336</v>
      </c>
      <c r="B35" s="226" t="s">
        <v>271</v>
      </c>
      <c r="C35" s="225" t="s">
        <v>193</v>
      </c>
      <c r="D35" s="225" t="s">
        <v>368</v>
      </c>
      <c r="E35" s="227" t="s">
        <v>236</v>
      </c>
      <c r="F35" s="198">
        <v>6.0956999999999999E-3</v>
      </c>
      <c r="G35" s="199">
        <v>66.349999999999994</v>
      </c>
      <c r="H35" s="199">
        <v>0.4</v>
      </c>
    </row>
    <row r="36" spans="1:8" ht="39.6" x14ac:dyDescent="0.3">
      <c r="A36" s="225" t="s">
        <v>336</v>
      </c>
      <c r="B36" s="226" t="s">
        <v>268</v>
      </c>
      <c r="C36" s="225" t="s">
        <v>193</v>
      </c>
      <c r="D36" s="225" t="s">
        <v>369</v>
      </c>
      <c r="E36" s="227" t="s">
        <v>234</v>
      </c>
      <c r="F36" s="198">
        <v>3.0249999999999998E-4</v>
      </c>
      <c r="G36" s="199">
        <v>264.51</v>
      </c>
      <c r="H36" s="199">
        <v>0.08</v>
      </c>
    </row>
    <row r="37" spans="1:8" ht="26.4" x14ac:dyDescent="0.3">
      <c r="A37" s="230"/>
      <c r="B37" s="230"/>
      <c r="C37" s="230"/>
      <c r="D37" s="230"/>
      <c r="E37" s="230" t="s">
        <v>346</v>
      </c>
      <c r="F37" s="206">
        <v>0</v>
      </c>
      <c r="G37" s="205" t="s">
        <v>347</v>
      </c>
      <c r="H37" s="206">
        <v>0.33</v>
      </c>
    </row>
    <row r="38" spans="1:8" x14ac:dyDescent="0.3">
      <c r="A38" s="230"/>
      <c r="B38" s="230"/>
      <c r="C38" s="230"/>
      <c r="D38" s="230"/>
      <c r="E38" s="230"/>
      <c r="F38" s="467" t="s">
        <v>348</v>
      </c>
      <c r="G38" s="467"/>
      <c r="H38" s="206">
        <v>2.33</v>
      </c>
    </row>
    <row r="39" spans="1:8" ht="27" thickBot="1" x14ac:dyDescent="0.35">
      <c r="A39" s="232"/>
      <c r="B39" s="232"/>
      <c r="C39" s="232"/>
      <c r="D39" s="232"/>
      <c r="E39" s="232" t="s">
        <v>349</v>
      </c>
      <c r="F39" s="208" t="s">
        <v>350</v>
      </c>
      <c r="G39" s="207" t="s">
        <v>351</v>
      </c>
      <c r="H39" s="209">
        <v>2.33</v>
      </c>
    </row>
    <row r="40" spans="1:8" ht="15" thickTop="1" x14ac:dyDescent="0.3">
      <c r="A40" s="235"/>
      <c r="B40" s="235"/>
      <c r="C40" s="235"/>
      <c r="D40" s="235"/>
      <c r="E40" s="235"/>
      <c r="F40" s="235"/>
      <c r="G40" s="235"/>
      <c r="H40" s="235"/>
    </row>
    <row r="41" spans="1:8" ht="27.6" x14ac:dyDescent="0.3">
      <c r="A41" s="217" t="s">
        <v>370</v>
      </c>
      <c r="B41" s="218" t="s">
        <v>188</v>
      </c>
      <c r="C41" s="217" t="s">
        <v>228</v>
      </c>
      <c r="D41" s="217" t="s">
        <v>189</v>
      </c>
      <c r="E41" s="219" t="s">
        <v>229</v>
      </c>
      <c r="F41" s="218" t="s">
        <v>230</v>
      </c>
      <c r="G41" s="218" t="s">
        <v>231</v>
      </c>
      <c r="H41" s="218" t="s">
        <v>115</v>
      </c>
    </row>
    <row r="42" spans="1:8" ht="39.6" x14ac:dyDescent="0.3">
      <c r="A42" s="220" t="s">
        <v>334</v>
      </c>
      <c r="B42" s="221" t="s">
        <v>371</v>
      </c>
      <c r="C42" s="220" t="s">
        <v>354</v>
      </c>
      <c r="D42" s="220" t="s">
        <v>372</v>
      </c>
      <c r="E42" s="222" t="s">
        <v>15</v>
      </c>
      <c r="F42" s="193">
        <v>1</v>
      </c>
      <c r="G42" s="194">
        <v>74.87</v>
      </c>
      <c r="H42" s="194">
        <v>74.87</v>
      </c>
    </row>
    <row r="43" spans="1:8" x14ac:dyDescent="0.3">
      <c r="A43" s="225" t="s">
        <v>336</v>
      </c>
      <c r="B43" s="226" t="s">
        <v>196</v>
      </c>
      <c r="C43" s="225" t="s">
        <v>193</v>
      </c>
      <c r="D43" s="225" t="s">
        <v>339</v>
      </c>
      <c r="E43" s="227" t="s">
        <v>195</v>
      </c>
      <c r="F43" s="198">
        <v>0.40210000000000001</v>
      </c>
      <c r="G43" s="199">
        <v>20.100000000000001</v>
      </c>
      <c r="H43" s="199">
        <v>8.08</v>
      </c>
    </row>
    <row r="44" spans="1:8" s="115" customFormat="1" x14ac:dyDescent="0.3">
      <c r="A44" s="225" t="s">
        <v>336</v>
      </c>
      <c r="B44" s="226" t="s">
        <v>373</v>
      </c>
      <c r="C44" s="225" t="s">
        <v>193</v>
      </c>
      <c r="D44" s="225" t="s">
        <v>374</v>
      </c>
      <c r="E44" s="227" t="s">
        <v>195</v>
      </c>
      <c r="F44" s="198">
        <v>0.40210000000000001</v>
      </c>
      <c r="G44" s="199">
        <v>24.99</v>
      </c>
      <c r="H44" s="199">
        <v>10.039999999999999</v>
      </c>
    </row>
    <row r="45" spans="1:8" ht="52.8" x14ac:dyDescent="0.3">
      <c r="A45" s="225" t="s">
        <v>336</v>
      </c>
      <c r="B45" s="226" t="s">
        <v>375</v>
      </c>
      <c r="C45" s="225" t="s">
        <v>193</v>
      </c>
      <c r="D45" s="225" t="s">
        <v>376</v>
      </c>
      <c r="E45" s="227" t="s">
        <v>236</v>
      </c>
      <c r="F45" s="198">
        <v>0.13089999999999999</v>
      </c>
      <c r="G45" s="199">
        <v>64.67</v>
      </c>
      <c r="H45" s="199">
        <v>8.4600000000000009</v>
      </c>
    </row>
    <row r="46" spans="1:8" ht="39.6" x14ac:dyDescent="0.3">
      <c r="A46" s="225" t="s">
        <v>336</v>
      </c>
      <c r="B46" s="226" t="s">
        <v>377</v>
      </c>
      <c r="C46" s="225" t="s">
        <v>193</v>
      </c>
      <c r="D46" s="225" t="s">
        <v>378</v>
      </c>
      <c r="E46" s="227" t="s">
        <v>197</v>
      </c>
      <c r="F46" s="198">
        <v>2.0400000000000001E-2</v>
      </c>
      <c r="G46" s="199">
        <v>667.9</v>
      </c>
      <c r="H46" s="199">
        <v>13.62</v>
      </c>
    </row>
    <row r="47" spans="1:8" ht="26.4" x14ac:dyDescent="0.3">
      <c r="A47" s="225" t="s">
        <v>336</v>
      </c>
      <c r="B47" s="226" t="s">
        <v>379</v>
      </c>
      <c r="C47" s="225" t="s">
        <v>354</v>
      </c>
      <c r="D47" s="225" t="s">
        <v>380</v>
      </c>
      <c r="E47" s="227" t="s">
        <v>381</v>
      </c>
      <c r="F47" s="198">
        <v>4.2000000000000003E-2</v>
      </c>
      <c r="G47" s="199">
        <v>566.24</v>
      </c>
      <c r="H47" s="199">
        <v>23.78</v>
      </c>
    </row>
    <row r="48" spans="1:8" ht="52.8" x14ac:dyDescent="0.3">
      <c r="A48" s="225" t="s">
        <v>336</v>
      </c>
      <c r="B48" s="226" t="s">
        <v>382</v>
      </c>
      <c r="C48" s="225" t="s">
        <v>193</v>
      </c>
      <c r="D48" s="225" t="s">
        <v>383</v>
      </c>
      <c r="E48" s="227" t="s">
        <v>234</v>
      </c>
      <c r="F48" s="198">
        <v>3.0999999999999999E-3</v>
      </c>
      <c r="G48" s="199">
        <v>162.27000000000001</v>
      </c>
      <c r="H48" s="199">
        <v>0.5</v>
      </c>
    </row>
    <row r="49" spans="1:8" ht="26.4" x14ac:dyDescent="0.3">
      <c r="A49" s="225" t="s">
        <v>340</v>
      </c>
      <c r="B49" s="226" t="s">
        <v>384</v>
      </c>
      <c r="C49" s="225" t="s">
        <v>193</v>
      </c>
      <c r="D49" s="225" t="s">
        <v>385</v>
      </c>
      <c r="E49" s="227" t="s">
        <v>386</v>
      </c>
      <c r="F49" s="203">
        <v>0.114</v>
      </c>
      <c r="G49" s="204">
        <v>91.17</v>
      </c>
      <c r="H49" s="204">
        <v>10.39</v>
      </c>
    </row>
    <row r="50" spans="1:8" ht="26.4" x14ac:dyDescent="0.3">
      <c r="A50" s="230"/>
      <c r="B50" s="230"/>
      <c r="C50" s="230"/>
      <c r="D50" s="230"/>
      <c r="E50" s="230" t="s">
        <v>346</v>
      </c>
      <c r="F50" s="206">
        <v>0</v>
      </c>
      <c r="G50" s="205" t="s">
        <v>347</v>
      </c>
      <c r="H50" s="206">
        <v>32.82</v>
      </c>
    </row>
    <row r="51" spans="1:8" x14ac:dyDescent="0.3">
      <c r="A51" s="230"/>
      <c r="B51" s="230"/>
      <c r="C51" s="230"/>
      <c r="D51" s="230"/>
      <c r="E51" s="230"/>
      <c r="F51" s="467" t="s">
        <v>348</v>
      </c>
      <c r="G51" s="467"/>
      <c r="H51" s="206">
        <v>95.93</v>
      </c>
    </row>
    <row r="52" spans="1:8" s="115" customFormat="1" ht="26.4" x14ac:dyDescent="0.3">
      <c r="A52" s="232"/>
      <c r="B52" s="232"/>
      <c r="C52" s="232"/>
      <c r="D52" s="232"/>
      <c r="E52" s="232" t="s">
        <v>349</v>
      </c>
      <c r="F52" s="208" t="s">
        <v>350</v>
      </c>
      <c r="G52" s="207" t="s">
        <v>351</v>
      </c>
      <c r="H52" s="209">
        <v>95.93</v>
      </c>
    </row>
    <row r="53" spans="1:8" s="115" customFormat="1" x14ac:dyDescent="0.3">
      <c r="A53" s="232"/>
      <c r="B53" s="232"/>
      <c r="C53" s="232"/>
      <c r="D53" s="232"/>
      <c r="E53" s="232"/>
      <c r="F53" s="233"/>
      <c r="G53" s="232"/>
      <c r="H53" s="234"/>
    </row>
    <row r="54" spans="1:8" s="115" customFormat="1" x14ac:dyDescent="0.3">
      <c r="A54" s="408" t="s">
        <v>237</v>
      </c>
      <c r="B54" s="408"/>
      <c r="C54" s="408"/>
      <c r="D54" s="408"/>
      <c r="E54" s="408"/>
      <c r="F54" s="408"/>
      <c r="G54" s="406" t="s">
        <v>238</v>
      </c>
      <c r="H54" s="406"/>
    </row>
    <row r="55" spans="1:8" s="115" customFormat="1" ht="27.6" x14ac:dyDescent="0.3">
      <c r="A55" s="238"/>
      <c r="B55" s="239" t="s">
        <v>188</v>
      </c>
      <c r="C55" s="238" t="s">
        <v>228</v>
      </c>
      <c r="D55" s="238" t="s">
        <v>189</v>
      </c>
      <c r="E55" s="240" t="s">
        <v>229</v>
      </c>
      <c r="F55" s="239" t="s">
        <v>230</v>
      </c>
      <c r="G55" s="239" t="s">
        <v>231</v>
      </c>
      <c r="H55" s="239" t="s">
        <v>115</v>
      </c>
    </row>
    <row r="56" spans="1:8" s="115" customFormat="1" x14ac:dyDescent="0.3">
      <c r="D56" s="237" t="s">
        <v>189</v>
      </c>
      <c r="E56" s="237" t="s">
        <v>190</v>
      </c>
      <c r="F56" s="237" t="s">
        <v>191</v>
      </c>
      <c r="G56" s="237" t="s">
        <v>192</v>
      </c>
      <c r="H56" s="237" t="s">
        <v>115</v>
      </c>
    </row>
    <row r="57" spans="1:8" s="115" customFormat="1" x14ac:dyDescent="0.3">
      <c r="A57" s="241" t="s">
        <v>336</v>
      </c>
      <c r="B57" s="242">
        <v>88309</v>
      </c>
      <c r="C57" s="242" t="s">
        <v>193</v>
      </c>
      <c r="D57" s="243" t="s">
        <v>239</v>
      </c>
      <c r="E57" s="242" t="s">
        <v>202</v>
      </c>
      <c r="F57" s="244">
        <v>12</v>
      </c>
      <c r="G57" s="249">
        <f>G67</f>
        <v>25.17</v>
      </c>
      <c r="H57" s="249">
        <f>TRUNC(G57*F57,2)</f>
        <v>302.04000000000002</v>
      </c>
    </row>
    <row r="58" spans="1:8" s="115" customFormat="1" x14ac:dyDescent="0.3">
      <c r="A58" s="241" t="s">
        <v>336</v>
      </c>
      <c r="B58" s="242">
        <v>88316</v>
      </c>
      <c r="C58" s="242" t="s">
        <v>193</v>
      </c>
      <c r="D58" s="243" t="s">
        <v>203</v>
      </c>
      <c r="E58" s="242" t="s">
        <v>202</v>
      </c>
      <c r="F58" s="244">
        <v>12</v>
      </c>
      <c r="G58" s="249">
        <f>G66</f>
        <v>20.100000000000001</v>
      </c>
      <c r="H58" s="249">
        <f>TRUNC(G58*F58,2)</f>
        <v>241.2</v>
      </c>
    </row>
    <row r="59" spans="1:8" s="115" customFormat="1" x14ac:dyDescent="0.3">
      <c r="A59" s="241" t="s">
        <v>340</v>
      </c>
      <c r="B59" s="407" t="s">
        <v>240</v>
      </c>
      <c r="C59" s="407"/>
      <c r="D59" s="243" t="s">
        <v>241</v>
      </c>
      <c r="E59" s="242" t="s">
        <v>242</v>
      </c>
      <c r="F59" s="244">
        <v>1</v>
      </c>
      <c r="G59" s="249">
        <v>23</v>
      </c>
      <c r="H59" s="249">
        <f>TRUNC(G59*F59,2)</f>
        <v>23</v>
      </c>
    </row>
    <row r="60" spans="1:8" s="115" customFormat="1" x14ac:dyDescent="0.3">
      <c r="A60" s="409"/>
      <c r="B60" s="409"/>
      <c r="D60" s="246"/>
      <c r="E60" s="246"/>
      <c r="F60" s="411" t="s">
        <v>201</v>
      </c>
      <c r="G60" s="411"/>
      <c r="H60" s="247">
        <f>SUM(H57:H59)</f>
        <v>566.24</v>
      </c>
    </row>
    <row r="61" spans="1:8" s="115" customFormat="1" ht="15" thickBot="1" x14ac:dyDescent="0.35">
      <c r="A61" s="248"/>
      <c r="B61" s="248"/>
      <c r="H61" s="234"/>
    </row>
    <row r="62" spans="1:8" ht="15.75" customHeight="1" thickTop="1" x14ac:dyDescent="0.3">
      <c r="A62" s="235"/>
      <c r="B62" s="235"/>
      <c r="C62" s="235"/>
      <c r="D62" s="235"/>
      <c r="E62" s="235"/>
      <c r="F62" s="235"/>
      <c r="G62" s="235"/>
      <c r="H62" s="235"/>
    </row>
    <row r="63" spans="1:8" ht="27.6" x14ac:dyDescent="0.3">
      <c r="A63" s="217" t="s">
        <v>387</v>
      </c>
      <c r="B63" s="218" t="s">
        <v>188</v>
      </c>
      <c r="C63" s="217" t="s">
        <v>228</v>
      </c>
      <c r="D63" s="217" t="s">
        <v>189</v>
      </c>
      <c r="E63" s="219" t="s">
        <v>229</v>
      </c>
      <c r="F63" s="218" t="s">
        <v>230</v>
      </c>
      <c r="G63" s="218" t="s">
        <v>231</v>
      </c>
      <c r="H63" s="218" t="s">
        <v>115</v>
      </c>
    </row>
    <row r="64" spans="1:8" ht="52.8" x14ac:dyDescent="0.3">
      <c r="A64" s="220" t="s">
        <v>334</v>
      </c>
      <c r="B64" s="221" t="s">
        <v>272</v>
      </c>
      <c r="C64" s="220" t="s">
        <v>193</v>
      </c>
      <c r="D64" s="220" t="s">
        <v>388</v>
      </c>
      <c r="E64" s="222" t="s">
        <v>198</v>
      </c>
      <c r="F64" s="193">
        <v>1</v>
      </c>
      <c r="G64" s="194">
        <v>40.56</v>
      </c>
      <c r="H64" s="194">
        <v>40.56</v>
      </c>
    </row>
    <row r="65" spans="1:8" ht="26.4" x14ac:dyDescent="0.3">
      <c r="A65" s="225" t="s">
        <v>336</v>
      </c>
      <c r="B65" s="226" t="s">
        <v>208</v>
      </c>
      <c r="C65" s="225" t="s">
        <v>193</v>
      </c>
      <c r="D65" s="225" t="s">
        <v>389</v>
      </c>
      <c r="E65" s="227" t="s">
        <v>197</v>
      </c>
      <c r="F65" s="198">
        <v>1.8E-3</v>
      </c>
      <c r="G65" s="199">
        <v>751.51</v>
      </c>
      <c r="H65" s="199">
        <v>1.35</v>
      </c>
    </row>
    <row r="66" spans="1:8" x14ac:dyDescent="0.3">
      <c r="A66" s="225" t="s">
        <v>336</v>
      </c>
      <c r="B66" s="226" t="s">
        <v>196</v>
      </c>
      <c r="C66" s="225" t="s">
        <v>193</v>
      </c>
      <c r="D66" s="225" t="s">
        <v>339</v>
      </c>
      <c r="E66" s="227" t="s">
        <v>195</v>
      </c>
      <c r="F66" s="198">
        <v>0.2296</v>
      </c>
      <c r="G66" s="199">
        <v>20.100000000000001</v>
      </c>
      <c r="H66" s="199">
        <v>4.6100000000000003</v>
      </c>
    </row>
    <row r="67" spans="1:8" x14ac:dyDescent="0.3">
      <c r="A67" s="225" t="s">
        <v>336</v>
      </c>
      <c r="B67" s="226" t="s">
        <v>204</v>
      </c>
      <c r="C67" s="225" t="s">
        <v>193</v>
      </c>
      <c r="D67" s="225" t="s">
        <v>390</v>
      </c>
      <c r="E67" s="227" t="s">
        <v>195</v>
      </c>
      <c r="F67" s="198">
        <v>0.2296</v>
      </c>
      <c r="G67" s="199">
        <v>25.17</v>
      </c>
      <c r="H67" s="199">
        <v>5.77</v>
      </c>
    </row>
    <row r="68" spans="1:8" ht="26.4" x14ac:dyDescent="0.3">
      <c r="A68" s="225" t="s">
        <v>340</v>
      </c>
      <c r="B68" s="226" t="s">
        <v>205</v>
      </c>
      <c r="C68" s="225" t="s">
        <v>193</v>
      </c>
      <c r="D68" s="225" t="s">
        <v>391</v>
      </c>
      <c r="E68" s="227" t="s">
        <v>386</v>
      </c>
      <c r="F68" s="203">
        <v>6.6E-3</v>
      </c>
      <c r="G68" s="204">
        <v>90</v>
      </c>
      <c r="H68" s="204">
        <v>0.59</v>
      </c>
    </row>
    <row r="69" spans="1:8" ht="26.4" x14ac:dyDescent="0.3">
      <c r="A69" s="225" t="s">
        <v>340</v>
      </c>
      <c r="B69" s="226" t="s">
        <v>209</v>
      </c>
      <c r="C69" s="225" t="s">
        <v>193</v>
      </c>
      <c r="D69" s="225" t="s">
        <v>392</v>
      </c>
      <c r="E69" s="227" t="s">
        <v>198</v>
      </c>
      <c r="F69" s="203">
        <v>1.0049999999999999</v>
      </c>
      <c r="G69" s="204">
        <v>28.1</v>
      </c>
      <c r="H69" s="204">
        <v>28.24</v>
      </c>
    </row>
    <row r="70" spans="1:8" ht="26.4" x14ac:dyDescent="0.3">
      <c r="A70" s="230"/>
      <c r="B70" s="230"/>
      <c r="C70" s="230"/>
      <c r="D70" s="230"/>
      <c r="E70" s="230" t="s">
        <v>346</v>
      </c>
      <c r="F70" s="206">
        <v>0</v>
      </c>
      <c r="G70" s="205" t="s">
        <v>347</v>
      </c>
      <c r="H70" s="206">
        <v>7.56</v>
      </c>
    </row>
    <row r="71" spans="1:8" x14ac:dyDescent="0.3">
      <c r="A71" s="230"/>
      <c r="B71" s="230"/>
      <c r="C71" s="230"/>
      <c r="D71" s="230"/>
      <c r="E71" s="230"/>
      <c r="F71" s="467" t="s">
        <v>348</v>
      </c>
      <c r="G71" s="467"/>
      <c r="H71" s="206">
        <v>51.97</v>
      </c>
    </row>
    <row r="72" spans="1:8" ht="27" thickBot="1" x14ac:dyDescent="0.35">
      <c r="A72" s="232"/>
      <c r="B72" s="232"/>
      <c r="C72" s="232"/>
      <c r="D72" s="232"/>
      <c r="E72" s="232" t="s">
        <v>349</v>
      </c>
      <c r="F72" s="208" t="s">
        <v>350</v>
      </c>
      <c r="G72" s="207" t="s">
        <v>351</v>
      </c>
      <c r="H72" s="209">
        <v>51.97</v>
      </c>
    </row>
    <row r="73" spans="1:8" ht="15" thickTop="1" x14ac:dyDescent="0.3">
      <c r="A73" s="235"/>
      <c r="B73" s="235"/>
      <c r="C73" s="235"/>
      <c r="D73" s="235"/>
      <c r="E73" s="235"/>
      <c r="F73" s="235"/>
      <c r="G73" s="235"/>
      <c r="H73" s="235"/>
    </row>
    <row r="74" spans="1:8" ht="27.6" x14ac:dyDescent="0.3">
      <c r="A74" s="217" t="s">
        <v>393</v>
      </c>
      <c r="B74" s="218" t="s">
        <v>188</v>
      </c>
      <c r="C74" s="217" t="s">
        <v>228</v>
      </c>
      <c r="D74" s="217" t="s">
        <v>189</v>
      </c>
      <c r="E74" s="219" t="s">
        <v>229</v>
      </c>
      <c r="F74" s="218" t="s">
        <v>230</v>
      </c>
      <c r="G74" s="218" t="s">
        <v>231</v>
      </c>
      <c r="H74" s="218" t="s">
        <v>115</v>
      </c>
    </row>
    <row r="75" spans="1:8" ht="26.4" x14ac:dyDescent="0.3">
      <c r="A75" s="220" t="s">
        <v>334</v>
      </c>
      <c r="B75" s="221" t="s">
        <v>394</v>
      </c>
      <c r="C75" s="220" t="s">
        <v>354</v>
      </c>
      <c r="D75" s="220" t="s">
        <v>258</v>
      </c>
      <c r="E75" s="222" t="s">
        <v>174</v>
      </c>
      <c r="F75" s="193">
        <v>1</v>
      </c>
      <c r="G75" s="194">
        <v>21.59</v>
      </c>
      <c r="H75" s="194">
        <v>21.59</v>
      </c>
    </row>
    <row r="76" spans="1:8" x14ac:dyDescent="0.3">
      <c r="A76" s="225" t="s">
        <v>336</v>
      </c>
      <c r="B76" s="226" t="s">
        <v>196</v>
      </c>
      <c r="C76" s="225" t="s">
        <v>193</v>
      </c>
      <c r="D76" s="225" t="s">
        <v>339</v>
      </c>
      <c r="E76" s="227" t="s">
        <v>195</v>
      </c>
      <c r="F76" s="198">
        <v>0.2326</v>
      </c>
      <c r="G76" s="199">
        <v>20.100000000000001</v>
      </c>
      <c r="H76" s="199">
        <v>4.67</v>
      </c>
    </row>
    <row r="77" spans="1:8" x14ac:dyDescent="0.3">
      <c r="A77" s="225" t="s">
        <v>336</v>
      </c>
      <c r="B77" s="226" t="s">
        <v>204</v>
      </c>
      <c r="C77" s="225" t="s">
        <v>193</v>
      </c>
      <c r="D77" s="225" t="s">
        <v>390</v>
      </c>
      <c r="E77" s="227" t="s">
        <v>195</v>
      </c>
      <c r="F77" s="198">
        <v>0.2326</v>
      </c>
      <c r="G77" s="199">
        <v>25.17</v>
      </c>
      <c r="H77" s="199">
        <v>5.85</v>
      </c>
    </row>
    <row r="78" spans="1:8" ht="39.6" x14ac:dyDescent="0.3">
      <c r="A78" s="225" t="s">
        <v>340</v>
      </c>
      <c r="B78" s="226" t="s">
        <v>207</v>
      </c>
      <c r="C78" s="225" t="s">
        <v>193</v>
      </c>
      <c r="D78" s="225" t="s">
        <v>395</v>
      </c>
      <c r="E78" s="227" t="s">
        <v>386</v>
      </c>
      <c r="F78" s="203">
        <v>1.4999999999999999E-2</v>
      </c>
      <c r="G78" s="204">
        <v>540</v>
      </c>
      <c r="H78" s="204">
        <v>8.1</v>
      </c>
    </row>
    <row r="79" spans="1:8" ht="26.4" x14ac:dyDescent="0.3">
      <c r="A79" s="225" t="s">
        <v>340</v>
      </c>
      <c r="B79" s="226" t="s">
        <v>206</v>
      </c>
      <c r="C79" s="225" t="s">
        <v>193</v>
      </c>
      <c r="D79" s="225" t="s">
        <v>396</v>
      </c>
      <c r="E79" s="227" t="s">
        <v>198</v>
      </c>
      <c r="F79" s="203">
        <v>0.2</v>
      </c>
      <c r="G79" s="204">
        <v>3.52</v>
      </c>
      <c r="H79" s="204">
        <v>0.7</v>
      </c>
    </row>
    <row r="80" spans="1:8" ht="26.4" x14ac:dyDescent="0.3">
      <c r="A80" s="225" t="s">
        <v>340</v>
      </c>
      <c r="B80" s="226" t="s">
        <v>210</v>
      </c>
      <c r="C80" s="225" t="s">
        <v>193</v>
      </c>
      <c r="D80" s="225" t="s">
        <v>397</v>
      </c>
      <c r="E80" s="227" t="s">
        <v>198</v>
      </c>
      <c r="F80" s="203">
        <v>8.3299999999999999E-2</v>
      </c>
      <c r="G80" s="204">
        <v>16.670000000000002</v>
      </c>
      <c r="H80" s="204">
        <v>1.38</v>
      </c>
    </row>
    <row r="81" spans="1:8" ht="26.4" x14ac:dyDescent="0.3">
      <c r="A81" s="225" t="s">
        <v>340</v>
      </c>
      <c r="B81" s="226" t="s">
        <v>205</v>
      </c>
      <c r="C81" s="225" t="s">
        <v>193</v>
      </c>
      <c r="D81" s="225" t="s">
        <v>391</v>
      </c>
      <c r="E81" s="227" t="s">
        <v>386</v>
      </c>
      <c r="F81" s="203">
        <v>9.9000000000000008E-3</v>
      </c>
      <c r="G81" s="204">
        <v>90</v>
      </c>
      <c r="H81" s="204">
        <v>0.89</v>
      </c>
    </row>
    <row r="82" spans="1:8" ht="26.4" x14ac:dyDescent="0.3">
      <c r="A82" s="230"/>
      <c r="B82" s="230"/>
      <c r="C82" s="230"/>
      <c r="D82" s="230"/>
      <c r="E82" s="230" t="s">
        <v>346</v>
      </c>
      <c r="F82" s="206">
        <v>0</v>
      </c>
      <c r="G82" s="205" t="s">
        <v>347</v>
      </c>
      <c r="H82" s="206">
        <v>7.46</v>
      </c>
    </row>
    <row r="83" spans="1:8" x14ac:dyDescent="0.3">
      <c r="A83" s="230"/>
      <c r="B83" s="230"/>
      <c r="C83" s="230"/>
      <c r="D83" s="230"/>
      <c r="E83" s="230"/>
      <c r="F83" s="467" t="s">
        <v>348</v>
      </c>
      <c r="G83" s="467"/>
      <c r="H83" s="206">
        <v>27.66</v>
      </c>
    </row>
    <row r="84" spans="1:8" ht="27" thickBot="1" x14ac:dyDescent="0.35">
      <c r="A84" s="232"/>
      <c r="B84" s="232"/>
      <c r="C84" s="232"/>
      <c r="D84" s="232"/>
      <c r="E84" s="232" t="s">
        <v>349</v>
      </c>
      <c r="F84" s="208" t="s">
        <v>350</v>
      </c>
      <c r="G84" s="207" t="s">
        <v>351</v>
      </c>
      <c r="H84" s="209">
        <v>27.66</v>
      </c>
    </row>
    <row r="85" spans="1:8" ht="15" thickTop="1" x14ac:dyDescent="0.3">
      <c r="A85" s="235"/>
      <c r="B85" s="235"/>
      <c r="C85" s="235"/>
      <c r="D85" s="235"/>
      <c r="E85" s="235"/>
      <c r="F85" s="235"/>
      <c r="G85" s="235"/>
      <c r="H85" s="235"/>
    </row>
    <row r="86" spans="1:8" ht="27.6" x14ac:dyDescent="0.3">
      <c r="A86" s="217" t="s">
        <v>398</v>
      </c>
      <c r="B86" s="218" t="s">
        <v>188</v>
      </c>
      <c r="C86" s="217" t="s">
        <v>228</v>
      </c>
      <c r="D86" s="217" t="s">
        <v>189</v>
      </c>
      <c r="E86" s="219" t="s">
        <v>229</v>
      </c>
      <c r="F86" s="218" t="s">
        <v>230</v>
      </c>
      <c r="G86" s="218" t="s">
        <v>231</v>
      </c>
      <c r="H86" s="218" t="s">
        <v>115</v>
      </c>
    </row>
    <row r="87" spans="1:8" ht="39.6" x14ac:dyDescent="0.3">
      <c r="A87" s="220" t="s">
        <v>334</v>
      </c>
      <c r="B87" s="221" t="s">
        <v>280</v>
      </c>
      <c r="C87" s="220" t="s">
        <v>193</v>
      </c>
      <c r="D87" s="220" t="s">
        <v>399</v>
      </c>
      <c r="E87" s="222" t="s">
        <v>232</v>
      </c>
      <c r="F87" s="193">
        <v>1</v>
      </c>
      <c r="G87" s="194">
        <v>1.63</v>
      </c>
      <c r="H87" s="194">
        <v>1.63</v>
      </c>
    </row>
    <row r="88" spans="1:8" ht="52.8" x14ac:dyDescent="0.3">
      <c r="A88" s="225" t="s">
        <v>336</v>
      </c>
      <c r="B88" s="226" t="s">
        <v>233</v>
      </c>
      <c r="C88" s="225" t="s">
        <v>193</v>
      </c>
      <c r="D88" s="225" t="s">
        <v>400</v>
      </c>
      <c r="E88" s="227" t="s">
        <v>234</v>
      </c>
      <c r="F88" s="198">
        <v>5.5999999999999999E-3</v>
      </c>
      <c r="G88" s="199">
        <v>264.11</v>
      </c>
      <c r="H88" s="199">
        <v>1.47</v>
      </c>
    </row>
    <row r="89" spans="1:8" ht="52.8" x14ac:dyDescent="0.3">
      <c r="A89" s="225" t="s">
        <v>336</v>
      </c>
      <c r="B89" s="226" t="s">
        <v>235</v>
      </c>
      <c r="C89" s="225" t="s">
        <v>193</v>
      </c>
      <c r="D89" s="225" t="s">
        <v>401</v>
      </c>
      <c r="E89" s="227" t="s">
        <v>236</v>
      </c>
      <c r="F89" s="198">
        <v>2.3999999999999998E-3</v>
      </c>
      <c r="G89" s="199">
        <v>69.11</v>
      </c>
      <c r="H89" s="199">
        <v>0.16</v>
      </c>
    </row>
    <row r="90" spans="1:8" ht="26.4" x14ac:dyDescent="0.3">
      <c r="A90" s="230"/>
      <c r="B90" s="230"/>
      <c r="C90" s="230"/>
      <c r="D90" s="230"/>
      <c r="E90" s="230" t="s">
        <v>346</v>
      </c>
      <c r="F90" s="206">
        <v>0</v>
      </c>
      <c r="G90" s="205" t="s">
        <v>347</v>
      </c>
      <c r="H90" s="206">
        <v>0.14000000000000001</v>
      </c>
    </row>
    <row r="91" spans="1:8" x14ac:dyDescent="0.3">
      <c r="A91" s="230"/>
      <c r="B91" s="230"/>
      <c r="C91" s="230"/>
      <c r="D91" s="230"/>
      <c r="E91" s="230"/>
      <c r="F91" s="467" t="s">
        <v>348</v>
      </c>
      <c r="G91" s="467"/>
      <c r="H91" s="206">
        <v>2.08</v>
      </c>
    </row>
    <row r="92" spans="1:8" ht="27" thickBot="1" x14ac:dyDescent="0.35">
      <c r="A92" s="232"/>
      <c r="B92" s="232"/>
      <c r="C92" s="232"/>
      <c r="D92" s="232"/>
      <c r="E92" s="232" t="s">
        <v>349</v>
      </c>
      <c r="F92" s="208" t="s">
        <v>350</v>
      </c>
      <c r="G92" s="207" t="s">
        <v>351</v>
      </c>
      <c r="H92" s="209">
        <v>2.08</v>
      </c>
    </row>
    <row r="93" spans="1:8" ht="15" thickTop="1" x14ac:dyDescent="0.3">
      <c r="A93" s="235"/>
      <c r="B93" s="235"/>
      <c r="C93" s="235"/>
      <c r="D93" s="235"/>
      <c r="E93" s="235"/>
      <c r="F93" s="235"/>
      <c r="G93" s="235"/>
      <c r="H93" s="235"/>
    </row>
    <row r="94" spans="1:8" ht="27.6" x14ac:dyDescent="0.3">
      <c r="A94" s="217" t="s">
        <v>402</v>
      </c>
      <c r="B94" s="218" t="s">
        <v>188</v>
      </c>
      <c r="C94" s="217" t="s">
        <v>228</v>
      </c>
      <c r="D94" s="217" t="s">
        <v>189</v>
      </c>
      <c r="E94" s="219" t="s">
        <v>229</v>
      </c>
      <c r="F94" s="218" t="s">
        <v>230</v>
      </c>
      <c r="G94" s="218" t="s">
        <v>231</v>
      </c>
      <c r="H94" s="218" t="s">
        <v>115</v>
      </c>
    </row>
    <row r="95" spans="1:8" s="115" customFormat="1" ht="39.6" x14ac:dyDescent="0.3">
      <c r="A95" s="220" t="s">
        <v>334</v>
      </c>
      <c r="B95" s="221" t="s">
        <v>281</v>
      </c>
      <c r="C95" s="220" t="s">
        <v>193</v>
      </c>
      <c r="D95" s="220" t="s">
        <v>403</v>
      </c>
      <c r="E95" s="222" t="s">
        <v>232</v>
      </c>
      <c r="F95" s="193">
        <v>1</v>
      </c>
      <c r="G95" s="194">
        <v>0.64</v>
      </c>
      <c r="H95" s="194">
        <v>0.64</v>
      </c>
    </row>
    <row r="96" spans="1:8" ht="52.8" x14ac:dyDescent="0.3">
      <c r="A96" s="225" t="s">
        <v>336</v>
      </c>
      <c r="B96" s="226" t="s">
        <v>235</v>
      </c>
      <c r="C96" s="225" t="s">
        <v>193</v>
      </c>
      <c r="D96" s="225" t="s">
        <v>401</v>
      </c>
      <c r="E96" s="227" t="s">
        <v>236</v>
      </c>
      <c r="F96" s="198">
        <v>1E-3</v>
      </c>
      <c r="G96" s="199">
        <v>69.11</v>
      </c>
      <c r="H96" s="199">
        <v>0.06</v>
      </c>
    </row>
    <row r="97" spans="1:8" ht="52.8" x14ac:dyDescent="0.3">
      <c r="A97" s="225" t="s">
        <v>336</v>
      </c>
      <c r="B97" s="226" t="s">
        <v>233</v>
      </c>
      <c r="C97" s="225" t="s">
        <v>193</v>
      </c>
      <c r="D97" s="225" t="s">
        <v>400</v>
      </c>
      <c r="E97" s="227" t="s">
        <v>234</v>
      </c>
      <c r="F97" s="198">
        <v>2.2000000000000001E-3</v>
      </c>
      <c r="G97" s="199">
        <v>264.11</v>
      </c>
      <c r="H97" s="199">
        <v>0.57999999999999996</v>
      </c>
    </row>
    <row r="98" spans="1:8" ht="26.4" x14ac:dyDescent="0.3">
      <c r="A98" s="230"/>
      <c r="B98" s="230"/>
      <c r="C98" s="230"/>
      <c r="D98" s="230"/>
      <c r="E98" s="230" t="s">
        <v>346</v>
      </c>
      <c r="F98" s="206">
        <v>0</v>
      </c>
      <c r="G98" s="205" t="s">
        <v>347</v>
      </c>
      <c r="H98" s="206">
        <v>0.05</v>
      </c>
    </row>
    <row r="99" spans="1:8" x14ac:dyDescent="0.3">
      <c r="A99" s="230"/>
      <c r="B99" s="230"/>
      <c r="C99" s="230"/>
      <c r="D99" s="230"/>
      <c r="E99" s="230"/>
      <c r="F99" s="467" t="s">
        <v>348</v>
      </c>
      <c r="G99" s="467"/>
      <c r="H99" s="206">
        <v>0.82</v>
      </c>
    </row>
    <row r="100" spans="1:8" ht="27" thickBot="1" x14ac:dyDescent="0.35">
      <c r="A100" s="232"/>
      <c r="B100" s="232"/>
      <c r="C100" s="232"/>
      <c r="D100" s="232"/>
      <c r="E100" s="232" t="s">
        <v>349</v>
      </c>
      <c r="F100" s="208" t="s">
        <v>350</v>
      </c>
      <c r="G100" s="207" t="s">
        <v>351</v>
      </c>
      <c r="H100" s="209">
        <v>0.82</v>
      </c>
    </row>
    <row r="101" spans="1:8" ht="15" thickTop="1" x14ac:dyDescent="0.3">
      <c r="A101" s="235"/>
      <c r="B101" s="235"/>
      <c r="C101" s="235"/>
      <c r="D101" s="235"/>
      <c r="E101" s="235"/>
      <c r="F101" s="235"/>
      <c r="G101" s="235"/>
      <c r="H101" s="235"/>
    </row>
    <row r="102" spans="1:8" ht="27.6" x14ac:dyDescent="0.3">
      <c r="A102" s="217" t="s">
        <v>404</v>
      </c>
      <c r="B102" s="218" t="s">
        <v>188</v>
      </c>
      <c r="C102" s="217" t="s">
        <v>228</v>
      </c>
      <c r="D102" s="217" t="s">
        <v>189</v>
      </c>
      <c r="E102" s="219" t="s">
        <v>229</v>
      </c>
      <c r="F102" s="218" t="s">
        <v>230</v>
      </c>
      <c r="G102" s="218" t="s">
        <v>231</v>
      </c>
      <c r="H102" s="218" t="s">
        <v>115</v>
      </c>
    </row>
    <row r="103" spans="1:8" ht="26.4" x14ac:dyDescent="0.3">
      <c r="A103" s="220" t="s">
        <v>334</v>
      </c>
      <c r="B103" s="221" t="s">
        <v>405</v>
      </c>
      <c r="C103" s="220" t="s">
        <v>354</v>
      </c>
      <c r="D103" s="220" t="s">
        <v>406</v>
      </c>
      <c r="E103" s="222" t="s">
        <v>15</v>
      </c>
      <c r="F103" s="193">
        <v>1</v>
      </c>
      <c r="G103" s="194">
        <v>978.79</v>
      </c>
      <c r="H103" s="194">
        <v>978.79</v>
      </c>
    </row>
    <row r="104" spans="1:8" ht="26.4" x14ac:dyDescent="0.3">
      <c r="A104" s="225" t="s">
        <v>336</v>
      </c>
      <c r="B104" s="226" t="s">
        <v>407</v>
      </c>
      <c r="C104" s="225" t="s">
        <v>193</v>
      </c>
      <c r="D104" s="225" t="s">
        <v>408</v>
      </c>
      <c r="E104" s="227" t="s">
        <v>195</v>
      </c>
      <c r="F104" s="198">
        <v>0.25269999999999998</v>
      </c>
      <c r="G104" s="199">
        <v>20.59</v>
      </c>
      <c r="H104" s="199">
        <v>5.2</v>
      </c>
    </row>
    <row r="105" spans="1:8" x14ac:dyDescent="0.3">
      <c r="A105" s="225" t="s">
        <v>336</v>
      </c>
      <c r="B105" s="226" t="s">
        <v>196</v>
      </c>
      <c r="C105" s="225" t="s">
        <v>193</v>
      </c>
      <c r="D105" s="225" t="s">
        <v>339</v>
      </c>
      <c r="E105" s="227" t="s">
        <v>195</v>
      </c>
      <c r="F105" s="198">
        <v>0.75819999999999999</v>
      </c>
      <c r="G105" s="199">
        <v>20.100000000000001</v>
      </c>
      <c r="H105" s="199">
        <v>15.23</v>
      </c>
    </row>
    <row r="106" spans="1:8" ht="26.4" x14ac:dyDescent="0.3">
      <c r="A106" s="225" t="s">
        <v>340</v>
      </c>
      <c r="B106" s="226" t="s">
        <v>409</v>
      </c>
      <c r="C106" s="225" t="s">
        <v>193</v>
      </c>
      <c r="D106" s="225" t="s">
        <v>410</v>
      </c>
      <c r="E106" s="227" t="s">
        <v>342</v>
      </c>
      <c r="F106" s="203">
        <v>1</v>
      </c>
      <c r="G106" s="204">
        <v>924</v>
      </c>
      <c r="H106" s="204">
        <v>924</v>
      </c>
    </row>
    <row r="107" spans="1:8" ht="26.4" x14ac:dyDescent="0.3">
      <c r="A107" s="225" t="s">
        <v>340</v>
      </c>
      <c r="B107" s="226" t="s">
        <v>411</v>
      </c>
      <c r="C107" s="225" t="s">
        <v>193</v>
      </c>
      <c r="D107" s="225" t="s">
        <v>412</v>
      </c>
      <c r="E107" s="227" t="s">
        <v>274</v>
      </c>
      <c r="F107" s="203">
        <v>4</v>
      </c>
      <c r="G107" s="204">
        <v>8.59</v>
      </c>
      <c r="H107" s="204">
        <v>34.36</v>
      </c>
    </row>
    <row r="108" spans="1:8" ht="26.4" x14ac:dyDescent="0.3">
      <c r="A108" s="230"/>
      <c r="B108" s="230"/>
      <c r="C108" s="230"/>
      <c r="D108" s="230"/>
      <c r="E108" s="230" t="s">
        <v>346</v>
      </c>
      <c r="F108" s="206">
        <v>0</v>
      </c>
      <c r="G108" s="205" t="s">
        <v>347</v>
      </c>
      <c r="H108" s="206">
        <v>14.1</v>
      </c>
    </row>
    <row r="109" spans="1:8" x14ac:dyDescent="0.3">
      <c r="A109" s="230"/>
      <c r="B109" s="230"/>
      <c r="C109" s="230"/>
      <c r="D109" s="230"/>
      <c r="E109" s="230"/>
      <c r="F109" s="467" t="s">
        <v>348</v>
      </c>
      <c r="G109" s="467"/>
      <c r="H109" s="206">
        <v>1254.22</v>
      </c>
    </row>
    <row r="110" spans="1:8" ht="27" thickBot="1" x14ac:dyDescent="0.35">
      <c r="A110" s="232"/>
      <c r="B110" s="232"/>
      <c r="C110" s="232"/>
      <c r="D110" s="232"/>
      <c r="E110" s="232" t="s">
        <v>349</v>
      </c>
      <c r="F110" s="208" t="s">
        <v>350</v>
      </c>
      <c r="G110" s="207" t="s">
        <v>351</v>
      </c>
      <c r="H110" s="209">
        <v>1254.22</v>
      </c>
    </row>
    <row r="111" spans="1:8" ht="15" thickTop="1" x14ac:dyDescent="0.3">
      <c r="A111" s="235"/>
      <c r="B111" s="235"/>
      <c r="C111" s="235"/>
      <c r="D111" s="235"/>
      <c r="E111" s="235"/>
      <c r="F111" s="235"/>
      <c r="G111" s="235"/>
      <c r="H111" s="235"/>
    </row>
    <row r="112" spans="1:8" ht="27.6" x14ac:dyDescent="0.3">
      <c r="A112" s="217" t="s">
        <v>413</v>
      </c>
      <c r="B112" s="218" t="s">
        <v>188</v>
      </c>
      <c r="C112" s="217" t="s">
        <v>228</v>
      </c>
      <c r="D112" s="217" t="s">
        <v>189</v>
      </c>
      <c r="E112" s="219" t="s">
        <v>229</v>
      </c>
      <c r="F112" s="218" t="s">
        <v>230</v>
      </c>
      <c r="G112" s="218" t="s">
        <v>231</v>
      </c>
      <c r="H112" s="218" t="s">
        <v>115</v>
      </c>
    </row>
    <row r="113" spans="1:8" ht="39.6" x14ac:dyDescent="0.3">
      <c r="A113" s="220" t="s">
        <v>334</v>
      </c>
      <c r="B113" s="221" t="s">
        <v>414</v>
      </c>
      <c r="C113" s="220" t="s">
        <v>354</v>
      </c>
      <c r="D113" s="220" t="s">
        <v>276</v>
      </c>
      <c r="E113" s="222" t="s">
        <v>176</v>
      </c>
      <c r="F113" s="193">
        <v>1</v>
      </c>
      <c r="G113" s="194">
        <v>418.55</v>
      </c>
      <c r="H113" s="194">
        <v>418.55</v>
      </c>
    </row>
    <row r="114" spans="1:8" ht="39.6" x14ac:dyDescent="0.3">
      <c r="A114" s="225" t="s">
        <v>336</v>
      </c>
      <c r="B114" s="226" t="s">
        <v>415</v>
      </c>
      <c r="C114" s="225" t="s">
        <v>193</v>
      </c>
      <c r="D114" s="225" t="s">
        <v>416</v>
      </c>
      <c r="E114" s="227" t="s">
        <v>197</v>
      </c>
      <c r="F114" s="198">
        <v>2.3699999999999999E-2</v>
      </c>
      <c r="G114" s="199">
        <v>970.29</v>
      </c>
      <c r="H114" s="199">
        <v>22.99</v>
      </c>
    </row>
    <row r="115" spans="1:8" x14ac:dyDescent="0.3">
      <c r="A115" s="225" t="s">
        <v>336</v>
      </c>
      <c r="B115" s="226" t="s">
        <v>196</v>
      </c>
      <c r="C115" s="225" t="s">
        <v>193</v>
      </c>
      <c r="D115" s="225" t="s">
        <v>339</v>
      </c>
      <c r="E115" s="227" t="s">
        <v>195</v>
      </c>
      <c r="F115" s="198">
        <v>0.64129999999999998</v>
      </c>
      <c r="G115" s="199">
        <v>20.100000000000001</v>
      </c>
      <c r="H115" s="199">
        <v>12.89</v>
      </c>
    </row>
    <row r="116" spans="1:8" ht="26.4" x14ac:dyDescent="0.3">
      <c r="A116" s="225" t="s">
        <v>336</v>
      </c>
      <c r="B116" s="226" t="s">
        <v>407</v>
      </c>
      <c r="C116" s="225" t="s">
        <v>193</v>
      </c>
      <c r="D116" s="225" t="s">
        <v>408</v>
      </c>
      <c r="E116" s="227" t="s">
        <v>195</v>
      </c>
      <c r="F116" s="198">
        <v>0.21379999999999999</v>
      </c>
      <c r="G116" s="199">
        <v>20.59</v>
      </c>
      <c r="H116" s="199">
        <v>4.4000000000000004</v>
      </c>
    </row>
    <row r="117" spans="1:8" ht="26.4" x14ac:dyDescent="0.3">
      <c r="A117" s="225" t="s">
        <v>340</v>
      </c>
      <c r="B117" s="226" t="s">
        <v>417</v>
      </c>
      <c r="C117" s="225" t="s">
        <v>193</v>
      </c>
      <c r="D117" s="225" t="s">
        <v>418</v>
      </c>
      <c r="E117" s="227" t="s">
        <v>198</v>
      </c>
      <c r="F117" s="203">
        <v>3.3</v>
      </c>
      <c r="G117" s="204">
        <v>114.63</v>
      </c>
      <c r="H117" s="204">
        <v>378.27</v>
      </c>
    </row>
    <row r="118" spans="1:8" ht="26.4" x14ac:dyDescent="0.3">
      <c r="A118" s="230"/>
      <c r="B118" s="230"/>
      <c r="C118" s="230"/>
      <c r="D118" s="230"/>
      <c r="E118" s="230" t="s">
        <v>346</v>
      </c>
      <c r="F118" s="206">
        <v>0</v>
      </c>
      <c r="G118" s="205" t="s">
        <v>347</v>
      </c>
      <c r="H118" s="206">
        <v>13.92</v>
      </c>
    </row>
    <row r="119" spans="1:8" x14ac:dyDescent="0.3">
      <c r="A119" s="230"/>
      <c r="B119" s="230"/>
      <c r="C119" s="230"/>
      <c r="D119" s="230"/>
      <c r="E119" s="230"/>
      <c r="F119" s="467" t="s">
        <v>348</v>
      </c>
      <c r="G119" s="467"/>
      <c r="H119" s="206">
        <v>536.32000000000005</v>
      </c>
    </row>
    <row r="120" spans="1:8" ht="26.4" x14ac:dyDescent="0.3">
      <c r="A120" s="232"/>
      <c r="B120" s="232"/>
      <c r="C120" s="232"/>
      <c r="D120" s="232"/>
      <c r="E120" s="232" t="s">
        <v>349</v>
      </c>
      <c r="F120" s="208" t="s">
        <v>350</v>
      </c>
      <c r="G120" s="207" t="s">
        <v>351</v>
      </c>
      <c r="H120" s="209">
        <v>536.32000000000005</v>
      </c>
    </row>
  </sheetData>
  <mergeCells count="19">
    <mergeCell ref="F25:G25"/>
    <mergeCell ref="A1:H2"/>
    <mergeCell ref="A3:C3"/>
    <mergeCell ref="F3:H4"/>
    <mergeCell ref="D4:E4"/>
    <mergeCell ref="F16:G16"/>
    <mergeCell ref="F119:G119"/>
    <mergeCell ref="F38:G38"/>
    <mergeCell ref="F51:G51"/>
    <mergeCell ref="A54:F54"/>
    <mergeCell ref="G54:H54"/>
    <mergeCell ref="B59:C59"/>
    <mergeCell ref="A60:B60"/>
    <mergeCell ref="F60:G60"/>
    <mergeCell ref="F71:G71"/>
    <mergeCell ref="F83:G83"/>
    <mergeCell ref="F91:G91"/>
    <mergeCell ref="F99:G99"/>
    <mergeCell ref="F109:G109"/>
  </mergeCells>
  <pageMargins left="0.51181102362204722" right="0.51181102362204722" top="1.7716535433070868" bottom="1.1811023622047245" header="0.51181102362204722" footer="0.51181102362204722"/>
  <pageSetup paperSize="9" scale="58" fitToHeight="0" orientation="portrait" r:id="rId1"/>
  <headerFooter>
    <oddHeader>&amp;C&amp;G</oddHeader>
  </headerFooter>
  <rowBreaks count="2" manualBreakCount="2">
    <brk id="39" max="16383" man="1"/>
    <brk id="84" max="16383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79998168889431442"/>
    <pageSetUpPr fitToPage="1"/>
  </sheetPr>
  <dimension ref="A1:K73"/>
  <sheetViews>
    <sheetView topLeftCell="A40" workbookViewId="0">
      <selection activeCell="D26" sqref="D26"/>
    </sheetView>
  </sheetViews>
  <sheetFormatPr defaultRowHeight="14.4" x14ac:dyDescent="0.3"/>
  <cols>
    <col min="1" max="1" width="15.6640625" style="100" customWidth="1"/>
    <col min="2" max="2" width="36.33203125" style="100" bestFit="1" customWidth="1"/>
    <col min="3" max="3" width="7.109375" style="101" bestFit="1" customWidth="1"/>
    <col min="4" max="4" width="13.44140625" style="102" bestFit="1" customWidth="1"/>
    <col min="5" max="5" width="15.6640625" style="101" customWidth="1"/>
    <col min="6" max="6" width="19.33203125" style="101" customWidth="1"/>
    <col min="7" max="7" width="13.5546875" style="102" bestFit="1" customWidth="1"/>
    <col min="8" max="8" width="9.109375" style="102"/>
    <col min="9" max="11" width="0" hidden="1" customWidth="1"/>
  </cols>
  <sheetData>
    <row r="1" spans="1:11" x14ac:dyDescent="0.3">
      <c r="A1" s="442" t="s">
        <v>212</v>
      </c>
      <c r="B1" s="443"/>
      <c r="C1" s="443"/>
      <c r="D1" s="443"/>
      <c r="E1" s="443"/>
      <c r="F1" s="443"/>
      <c r="G1" s="443"/>
      <c r="H1" s="443"/>
    </row>
    <row r="2" spans="1:11" x14ac:dyDescent="0.3">
      <c r="A2" s="444" t="s">
        <v>309</v>
      </c>
      <c r="B2" s="444"/>
      <c r="C2" s="444"/>
      <c r="D2" s="444"/>
      <c r="E2" s="444"/>
      <c r="F2" s="444"/>
      <c r="G2" s="444"/>
      <c r="H2" s="444"/>
    </row>
    <row r="3" spans="1:11" x14ac:dyDescent="0.3">
      <c r="A3" s="444" t="s">
        <v>310</v>
      </c>
      <c r="B3" s="444"/>
      <c r="C3" s="444"/>
      <c r="D3" s="444"/>
      <c r="E3" s="444"/>
      <c r="F3" s="444"/>
      <c r="G3" s="444"/>
      <c r="H3" s="444"/>
    </row>
    <row r="5" spans="1:11" x14ac:dyDescent="0.3">
      <c r="A5" s="445" t="s">
        <v>40</v>
      </c>
      <c r="B5" s="446"/>
      <c r="C5" s="446"/>
      <c r="D5" s="446"/>
      <c r="E5" s="446"/>
      <c r="F5" s="446"/>
      <c r="G5" s="446"/>
      <c r="H5" s="447"/>
    </row>
    <row r="6" spans="1:11" x14ac:dyDescent="0.3">
      <c r="A6" s="123"/>
      <c r="B6" s="448"/>
      <c r="C6" s="448"/>
      <c r="D6" s="448"/>
      <c r="E6" s="448"/>
      <c r="F6" s="124"/>
      <c r="G6" s="124"/>
      <c r="H6" s="125"/>
    </row>
    <row r="7" spans="1:11" x14ac:dyDescent="0.3">
      <c r="A7" s="126"/>
      <c r="B7" s="127"/>
      <c r="C7" s="127"/>
      <c r="D7" s="127"/>
      <c r="E7" s="127"/>
      <c r="F7" s="127"/>
      <c r="G7" s="127"/>
      <c r="H7" s="128"/>
      <c r="I7" s="31"/>
      <c r="J7" s="32"/>
      <c r="K7" s="32"/>
    </row>
    <row r="8" spans="1:11" x14ac:dyDescent="0.3">
      <c r="A8" s="449" t="s">
        <v>41</v>
      </c>
      <c r="B8" s="450"/>
      <c r="C8" s="33"/>
      <c r="D8" s="33"/>
      <c r="E8" s="33"/>
      <c r="F8" s="33"/>
      <c r="G8" s="33"/>
      <c r="H8" s="34"/>
      <c r="I8" s="31"/>
      <c r="J8" s="32"/>
      <c r="K8" s="32"/>
    </row>
    <row r="9" spans="1:11" x14ac:dyDescent="0.3">
      <c r="A9" s="117"/>
      <c r="B9" s="35"/>
      <c r="C9" s="33"/>
      <c r="D9" s="33"/>
      <c r="E9" s="33"/>
      <c r="F9" s="33"/>
      <c r="G9" s="33"/>
      <c r="H9" s="34"/>
      <c r="I9" s="31"/>
      <c r="J9" s="32"/>
      <c r="K9" s="32"/>
    </row>
    <row r="10" spans="1:11" x14ac:dyDescent="0.3">
      <c r="A10" s="36"/>
      <c r="B10" s="37" t="s">
        <v>10</v>
      </c>
      <c r="C10" s="38" t="s">
        <v>42</v>
      </c>
      <c r="D10" s="39">
        <f>IF(C10="x",1,0)</f>
        <v>1</v>
      </c>
      <c r="E10" s="40"/>
      <c r="F10" s="41"/>
      <c r="G10" s="42"/>
      <c r="H10" s="43">
        <f>IF(F10="x",1,0)</f>
        <v>0</v>
      </c>
      <c r="I10" s="31"/>
      <c r="J10" s="32"/>
      <c r="K10" s="32"/>
    </row>
    <row r="11" spans="1:11" x14ac:dyDescent="0.3">
      <c r="A11" s="36"/>
      <c r="B11" s="37" t="s">
        <v>9</v>
      </c>
      <c r="C11" s="38"/>
      <c r="D11" s="39">
        <f>IF(C11="x",1,0)</f>
        <v>0</v>
      </c>
      <c r="E11" s="44"/>
      <c r="F11" s="41"/>
      <c r="G11" s="42"/>
      <c r="H11" s="43">
        <f>IF(F11="x",1,0)</f>
        <v>0</v>
      </c>
      <c r="I11" s="31"/>
      <c r="J11" s="32"/>
      <c r="K11" s="32"/>
    </row>
    <row r="12" spans="1:11" ht="15" thickBot="1" x14ac:dyDescent="0.35">
      <c r="A12" s="45"/>
      <c r="B12" s="451" t="str">
        <f>IF(D12&gt;1,"SELECIONE SOMENTE UM TIPO DE BDI",IF(D12=0,"SELECIONE UM TIPO DE BDI",""))</f>
        <v/>
      </c>
      <c r="C12" s="451"/>
      <c r="D12" s="46">
        <f>SUM(D10:D11)</f>
        <v>1</v>
      </c>
      <c r="E12" s="452"/>
      <c r="F12" s="452"/>
      <c r="G12" s="452"/>
      <c r="H12" s="47">
        <f>SUM(H10:H11)</f>
        <v>0</v>
      </c>
      <c r="I12" s="31"/>
      <c r="J12" s="32"/>
      <c r="K12" s="32"/>
    </row>
    <row r="13" spans="1:11" ht="15" thickBot="1" x14ac:dyDescent="0.35">
      <c r="A13" s="33"/>
      <c r="B13" s="33"/>
      <c r="C13" s="33"/>
      <c r="D13" s="33"/>
      <c r="E13" s="33"/>
      <c r="F13" s="33"/>
      <c r="G13" s="49"/>
      <c r="H13" s="49"/>
      <c r="I13" s="31"/>
      <c r="J13" s="32"/>
      <c r="K13" s="32"/>
    </row>
    <row r="14" spans="1:11" x14ac:dyDescent="0.3">
      <c r="A14" s="453" t="s">
        <v>43</v>
      </c>
      <c r="B14" s="454"/>
      <c r="C14" s="119"/>
      <c r="D14" s="119"/>
      <c r="E14" s="119"/>
      <c r="F14" s="119"/>
      <c r="G14" s="48"/>
      <c r="H14" s="129"/>
      <c r="I14" s="31">
        <f>IF(H22&lt;&gt;0,VLOOKUP("x",G16:I21,3,FALSE),0)</f>
        <v>2</v>
      </c>
      <c r="J14" s="32"/>
      <c r="K14" s="32"/>
    </row>
    <row r="15" spans="1:11" x14ac:dyDescent="0.3">
      <c r="A15" s="117"/>
      <c r="B15" s="35"/>
      <c r="C15" s="33"/>
      <c r="D15" s="33"/>
      <c r="E15" s="33"/>
      <c r="F15" s="33"/>
      <c r="G15" s="49"/>
      <c r="H15" s="130"/>
      <c r="I15" s="31"/>
      <c r="J15" s="32"/>
      <c r="K15" s="32"/>
    </row>
    <row r="16" spans="1:11" x14ac:dyDescent="0.3">
      <c r="A16" s="50"/>
      <c r="B16" s="33"/>
      <c r="C16" s="33"/>
      <c r="D16" s="33"/>
      <c r="E16" s="33"/>
      <c r="F16" s="51" t="s">
        <v>44</v>
      </c>
      <c r="G16" s="38"/>
      <c r="H16" s="43">
        <f t="shared" ref="H16:H21" si="0">IF(G16="x",1,0)</f>
        <v>0</v>
      </c>
      <c r="I16" s="31">
        <v>1</v>
      </c>
      <c r="J16" s="32"/>
      <c r="K16" s="32"/>
    </row>
    <row r="17" spans="1:11" x14ac:dyDescent="0.3">
      <c r="A17" s="50"/>
      <c r="B17" s="33"/>
      <c r="C17" s="33"/>
      <c r="D17" s="33"/>
      <c r="E17" s="33"/>
      <c r="F17" s="51" t="s">
        <v>45</v>
      </c>
      <c r="G17" s="38" t="s">
        <v>42</v>
      </c>
      <c r="H17" s="43">
        <f t="shared" si="0"/>
        <v>1</v>
      </c>
      <c r="I17" s="31">
        <v>2</v>
      </c>
      <c r="J17" s="32"/>
      <c r="K17" s="32"/>
    </row>
    <row r="18" spans="1:11" x14ac:dyDescent="0.3">
      <c r="A18" s="50"/>
      <c r="B18" s="33"/>
      <c r="C18" s="33"/>
      <c r="D18" s="33"/>
      <c r="E18" s="33"/>
      <c r="F18" s="51" t="s">
        <v>46</v>
      </c>
      <c r="G18" s="38"/>
      <c r="H18" s="43">
        <f t="shared" si="0"/>
        <v>0</v>
      </c>
      <c r="I18" s="31">
        <v>3</v>
      </c>
      <c r="J18" s="32"/>
      <c r="K18" s="32"/>
    </row>
    <row r="19" spans="1:11" x14ac:dyDescent="0.3">
      <c r="A19" s="50"/>
      <c r="B19" s="33"/>
      <c r="C19" s="33"/>
      <c r="D19" s="33"/>
      <c r="E19" s="33"/>
      <c r="F19" s="51" t="s">
        <v>47</v>
      </c>
      <c r="G19" s="38"/>
      <c r="H19" s="43">
        <f t="shared" si="0"/>
        <v>0</v>
      </c>
      <c r="I19" s="31">
        <v>4</v>
      </c>
      <c r="J19" s="32"/>
      <c r="K19" s="32"/>
    </row>
    <row r="20" spans="1:11" x14ac:dyDescent="0.3">
      <c r="A20" s="50"/>
      <c r="B20" s="33"/>
      <c r="C20" s="33"/>
      <c r="D20" s="33"/>
      <c r="E20" s="33"/>
      <c r="F20" s="51" t="s">
        <v>48</v>
      </c>
      <c r="G20" s="38"/>
      <c r="H20" s="43">
        <f t="shared" si="0"/>
        <v>0</v>
      </c>
      <c r="I20" s="31">
        <v>5</v>
      </c>
      <c r="J20" s="32"/>
      <c r="K20" s="32"/>
    </row>
    <row r="21" spans="1:11" x14ac:dyDescent="0.3">
      <c r="A21" s="50"/>
      <c r="B21" s="455" t="str">
        <f>IF(AND(C10="x",G21="x"),"NÃO HÁ DESONERAÇÃO PARA FORNECIMENTO DE MATERIAIS","")</f>
        <v/>
      </c>
      <c r="C21" s="455"/>
      <c r="D21" s="455"/>
      <c r="E21" s="33"/>
      <c r="F21" s="51" t="s">
        <v>49</v>
      </c>
      <c r="G21" s="38"/>
      <c r="H21" s="43">
        <f t="shared" si="0"/>
        <v>0</v>
      </c>
      <c r="I21" s="31">
        <v>6</v>
      </c>
      <c r="J21" s="32"/>
      <c r="K21" s="32"/>
    </row>
    <row r="22" spans="1:11" ht="15" thickBot="1" x14ac:dyDescent="0.35">
      <c r="A22" s="45"/>
      <c r="B22" s="441" t="str">
        <f>IF(H22&gt;1,"SELECIONE SOMENTE UM TIPO DE SERVIÇO",IF(H22=0,"SELECIONE UM TIPO DE SERVIÇO",""))</f>
        <v/>
      </c>
      <c r="C22" s="441"/>
      <c r="D22" s="116"/>
      <c r="E22" s="116"/>
      <c r="F22" s="52"/>
      <c r="G22" s="53"/>
      <c r="H22" s="47">
        <f>SUM(H16:H21)</f>
        <v>1</v>
      </c>
      <c r="I22" s="31"/>
      <c r="J22" s="32"/>
      <c r="K22" s="32"/>
    </row>
    <row r="23" spans="1:11" ht="15" thickBot="1" x14ac:dyDescent="0.35">
      <c r="A23" s="33"/>
      <c r="B23" s="33"/>
      <c r="C23" s="33"/>
      <c r="D23" s="33"/>
      <c r="E23" s="118"/>
      <c r="F23" s="118"/>
      <c r="G23" s="42"/>
      <c r="H23" s="42"/>
      <c r="I23" s="31"/>
      <c r="J23" s="32"/>
      <c r="K23" s="32"/>
    </row>
    <row r="24" spans="1:11" x14ac:dyDescent="0.3">
      <c r="A24" s="453" t="s">
        <v>50</v>
      </c>
      <c r="B24" s="454"/>
      <c r="C24" s="119"/>
      <c r="D24" s="119"/>
      <c r="E24" s="462"/>
      <c r="F24" s="462"/>
      <c r="G24" s="55" t="s">
        <v>21</v>
      </c>
      <c r="H24" s="56"/>
      <c r="I24" s="31"/>
      <c r="J24" s="32"/>
      <c r="K24" s="32"/>
    </row>
    <row r="25" spans="1:11" x14ac:dyDescent="0.3">
      <c r="A25" s="57"/>
      <c r="B25" s="118"/>
      <c r="C25" s="118"/>
      <c r="D25" s="118"/>
      <c r="E25" s="118"/>
      <c r="F25" s="118"/>
      <c r="G25" s="42"/>
      <c r="H25" s="58"/>
      <c r="I25" s="31"/>
      <c r="J25" s="32" t="s">
        <v>51</v>
      </c>
      <c r="K25" s="32" t="s">
        <v>52</v>
      </c>
    </row>
    <row r="26" spans="1:11" x14ac:dyDescent="0.3">
      <c r="A26" s="57"/>
      <c r="B26" s="59" t="s">
        <v>53</v>
      </c>
      <c r="C26" s="60"/>
      <c r="D26" s="60" t="str">
        <f>IF(AND(G26&gt;=J26,G26&lt;=K26),"","FORA DO LIMITE")</f>
        <v/>
      </c>
      <c r="E26" s="60"/>
      <c r="F26" s="61" t="s">
        <v>54</v>
      </c>
      <c r="G26" s="62">
        <v>3.7999999999999999E-2</v>
      </c>
      <c r="H26" s="58"/>
      <c r="I26" s="31"/>
      <c r="J26" s="32">
        <f>VLOOKUP($I$13,[7]Referências!A13:D19,2,FALSE)</f>
        <v>0</v>
      </c>
      <c r="K26" s="32">
        <f>VLOOKUP($I$13,[7]Referências!A13:D19,4,FALSE)</f>
        <v>1</v>
      </c>
    </row>
    <row r="27" spans="1:11" x14ac:dyDescent="0.3">
      <c r="A27" s="57"/>
      <c r="B27" s="63"/>
      <c r="C27" s="118"/>
      <c r="D27" s="118"/>
      <c r="E27" s="118"/>
      <c r="F27" s="51"/>
      <c r="G27" s="64"/>
      <c r="H27" s="58"/>
      <c r="I27" s="31"/>
      <c r="J27" s="32"/>
      <c r="K27" s="32"/>
    </row>
    <row r="28" spans="1:11" x14ac:dyDescent="0.3">
      <c r="A28" s="57"/>
      <c r="B28" s="59" t="s">
        <v>55</v>
      </c>
      <c r="C28" s="60"/>
      <c r="D28" s="60" t="str">
        <f>IF(AND(G28&gt;=J28,G28&lt;=K28),"","FORA DO LIMITE")</f>
        <v/>
      </c>
      <c r="E28" s="60"/>
      <c r="F28" s="61" t="s">
        <v>56</v>
      </c>
      <c r="G28" s="65">
        <v>1.0200000000000001E-2</v>
      </c>
      <c r="H28" s="66"/>
      <c r="I28" s="31"/>
      <c r="J28" s="32">
        <f>VLOOKUP($I$13,[7]Referências!A40:D46,2,FALSE)</f>
        <v>0</v>
      </c>
      <c r="K28" s="32">
        <f>VLOOKUP($I$13,[7]Referências!A40:D46,4,FALSE)</f>
        <v>1</v>
      </c>
    </row>
    <row r="29" spans="1:11" x14ac:dyDescent="0.3">
      <c r="A29" s="57"/>
      <c r="B29" s="63"/>
      <c r="C29" s="118"/>
      <c r="D29" s="118"/>
      <c r="E29" s="118"/>
      <c r="F29" s="51"/>
      <c r="G29" s="67"/>
      <c r="H29" s="66"/>
      <c r="I29" s="31"/>
      <c r="J29" s="32"/>
      <c r="K29" s="32"/>
    </row>
    <row r="30" spans="1:11" x14ac:dyDescent="0.3">
      <c r="A30" s="57"/>
      <c r="B30" s="68" t="s">
        <v>57</v>
      </c>
      <c r="C30" s="69"/>
      <c r="D30" s="69"/>
      <c r="E30" s="69"/>
      <c r="F30" s="70"/>
      <c r="G30" s="71"/>
      <c r="H30" s="72"/>
      <c r="I30" s="31"/>
      <c r="J30" s="32"/>
      <c r="K30" s="32"/>
    </row>
    <row r="31" spans="1:11" x14ac:dyDescent="0.3">
      <c r="A31" s="57"/>
      <c r="B31" s="120"/>
      <c r="C31" s="118"/>
      <c r="D31" s="118" t="str">
        <f>IF(AND(G31&gt;=J31,G31&lt;=K31),"","FORA DO LIMITE")</f>
        <v/>
      </c>
      <c r="E31" s="118"/>
      <c r="F31" s="51" t="s">
        <v>58</v>
      </c>
      <c r="G31" s="73">
        <v>3.2000000000000002E-3</v>
      </c>
      <c r="H31" s="74"/>
      <c r="I31" s="31"/>
      <c r="J31" s="32">
        <f>VLOOKUP($I$13,[7]Referências!A22:D28,2,FALSE)</f>
        <v>0</v>
      </c>
      <c r="K31" s="32">
        <f>VLOOKUP($I$13,[7]Referências!A22:D28,4,FALSE)</f>
        <v>1</v>
      </c>
    </row>
    <row r="32" spans="1:11" x14ac:dyDescent="0.3">
      <c r="A32" s="57"/>
      <c r="B32" s="75"/>
      <c r="C32" s="76"/>
      <c r="D32" s="76" t="str">
        <f>IF(AND(G32&gt;=J32,G32&lt;=K32),"","FORA DO LIMITE")</f>
        <v/>
      </c>
      <c r="E32" s="76"/>
      <c r="F32" s="77" t="s">
        <v>59</v>
      </c>
      <c r="G32" s="78">
        <v>7.1999999999999998E-3</v>
      </c>
      <c r="H32" s="58"/>
      <c r="I32" s="31"/>
      <c r="J32" s="32">
        <f>VLOOKUP($I$13,[7]Referências!A31:D37,2,FALSE)</f>
        <v>0</v>
      </c>
      <c r="K32" s="32">
        <f>VLOOKUP($I$13,[7]Referências!A31:D37,4,FALSE)</f>
        <v>1</v>
      </c>
    </row>
    <row r="33" spans="1:11" x14ac:dyDescent="0.3">
      <c r="A33" s="57"/>
      <c r="B33" s="118"/>
      <c r="C33" s="118"/>
      <c r="D33" s="118"/>
      <c r="E33" s="118"/>
      <c r="F33" s="51"/>
      <c r="G33" s="67"/>
      <c r="H33" s="74"/>
      <c r="I33" s="31"/>
      <c r="J33" s="32"/>
      <c r="K33" s="32"/>
    </row>
    <row r="34" spans="1:11" x14ac:dyDescent="0.3">
      <c r="A34" s="57"/>
      <c r="B34" s="37" t="s">
        <v>60</v>
      </c>
      <c r="C34" s="60"/>
      <c r="D34" s="60" t="str">
        <f>IF(AND(G34&gt;=J34,G34&lt;=K34),"","FORA DO LIMITE")</f>
        <v/>
      </c>
      <c r="E34" s="60"/>
      <c r="F34" s="61" t="s">
        <v>61</v>
      </c>
      <c r="G34" s="65">
        <v>7.4999999999999997E-2</v>
      </c>
      <c r="H34" s="74"/>
      <c r="I34" s="31"/>
      <c r="J34" s="32">
        <f>VLOOKUP($I$13,[7]Referências!A49:D55,2,FALSE)</f>
        <v>0</v>
      </c>
      <c r="K34" s="32">
        <f>VLOOKUP($I$13,[7]Referências!A49:D55,4,FALSE)</f>
        <v>1</v>
      </c>
    </row>
    <row r="35" spans="1:11" x14ac:dyDescent="0.3">
      <c r="A35" s="57"/>
      <c r="B35" s="118"/>
      <c r="C35" s="118"/>
      <c r="D35" s="118"/>
      <c r="E35" s="118"/>
      <c r="F35" s="51"/>
      <c r="G35" s="67"/>
      <c r="H35" s="74"/>
      <c r="I35" s="31"/>
      <c r="J35" s="32"/>
      <c r="K35" s="32"/>
    </row>
    <row r="36" spans="1:11" x14ac:dyDescent="0.3">
      <c r="A36" s="57"/>
      <c r="B36" s="68" t="s">
        <v>62</v>
      </c>
      <c r="C36" s="69"/>
      <c r="D36" s="69"/>
      <c r="E36" s="69"/>
      <c r="F36" s="70"/>
      <c r="G36" s="71"/>
      <c r="H36" s="74"/>
      <c r="I36" s="31"/>
      <c r="J36" s="32"/>
      <c r="K36" s="32"/>
    </row>
    <row r="37" spans="1:11" x14ac:dyDescent="0.3">
      <c r="A37" s="57"/>
      <c r="B37" s="79"/>
      <c r="C37" s="118"/>
      <c r="D37" s="118"/>
      <c r="E37" s="118"/>
      <c r="F37" s="51" t="str">
        <f>IF(AND(C10="X",C10&lt;&gt;C11,I14&lt;&gt;6,F11&lt;&gt;"X"),"INSS =","")</f>
        <v>INSS =</v>
      </c>
      <c r="G37" s="80">
        <f>IF(AND(C10="x",I14&lt;&gt;6,B12&lt;&gt;"SELECIONE SOMENTE UM TIPO DE BDI"),K37,"")</f>
        <v>4.4999999999999998E-2</v>
      </c>
      <c r="H37" s="81"/>
      <c r="I37" s="31"/>
      <c r="J37" s="32">
        <v>0</v>
      </c>
      <c r="K37" s="32">
        <v>4.4999999999999998E-2</v>
      </c>
    </row>
    <row r="38" spans="1:11" x14ac:dyDescent="0.3">
      <c r="A38" s="57"/>
      <c r="B38" s="463" t="str">
        <f>IF(AND(G38&lt;&gt;"",I14=6),"APAGUE O PERCENTUAL DESTA LINHA","")</f>
        <v/>
      </c>
      <c r="C38" s="455"/>
      <c r="D38" s="118" t="str">
        <f>IF(B38="APAGUE O PERCENTUAL DESTA LINHA","",IF(AND(G38&gt;=J38,G38&lt;=K38),"","FORA DO LIMITE"))</f>
        <v/>
      </c>
      <c r="E38" s="118"/>
      <c r="F38" s="51" t="str">
        <f>IF(I14=6,"","ISSQN =")</f>
        <v>ISSQN =</v>
      </c>
      <c r="G38" s="73">
        <v>0.03</v>
      </c>
      <c r="H38" s="81"/>
      <c r="I38" s="31"/>
      <c r="J38" s="32">
        <v>1.2E-2</v>
      </c>
      <c r="K38" s="32">
        <v>0.03</v>
      </c>
    </row>
    <row r="39" spans="1:11" x14ac:dyDescent="0.3">
      <c r="A39" s="57"/>
      <c r="B39" s="120"/>
      <c r="C39" s="118"/>
      <c r="D39" s="118" t="str">
        <f>IF(AND(G39&gt;=J39,G39&lt;=K39),"","FORA DO LIMITE")</f>
        <v/>
      </c>
      <c r="E39" s="118"/>
      <c r="F39" s="51" t="s">
        <v>63</v>
      </c>
      <c r="G39" s="82">
        <v>6.4999999999999997E-3</v>
      </c>
      <c r="H39" s="81"/>
      <c r="I39" s="31"/>
      <c r="J39" s="32">
        <v>6.4999999999999997E-3</v>
      </c>
      <c r="K39" s="32">
        <v>6.4999999999999997E-3</v>
      </c>
    </row>
    <row r="40" spans="1:11" x14ac:dyDescent="0.3">
      <c r="A40" s="57"/>
      <c r="B40" s="120"/>
      <c r="C40" s="118"/>
      <c r="D40" s="118" t="str">
        <f>IF(AND(G40&gt;=J40,G40&lt;=K40),"","FORA DO LIMITE")</f>
        <v/>
      </c>
      <c r="E40" s="118"/>
      <c r="F40" s="51" t="s">
        <v>64</v>
      </c>
      <c r="G40" s="82">
        <v>0.03</v>
      </c>
      <c r="H40" s="81"/>
      <c r="I40" s="31"/>
      <c r="J40" s="32">
        <v>0.03</v>
      </c>
      <c r="K40" s="32">
        <v>0.03</v>
      </c>
    </row>
    <row r="41" spans="1:11" x14ac:dyDescent="0.3">
      <c r="A41" s="57"/>
      <c r="B41" s="120"/>
      <c r="C41" s="118"/>
      <c r="D41" s="118"/>
      <c r="E41" s="118"/>
      <c r="F41" s="51" t="s">
        <v>158</v>
      </c>
      <c r="G41" s="82">
        <v>4.4999999999999998E-2</v>
      </c>
      <c r="H41" s="81"/>
      <c r="I41" s="31"/>
      <c r="J41" s="32"/>
      <c r="K41" s="32"/>
    </row>
    <row r="42" spans="1:11" x14ac:dyDescent="0.3">
      <c r="A42" s="57"/>
      <c r="B42" s="75"/>
      <c r="C42" s="76"/>
      <c r="D42" s="76"/>
      <c r="E42" s="76"/>
      <c r="F42" s="77" t="s">
        <v>65</v>
      </c>
      <c r="G42" s="83">
        <f>SUM(G38:G41)</f>
        <v>0.1115</v>
      </c>
      <c r="H42" s="74"/>
      <c r="I42" s="31"/>
      <c r="J42" s="32"/>
      <c r="K42" s="32"/>
    </row>
    <row r="43" spans="1:11" ht="15" thickBot="1" x14ac:dyDescent="0.35">
      <c r="A43" s="84"/>
      <c r="B43" s="52"/>
      <c r="C43" s="52"/>
      <c r="D43" s="52"/>
      <c r="E43" s="52"/>
      <c r="F43" s="85"/>
      <c r="G43" s="86"/>
      <c r="H43" s="87"/>
      <c r="I43" s="31"/>
      <c r="J43" s="32"/>
      <c r="K43" s="32"/>
    </row>
    <row r="44" spans="1:11" ht="15" thickBot="1" x14ac:dyDescent="0.35">
      <c r="A44" s="118"/>
      <c r="B44" s="118"/>
      <c r="C44" s="118"/>
      <c r="D44" s="118"/>
      <c r="E44" s="118"/>
      <c r="F44" s="131"/>
      <c r="G44" s="132"/>
      <c r="H44" s="133"/>
      <c r="I44" s="31"/>
      <c r="J44" s="32"/>
      <c r="K44" s="32"/>
    </row>
    <row r="45" spans="1:11" x14ac:dyDescent="0.3">
      <c r="A45" s="453" t="s">
        <v>66</v>
      </c>
      <c r="B45" s="454"/>
      <c r="C45" s="119"/>
      <c r="D45" s="119"/>
      <c r="E45" s="119"/>
      <c r="F45" s="119"/>
      <c r="G45" s="55"/>
      <c r="H45" s="56"/>
      <c r="I45" s="31"/>
      <c r="J45" s="32" t="s">
        <v>67</v>
      </c>
      <c r="K45" s="32"/>
    </row>
    <row r="46" spans="1:11" x14ac:dyDescent="0.3">
      <c r="A46" s="57"/>
      <c r="B46" s="118"/>
      <c r="C46" s="118"/>
      <c r="D46" s="118"/>
      <c r="E46" s="118"/>
      <c r="F46" s="118"/>
      <c r="G46" s="42"/>
      <c r="H46" s="58"/>
      <c r="I46" s="31"/>
      <c r="J46" s="88">
        <v>1</v>
      </c>
      <c r="K46" s="32" t="str">
        <f>IF(OR(B12="SELECIONE UM TIPO DE BDI",B12="SELECIONE SOMENTE UM TIPO DE BDI"),"VER TIPO DE BDI","OK")</f>
        <v>OK</v>
      </c>
    </row>
    <row r="47" spans="1:11" x14ac:dyDescent="0.3">
      <c r="A47" s="57"/>
      <c r="B47" s="118"/>
      <c r="C47" s="118"/>
      <c r="D47" s="118"/>
      <c r="E47" s="118"/>
      <c r="F47" s="118"/>
      <c r="G47" s="42"/>
      <c r="H47" s="58"/>
      <c r="I47" s="31"/>
      <c r="J47" s="88">
        <v>2</v>
      </c>
      <c r="K47" s="32" t="str">
        <f>IF(OR(B22="SELECIONE SOMENTE UM TIPO DE SERVIÇO",B22="SELECIONE UM TIPO DE SERVIÇO",B21="NÃO HÁ DESONERAÇÃO PARA FORNECIMENTO DE MATERIAIS"),"VER TIPO DE SERVIÇO","OK")</f>
        <v>OK</v>
      </c>
    </row>
    <row r="48" spans="1:11" x14ac:dyDescent="0.3">
      <c r="A48" s="57"/>
      <c r="B48" s="118"/>
      <c r="C48" s="118"/>
      <c r="D48" s="118"/>
      <c r="E48" s="118"/>
      <c r="F48" s="118"/>
      <c r="G48" s="42"/>
      <c r="H48" s="58"/>
      <c r="I48" s="31"/>
      <c r="J48" s="88">
        <v>3</v>
      </c>
      <c r="K48" s="32" t="str">
        <f>IF(OR(B23="SELECIONE SOMENTE UM TIPO DE SERVIÇO",B23="SELECIONE UM TIPO DE SERVIÇO",B22="NÃO HÁ DESONERAÇÃO PARA FORNECIMENTO DE MATERIAIS"),"VER TIPO DE SERVIÇO","OK")</f>
        <v>OK</v>
      </c>
    </row>
    <row r="49" spans="1:11" x14ac:dyDescent="0.3">
      <c r="A49" s="57"/>
      <c r="B49" s="118"/>
      <c r="C49" s="118"/>
      <c r="D49" s="118"/>
      <c r="E49" s="118"/>
      <c r="F49" s="118"/>
      <c r="G49" s="42"/>
      <c r="H49" s="58"/>
      <c r="I49" s="31"/>
      <c r="J49" s="88">
        <v>4</v>
      </c>
      <c r="K49" s="32" t="str">
        <f>IF(OR(B24="SELECIONE SOMENTE UM TIPO DE SERVIÇO",B24="SELECIONE UM TIPO DE SERVIÇO",B23="NÃO HÁ DESONERAÇÃO PARA FORNECIMENTO DE MATERIAIS"),"VER TIPO DE SERVIÇO","OK")</f>
        <v>OK</v>
      </c>
    </row>
    <row r="50" spans="1:11" x14ac:dyDescent="0.3">
      <c r="A50" s="57"/>
      <c r="B50" s="118"/>
      <c r="C50" s="118"/>
      <c r="D50" s="118"/>
      <c r="E50" s="118"/>
      <c r="F50" s="118"/>
      <c r="G50" s="42"/>
      <c r="H50" s="58"/>
      <c r="I50" s="31"/>
      <c r="J50" s="88"/>
      <c r="K50" s="32"/>
    </row>
    <row r="51" spans="1:11" x14ac:dyDescent="0.3">
      <c r="A51" s="57"/>
      <c r="B51" s="118"/>
      <c r="C51" s="118"/>
      <c r="D51" s="118"/>
      <c r="E51" s="118"/>
      <c r="F51" s="118"/>
      <c r="G51" s="42"/>
      <c r="H51" s="58"/>
      <c r="I51" s="31"/>
      <c r="J51" s="32"/>
      <c r="K51" s="32"/>
    </row>
    <row r="52" spans="1:11" x14ac:dyDescent="0.3">
      <c r="A52" s="57"/>
      <c r="B52" s="118"/>
      <c r="C52" s="118"/>
      <c r="D52" s="118"/>
      <c r="E52" s="118"/>
      <c r="F52" s="118"/>
      <c r="G52" s="42"/>
      <c r="H52" s="58"/>
      <c r="I52" s="31"/>
      <c r="J52" s="32"/>
      <c r="K52" s="32"/>
    </row>
    <row r="53" spans="1:11" x14ac:dyDescent="0.3">
      <c r="A53" s="57" t="s">
        <v>68</v>
      </c>
      <c r="B53" s="40" t="s">
        <v>69</v>
      </c>
      <c r="C53" s="118"/>
      <c r="D53" s="118"/>
      <c r="E53" s="118"/>
      <c r="F53" s="118"/>
      <c r="G53" s="42"/>
      <c r="H53" s="58"/>
      <c r="I53" s="31"/>
      <c r="J53" s="32"/>
      <c r="K53" s="32"/>
    </row>
    <row r="54" spans="1:11" x14ac:dyDescent="0.3">
      <c r="A54" s="57" t="s">
        <v>70</v>
      </c>
      <c r="B54" s="40" t="s">
        <v>71</v>
      </c>
      <c r="C54" s="118"/>
      <c r="D54" s="118"/>
      <c r="E54" s="118"/>
      <c r="F54" s="118"/>
      <c r="G54" s="42"/>
      <c r="H54" s="58"/>
      <c r="I54" s="31"/>
      <c r="J54" s="32"/>
      <c r="K54" s="32"/>
    </row>
    <row r="55" spans="1:11" x14ac:dyDescent="0.3">
      <c r="A55" s="57" t="s">
        <v>72</v>
      </c>
      <c r="B55" s="40" t="s">
        <v>73</v>
      </c>
      <c r="C55" s="118"/>
      <c r="D55" s="118"/>
      <c r="E55" s="118"/>
      <c r="F55" s="118"/>
      <c r="G55" s="42"/>
      <c r="H55" s="58"/>
      <c r="I55" s="31"/>
      <c r="J55" s="32"/>
      <c r="K55" s="32"/>
    </row>
    <row r="56" spans="1:11" x14ac:dyDescent="0.3">
      <c r="A56" s="57" t="s">
        <v>56</v>
      </c>
      <c r="B56" s="40" t="s">
        <v>74</v>
      </c>
      <c r="C56" s="118"/>
      <c r="D56" s="118"/>
      <c r="E56" s="118"/>
      <c r="F56" s="118"/>
      <c r="G56" s="42"/>
      <c r="H56" s="58"/>
      <c r="I56" s="31"/>
      <c r="J56" s="32"/>
      <c r="K56" s="32"/>
    </row>
    <row r="57" spans="1:11" x14ac:dyDescent="0.3">
      <c r="A57" s="57" t="s">
        <v>61</v>
      </c>
      <c r="B57" s="40" t="s">
        <v>75</v>
      </c>
      <c r="C57" s="118"/>
      <c r="D57" s="118"/>
      <c r="E57" s="118"/>
      <c r="F57" s="118"/>
      <c r="G57" s="42"/>
      <c r="H57" s="58"/>
      <c r="I57" s="31"/>
      <c r="J57" s="32"/>
      <c r="K57" s="32"/>
    </row>
    <row r="58" spans="1:11" x14ac:dyDescent="0.3">
      <c r="A58" s="57" t="s">
        <v>76</v>
      </c>
      <c r="B58" s="40" t="s">
        <v>77</v>
      </c>
      <c r="C58" s="118"/>
      <c r="D58" s="118"/>
      <c r="E58" s="118"/>
      <c r="F58" s="118"/>
      <c r="G58" s="42"/>
      <c r="H58" s="58"/>
      <c r="I58" s="31"/>
      <c r="J58" s="32"/>
      <c r="K58" s="32"/>
    </row>
    <row r="59" spans="1:11" ht="15" thickBot="1" x14ac:dyDescent="0.35">
      <c r="A59" s="84"/>
      <c r="B59" s="89"/>
      <c r="C59" s="52"/>
      <c r="D59" s="52"/>
      <c r="E59" s="52"/>
      <c r="F59" s="52"/>
      <c r="G59" s="90"/>
      <c r="H59" s="91"/>
      <c r="I59" s="31"/>
      <c r="J59" s="32"/>
      <c r="K59" s="32"/>
    </row>
    <row r="60" spans="1:11" ht="15" thickBot="1" x14ac:dyDescent="0.35">
      <c r="A60" s="118"/>
      <c r="B60" s="40"/>
      <c r="C60" s="118"/>
      <c r="D60" s="118"/>
      <c r="E60" s="118"/>
      <c r="F60" s="118"/>
      <c r="G60" s="42"/>
      <c r="H60" s="42"/>
      <c r="I60" s="31"/>
      <c r="J60" s="32"/>
      <c r="K60" s="32"/>
    </row>
    <row r="61" spans="1:11" x14ac:dyDescent="0.3">
      <c r="A61" s="453" t="s">
        <v>78</v>
      </c>
      <c r="B61" s="454"/>
      <c r="C61" s="92"/>
      <c r="D61" s="92"/>
      <c r="E61" s="454" t="s">
        <v>79</v>
      </c>
      <c r="F61" s="454"/>
      <c r="G61" s="55"/>
      <c r="H61" s="56"/>
      <c r="I61" s="93">
        <f>SUM(1+G26,G31,G32)</f>
        <v>1.0484000000000002</v>
      </c>
      <c r="J61" s="32"/>
      <c r="K61" s="32"/>
    </row>
    <row r="62" spans="1:11" x14ac:dyDescent="0.3">
      <c r="A62" s="117"/>
      <c r="B62" s="35"/>
      <c r="C62" s="118"/>
      <c r="D62" s="118"/>
      <c r="E62" s="118"/>
      <c r="F62" s="118"/>
      <c r="G62" s="42"/>
      <c r="H62" s="58"/>
      <c r="I62" s="31">
        <f>1+G28</f>
        <v>1.0102</v>
      </c>
      <c r="J62" s="32"/>
      <c r="K62" s="32"/>
    </row>
    <row r="63" spans="1:11" x14ac:dyDescent="0.3">
      <c r="A63" s="57"/>
      <c r="B63" s="94" t="s">
        <v>80</v>
      </c>
      <c r="C63" s="95">
        <v>0.19600000000000001</v>
      </c>
      <c r="D63" s="63" t="str">
        <f>IF(AND(C63&gt;I66,C11="X"),"BDI ABAIXO","")</f>
        <v/>
      </c>
      <c r="E63" s="94" t="s">
        <v>80</v>
      </c>
      <c r="F63" s="95">
        <v>0.25600000000000001</v>
      </c>
      <c r="G63" s="63" t="str">
        <f>IF(AND(F63&gt;I66,C10="X"),"BDI ABAIXO","")</f>
        <v/>
      </c>
      <c r="H63" s="58"/>
      <c r="I63" s="31">
        <f>1+G34</f>
        <v>1.075</v>
      </c>
      <c r="J63" s="32"/>
      <c r="K63" s="32"/>
    </row>
    <row r="64" spans="1:11" x14ac:dyDescent="0.3">
      <c r="A64" s="57"/>
      <c r="B64" s="94" t="s">
        <v>81</v>
      </c>
      <c r="C64" s="95">
        <v>0.24229999999999999</v>
      </c>
      <c r="D64" s="118"/>
      <c r="E64" s="94" t="s">
        <v>81</v>
      </c>
      <c r="F64" s="95">
        <v>0.30520000000000003</v>
      </c>
      <c r="G64" s="63" t="str">
        <f>IF(AND(F64&lt;I66,C10="X"),"BDI ACIMA","")</f>
        <v/>
      </c>
      <c r="H64" s="58"/>
      <c r="I64" s="31">
        <f>1-G42</f>
        <v>0.88849999999999996</v>
      </c>
      <c r="J64" s="32"/>
      <c r="K64" s="32"/>
    </row>
    <row r="65" spans="1:11" ht="15" thickBot="1" x14ac:dyDescent="0.35">
      <c r="A65" s="84"/>
      <c r="B65" s="89"/>
      <c r="C65" s="52"/>
      <c r="D65" s="96"/>
      <c r="E65" s="52"/>
      <c r="F65" s="96"/>
      <c r="G65" s="90"/>
      <c r="H65" s="91"/>
      <c r="I65" s="31">
        <f>I61*I62*I63/I64</f>
        <v>1.2814020326392799</v>
      </c>
      <c r="J65" s="32"/>
      <c r="K65" s="32"/>
    </row>
    <row r="66" spans="1:11" ht="15" thickBot="1" x14ac:dyDescent="0.35">
      <c r="A66" s="118"/>
      <c r="B66" s="118"/>
      <c r="C66" s="118"/>
      <c r="D66" s="118"/>
      <c r="E66" s="118"/>
      <c r="F66" s="118"/>
      <c r="G66" s="42"/>
      <c r="H66" s="42"/>
      <c r="I66" s="31">
        <f>ROUND(I65-1,4)</f>
        <v>0.28139999999999998</v>
      </c>
      <c r="J66" s="32"/>
      <c r="K66" s="32"/>
    </row>
    <row r="67" spans="1:11" ht="15" thickBot="1" x14ac:dyDescent="0.35">
      <c r="A67" s="118"/>
      <c r="B67" s="118"/>
      <c r="C67" s="118"/>
      <c r="D67" s="134"/>
      <c r="E67" s="456" t="s">
        <v>82</v>
      </c>
      <c r="F67" s="457"/>
      <c r="G67" s="135">
        <f>IF(AND(K46="OK",K47="OK",K48="OK",K49="OK"),I66,IF(K46="VER TIPO DE BDI","VER TIPO DE BDI",IF(K47="VER TIPO DE SERVIÇO","VER TIPO DE SERVIÇO",IF(K48="VER PERCENTUAIS","VER PERCENTUAIS",IF(K49="BDI FORA DO LIMITE","BDI FORA DO LIMITE","VÁRIOS ERROS")))))</f>
        <v>0.28139999999999998</v>
      </c>
      <c r="H67" s="136" t="str">
        <f>IF(AND(M67&gt;=P67,M67&lt;=Q67),"","FORA DO LIMITE")</f>
        <v/>
      </c>
      <c r="I67" s="97">
        <f>G73</f>
        <v>0.28139999999999998</v>
      </c>
      <c r="J67" s="32"/>
      <c r="K67" s="32"/>
    </row>
    <row r="68" spans="1:11" x14ac:dyDescent="0.3">
      <c r="A68" s="118"/>
      <c r="B68" s="118"/>
      <c r="C68" s="118"/>
      <c r="D68" s="118"/>
      <c r="E68" s="33"/>
      <c r="F68" s="33"/>
      <c r="G68" s="137"/>
      <c r="H68" s="137"/>
      <c r="I68" s="98"/>
      <c r="J68" s="32"/>
      <c r="K68" s="32"/>
    </row>
    <row r="69" spans="1:11" x14ac:dyDescent="0.3">
      <c r="A69" s="33"/>
      <c r="B69" s="35" t="s">
        <v>83</v>
      </c>
      <c r="C69" s="33"/>
      <c r="D69" s="33"/>
      <c r="E69" s="118"/>
      <c r="F69" s="118"/>
      <c r="G69" s="118"/>
      <c r="H69" s="118"/>
      <c r="I69" s="98"/>
      <c r="J69" s="32"/>
      <c r="K69" s="32"/>
    </row>
    <row r="70" spans="1:11" x14ac:dyDescent="0.3">
      <c r="A70" s="40"/>
      <c r="B70" s="7" t="s">
        <v>84</v>
      </c>
      <c r="C70" s="7"/>
      <c r="D70" s="7"/>
      <c r="E70" s="118"/>
      <c r="F70" s="118"/>
      <c r="G70" s="458"/>
      <c r="H70" s="458"/>
      <c r="I70" s="31"/>
      <c r="J70" s="32"/>
      <c r="K70" s="32"/>
    </row>
    <row r="71" spans="1:11" x14ac:dyDescent="0.3">
      <c r="A71" s="118"/>
      <c r="B71" s="7" t="s">
        <v>85</v>
      </c>
      <c r="C71" s="138"/>
      <c r="D71" s="118"/>
      <c r="E71" s="118"/>
      <c r="F71" s="118"/>
      <c r="G71" s="459"/>
      <c r="H71" s="459"/>
      <c r="I71" s="31"/>
      <c r="J71" s="32"/>
      <c r="K71" s="32"/>
    </row>
    <row r="72" spans="1:11" x14ac:dyDescent="0.3">
      <c r="A72" s="118"/>
      <c r="B72" s="7" t="s">
        <v>86</v>
      </c>
      <c r="C72" s="118"/>
      <c r="D72" s="118"/>
      <c r="E72" s="118"/>
      <c r="F72" s="139"/>
      <c r="G72" s="42"/>
      <c r="H72" s="42"/>
      <c r="I72" s="31"/>
      <c r="J72" s="32"/>
      <c r="K72" s="32"/>
    </row>
    <row r="73" spans="1:11" x14ac:dyDescent="0.3">
      <c r="A73" s="54"/>
      <c r="B73" s="54"/>
      <c r="C73" s="54"/>
      <c r="D73" s="54"/>
      <c r="E73" s="54"/>
      <c r="F73" s="99" t="s">
        <v>87</v>
      </c>
      <c r="G73" s="460">
        <f>I66</f>
        <v>0.28139999999999998</v>
      </c>
      <c r="H73" s="461"/>
      <c r="I73" s="31"/>
      <c r="J73" s="32"/>
      <c r="K73" s="32"/>
    </row>
  </sheetData>
  <mergeCells count="21">
    <mergeCell ref="E67:F67"/>
    <mergeCell ref="G70:H70"/>
    <mergeCell ref="G71:H71"/>
    <mergeCell ref="G73:H73"/>
    <mergeCell ref="A24:B24"/>
    <mergeCell ref="E24:F24"/>
    <mergeCell ref="B38:C38"/>
    <mergeCell ref="A45:B45"/>
    <mergeCell ref="A61:B61"/>
    <mergeCell ref="E61:F61"/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</mergeCells>
  <conditionalFormatting sqref="B12">
    <cfRule type="cellIs" dxfId="22" priority="18" operator="equal">
      <formula>"SELECIONE SOMENTE UM TIPO DE BDI"</formula>
    </cfRule>
  </conditionalFormatting>
  <conditionalFormatting sqref="B21">
    <cfRule type="cellIs" dxfId="21" priority="5" operator="equal">
      <formula>"NÃO HÁ DESONERAÇÃO PARA FORNECIMENTO DE MATERIAIS"</formula>
    </cfRule>
  </conditionalFormatting>
  <conditionalFormatting sqref="B22">
    <cfRule type="cellIs" dxfId="20" priority="24" operator="equal">
      <formula>"SELECIONE SOMENTE UM TIPO DE SERVIÇO"</formula>
    </cfRule>
  </conditionalFormatting>
  <conditionalFormatting sqref="B12:C12 E12:G12">
    <cfRule type="cellIs" dxfId="19" priority="8" operator="equal">
      <formula>"SELECIONE UM TIPO DE BDI"</formula>
    </cfRule>
  </conditionalFormatting>
  <conditionalFormatting sqref="B22:C22">
    <cfRule type="cellIs" dxfId="18" priority="7" operator="equal">
      <formula>"SELECIONE UM TIPO DE SERVIÇO"</formula>
    </cfRule>
  </conditionalFormatting>
  <conditionalFormatting sqref="B38:C38">
    <cfRule type="cellIs" dxfId="17" priority="17" operator="equal">
      <formula>"APAGUE O PERCENTUAL DESTA LINHA"</formula>
    </cfRule>
  </conditionalFormatting>
  <conditionalFormatting sqref="C10:C11 G16:G21 G26 G28 G31:G32 G34">
    <cfRule type="cellIs" dxfId="16" priority="15" operator="equal">
      <formula>0</formula>
    </cfRule>
  </conditionalFormatting>
  <conditionalFormatting sqref="D26 D38:D41">
    <cfRule type="cellIs" dxfId="15" priority="23" operator="equal">
      <formula>"FORA DO LIMITE"</formula>
    </cfRule>
  </conditionalFormatting>
  <conditionalFormatting sqref="D28">
    <cfRule type="cellIs" dxfId="14" priority="22" operator="equal">
      <formula>"FORA DO LIMITE"</formula>
    </cfRule>
  </conditionalFormatting>
  <conditionalFormatting sqref="D31:D32">
    <cfRule type="cellIs" dxfId="13" priority="20" operator="equal">
      <formula>"FORA DO LIMITE"</formula>
    </cfRule>
  </conditionalFormatting>
  <conditionalFormatting sqref="D34">
    <cfRule type="cellIs" dxfId="12" priority="19" operator="equal">
      <formula>"FORA DO LIMITE"</formula>
    </cfRule>
  </conditionalFormatting>
  <conditionalFormatting sqref="D63">
    <cfRule type="cellIs" dxfId="11" priority="4" operator="equal">
      <formula>"BDI ABAIXO"</formula>
    </cfRule>
  </conditionalFormatting>
  <conditionalFormatting sqref="E12">
    <cfRule type="cellIs" dxfId="10" priority="11" operator="equal">
      <formula>"SELECIONE SOMENTE UM TIPO DE BDI"</formula>
    </cfRule>
  </conditionalFormatting>
  <conditionalFormatting sqref="E12:G12">
    <cfRule type="cellIs" dxfId="9" priority="6" operator="equal">
      <formula>"SOMENTE HÁ DESONERAÇÃO PARA OBRAS"</formula>
    </cfRule>
    <cfRule type="cellIs" dxfId="8" priority="10" operator="equal">
      <formula>"NÃO HÁ PROJETO PARA FORNECIMENTO"</formula>
    </cfRule>
  </conditionalFormatting>
  <conditionalFormatting sqref="G38:G41">
    <cfRule type="cellIs" dxfId="7" priority="9" operator="equal">
      <formula>0</formula>
    </cfRule>
  </conditionalFormatting>
  <conditionalFormatting sqref="G63">
    <cfRule type="cellIs" dxfId="6" priority="3" operator="equal">
      <formula>"BDI ABAIXO"</formula>
    </cfRule>
  </conditionalFormatting>
  <conditionalFormatting sqref="G64">
    <cfRule type="cellIs" dxfId="5" priority="2" operator="equal">
      <formula>"BDI ACIMA"</formula>
    </cfRule>
  </conditionalFormatting>
  <conditionalFormatting sqref="G67:H68">
    <cfRule type="cellIs" dxfId="4" priority="1" operator="equal">
      <formula>"VER PERCENTUAIS"</formula>
    </cfRule>
    <cfRule type="cellIs" dxfId="3" priority="12" operator="equal">
      <formula>"VÁRIOS ERROS"</formula>
    </cfRule>
    <cfRule type="cellIs" dxfId="2" priority="13" operator="equal">
      <formula>"BDI FORA DO LIMITE"</formula>
    </cfRule>
    <cfRule type="cellIs" dxfId="1" priority="14" operator="equal">
      <formula>"VER TIPO DE BDI"</formula>
    </cfRule>
    <cfRule type="cellIs" dxfId="0" priority="16" operator="equal">
      <formula>"VER TIPO DE SERVIÇO"</formula>
    </cfRule>
  </conditionalFormatting>
  <dataValidations count="3">
    <dataValidation allowBlank="1" promptTitle="Alerta" prompt="Digite somente 'X'" sqref="F10:F11" xr:uid="{00000000-0002-0000-0C00-000000000000}"/>
    <dataValidation type="decimal" allowBlank="1" showInputMessage="1" showErrorMessage="1" sqref="G38:G42 G26:G36" xr:uid="{00000000-0002-0000-0C00-000001000000}">
      <formula1>0</formula1>
      <formula2>100</formula2>
    </dataValidation>
    <dataValidation type="list" allowBlank="1" showInputMessage="1" showErrorMessage="1" promptTitle="Alerta" prompt="Digite somente 'X'" sqref="G16:G21 C10:C11" xr:uid="{00000000-0002-0000-0C00-000002000000}">
      <formula1>"x,X"</formula1>
    </dataValidation>
  </dataValidations>
  <pageMargins left="0.51181102362204722" right="0.51181102362204722" top="1.7716535433070868" bottom="1.1811023622047245" header="0.51181102362204722" footer="0.51181102362204722"/>
  <pageSetup paperSize="9" scale="70" fitToHeight="0" orientation="portrait" r:id="rId1"/>
  <headerFooter>
    <oddHeader>&amp;C&amp;G</oddHeader>
    <oddFooter xml:space="preserve">&amp;R
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  <pageSetUpPr fitToPage="1"/>
  </sheetPr>
  <dimension ref="A1:L33"/>
  <sheetViews>
    <sheetView view="pageBreakPreview" zoomScaleNormal="100" zoomScaleSheetLayoutView="100" workbookViewId="0">
      <selection activeCell="I6" sqref="I6"/>
    </sheetView>
  </sheetViews>
  <sheetFormatPr defaultRowHeight="14.4" x14ac:dyDescent="0.3"/>
  <cols>
    <col min="1" max="1" width="35.33203125" bestFit="1" customWidth="1"/>
    <col min="2" max="2" width="20.33203125" customWidth="1"/>
    <col min="3" max="3" width="16.6640625" bestFit="1" customWidth="1"/>
    <col min="4" max="4" width="15.44140625" customWidth="1"/>
    <col min="5" max="5" width="7.44140625" customWidth="1"/>
    <col min="6" max="6" width="8.109375" customWidth="1"/>
    <col min="7" max="7" width="22.44140625" bestFit="1" customWidth="1"/>
    <col min="8" max="8" width="6.5546875" bestFit="1" customWidth="1"/>
    <col min="9" max="9" width="15.88671875" bestFit="1" customWidth="1"/>
    <col min="10" max="10" width="13.88671875" customWidth="1"/>
    <col min="12" max="12" width="14" bestFit="1" customWidth="1"/>
  </cols>
  <sheetData>
    <row r="1" spans="1:9" x14ac:dyDescent="0.3">
      <c r="A1" s="12" t="s">
        <v>0</v>
      </c>
      <c r="B1" s="357" t="s">
        <v>1</v>
      </c>
      <c r="C1" s="357"/>
      <c r="D1" s="360" t="s">
        <v>2</v>
      </c>
      <c r="E1" s="361"/>
      <c r="F1" s="372" t="s">
        <v>332</v>
      </c>
      <c r="G1" s="370" t="s">
        <v>3</v>
      </c>
      <c r="H1" s="372" t="s">
        <v>332</v>
      </c>
    </row>
    <row r="2" spans="1:9" x14ac:dyDescent="0.3">
      <c r="A2" s="12" t="s">
        <v>4</v>
      </c>
      <c r="B2" s="357" t="s">
        <v>323</v>
      </c>
      <c r="C2" s="357"/>
      <c r="D2" s="362"/>
      <c r="E2" s="363"/>
      <c r="F2" s="373"/>
      <c r="G2" s="371"/>
      <c r="H2" s="373"/>
    </row>
    <row r="3" spans="1:9" x14ac:dyDescent="0.3">
      <c r="A3" s="12" t="s">
        <v>5</v>
      </c>
      <c r="B3" s="353" t="s">
        <v>324</v>
      </c>
      <c r="C3" s="353"/>
      <c r="D3" s="358" t="s">
        <v>6</v>
      </c>
      <c r="E3" s="358"/>
      <c r="F3" s="163">
        <v>0.21959999999999999</v>
      </c>
      <c r="G3" s="167" t="s">
        <v>6</v>
      </c>
      <c r="H3" s="163">
        <v>0.28139999999999998</v>
      </c>
    </row>
    <row r="4" spans="1:9" x14ac:dyDescent="0.3">
      <c r="A4" s="12" t="s">
        <v>7</v>
      </c>
      <c r="B4" s="359" t="s">
        <v>322</v>
      </c>
      <c r="C4" s="359"/>
      <c r="D4" s="358" t="s">
        <v>8</v>
      </c>
      <c r="E4" s="358"/>
      <c r="F4" s="163">
        <f>ENCARGOS!E39</f>
        <v>1.1333</v>
      </c>
      <c r="G4" s="10" t="s">
        <v>8</v>
      </c>
      <c r="H4" s="163">
        <f>ENCARGOS!C39</f>
        <v>0.90659999999999985</v>
      </c>
    </row>
    <row r="5" spans="1:9" x14ac:dyDescent="0.3">
      <c r="A5" s="1"/>
      <c r="B5" s="2" t="s">
        <v>9</v>
      </c>
      <c r="C5" s="2" t="s">
        <v>10</v>
      </c>
      <c r="D5" s="3"/>
      <c r="E5" s="3"/>
      <c r="F5" s="3"/>
      <c r="G5" s="3"/>
      <c r="H5" s="15"/>
    </row>
    <row r="6" spans="1:9" x14ac:dyDescent="0.3">
      <c r="A6" s="8" t="s">
        <v>11</v>
      </c>
      <c r="B6" s="166">
        <f>'RESUMO SD '!F25</f>
        <v>1824756.5699999998</v>
      </c>
      <c r="C6" s="166">
        <f>'RESUMO CD  '!F25</f>
        <v>1835210.6400000001</v>
      </c>
      <c r="D6" s="3"/>
      <c r="E6" s="3"/>
      <c r="F6" s="3"/>
      <c r="G6" s="4"/>
      <c r="I6" s="186"/>
    </row>
    <row r="7" spans="1:9" x14ac:dyDescent="0.3">
      <c r="A7" s="8" t="s">
        <v>12</v>
      </c>
      <c r="B7" s="166">
        <f>B6/B25</f>
        <v>140.37668820678513</v>
      </c>
      <c r="C7" s="166">
        <f>C6/B25</f>
        <v>141.18090930071546</v>
      </c>
      <c r="D7" s="3"/>
      <c r="E7" s="3"/>
      <c r="F7" s="3"/>
      <c r="G7" s="4"/>
    </row>
    <row r="8" spans="1:9" x14ac:dyDescent="0.3">
      <c r="A8" s="5"/>
      <c r="B8" s="4"/>
      <c r="C8" s="3"/>
      <c r="D8" s="3"/>
      <c r="E8" s="3"/>
      <c r="F8" s="3"/>
      <c r="G8" s="4"/>
    </row>
    <row r="9" spans="1:9" x14ac:dyDescent="0.3">
      <c r="A9" s="6" t="s">
        <v>13</v>
      </c>
      <c r="B9" s="374" t="s">
        <v>14</v>
      </c>
      <c r="C9" s="375"/>
      <c r="D9" s="376"/>
      <c r="E9" s="376"/>
      <c r="F9" s="3"/>
      <c r="G9" s="3"/>
    </row>
    <row r="10" spans="1:9" x14ac:dyDescent="0.3">
      <c r="A10" s="170" t="s">
        <v>419</v>
      </c>
      <c r="B10" s="176">
        <f>MC!C25</f>
        <v>306</v>
      </c>
      <c r="C10" s="171" t="s">
        <v>15</v>
      </c>
      <c r="D10" s="11"/>
      <c r="E10" s="11"/>
      <c r="F10" s="3"/>
      <c r="G10" s="4"/>
    </row>
    <row r="11" spans="1:9" x14ac:dyDescent="0.3">
      <c r="A11" s="170" t="s">
        <v>420</v>
      </c>
      <c r="B11" s="176">
        <f>MC!C80</f>
        <v>570</v>
      </c>
      <c r="C11" s="171" t="s">
        <v>15</v>
      </c>
      <c r="D11" s="11"/>
      <c r="E11" s="11"/>
      <c r="F11" s="3"/>
      <c r="G11" s="4"/>
    </row>
    <row r="12" spans="1:9" x14ac:dyDescent="0.3">
      <c r="A12" s="170" t="s">
        <v>421</v>
      </c>
      <c r="B12" s="176">
        <f>MC!C135</f>
        <v>390</v>
      </c>
      <c r="C12" s="171" t="s">
        <v>15</v>
      </c>
      <c r="D12" s="11"/>
      <c r="E12" s="11"/>
      <c r="F12" s="3"/>
      <c r="G12" s="4"/>
    </row>
    <row r="13" spans="1:9" x14ac:dyDescent="0.3">
      <c r="A13" s="170" t="s">
        <v>422</v>
      </c>
      <c r="B13" s="176">
        <f>MC!C190</f>
        <v>288</v>
      </c>
      <c r="C13" s="171" t="s">
        <v>15</v>
      </c>
      <c r="D13" s="11"/>
      <c r="E13" s="11"/>
      <c r="F13" s="3"/>
      <c r="G13" s="4"/>
    </row>
    <row r="14" spans="1:9" x14ac:dyDescent="0.3">
      <c r="A14" s="170" t="s">
        <v>423</v>
      </c>
      <c r="B14" s="176">
        <f>MC!C245</f>
        <v>150</v>
      </c>
      <c r="C14" s="171" t="s">
        <v>15</v>
      </c>
      <c r="D14" s="11"/>
      <c r="E14" s="11"/>
      <c r="F14" s="3"/>
      <c r="G14" s="4"/>
    </row>
    <row r="15" spans="1:9" x14ac:dyDescent="0.3">
      <c r="A15" s="170" t="s">
        <v>326</v>
      </c>
      <c r="B15" s="176">
        <f>MC!C300</f>
        <v>3798</v>
      </c>
      <c r="C15" s="171" t="s">
        <v>15</v>
      </c>
      <c r="D15" s="11"/>
      <c r="E15" s="11"/>
      <c r="F15" s="3"/>
      <c r="G15" s="4"/>
    </row>
    <row r="16" spans="1:9" ht="20.399999999999999" x14ac:dyDescent="0.3">
      <c r="A16" s="170" t="s">
        <v>321</v>
      </c>
      <c r="B16" s="176">
        <f>MC!C355</f>
        <v>780</v>
      </c>
      <c r="C16" s="171" t="s">
        <v>15</v>
      </c>
      <c r="D16" s="11"/>
      <c r="E16" s="11"/>
      <c r="F16" s="3"/>
      <c r="G16" s="4"/>
    </row>
    <row r="17" spans="1:12" x14ac:dyDescent="0.3">
      <c r="A17" s="170" t="s">
        <v>320</v>
      </c>
      <c r="B17" s="176">
        <f>MC!C410</f>
        <v>1740</v>
      </c>
      <c r="C17" s="171" t="s">
        <v>15</v>
      </c>
      <c r="D17" s="11"/>
      <c r="E17" s="11"/>
      <c r="F17" s="3"/>
      <c r="G17" s="4"/>
    </row>
    <row r="18" spans="1:12" x14ac:dyDescent="0.3">
      <c r="A18" s="170" t="s">
        <v>424</v>
      </c>
      <c r="B18" s="176">
        <f>MC!C465</f>
        <v>642</v>
      </c>
      <c r="C18" s="171" t="s">
        <v>15</v>
      </c>
      <c r="D18" s="11"/>
      <c r="E18" s="11"/>
      <c r="F18" s="3"/>
      <c r="G18" s="4"/>
    </row>
    <row r="19" spans="1:12" x14ac:dyDescent="0.3">
      <c r="A19" s="170" t="s">
        <v>425</v>
      </c>
      <c r="B19" s="176">
        <f>MC!C520</f>
        <v>822</v>
      </c>
      <c r="C19" s="171" t="s">
        <v>15</v>
      </c>
      <c r="D19" s="11"/>
      <c r="E19" s="11"/>
      <c r="F19" s="3"/>
      <c r="G19" s="4"/>
    </row>
    <row r="20" spans="1:12" x14ac:dyDescent="0.3">
      <c r="A20" s="170" t="s">
        <v>427</v>
      </c>
      <c r="B20" s="176">
        <f>MC!C575</f>
        <v>1020</v>
      </c>
      <c r="C20" s="171" t="s">
        <v>15</v>
      </c>
      <c r="D20" s="11"/>
      <c r="E20" s="11"/>
      <c r="F20" s="3"/>
      <c r="G20" s="4"/>
    </row>
    <row r="21" spans="1:12" x14ac:dyDescent="0.3">
      <c r="A21" s="170" t="s">
        <v>426</v>
      </c>
      <c r="B21" s="176">
        <f>MC!C629</f>
        <v>120</v>
      </c>
      <c r="C21" s="171" t="s">
        <v>15</v>
      </c>
      <c r="D21" s="11"/>
      <c r="E21" s="11"/>
      <c r="F21" s="3"/>
      <c r="G21" s="4"/>
    </row>
    <row r="22" spans="1:12" x14ac:dyDescent="0.3">
      <c r="A22" s="170" t="s">
        <v>318</v>
      </c>
      <c r="B22" s="176">
        <f>MC!C684</f>
        <v>1617</v>
      </c>
      <c r="C22" s="171" t="s">
        <v>15</v>
      </c>
      <c r="D22" s="11"/>
      <c r="E22" s="11"/>
      <c r="F22" s="3"/>
      <c r="G22" s="4"/>
    </row>
    <row r="23" spans="1:12" x14ac:dyDescent="0.3">
      <c r="A23" s="170" t="s">
        <v>319</v>
      </c>
      <c r="B23" s="176">
        <f>MC!C739</f>
        <v>756</v>
      </c>
      <c r="C23" s="171" t="s">
        <v>15</v>
      </c>
      <c r="D23" s="11"/>
      <c r="E23" s="11"/>
      <c r="F23" s="3"/>
      <c r="G23" s="4"/>
    </row>
    <row r="24" spans="1:12" x14ac:dyDescent="0.3">
      <c r="A24" s="3"/>
      <c r="B24" s="7"/>
      <c r="C24" s="3"/>
      <c r="D24" s="3"/>
      <c r="E24" s="3"/>
      <c r="F24" s="4"/>
      <c r="G24" s="4"/>
    </row>
    <row r="25" spans="1:12" x14ac:dyDescent="0.3">
      <c r="A25" s="12" t="s">
        <v>16</v>
      </c>
      <c r="B25" s="174">
        <f>SUM(B10:B23)</f>
        <v>12999</v>
      </c>
      <c r="C25" s="174" t="str">
        <f>C10</f>
        <v>m²</v>
      </c>
      <c r="D25" s="13"/>
      <c r="E25" s="7"/>
      <c r="F25" s="3"/>
      <c r="G25" s="3"/>
    </row>
    <row r="26" spans="1:12" x14ac:dyDescent="0.3">
      <c r="A26" s="3"/>
      <c r="B26" s="3"/>
      <c r="C26" s="3"/>
      <c r="D26" s="3"/>
      <c r="E26" s="3"/>
      <c r="F26" s="3"/>
      <c r="G26" s="3"/>
    </row>
    <row r="27" spans="1:12" x14ac:dyDescent="0.3">
      <c r="A27" s="356"/>
      <c r="B27" s="356"/>
      <c r="C27" s="356"/>
      <c r="D27" s="356"/>
      <c r="E27" s="356"/>
      <c r="F27" s="356"/>
      <c r="G27" s="3"/>
    </row>
    <row r="28" spans="1:12" x14ac:dyDescent="0.3">
      <c r="A28" s="368" t="s">
        <v>17</v>
      </c>
      <c r="B28" s="368"/>
      <c r="C28" s="368"/>
      <c r="D28" s="368"/>
      <c r="E28" s="368"/>
      <c r="F28" s="368"/>
      <c r="G28" s="8" t="s">
        <v>18</v>
      </c>
    </row>
    <row r="29" spans="1:12" x14ac:dyDescent="0.3">
      <c r="A29" s="364" t="s">
        <v>19</v>
      </c>
      <c r="B29" s="365"/>
      <c r="C29" s="9" t="s">
        <v>20</v>
      </c>
      <c r="D29" s="366" t="s">
        <v>11</v>
      </c>
      <c r="E29" s="367"/>
      <c r="F29" s="9" t="s">
        <v>21</v>
      </c>
      <c r="G29" s="153">
        <v>0.5</v>
      </c>
    </row>
    <row r="30" spans="1:12" ht="24.75" customHeight="1" x14ac:dyDescent="0.3">
      <c r="A30" s="369" t="s">
        <v>253</v>
      </c>
      <c r="B30" s="353"/>
      <c r="C30" s="176">
        <f>'ORÇAMENTO SD'!E17+'ORÇAMENTO SD'!E36+'ORÇAMENTO SD'!E55+'ORÇAMENTO SD'!E74+'ORÇAMENTO SD'!E93+'ORÇAMENTO SD'!E112+'ORÇAMENTO SD'!E131+'ORÇAMENTO SD'!E150+'ORÇAMENTO SD'!E169+'ORÇAMENTO SD'!E188+'ORÇAMENTO SD'!E207+'ORÇAMENTO SD'!E226+'ORÇAMENTO SD'!E245+'ORÇAMENTO SD'!E264</f>
        <v>12999</v>
      </c>
      <c r="D30" s="354">
        <f>'ORÇAMENTO SD'!H17+'ORÇAMENTO SD'!H36+'ORÇAMENTO SD'!H55+'ORÇAMENTO SD'!H74+'ORÇAMENTO SD'!H93+'ORÇAMENTO SD'!H112+'ORÇAMENTO SD'!H131+'ORÇAMENTO SD'!H150+'ORÇAMENTO SD'!H169+'ORÇAMENTO SD'!H188+'ORÇAMENTO SD'!H207+'ORÇAMENTO SD'!H226+'ORÇAMENTO SD'!H245+'ORÇAMENTO SD'!H264</f>
        <v>1248943.92</v>
      </c>
      <c r="E30" s="355"/>
      <c r="F30" s="14">
        <f>D30/B6</f>
        <v>0.68444412834748691</v>
      </c>
      <c r="G30" s="176">
        <f>G29*C30</f>
        <v>6499.5</v>
      </c>
      <c r="I30" s="250">
        <f>C30*'ORÇAMENTO SD'!G207</f>
        <v>1248943.92</v>
      </c>
      <c r="J30" s="186">
        <f>I30-D30</f>
        <v>0</v>
      </c>
      <c r="L30" s="186"/>
    </row>
    <row r="31" spans="1:12" ht="30.75" customHeight="1" x14ac:dyDescent="0.3">
      <c r="A31" s="353" t="s">
        <v>22</v>
      </c>
      <c r="B31" s="353"/>
      <c r="C31" s="176">
        <f>'ORÇAMENTO SD'!E20+'ORÇAMENTO SD'!E39+'ORÇAMENTO SD'!E58+'ORÇAMENTO SD'!E77+'ORÇAMENTO SD'!E96+'ORÇAMENTO SD'!E115+'ORÇAMENTO SD'!E134+'ORÇAMENTO SD'!E153+'ORÇAMENTO SD'!E172+'ORÇAMENTO SD'!E191+'ORÇAMENTO SD'!E210+'ORÇAMENTO SD'!E229+'ORÇAMENTO SD'!E248+'ORÇAMENTO SD'!E267</f>
        <v>4426</v>
      </c>
      <c r="D31" s="354">
        <f>'ORÇAMENTO SD'!H20+'ORÇAMENTO SD'!H39+'ORÇAMENTO SD'!H58+'ORÇAMENTO SD'!H77+'ORÇAMENTO SD'!H96+'ORÇAMENTO SD'!H115+'ORÇAMENTO SD'!H134+'ORÇAMENTO SD'!H153+'ORÇAMENTO SD'!H172+'ORÇAMENTO SD'!H191+'ORÇAMENTO SD'!H210+'ORÇAMENTO SD'!H229+'ORÇAMENTO SD'!H248+'ORÇAMENTO SD'!H267</f>
        <v>223778.55999999997</v>
      </c>
      <c r="E31" s="355"/>
      <c r="F31" s="14">
        <f>D31/B6</f>
        <v>0.12263474683639582</v>
      </c>
      <c r="G31" s="176">
        <f>G29*C31</f>
        <v>2213</v>
      </c>
      <c r="I31">
        <f>C31*'ORÇAMENTO SD'!G210</f>
        <v>223778.56</v>
      </c>
      <c r="J31" s="186">
        <f>D31-I31</f>
        <v>0</v>
      </c>
    </row>
    <row r="32" spans="1:12" x14ac:dyDescent="0.3">
      <c r="A32" s="3"/>
      <c r="B32" s="3"/>
      <c r="C32" s="3"/>
      <c r="D32" s="3"/>
      <c r="E32" s="3"/>
      <c r="F32" s="3"/>
      <c r="G32" s="3"/>
      <c r="I32">
        <f>110+55+105+683+130+290+276+206+201+126</f>
        <v>2182</v>
      </c>
    </row>
    <row r="33" spans="9:9" x14ac:dyDescent="0.3">
      <c r="I33">
        <f>I32*2</f>
        <v>4364</v>
      </c>
    </row>
  </sheetData>
  <mergeCells count="20">
    <mergeCell ref="G1:G2"/>
    <mergeCell ref="F1:F2"/>
    <mergeCell ref="H1:H2"/>
    <mergeCell ref="B1:C1"/>
    <mergeCell ref="B9:C9"/>
    <mergeCell ref="D9:E9"/>
    <mergeCell ref="A31:B31"/>
    <mergeCell ref="D31:E31"/>
    <mergeCell ref="A27:F27"/>
    <mergeCell ref="B2:C2"/>
    <mergeCell ref="B3:C3"/>
    <mergeCell ref="D3:E3"/>
    <mergeCell ref="B4:C4"/>
    <mergeCell ref="D4:E4"/>
    <mergeCell ref="D1:E2"/>
    <mergeCell ref="A29:B29"/>
    <mergeCell ref="D29:E29"/>
    <mergeCell ref="A28:F28"/>
    <mergeCell ref="A30:B30"/>
    <mergeCell ref="D30:E30"/>
  </mergeCells>
  <phoneticPr fontId="17" type="noConversion"/>
  <pageMargins left="0.51181102362204722" right="0.51181102362204722" top="1.7716535433070868" bottom="1.1811023622047245" header="0.51181102362204722" footer="0.51181102362204722"/>
  <pageSetup paperSize="9" scale="67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G25"/>
  <sheetViews>
    <sheetView view="pageBreakPreview" topLeftCell="A8" zoomScaleNormal="100" zoomScaleSheetLayoutView="100" workbookViewId="0">
      <selection activeCell="E8" sqref="E8:F8"/>
    </sheetView>
  </sheetViews>
  <sheetFormatPr defaultColWidth="6.5546875" defaultRowHeight="14.4" x14ac:dyDescent="0.3"/>
  <cols>
    <col min="1" max="1" width="10" customWidth="1"/>
    <col min="2" max="2" width="56.88671875" customWidth="1"/>
    <col min="3" max="3" width="10" customWidth="1"/>
    <col min="4" max="4" width="11" customWidth="1"/>
    <col min="5" max="6" width="17.5546875" customWidth="1"/>
    <col min="7" max="7" width="22.44140625" bestFit="1" customWidth="1"/>
  </cols>
  <sheetData>
    <row r="1" spans="1:7" x14ac:dyDescent="0.3">
      <c r="A1" s="381" t="s">
        <v>39</v>
      </c>
      <c r="B1" s="381"/>
      <c r="C1" s="381"/>
      <c r="D1" s="381"/>
      <c r="E1" s="381"/>
      <c r="F1" s="381"/>
    </row>
    <row r="2" spans="1:7" ht="20.399999999999999" x14ac:dyDescent="0.3">
      <c r="A2" s="382" t="str">
        <f>CONCATENATE("PAVIMENTAÇÃO DE VIAS PÚBLICAS NO MUNÍCIO DE ",'GERAL '!B2," - PI")</f>
        <v>PAVIMENTAÇÃO DE VIAS PÚBLICAS NO MUNÍCIO DE JOSÉ DE FREITAS - PI</v>
      </c>
      <c r="B2" s="383"/>
      <c r="C2" s="384" t="s">
        <v>432</v>
      </c>
      <c r="D2" s="384"/>
      <c r="E2" s="16" t="s">
        <v>313</v>
      </c>
      <c r="F2" s="17" t="s">
        <v>312</v>
      </c>
    </row>
    <row r="3" spans="1:7" x14ac:dyDescent="0.3">
      <c r="A3" s="385" t="str">
        <f>CONCATENATE("LOCAL: ", 'GERAL '!B3)</f>
        <v>LOCAL: DIVERSAS</v>
      </c>
      <c r="B3" s="386"/>
      <c r="C3" s="386"/>
      <c r="D3" s="386"/>
      <c r="E3" s="18" t="s">
        <v>23</v>
      </c>
      <c r="F3" s="19">
        <f>'GERAL '!B25</f>
        <v>12999</v>
      </c>
    </row>
    <row r="4" spans="1:7" x14ac:dyDescent="0.3">
      <c r="A4" s="377" t="s">
        <v>24</v>
      </c>
      <c r="B4" s="377" t="s">
        <v>25</v>
      </c>
      <c r="C4" s="377" t="s">
        <v>26</v>
      </c>
      <c r="D4" s="379" t="s">
        <v>27</v>
      </c>
      <c r="E4" s="387" t="s">
        <v>28</v>
      </c>
      <c r="F4" s="388"/>
    </row>
    <row r="5" spans="1:7" x14ac:dyDescent="0.3">
      <c r="A5" s="378"/>
      <c r="B5" s="378"/>
      <c r="C5" s="378"/>
      <c r="D5" s="380"/>
      <c r="E5" s="389"/>
      <c r="F5" s="390"/>
    </row>
    <row r="6" spans="1:7" ht="20.100000000000001" customHeight="1" x14ac:dyDescent="0.3">
      <c r="A6" s="20" t="s">
        <v>29</v>
      </c>
      <c r="B6" s="394" t="s">
        <v>30</v>
      </c>
      <c r="C6" s="395"/>
      <c r="D6" s="395"/>
      <c r="E6" s="396">
        <f>SUM(E7:F8)</f>
        <v>30360.63</v>
      </c>
      <c r="F6" s="397"/>
    </row>
    <row r="7" spans="1:7" ht="20.100000000000001" customHeight="1" x14ac:dyDescent="0.3">
      <c r="A7" s="21" t="s">
        <v>31</v>
      </c>
      <c r="B7" s="28" t="s">
        <v>36</v>
      </c>
      <c r="C7" s="22" t="s">
        <v>15</v>
      </c>
      <c r="D7" s="29">
        <f>'ORÇAMENTO SD'!E9</f>
        <v>6</v>
      </c>
      <c r="E7" s="391">
        <f>'ORÇAMENTO SD'!H9</f>
        <v>3398.22</v>
      </c>
      <c r="F7" s="392"/>
    </row>
    <row r="8" spans="1:7" ht="20.100000000000001" customHeight="1" x14ac:dyDescent="0.3">
      <c r="A8" s="21" t="s">
        <v>31</v>
      </c>
      <c r="B8" s="28" t="s">
        <v>37</v>
      </c>
      <c r="C8" s="22" t="s">
        <v>38</v>
      </c>
      <c r="D8" s="29">
        <f>'ORÇAMENTO SD'!E10</f>
        <v>3</v>
      </c>
      <c r="E8" s="391">
        <f>'ORÇAMENTO SD'!H10</f>
        <v>26962.41</v>
      </c>
      <c r="F8" s="392"/>
    </row>
    <row r="9" spans="1:7" ht="20.100000000000001" customHeight="1" x14ac:dyDescent="0.3">
      <c r="A9" s="20" t="s">
        <v>32</v>
      </c>
      <c r="B9" s="394" t="s">
        <v>33</v>
      </c>
      <c r="C9" s="395"/>
      <c r="D9" s="395"/>
      <c r="E9" s="396">
        <f>SUM(E10:F23)</f>
        <v>1794395.94</v>
      </c>
      <c r="F9" s="397"/>
    </row>
    <row r="10" spans="1:7" ht="20.100000000000001" customHeight="1" x14ac:dyDescent="0.3">
      <c r="A10" s="21" t="s">
        <v>34</v>
      </c>
      <c r="B10" s="28" t="str">
        <f>'GERAL '!A10</f>
        <v>RUA ANTONIO ANANIAS SAMPAIO</v>
      </c>
      <c r="C10" s="22" t="s">
        <v>15</v>
      </c>
      <c r="D10" s="30">
        <f>'GERAL '!B10</f>
        <v>306</v>
      </c>
      <c r="E10" s="391">
        <f>'ORÇAMENTO SD'!H12</f>
        <v>43657.840000000004</v>
      </c>
      <c r="F10" s="392"/>
      <c r="G10" s="185">
        <f>SUM(D10:D23)</f>
        <v>12999</v>
      </c>
    </row>
    <row r="11" spans="1:7" ht="20.100000000000001" customHeight="1" x14ac:dyDescent="0.3">
      <c r="A11" s="21" t="s">
        <v>314</v>
      </c>
      <c r="B11" s="28" t="str">
        <f>'GERAL '!A11</f>
        <v>RUA PROJETADA 257</v>
      </c>
      <c r="C11" s="22" t="s">
        <v>15</v>
      </c>
      <c r="D11" s="30">
        <f>'GERAL '!B11</f>
        <v>570</v>
      </c>
      <c r="E11" s="391">
        <f>'ORÇAMENTO SD'!H31</f>
        <v>79678.44</v>
      </c>
      <c r="F11" s="392"/>
      <c r="G11" s="185"/>
    </row>
    <row r="12" spans="1:7" ht="20.100000000000001" customHeight="1" x14ac:dyDescent="0.3">
      <c r="A12" s="21" t="s">
        <v>315</v>
      </c>
      <c r="B12" s="28" t="str">
        <f>'GERAL '!A12</f>
        <v>RUA DEUSDETH ROCHA</v>
      </c>
      <c r="C12" s="22" t="s">
        <v>15</v>
      </c>
      <c r="D12" s="30">
        <f>'GERAL '!B12</f>
        <v>390</v>
      </c>
      <c r="E12" s="391">
        <f>'ORÇAMENTO SD'!H50</f>
        <v>55118.92</v>
      </c>
      <c r="F12" s="392"/>
      <c r="G12" s="185"/>
    </row>
    <row r="13" spans="1:7" ht="20.100000000000001" customHeight="1" x14ac:dyDescent="0.3">
      <c r="A13" s="21" t="s">
        <v>316</v>
      </c>
      <c r="B13" s="28" t="str">
        <f>'GERAL '!A13</f>
        <v xml:space="preserve">RUA FRANCISCO FORTES MARTINS </v>
      </c>
      <c r="C13" s="22" t="s">
        <v>15</v>
      </c>
      <c r="D13" s="30">
        <f>'GERAL '!B13</f>
        <v>288</v>
      </c>
      <c r="E13" s="391">
        <f>'ORÇAMENTO SD'!H69</f>
        <v>41201.880000000005</v>
      </c>
      <c r="F13" s="392"/>
    </row>
    <row r="14" spans="1:7" ht="20.100000000000001" customHeight="1" x14ac:dyDescent="0.3">
      <c r="A14" s="21" t="s">
        <v>317</v>
      </c>
      <c r="B14" s="28" t="str">
        <f>'GERAL '!A14</f>
        <v>RUA MANOEL SENHOR</v>
      </c>
      <c r="C14" s="22" t="s">
        <v>15</v>
      </c>
      <c r="D14" s="30">
        <f>'GERAL '!B14</f>
        <v>150</v>
      </c>
      <c r="E14" s="391">
        <f>'ORÇAMENTO SD'!H88</f>
        <v>22372.940000000002</v>
      </c>
      <c r="F14" s="392"/>
    </row>
    <row r="15" spans="1:7" ht="20.100000000000001" customHeight="1" x14ac:dyDescent="0.3">
      <c r="A15" s="21" t="s">
        <v>327</v>
      </c>
      <c r="B15" s="28" t="str">
        <f>'GERAL '!A15</f>
        <v>PROJETADA 01 - COMUNIDADE GRACIOSA</v>
      </c>
      <c r="C15" s="22" t="s">
        <v>15</v>
      </c>
      <c r="D15" s="30">
        <f>'GERAL '!B15</f>
        <v>3798</v>
      </c>
      <c r="E15" s="391">
        <f>'ORÇAMENTO SD'!H107</f>
        <v>520112.02</v>
      </c>
      <c r="F15" s="392"/>
      <c r="G15" s="182"/>
    </row>
    <row r="16" spans="1:7" ht="20.100000000000001" customHeight="1" x14ac:dyDescent="0.3">
      <c r="A16" s="21" t="s">
        <v>328</v>
      </c>
      <c r="B16" s="28" t="str">
        <f>'GERAL '!A16</f>
        <v>PROJETADA 01 - COMUNIDADE LAGOA DO PIRIPIRI</v>
      </c>
      <c r="C16" s="22" t="s">
        <v>15</v>
      </c>
      <c r="D16" s="30">
        <f>'GERAL '!B16</f>
        <v>780</v>
      </c>
      <c r="E16" s="391">
        <f>'ORÇAMENTO SD'!H126</f>
        <v>108331.15999999999</v>
      </c>
      <c r="F16" s="392"/>
    </row>
    <row r="17" spans="1:7" ht="20.100000000000001" customHeight="1" x14ac:dyDescent="0.3">
      <c r="A17" s="21" t="s">
        <v>329</v>
      </c>
      <c r="B17" s="28" t="str">
        <f>'GERAL '!A17</f>
        <v>RUA PROJETADA 01 - COMUNIDADE ALIVIO</v>
      </c>
      <c r="C17" s="22" t="s">
        <v>15</v>
      </c>
      <c r="D17" s="30">
        <f>'GERAL '!B17</f>
        <v>1740</v>
      </c>
      <c r="E17" s="391">
        <f>'ORÇAMENTO SD'!H145</f>
        <v>239315.14000000004</v>
      </c>
      <c r="F17" s="392"/>
      <c r="G17" s="185"/>
    </row>
    <row r="18" spans="1:7" ht="20.100000000000001" customHeight="1" x14ac:dyDescent="0.3">
      <c r="A18" s="21" t="s">
        <v>330</v>
      </c>
      <c r="B18" s="28" t="str">
        <f>'GERAL '!A18</f>
        <v>RUA PROJETADA 08</v>
      </c>
      <c r="C18" s="22" t="s">
        <v>15</v>
      </c>
      <c r="D18" s="30">
        <f>'GERAL '!B18</f>
        <v>642</v>
      </c>
      <c r="E18" s="391">
        <f>'ORÇAMENTO SD'!H164</f>
        <v>89502.22</v>
      </c>
      <c r="F18" s="392"/>
    </row>
    <row r="19" spans="1:7" ht="20.100000000000001" customHeight="1" x14ac:dyDescent="0.3">
      <c r="A19" s="21" t="s">
        <v>331</v>
      </c>
      <c r="B19" s="28" t="str">
        <f>'GERAL '!A19</f>
        <v>RUA PROJETADA 09</v>
      </c>
      <c r="C19" s="22" t="s">
        <v>15</v>
      </c>
      <c r="D19" s="30">
        <f>'GERAL '!B19</f>
        <v>822</v>
      </c>
      <c r="E19" s="391">
        <f>'ORÇAMENTO SD'!H183</f>
        <v>114061.70999999999</v>
      </c>
      <c r="F19" s="392"/>
    </row>
    <row r="20" spans="1:7" ht="20.100000000000001" customHeight="1" x14ac:dyDescent="0.3">
      <c r="A20" s="21" t="s">
        <v>428</v>
      </c>
      <c r="B20" s="28" t="str">
        <f>'GERAL '!A20</f>
        <v xml:space="preserve">RUA COQUEIRO VERDE </v>
      </c>
      <c r="C20" s="22" t="s">
        <v>15</v>
      </c>
      <c r="D20" s="30">
        <f>'GERAL '!B20</f>
        <v>1020</v>
      </c>
      <c r="E20" s="391">
        <f>'ORÇAMENTO SD'!H202</f>
        <v>141077.16</v>
      </c>
      <c r="F20" s="392"/>
    </row>
    <row r="21" spans="1:7" ht="20.100000000000001" customHeight="1" x14ac:dyDescent="0.3">
      <c r="A21" s="21" t="s">
        <v>429</v>
      </c>
      <c r="B21" s="28" t="str">
        <f>'GERAL '!A21</f>
        <v>RUA PROJETADA (LAGOA FUNDA)</v>
      </c>
      <c r="C21" s="22" t="s">
        <v>15</v>
      </c>
      <c r="D21" s="30">
        <f>'GERAL '!B21</f>
        <v>120</v>
      </c>
      <c r="E21" s="391">
        <f>'ORÇAMENTO SD'!H221</f>
        <v>18279.690000000002</v>
      </c>
      <c r="F21" s="392"/>
    </row>
    <row r="22" spans="1:7" ht="20.100000000000001" customHeight="1" x14ac:dyDescent="0.3">
      <c r="A22" s="21" t="s">
        <v>430</v>
      </c>
      <c r="B22" s="28" t="str">
        <f>'GERAL '!A22</f>
        <v xml:space="preserve">RUA PACAJÚ </v>
      </c>
      <c r="C22" s="22" t="s">
        <v>15</v>
      </c>
      <c r="D22" s="30">
        <f>'GERAL '!B22</f>
        <v>1617</v>
      </c>
      <c r="E22" s="391">
        <f>'ORÇAMENTO SD'!H240</f>
        <v>216630.25</v>
      </c>
      <c r="F22" s="392"/>
    </row>
    <row r="23" spans="1:7" ht="20.100000000000001" customHeight="1" x14ac:dyDescent="0.3">
      <c r="A23" s="21" t="s">
        <v>431</v>
      </c>
      <c r="B23" s="28" t="str">
        <f>'GERAL '!A23</f>
        <v>RUA 07 DE ABRIL</v>
      </c>
      <c r="C23" s="22" t="s">
        <v>15</v>
      </c>
      <c r="D23" s="30">
        <f>'GERAL '!B23</f>
        <v>756</v>
      </c>
      <c r="E23" s="391">
        <f>'ORÇAMENTO SD'!H259</f>
        <v>105056.56999999999</v>
      </c>
      <c r="F23" s="392"/>
    </row>
    <row r="24" spans="1:7" ht="20.100000000000001" customHeight="1" x14ac:dyDescent="0.3">
      <c r="A24" s="23"/>
      <c r="B24" s="24"/>
      <c r="C24" s="24"/>
      <c r="D24" s="25"/>
      <c r="E24" s="25"/>
      <c r="F24" s="26"/>
    </row>
    <row r="25" spans="1:7" ht="20.100000000000001" customHeight="1" x14ac:dyDescent="0.3">
      <c r="A25" s="393" t="s">
        <v>35</v>
      </c>
      <c r="B25" s="393"/>
      <c r="C25" s="393"/>
      <c r="D25" s="393"/>
      <c r="E25" s="393"/>
      <c r="F25" s="27">
        <f>E6+E9</f>
        <v>1824756.5699999998</v>
      </c>
      <c r="G25" s="184"/>
    </row>
  </sheetData>
  <mergeCells count="30">
    <mergeCell ref="E19:F19"/>
    <mergeCell ref="E20:F20"/>
    <mergeCell ref="E21:F21"/>
    <mergeCell ref="E22:F22"/>
    <mergeCell ref="E23:F23"/>
    <mergeCell ref="E10:F10"/>
    <mergeCell ref="A25:E25"/>
    <mergeCell ref="B6:D6"/>
    <mergeCell ref="E6:F6"/>
    <mergeCell ref="E8:F8"/>
    <mergeCell ref="B9:D9"/>
    <mergeCell ref="E9:F9"/>
    <mergeCell ref="E7:F7"/>
    <mergeCell ref="E11:F11"/>
    <mergeCell ref="E12:F12"/>
    <mergeCell ref="E13:F13"/>
    <mergeCell ref="E14:F14"/>
    <mergeCell ref="E15:F15"/>
    <mergeCell ref="E16:F16"/>
    <mergeCell ref="E17:F17"/>
    <mergeCell ref="E18:F18"/>
    <mergeCell ref="A4:A5"/>
    <mergeCell ref="B4:B5"/>
    <mergeCell ref="C4:C5"/>
    <mergeCell ref="D4:D5"/>
    <mergeCell ref="A1:F1"/>
    <mergeCell ref="A2:B2"/>
    <mergeCell ref="C2:D2"/>
    <mergeCell ref="A3:D3"/>
    <mergeCell ref="E4:F5"/>
  </mergeCells>
  <phoneticPr fontId="17" type="noConversion"/>
  <pageMargins left="0.98425196850393704" right="0.51181102362204722" top="2.204724409448819" bottom="1.1811023622047245" header="0.51181102362204722" footer="0.51181102362204722"/>
  <pageSetup paperSize="9" scale="68" orientation="landscape" r:id="rId1"/>
  <headerFooter>
    <oddHeader>&amp;C&amp;G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14999847407452621"/>
    <pageSetUpPr fitToPage="1"/>
  </sheetPr>
  <dimension ref="A1:I276"/>
  <sheetViews>
    <sheetView view="pageBreakPreview" zoomScaleNormal="100" zoomScaleSheetLayoutView="100" workbookViewId="0">
      <selection activeCell="K9" sqref="K9"/>
    </sheetView>
  </sheetViews>
  <sheetFormatPr defaultRowHeight="14.4" x14ac:dyDescent="0.3"/>
  <cols>
    <col min="1" max="1" width="9.33203125" style="100" bestFit="1" customWidth="1"/>
    <col min="2" max="2" width="17.5546875" style="101" customWidth="1"/>
    <col min="3" max="3" width="44.6640625" style="101" bestFit="1" customWidth="1"/>
    <col min="4" max="4" width="12.5546875" style="101" bestFit="1" customWidth="1"/>
    <col min="5" max="5" width="8.6640625" style="101" bestFit="1" customWidth="1"/>
    <col min="6" max="6" width="12" style="101" bestFit="1" customWidth="1"/>
    <col min="7" max="7" width="16.33203125" style="101" bestFit="1" customWidth="1"/>
    <col min="8" max="8" width="17.33203125" style="100" bestFit="1" customWidth="1"/>
    <col min="9" max="9" width="8.88671875" style="468"/>
  </cols>
  <sheetData>
    <row r="1" spans="1:9" ht="15" customHeight="1" x14ac:dyDescent="0.3">
      <c r="A1" s="401" t="s">
        <v>159</v>
      </c>
      <c r="B1" s="401"/>
      <c r="C1" s="401"/>
      <c r="D1" s="401"/>
      <c r="E1" s="401"/>
      <c r="F1" s="401"/>
      <c r="G1" s="401"/>
      <c r="H1" s="401"/>
    </row>
    <row r="2" spans="1:9" ht="15" customHeight="1" x14ac:dyDescent="0.3">
      <c r="A2" s="401"/>
      <c r="B2" s="401"/>
      <c r="C2" s="401"/>
      <c r="D2" s="401"/>
      <c r="E2" s="401"/>
      <c r="F2" s="401"/>
      <c r="G2" s="401"/>
      <c r="H2" s="401"/>
    </row>
    <row r="3" spans="1:9" ht="23.25" customHeight="1" x14ac:dyDescent="0.3">
      <c r="A3" s="403" t="str">
        <f>'RESUMO SD '!A2:B2</f>
        <v>PAVIMENTAÇÃO DE VIAS PÚBLICAS NO MUNÍCIO DE JOSÉ DE FREITAS - PI</v>
      </c>
      <c r="B3" s="403"/>
      <c r="C3" s="403"/>
      <c r="D3" s="403"/>
      <c r="E3" s="403"/>
      <c r="F3" s="404" t="str">
        <f>'RESUMO SD '!C2</f>
        <v>FONTE:  
SINAPI 05/2025</v>
      </c>
      <c r="G3" s="404" t="str">
        <f>'RESUMO SD '!E2</f>
        <v>SEM DESONERAÇÃO 
BDI: 21,96%</v>
      </c>
      <c r="H3" s="404" t="str">
        <f>'RESUMO SD '!F2</f>
        <v>HORISTA: 113,33%
MENSALISTA: 71,12%</v>
      </c>
    </row>
    <row r="4" spans="1:9" x14ac:dyDescent="0.3">
      <c r="A4" s="258" t="str">
        <f>'RESUMO SD '!A3:D3</f>
        <v>LOCAL: DIVERSAS</v>
      </c>
      <c r="B4" s="259"/>
      <c r="C4" s="259"/>
      <c r="D4" s="405"/>
      <c r="E4" s="405"/>
      <c r="F4" s="404"/>
      <c r="G4" s="404"/>
      <c r="H4" s="404"/>
    </row>
    <row r="5" spans="1:9" x14ac:dyDescent="0.3">
      <c r="A5" s="260"/>
      <c r="B5" s="259"/>
      <c r="C5" s="259"/>
      <c r="D5" s="261"/>
      <c r="E5" s="261"/>
      <c r="F5" s="262"/>
      <c r="G5" s="262"/>
      <c r="H5" s="263"/>
    </row>
    <row r="6" spans="1:9" x14ac:dyDescent="0.3">
      <c r="A6" s="401" t="s">
        <v>24</v>
      </c>
      <c r="B6" s="401" t="s">
        <v>89</v>
      </c>
      <c r="C6" s="401" t="s">
        <v>25</v>
      </c>
      <c r="D6" s="401" t="s">
        <v>26</v>
      </c>
      <c r="E6" s="402" t="s">
        <v>27</v>
      </c>
      <c r="F6" s="402" t="s">
        <v>160</v>
      </c>
      <c r="G6" s="402"/>
      <c r="H6" s="402"/>
    </row>
    <row r="7" spans="1:9" x14ac:dyDescent="0.3">
      <c r="A7" s="401"/>
      <c r="B7" s="401"/>
      <c r="C7" s="401"/>
      <c r="D7" s="401"/>
      <c r="E7" s="402"/>
      <c r="F7" s="264" t="s">
        <v>161</v>
      </c>
      <c r="G7" s="264" t="s">
        <v>162</v>
      </c>
      <c r="H7" s="265" t="s">
        <v>163</v>
      </c>
    </row>
    <row r="8" spans="1:9" x14ac:dyDescent="0.3">
      <c r="A8" s="266" t="s">
        <v>29</v>
      </c>
      <c r="B8" s="399" t="s">
        <v>30</v>
      </c>
      <c r="C8" s="399"/>
      <c r="D8" s="399"/>
      <c r="E8" s="399"/>
      <c r="F8" s="399"/>
      <c r="G8" s="399"/>
      <c r="H8" s="267">
        <f>SUM(H9:H10)</f>
        <v>30360.63</v>
      </c>
    </row>
    <row r="9" spans="1:9" x14ac:dyDescent="0.3">
      <c r="A9" s="268" t="s">
        <v>31</v>
      </c>
      <c r="B9" s="261" t="s">
        <v>250</v>
      </c>
      <c r="C9" s="269" t="s">
        <v>36</v>
      </c>
      <c r="D9" s="261" t="s">
        <v>15</v>
      </c>
      <c r="E9" s="270">
        <f>MC!C10</f>
        <v>6</v>
      </c>
      <c r="F9" s="270">
        <f>'COMPOSIÇÕES UNITÁRIAS SD (2)'!H7</f>
        <v>464.39</v>
      </c>
      <c r="G9" s="271">
        <f>'COMPOSIÇÕES UNITÁRIAS SD (2)'!H16</f>
        <v>566.37</v>
      </c>
      <c r="H9" s="271">
        <f>ROUND(E9*G9,2)</f>
        <v>3398.22</v>
      </c>
    </row>
    <row r="10" spans="1:9" x14ac:dyDescent="0.3">
      <c r="A10" s="268" t="s">
        <v>164</v>
      </c>
      <c r="B10" s="261" t="s">
        <v>251</v>
      </c>
      <c r="C10" s="269" t="s">
        <v>37</v>
      </c>
      <c r="D10" s="261" t="s">
        <v>38</v>
      </c>
      <c r="E10" s="270">
        <v>3</v>
      </c>
      <c r="F10" s="270">
        <f>'COMPOSIÇÕES UNITÁRIAS SD (2)'!H20</f>
        <v>7369.2</v>
      </c>
      <c r="G10" s="271">
        <f>'COMPOSIÇÕES UNITÁRIAS SD (2)'!H25</f>
        <v>8987.4699999999993</v>
      </c>
      <c r="H10" s="271">
        <f>ROUND(E10*G10,2)</f>
        <v>26962.41</v>
      </c>
    </row>
    <row r="11" spans="1:9" x14ac:dyDescent="0.3">
      <c r="A11" s="398"/>
      <c r="B11" s="398"/>
      <c r="C11" s="398"/>
      <c r="D11" s="398"/>
      <c r="E11" s="398"/>
      <c r="F11" s="398"/>
      <c r="G11" s="398"/>
      <c r="H11" s="398"/>
    </row>
    <row r="12" spans="1:9" x14ac:dyDescent="0.3">
      <c r="A12" s="400" t="str">
        <f>MC!B16</f>
        <v>RUA ANTONIO ANANIAS SAMPAIO</v>
      </c>
      <c r="B12" s="400"/>
      <c r="C12" s="400"/>
      <c r="D12" s="400"/>
      <c r="E12" s="400"/>
      <c r="F12" s="400"/>
      <c r="G12" s="400"/>
      <c r="H12" s="272">
        <f>SUM(H13,H16,H19,H23,H27)</f>
        <v>43657.840000000004</v>
      </c>
    </row>
    <row r="13" spans="1:9" x14ac:dyDescent="0.3">
      <c r="A13" s="266" t="s">
        <v>32</v>
      </c>
      <c r="B13" s="399" t="s">
        <v>165</v>
      </c>
      <c r="C13" s="399"/>
      <c r="D13" s="399"/>
      <c r="E13" s="399"/>
      <c r="F13" s="399"/>
      <c r="G13" s="399"/>
      <c r="H13" s="267">
        <f>H14</f>
        <v>697.68</v>
      </c>
    </row>
    <row r="14" spans="1:9" x14ac:dyDescent="0.3">
      <c r="A14" s="268" t="s">
        <v>34</v>
      </c>
      <c r="B14" s="261">
        <v>100575</v>
      </c>
      <c r="C14" s="273" t="s">
        <v>166</v>
      </c>
      <c r="D14" s="274" t="s">
        <v>15</v>
      </c>
      <c r="E14" s="270">
        <f>MC!C25</f>
        <v>306</v>
      </c>
      <c r="F14" s="270">
        <f>'COMPOSIÇÕES UNITÁRIAS SD (2)'!H29</f>
        <v>1.87</v>
      </c>
      <c r="G14" s="271">
        <f>'COMPOSIÇÕES UNITÁRIAS SD (2)'!H38</f>
        <v>2.2799999999999998</v>
      </c>
      <c r="H14" s="271">
        <f>ROUND(E14*G14,2)</f>
        <v>697.68</v>
      </c>
      <c r="I14" s="469">
        <f>E14+E33+E52+E71+E90+E109+E128+E147+E166+E185+E204+E223+E242+E261</f>
        <v>12999</v>
      </c>
    </row>
    <row r="15" spans="1:9" x14ac:dyDescent="0.3">
      <c r="A15" s="398"/>
      <c r="B15" s="398"/>
      <c r="C15" s="398"/>
      <c r="D15" s="398"/>
      <c r="E15" s="398"/>
      <c r="F15" s="398"/>
      <c r="G15" s="398"/>
      <c r="H15" s="398"/>
    </row>
    <row r="16" spans="1:9" x14ac:dyDescent="0.3">
      <c r="A16" s="266" t="s">
        <v>167</v>
      </c>
      <c r="B16" s="399" t="s">
        <v>168</v>
      </c>
      <c r="C16" s="399"/>
      <c r="D16" s="399"/>
      <c r="E16" s="399"/>
      <c r="F16" s="399"/>
      <c r="G16" s="399"/>
      <c r="H16" s="267">
        <f>SUM(H17:H17)</f>
        <v>29400.48</v>
      </c>
    </row>
    <row r="17" spans="1:9" ht="20.399999999999999" x14ac:dyDescent="0.3">
      <c r="A17" s="268" t="s">
        <v>169</v>
      </c>
      <c r="B17" s="261" t="s">
        <v>252</v>
      </c>
      <c r="C17" s="273" t="s">
        <v>253</v>
      </c>
      <c r="D17" s="274" t="s">
        <v>15</v>
      </c>
      <c r="E17" s="270">
        <f>MC!C31</f>
        <v>306</v>
      </c>
      <c r="F17" s="270">
        <f>'COMPOSIÇÕES UNITÁRIAS SD (2)'!H42</f>
        <v>78.78</v>
      </c>
      <c r="G17" s="271">
        <f>'COMPOSIÇÕES UNITÁRIAS SD (2)'!H51</f>
        <v>96.08</v>
      </c>
      <c r="H17" s="271">
        <f>ROUND(E17*G17,2)</f>
        <v>29400.48</v>
      </c>
      <c r="I17" s="469">
        <f>E17+E36+E55+E74+E93+E112+E131+E150+E169+E188+E207+E226+E245+E264</f>
        <v>12999</v>
      </c>
    </row>
    <row r="18" spans="1:9" x14ac:dyDescent="0.3">
      <c r="A18" s="398"/>
      <c r="B18" s="398"/>
      <c r="C18" s="398"/>
      <c r="D18" s="398"/>
      <c r="E18" s="398"/>
      <c r="F18" s="398"/>
      <c r="G18" s="398"/>
      <c r="H18" s="398"/>
    </row>
    <row r="19" spans="1:9" x14ac:dyDescent="0.3">
      <c r="A19" s="266" t="s">
        <v>170</v>
      </c>
      <c r="B19" s="399" t="s">
        <v>171</v>
      </c>
      <c r="C19" s="399"/>
      <c r="D19" s="399"/>
      <c r="E19" s="399"/>
      <c r="F19" s="399"/>
      <c r="G19" s="399"/>
      <c r="H19" s="267">
        <f>SUM(H20:H21)</f>
        <v>8559.66</v>
      </c>
    </row>
    <row r="20" spans="1:9" ht="30.6" x14ac:dyDescent="0.3">
      <c r="A20" s="268" t="s">
        <v>172</v>
      </c>
      <c r="B20" s="261">
        <v>94273</v>
      </c>
      <c r="C20" s="273" t="s">
        <v>173</v>
      </c>
      <c r="D20" s="274" t="s">
        <v>174</v>
      </c>
      <c r="E20" s="270">
        <f>MC!C38</f>
        <v>114</v>
      </c>
      <c r="F20" s="270">
        <f>'COMPOSIÇÕES UNITÁRIAS SD (2)'!H64</f>
        <v>41.46</v>
      </c>
      <c r="G20" s="271">
        <f>'COMPOSIÇÕES UNITÁRIAS SD (2)'!H71</f>
        <v>50.56</v>
      </c>
      <c r="H20" s="271">
        <f>ROUND(E20*G20,2)</f>
        <v>5763.84</v>
      </c>
      <c r="I20" s="469">
        <f>E20+E39+E58+E77+E96+E115+E134+E153+E172+E191+E210+E229+E248+E267</f>
        <v>4426</v>
      </c>
    </row>
    <row r="21" spans="1:9" ht="20.399999999999999" x14ac:dyDescent="0.3">
      <c r="A21" s="268" t="s">
        <v>175</v>
      </c>
      <c r="B21" s="261" t="s">
        <v>257</v>
      </c>
      <c r="C21" s="273" t="s">
        <v>258</v>
      </c>
      <c r="D21" s="274" t="s">
        <v>174</v>
      </c>
      <c r="E21" s="270">
        <f>MC!C43</f>
        <v>102</v>
      </c>
      <c r="F21" s="270">
        <f>'COMPOSIÇÕES UNITÁRIAS SD (2)'!H75</f>
        <v>22.48</v>
      </c>
      <c r="G21" s="271">
        <f>'COMPOSIÇÕES UNITÁRIAS SD (2)'!H83</f>
        <v>27.41</v>
      </c>
      <c r="H21" s="271">
        <f>ROUND(E21*G21,2)</f>
        <v>2795.82</v>
      </c>
      <c r="I21" s="469">
        <f>E21+E40+E59+E78+E97+E116+E135+E154+E173+E192+E211+E230+E249+E268</f>
        <v>4256</v>
      </c>
    </row>
    <row r="22" spans="1:9" x14ac:dyDescent="0.3">
      <c r="A22" s="398"/>
      <c r="B22" s="398"/>
      <c r="C22" s="398"/>
      <c r="D22" s="398"/>
      <c r="E22" s="398"/>
      <c r="F22" s="398"/>
      <c r="G22" s="398"/>
      <c r="H22" s="398"/>
    </row>
    <row r="23" spans="1:9" x14ac:dyDescent="0.3">
      <c r="A23" s="266" t="s">
        <v>217</v>
      </c>
      <c r="B23" s="399" t="s">
        <v>215</v>
      </c>
      <c r="C23" s="399"/>
      <c r="D23" s="399"/>
      <c r="E23" s="399"/>
      <c r="F23" s="399"/>
      <c r="G23" s="399"/>
      <c r="H23" s="267">
        <f>SUM(H24:H25)</f>
        <v>3700.0499999999997</v>
      </c>
    </row>
    <row r="24" spans="1:9" ht="20.399999999999999" x14ac:dyDescent="0.3">
      <c r="A24" s="268" t="s">
        <v>218</v>
      </c>
      <c r="B24" s="261">
        <v>95878</v>
      </c>
      <c r="C24" s="273" t="s">
        <v>278</v>
      </c>
      <c r="D24" s="274" t="s">
        <v>216</v>
      </c>
      <c r="E24" s="270">
        <f>MC!C52</f>
        <v>1457.42</v>
      </c>
      <c r="F24" s="270">
        <f>'COMPOSIÇÕES UNITÁRIAS SD (2)'!H87</f>
        <v>1.66</v>
      </c>
      <c r="G24" s="271">
        <f>'COMPOSIÇÕES UNITÁRIAS SD (2)'!H91</f>
        <v>2.02</v>
      </c>
      <c r="H24" s="271">
        <f>ROUND(E24*G24,2)</f>
        <v>2943.99</v>
      </c>
      <c r="I24" s="469">
        <f>E24+E43+E62+E81+E100+E119+E138+E157+E176+E195+E214+E233+E252+E271</f>
        <v>61911.649999999994</v>
      </c>
    </row>
    <row r="25" spans="1:9" ht="30.6" x14ac:dyDescent="0.3">
      <c r="A25" s="268" t="s">
        <v>277</v>
      </c>
      <c r="B25" s="261">
        <v>93596</v>
      </c>
      <c r="C25" s="273" t="s">
        <v>279</v>
      </c>
      <c r="D25" s="274" t="s">
        <v>216</v>
      </c>
      <c r="E25" s="270">
        <f>MC!C60</f>
        <v>957.04</v>
      </c>
      <c r="F25" s="270">
        <f>'COMPOSIÇÕES UNITÁRIAS SD (2)'!H95</f>
        <v>0.65</v>
      </c>
      <c r="G25" s="271">
        <f>'COMPOSIÇÕES UNITÁRIAS SD (2)'!H99</f>
        <v>0.79</v>
      </c>
      <c r="H25" s="271">
        <f>ROUND(E25*G25,2)</f>
        <v>756.06</v>
      </c>
      <c r="I25" s="469">
        <f>E25+E44+E63+E82+E101+E120+E139+E158+E177+E196+E215+E234+E253+E272</f>
        <v>40655.31</v>
      </c>
    </row>
    <row r="26" spans="1:9" x14ac:dyDescent="0.3">
      <c r="A26" s="398"/>
      <c r="B26" s="398"/>
      <c r="C26" s="398"/>
      <c r="D26" s="398"/>
      <c r="E26" s="398"/>
      <c r="F26" s="398"/>
      <c r="G26" s="398"/>
      <c r="H26" s="398"/>
    </row>
    <row r="27" spans="1:9" x14ac:dyDescent="0.3">
      <c r="A27" s="266" t="s">
        <v>254</v>
      </c>
      <c r="B27" s="399" t="s">
        <v>255</v>
      </c>
      <c r="C27" s="399"/>
      <c r="D27" s="399"/>
      <c r="E27" s="399"/>
      <c r="F27" s="399"/>
      <c r="G27" s="399"/>
      <c r="H27" s="267">
        <f>SUM(H28:H29)</f>
        <v>1299.97</v>
      </c>
    </row>
    <row r="28" spans="1:9" ht="20.399999999999999" x14ac:dyDescent="0.3">
      <c r="A28" s="268" t="s">
        <v>256</v>
      </c>
      <c r="B28" s="261" t="s">
        <v>273</v>
      </c>
      <c r="C28" s="273" t="s">
        <v>259</v>
      </c>
      <c r="D28" s="274" t="s">
        <v>15</v>
      </c>
      <c r="E28" s="270">
        <f>MC!C65</f>
        <v>0.23</v>
      </c>
      <c r="F28" s="270">
        <f>'COMPOSIÇÕES UNITÁRIAS SD (2)'!H103</f>
        <v>980.47</v>
      </c>
      <c r="G28" s="271">
        <f>'COMPOSIÇÕES UNITÁRIAS SD (2)'!H109</f>
        <v>1195.78</v>
      </c>
      <c r="H28" s="271">
        <f>ROUND(E28*G28,2)</f>
        <v>275.02999999999997</v>
      </c>
      <c r="I28" s="469">
        <f>E28+E47+E66+E85+E104+E123+E142+E161+E180+E199+E218+E237+E256+E275</f>
        <v>3.22</v>
      </c>
    </row>
    <row r="29" spans="1:9" ht="30.6" x14ac:dyDescent="0.3">
      <c r="A29" s="268" t="s">
        <v>256</v>
      </c>
      <c r="B29" s="261" t="s">
        <v>275</v>
      </c>
      <c r="C29" s="273" t="s">
        <v>276</v>
      </c>
      <c r="D29" s="274" t="s">
        <v>176</v>
      </c>
      <c r="E29" s="270">
        <f>MC!C69</f>
        <v>2</v>
      </c>
      <c r="F29" s="270">
        <f>'COMPOSIÇÕES UNITÁRIAS SD (2)'!H113</f>
        <v>420.2</v>
      </c>
      <c r="G29" s="271">
        <f>'COMPOSIÇÕES UNITÁRIAS SD (2)'!H119</f>
        <v>512.47</v>
      </c>
      <c r="H29" s="271">
        <f>ROUND(E29*G29,2)</f>
        <v>1024.94</v>
      </c>
      <c r="I29" s="469">
        <f>E29+E48+E67+E86+E105+E124+E143+E162+E181+E200+E219+E238+E257+E276</f>
        <v>28</v>
      </c>
    </row>
    <row r="30" spans="1:9" x14ac:dyDescent="0.3">
      <c r="A30" s="398"/>
      <c r="B30" s="398"/>
      <c r="C30" s="398"/>
      <c r="D30" s="398"/>
      <c r="E30" s="398"/>
      <c r="F30" s="398"/>
      <c r="G30" s="398"/>
      <c r="H30" s="398"/>
    </row>
    <row r="31" spans="1:9" x14ac:dyDescent="0.3">
      <c r="A31" s="400" t="str">
        <f>MC!B71</f>
        <v>RUA PROJETADA 257</v>
      </c>
      <c r="B31" s="400"/>
      <c r="C31" s="400"/>
      <c r="D31" s="400"/>
      <c r="E31" s="400"/>
      <c r="F31" s="400"/>
      <c r="G31" s="400"/>
      <c r="H31" s="272">
        <f>SUM(H32,H35,H38,H42,H46)</f>
        <v>79678.44</v>
      </c>
    </row>
    <row r="32" spans="1:9" x14ac:dyDescent="0.3">
      <c r="A32" s="266" t="s">
        <v>32</v>
      </c>
      <c r="B32" s="399" t="s">
        <v>165</v>
      </c>
      <c r="C32" s="399"/>
      <c r="D32" s="399"/>
      <c r="E32" s="399"/>
      <c r="F32" s="399"/>
      <c r="G32" s="399"/>
      <c r="H32" s="267">
        <f>H33</f>
        <v>1299.5999999999999</v>
      </c>
    </row>
    <row r="33" spans="1:8" x14ac:dyDescent="0.3">
      <c r="A33" s="268" t="s">
        <v>34</v>
      </c>
      <c r="B33" s="261">
        <v>100575</v>
      </c>
      <c r="C33" s="273" t="s">
        <v>166</v>
      </c>
      <c r="D33" s="274" t="s">
        <v>15</v>
      </c>
      <c r="E33" s="270">
        <f>MC!C80</f>
        <v>570</v>
      </c>
      <c r="F33" s="270">
        <f>F14</f>
        <v>1.87</v>
      </c>
      <c r="G33" s="271">
        <f>G14</f>
        <v>2.2799999999999998</v>
      </c>
      <c r="H33" s="271">
        <f>ROUND(E33*G33,2)</f>
        <v>1299.5999999999999</v>
      </c>
    </row>
    <row r="34" spans="1:8" x14ac:dyDescent="0.3">
      <c r="A34" s="398"/>
      <c r="B34" s="398"/>
      <c r="C34" s="398"/>
      <c r="D34" s="398"/>
      <c r="E34" s="398"/>
      <c r="F34" s="398"/>
      <c r="G34" s="398"/>
      <c r="H34" s="398"/>
    </row>
    <row r="35" spans="1:8" x14ac:dyDescent="0.3">
      <c r="A35" s="266" t="s">
        <v>167</v>
      </c>
      <c r="B35" s="399" t="s">
        <v>168</v>
      </c>
      <c r="C35" s="399"/>
      <c r="D35" s="399"/>
      <c r="E35" s="399"/>
      <c r="F35" s="399"/>
      <c r="G35" s="399"/>
      <c r="H35" s="267">
        <f>SUM(H36:H36)</f>
        <v>54765.599999999999</v>
      </c>
    </row>
    <row r="36" spans="1:8" ht="20.399999999999999" x14ac:dyDescent="0.3">
      <c r="A36" s="268" t="s">
        <v>169</v>
      </c>
      <c r="B36" s="261" t="s">
        <v>252</v>
      </c>
      <c r="C36" s="273" t="s">
        <v>253</v>
      </c>
      <c r="D36" s="274" t="s">
        <v>15</v>
      </c>
      <c r="E36" s="270">
        <f>MC!C86</f>
        <v>570</v>
      </c>
      <c r="F36" s="270">
        <f>F17</f>
        <v>78.78</v>
      </c>
      <c r="G36" s="271">
        <f>G17</f>
        <v>96.08</v>
      </c>
      <c r="H36" s="271">
        <f>ROUND(E36*G36,2)</f>
        <v>54765.599999999999</v>
      </c>
    </row>
    <row r="37" spans="1:8" x14ac:dyDescent="0.3">
      <c r="A37" s="398"/>
      <c r="B37" s="398"/>
      <c r="C37" s="398"/>
      <c r="D37" s="398"/>
      <c r="E37" s="398"/>
      <c r="F37" s="398"/>
      <c r="G37" s="398"/>
      <c r="H37" s="398"/>
    </row>
    <row r="38" spans="1:8" x14ac:dyDescent="0.3">
      <c r="A38" s="266" t="s">
        <v>170</v>
      </c>
      <c r="B38" s="399" t="s">
        <v>171</v>
      </c>
      <c r="C38" s="399"/>
      <c r="D38" s="399"/>
      <c r="E38" s="399"/>
      <c r="F38" s="399"/>
      <c r="G38" s="399"/>
      <c r="H38" s="267">
        <f>SUM(H39:H40)</f>
        <v>15421.02</v>
      </c>
    </row>
    <row r="39" spans="1:8" ht="30.6" x14ac:dyDescent="0.3">
      <c r="A39" s="268" t="s">
        <v>172</v>
      </c>
      <c r="B39" s="261">
        <v>94273</v>
      </c>
      <c r="C39" s="273" t="s">
        <v>173</v>
      </c>
      <c r="D39" s="274" t="s">
        <v>174</v>
      </c>
      <c r="E39" s="270">
        <f>MC!C93</f>
        <v>202</v>
      </c>
      <c r="F39" s="270">
        <f>F20</f>
        <v>41.46</v>
      </c>
      <c r="G39" s="270">
        <f>G20</f>
        <v>50.56</v>
      </c>
      <c r="H39" s="271">
        <f>ROUND(E39*G39,2)</f>
        <v>10213.120000000001</v>
      </c>
    </row>
    <row r="40" spans="1:8" ht="20.399999999999999" x14ac:dyDescent="0.3">
      <c r="A40" s="268" t="s">
        <v>175</v>
      </c>
      <c r="B40" s="261" t="s">
        <v>257</v>
      </c>
      <c r="C40" s="273" t="s">
        <v>258</v>
      </c>
      <c r="D40" s="274" t="s">
        <v>174</v>
      </c>
      <c r="E40" s="270">
        <f>MC!C98</f>
        <v>190</v>
      </c>
      <c r="F40" s="270">
        <f>F21</f>
        <v>22.48</v>
      </c>
      <c r="G40" s="270">
        <f>G21</f>
        <v>27.41</v>
      </c>
      <c r="H40" s="271">
        <f>ROUND(E40*G40,2)</f>
        <v>5207.8999999999996</v>
      </c>
    </row>
    <row r="41" spans="1:8" x14ac:dyDescent="0.3">
      <c r="A41" s="398"/>
      <c r="B41" s="398"/>
      <c r="C41" s="398"/>
      <c r="D41" s="398"/>
      <c r="E41" s="398"/>
      <c r="F41" s="398"/>
      <c r="G41" s="398"/>
      <c r="H41" s="398"/>
    </row>
    <row r="42" spans="1:8" x14ac:dyDescent="0.3">
      <c r="A42" s="266" t="s">
        <v>217</v>
      </c>
      <c r="B42" s="399" t="s">
        <v>215</v>
      </c>
      <c r="C42" s="399"/>
      <c r="D42" s="399"/>
      <c r="E42" s="399"/>
      <c r="F42" s="399"/>
      <c r="G42" s="399"/>
      <c r="H42" s="267">
        <f>SUM(H43:H44)</f>
        <v>6892.25</v>
      </c>
    </row>
    <row r="43" spans="1:8" ht="20.399999999999999" x14ac:dyDescent="0.3">
      <c r="A43" s="268" t="s">
        <v>218</v>
      </c>
      <c r="B43" s="261">
        <v>95878</v>
      </c>
      <c r="C43" s="273" t="s">
        <v>278</v>
      </c>
      <c r="D43" s="274" t="s">
        <v>216</v>
      </c>
      <c r="E43" s="270">
        <f>MC!C107</f>
        <v>2714.8</v>
      </c>
      <c r="F43" s="270">
        <f>F24</f>
        <v>1.66</v>
      </c>
      <c r="G43" s="270">
        <f>G24</f>
        <v>2.02</v>
      </c>
      <c r="H43" s="271">
        <f>ROUND(E43*G43,2)</f>
        <v>5483.9</v>
      </c>
    </row>
    <row r="44" spans="1:8" ht="30.6" x14ac:dyDescent="0.3">
      <c r="A44" s="268" t="s">
        <v>277</v>
      </c>
      <c r="B44" s="261">
        <v>93596</v>
      </c>
      <c r="C44" s="273" t="s">
        <v>279</v>
      </c>
      <c r="D44" s="274" t="s">
        <v>216</v>
      </c>
      <c r="E44" s="270">
        <f>MC!C115</f>
        <v>1782.72</v>
      </c>
      <c r="F44" s="270">
        <f>F25</f>
        <v>0.65</v>
      </c>
      <c r="G44" s="270">
        <f>G25</f>
        <v>0.79</v>
      </c>
      <c r="H44" s="271">
        <f>ROUND(E44*G44,2)</f>
        <v>1408.35</v>
      </c>
    </row>
    <row r="45" spans="1:8" x14ac:dyDescent="0.3">
      <c r="A45" s="398"/>
      <c r="B45" s="398"/>
      <c r="C45" s="398"/>
      <c r="D45" s="398"/>
      <c r="E45" s="398"/>
      <c r="F45" s="398"/>
      <c r="G45" s="398"/>
      <c r="H45" s="398"/>
    </row>
    <row r="46" spans="1:8" x14ac:dyDescent="0.3">
      <c r="A46" s="266" t="s">
        <v>254</v>
      </c>
      <c r="B46" s="399" t="s">
        <v>255</v>
      </c>
      <c r="C46" s="399"/>
      <c r="D46" s="399"/>
      <c r="E46" s="399"/>
      <c r="F46" s="399"/>
      <c r="G46" s="399"/>
      <c r="H46" s="267">
        <f>SUM(H47:H48)</f>
        <v>1299.97</v>
      </c>
    </row>
    <row r="47" spans="1:8" ht="20.399999999999999" x14ac:dyDescent="0.3">
      <c r="A47" s="268" t="s">
        <v>256</v>
      </c>
      <c r="B47" s="261" t="s">
        <v>273</v>
      </c>
      <c r="C47" s="273" t="s">
        <v>259</v>
      </c>
      <c r="D47" s="274" t="s">
        <v>15</v>
      </c>
      <c r="E47" s="270">
        <f>MC!C120</f>
        <v>0.23</v>
      </c>
      <c r="F47" s="270">
        <f>F28</f>
        <v>980.47</v>
      </c>
      <c r="G47" s="270">
        <f>G28</f>
        <v>1195.78</v>
      </c>
      <c r="H47" s="271">
        <f>ROUND(E47*G47,2)</f>
        <v>275.02999999999997</v>
      </c>
    </row>
    <row r="48" spans="1:8" ht="30.6" x14ac:dyDescent="0.3">
      <c r="A48" s="268" t="s">
        <v>256</v>
      </c>
      <c r="B48" s="261" t="s">
        <v>275</v>
      </c>
      <c r="C48" s="273" t="s">
        <v>276</v>
      </c>
      <c r="D48" s="274" t="s">
        <v>176</v>
      </c>
      <c r="E48" s="270">
        <f>MC!C124</f>
        <v>2</v>
      </c>
      <c r="F48" s="270">
        <f>F29</f>
        <v>420.2</v>
      </c>
      <c r="G48" s="270">
        <f>G29</f>
        <v>512.47</v>
      </c>
      <c r="H48" s="271">
        <f>ROUND(E48*G48,2)</f>
        <v>1024.94</v>
      </c>
    </row>
    <row r="49" spans="1:8" x14ac:dyDescent="0.3">
      <c r="A49" s="398"/>
      <c r="B49" s="398"/>
      <c r="C49" s="398"/>
      <c r="D49" s="398"/>
      <c r="E49" s="398"/>
      <c r="F49" s="398"/>
      <c r="G49" s="398"/>
      <c r="H49" s="398"/>
    </row>
    <row r="50" spans="1:8" x14ac:dyDescent="0.3">
      <c r="A50" s="400" t="str">
        <f>MC!B126</f>
        <v>RUA DEUSDETH ROCHA</v>
      </c>
      <c r="B50" s="400"/>
      <c r="C50" s="400"/>
      <c r="D50" s="400"/>
      <c r="E50" s="400"/>
      <c r="F50" s="400"/>
      <c r="G50" s="400"/>
      <c r="H50" s="272">
        <f>SUM(H51,H54,H57,H61,H65)</f>
        <v>55118.92</v>
      </c>
    </row>
    <row r="51" spans="1:8" x14ac:dyDescent="0.3">
      <c r="A51" s="266" t="s">
        <v>32</v>
      </c>
      <c r="B51" s="399" t="s">
        <v>165</v>
      </c>
      <c r="C51" s="399"/>
      <c r="D51" s="399"/>
      <c r="E51" s="399"/>
      <c r="F51" s="399"/>
      <c r="G51" s="399"/>
      <c r="H51" s="267">
        <f>H52</f>
        <v>889.2</v>
      </c>
    </row>
    <row r="52" spans="1:8" x14ac:dyDescent="0.3">
      <c r="A52" s="268" t="s">
        <v>34</v>
      </c>
      <c r="B52" s="261">
        <v>100575</v>
      </c>
      <c r="C52" s="273" t="s">
        <v>166</v>
      </c>
      <c r="D52" s="274" t="s">
        <v>15</v>
      </c>
      <c r="E52" s="270">
        <f>MC!C135</f>
        <v>390</v>
      </c>
      <c r="F52" s="270">
        <f>F14</f>
        <v>1.87</v>
      </c>
      <c r="G52" s="271">
        <f>G14</f>
        <v>2.2799999999999998</v>
      </c>
      <c r="H52" s="271">
        <f>ROUND(E52*G52,2)</f>
        <v>889.2</v>
      </c>
    </row>
    <row r="53" spans="1:8" x14ac:dyDescent="0.3">
      <c r="A53" s="398"/>
      <c r="B53" s="398"/>
      <c r="C53" s="398"/>
      <c r="D53" s="398"/>
      <c r="E53" s="398"/>
      <c r="F53" s="398"/>
      <c r="G53" s="398"/>
      <c r="H53" s="398"/>
    </row>
    <row r="54" spans="1:8" x14ac:dyDescent="0.3">
      <c r="A54" s="266" t="s">
        <v>167</v>
      </c>
      <c r="B54" s="399" t="s">
        <v>168</v>
      </c>
      <c r="C54" s="399"/>
      <c r="D54" s="399"/>
      <c r="E54" s="399"/>
      <c r="F54" s="399"/>
      <c r="G54" s="399"/>
      <c r="H54" s="267">
        <f>SUM(H55:H55)</f>
        <v>37471.199999999997</v>
      </c>
    </row>
    <row r="55" spans="1:8" ht="20.399999999999999" x14ac:dyDescent="0.3">
      <c r="A55" s="268" t="s">
        <v>169</v>
      </c>
      <c r="B55" s="261" t="s">
        <v>252</v>
      </c>
      <c r="C55" s="273" t="s">
        <v>253</v>
      </c>
      <c r="D55" s="274" t="s">
        <v>15</v>
      </c>
      <c r="E55" s="270">
        <f>MC!C141</f>
        <v>390</v>
      </c>
      <c r="F55" s="270">
        <f>F17</f>
        <v>78.78</v>
      </c>
      <c r="G55" s="271">
        <f>G17</f>
        <v>96.08</v>
      </c>
      <c r="H55" s="271">
        <f>ROUND(E55*G55,2)</f>
        <v>37471.199999999997</v>
      </c>
    </row>
    <row r="56" spans="1:8" x14ac:dyDescent="0.3">
      <c r="A56" s="398"/>
      <c r="B56" s="398"/>
      <c r="C56" s="398"/>
      <c r="D56" s="398"/>
      <c r="E56" s="398"/>
      <c r="F56" s="398"/>
      <c r="G56" s="398"/>
      <c r="H56" s="398"/>
    </row>
    <row r="57" spans="1:8" x14ac:dyDescent="0.3">
      <c r="A57" s="266" t="s">
        <v>170</v>
      </c>
      <c r="B57" s="399" t="s">
        <v>171</v>
      </c>
      <c r="C57" s="399"/>
      <c r="D57" s="399"/>
      <c r="E57" s="399"/>
      <c r="F57" s="399"/>
      <c r="G57" s="399"/>
      <c r="H57" s="267">
        <f>SUM(H58:H59)</f>
        <v>10742.82</v>
      </c>
    </row>
    <row r="58" spans="1:8" ht="30.6" x14ac:dyDescent="0.3">
      <c r="A58" s="268" t="s">
        <v>172</v>
      </c>
      <c r="B58" s="261">
        <v>94273</v>
      </c>
      <c r="C58" s="273" t="s">
        <v>173</v>
      </c>
      <c r="D58" s="274" t="s">
        <v>174</v>
      </c>
      <c r="E58" s="270">
        <f>MC!C148</f>
        <v>142</v>
      </c>
      <c r="F58" s="270">
        <f>F20</f>
        <v>41.46</v>
      </c>
      <c r="G58" s="270">
        <f>G20</f>
        <v>50.56</v>
      </c>
      <c r="H58" s="271">
        <f>ROUND(E58*G58,2)</f>
        <v>7179.52</v>
      </c>
    </row>
    <row r="59" spans="1:8" ht="20.399999999999999" x14ac:dyDescent="0.3">
      <c r="A59" s="268" t="s">
        <v>175</v>
      </c>
      <c r="B59" s="261" t="s">
        <v>257</v>
      </c>
      <c r="C59" s="273" t="s">
        <v>258</v>
      </c>
      <c r="D59" s="274" t="s">
        <v>174</v>
      </c>
      <c r="E59" s="270">
        <f>MC!C153</f>
        <v>130</v>
      </c>
      <c r="F59" s="270">
        <f>F21</f>
        <v>22.48</v>
      </c>
      <c r="G59" s="270">
        <f>G21</f>
        <v>27.41</v>
      </c>
      <c r="H59" s="271">
        <f>ROUND(E59*G59,2)</f>
        <v>3563.3</v>
      </c>
    </row>
    <row r="60" spans="1:8" x14ac:dyDescent="0.3">
      <c r="A60" s="398"/>
      <c r="B60" s="398"/>
      <c r="C60" s="398"/>
      <c r="D60" s="398"/>
      <c r="E60" s="398"/>
      <c r="F60" s="398"/>
      <c r="G60" s="398"/>
      <c r="H60" s="398"/>
    </row>
    <row r="61" spans="1:8" x14ac:dyDescent="0.3">
      <c r="A61" s="266" t="s">
        <v>217</v>
      </c>
      <c r="B61" s="399" t="s">
        <v>215</v>
      </c>
      <c r="C61" s="399"/>
      <c r="D61" s="399"/>
      <c r="E61" s="399"/>
      <c r="F61" s="399"/>
      <c r="G61" s="399"/>
      <c r="H61" s="267">
        <f>SUM(H62:H63)</f>
        <v>4715.7300000000005</v>
      </c>
    </row>
    <row r="62" spans="1:8" ht="20.399999999999999" x14ac:dyDescent="0.3">
      <c r="A62" s="268" t="s">
        <v>218</v>
      </c>
      <c r="B62" s="261">
        <v>95878</v>
      </c>
      <c r="C62" s="273" t="s">
        <v>278</v>
      </c>
      <c r="D62" s="274" t="s">
        <v>216</v>
      </c>
      <c r="E62" s="270">
        <f>MC!C162</f>
        <v>1857.49</v>
      </c>
      <c r="F62" s="270">
        <f>F24</f>
        <v>1.66</v>
      </c>
      <c r="G62" s="270">
        <f>G24</f>
        <v>2.02</v>
      </c>
      <c r="H62" s="271">
        <f>ROUND(E62*G62,2)</f>
        <v>3752.13</v>
      </c>
    </row>
    <row r="63" spans="1:8" ht="30.6" x14ac:dyDescent="0.3">
      <c r="A63" s="268" t="s">
        <v>277</v>
      </c>
      <c r="B63" s="261">
        <v>93596</v>
      </c>
      <c r="C63" s="273" t="s">
        <v>279</v>
      </c>
      <c r="D63" s="274" t="s">
        <v>216</v>
      </c>
      <c r="E63" s="270">
        <f>MC!C170</f>
        <v>1219.75</v>
      </c>
      <c r="F63" s="270">
        <f>F25</f>
        <v>0.65</v>
      </c>
      <c r="G63" s="270">
        <f>G25</f>
        <v>0.79</v>
      </c>
      <c r="H63" s="271">
        <f>ROUND(E63*G63,2)</f>
        <v>963.6</v>
      </c>
    </row>
    <row r="64" spans="1:8" x14ac:dyDescent="0.3">
      <c r="A64" s="398"/>
      <c r="B64" s="398"/>
      <c r="C64" s="398"/>
      <c r="D64" s="398"/>
      <c r="E64" s="398"/>
      <c r="F64" s="398"/>
      <c r="G64" s="398"/>
      <c r="H64" s="398"/>
    </row>
    <row r="65" spans="1:8" x14ac:dyDescent="0.3">
      <c r="A65" s="266" t="s">
        <v>254</v>
      </c>
      <c r="B65" s="399" t="s">
        <v>255</v>
      </c>
      <c r="C65" s="399"/>
      <c r="D65" s="399"/>
      <c r="E65" s="399"/>
      <c r="F65" s="399"/>
      <c r="G65" s="399"/>
      <c r="H65" s="267">
        <f>SUM(H66:H67)</f>
        <v>1299.97</v>
      </c>
    </row>
    <row r="66" spans="1:8" ht="20.399999999999999" x14ac:dyDescent="0.3">
      <c r="A66" s="268" t="s">
        <v>256</v>
      </c>
      <c r="B66" s="261" t="s">
        <v>273</v>
      </c>
      <c r="C66" s="273" t="s">
        <v>259</v>
      </c>
      <c r="D66" s="274" t="s">
        <v>15</v>
      </c>
      <c r="E66" s="270">
        <f>MC!C175</f>
        <v>0.23</v>
      </c>
      <c r="F66" s="270">
        <f>F28</f>
        <v>980.47</v>
      </c>
      <c r="G66" s="270">
        <f>G28</f>
        <v>1195.78</v>
      </c>
      <c r="H66" s="271">
        <f>ROUND(E66*G66,2)</f>
        <v>275.02999999999997</v>
      </c>
    </row>
    <row r="67" spans="1:8" ht="30.6" x14ac:dyDescent="0.3">
      <c r="A67" s="268" t="s">
        <v>256</v>
      </c>
      <c r="B67" s="261" t="s">
        <v>275</v>
      </c>
      <c r="C67" s="273" t="s">
        <v>276</v>
      </c>
      <c r="D67" s="274" t="s">
        <v>176</v>
      </c>
      <c r="E67" s="270">
        <f>MC!C179</f>
        <v>2</v>
      </c>
      <c r="F67" s="270">
        <f>F29</f>
        <v>420.2</v>
      </c>
      <c r="G67" s="270">
        <f>G29</f>
        <v>512.47</v>
      </c>
      <c r="H67" s="271">
        <f>ROUND(E67*G67,2)</f>
        <v>1024.94</v>
      </c>
    </row>
    <row r="68" spans="1:8" x14ac:dyDescent="0.3">
      <c r="A68" s="398"/>
      <c r="B68" s="398"/>
      <c r="C68" s="398"/>
      <c r="D68" s="398"/>
      <c r="E68" s="398"/>
      <c r="F68" s="398"/>
      <c r="G68" s="398"/>
      <c r="H68" s="398"/>
    </row>
    <row r="69" spans="1:8" x14ac:dyDescent="0.3">
      <c r="A69" s="400" t="str">
        <f>MC!B181</f>
        <v xml:space="preserve">RUA FRANCISCO FORTES MARTINS </v>
      </c>
      <c r="B69" s="400"/>
      <c r="C69" s="400"/>
      <c r="D69" s="400"/>
      <c r="E69" s="400"/>
      <c r="F69" s="400"/>
      <c r="G69" s="400"/>
      <c r="H69" s="272">
        <f>SUM(H70,H73,H76,H80,H84)</f>
        <v>41201.880000000005</v>
      </c>
    </row>
    <row r="70" spans="1:8" x14ac:dyDescent="0.3">
      <c r="A70" s="266" t="s">
        <v>32</v>
      </c>
      <c r="B70" s="399" t="s">
        <v>165</v>
      </c>
      <c r="C70" s="399"/>
      <c r="D70" s="399"/>
      <c r="E70" s="399"/>
      <c r="F70" s="399"/>
      <c r="G70" s="399"/>
      <c r="H70" s="267">
        <f>H71</f>
        <v>656.64</v>
      </c>
    </row>
    <row r="71" spans="1:8" x14ac:dyDescent="0.3">
      <c r="A71" s="268" t="s">
        <v>34</v>
      </c>
      <c r="B71" s="261">
        <v>100575</v>
      </c>
      <c r="C71" s="273" t="s">
        <v>166</v>
      </c>
      <c r="D71" s="274" t="s">
        <v>15</v>
      </c>
      <c r="E71" s="270">
        <f>MC!C190</f>
        <v>288</v>
      </c>
      <c r="F71" s="270">
        <f>F14</f>
        <v>1.87</v>
      </c>
      <c r="G71" s="271">
        <f>G14</f>
        <v>2.2799999999999998</v>
      </c>
      <c r="H71" s="271">
        <f>ROUND(E71*G71,2)</f>
        <v>656.64</v>
      </c>
    </row>
    <row r="72" spans="1:8" x14ac:dyDescent="0.3">
      <c r="A72" s="398"/>
      <c r="B72" s="398"/>
      <c r="C72" s="398"/>
      <c r="D72" s="398"/>
      <c r="E72" s="398"/>
      <c r="F72" s="398"/>
      <c r="G72" s="398"/>
      <c r="H72" s="398"/>
    </row>
    <row r="73" spans="1:8" x14ac:dyDescent="0.3">
      <c r="A73" s="266" t="s">
        <v>167</v>
      </c>
      <c r="B73" s="399" t="s">
        <v>168</v>
      </c>
      <c r="C73" s="399"/>
      <c r="D73" s="399"/>
      <c r="E73" s="399"/>
      <c r="F73" s="399"/>
      <c r="G73" s="399"/>
      <c r="H73" s="267">
        <f>SUM(H74:H74)</f>
        <v>27671.040000000001</v>
      </c>
    </row>
    <row r="74" spans="1:8" ht="20.399999999999999" x14ac:dyDescent="0.3">
      <c r="A74" s="268" t="s">
        <v>169</v>
      </c>
      <c r="B74" s="261" t="s">
        <v>252</v>
      </c>
      <c r="C74" s="273" t="s">
        <v>253</v>
      </c>
      <c r="D74" s="274" t="s">
        <v>15</v>
      </c>
      <c r="E74" s="270">
        <f>MC!C196</f>
        <v>288</v>
      </c>
      <c r="F74" s="270">
        <f>F17</f>
        <v>78.78</v>
      </c>
      <c r="G74" s="271">
        <f>G17</f>
        <v>96.08</v>
      </c>
      <c r="H74" s="271">
        <f>ROUND(E74*G74,2)</f>
        <v>27671.040000000001</v>
      </c>
    </row>
    <row r="75" spans="1:8" x14ac:dyDescent="0.3">
      <c r="A75" s="398"/>
      <c r="B75" s="398"/>
      <c r="C75" s="398"/>
      <c r="D75" s="398"/>
      <c r="E75" s="398"/>
      <c r="F75" s="398"/>
      <c r="G75" s="398"/>
      <c r="H75" s="398"/>
    </row>
    <row r="76" spans="1:8" x14ac:dyDescent="0.3">
      <c r="A76" s="266" t="s">
        <v>170</v>
      </c>
      <c r="B76" s="399" t="s">
        <v>171</v>
      </c>
      <c r="C76" s="399"/>
      <c r="D76" s="399"/>
      <c r="E76" s="399"/>
      <c r="F76" s="399"/>
      <c r="G76" s="399"/>
      <c r="H76" s="267">
        <f>SUM(H77:H78)</f>
        <v>8091.84</v>
      </c>
    </row>
    <row r="77" spans="1:8" ht="30.6" x14ac:dyDescent="0.3">
      <c r="A77" s="268" t="s">
        <v>172</v>
      </c>
      <c r="B77" s="261">
        <v>94273</v>
      </c>
      <c r="C77" s="273" t="s">
        <v>173</v>
      </c>
      <c r="D77" s="274" t="s">
        <v>174</v>
      </c>
      <c r="E77" s="270">
        <f>MC!C203</f>
        <v>108</v>
      </c>
      <c r="F77" s="270">
        <f>F20</f>
        <v>41.46</v>
      </c>
      <c r="G77" s="270">
        <f>G20</f>
        <v>50.56</v>
      </c>
      <c r="H77" s="271">
        <f>ROUND(E77*G77,2)</f>
        <v>5460.48</v>
      </c>
    </row>
    <row r="78" spans="1:8" ht="20.399999999999999" x14ac:dyDescent="0.3">
      <c r="A78" s="268" t="s">
        <v>175</v>
      </c>
      <c r="B78" s="261" t="s">
        <v>257</v>
      </c>
      <c r="C78" s="273" t="s">
        <v>258</v>
      </c>
      <c r="D78" s="274" t="s">
        <v>174</v>
      </c>
      <c r="E78" s="270">
        <f>MC!C208</f>
        <v>96</v>
      </c>
      <c r="F78" s="270">
        <f>F21</f>
        <v>22.48</v>
      </c>
      <c r="G78" s="270">
        <f>G21</f>
        <v>27.41</v>
      </c>
      <c r="H78" s="271">
        <f>ROUND(E78*G78,2)</f>
        <v>2631.36</v>
      </c>
    </row>
    <row r="79" spans="1:8" x14ac:dyDescent="0.3">
      <c r="A79" s="398"/>
      <c r="B79" s="398"/>
      <c r="C79" s="398"/>
      <c r="D79" s="398"/>
      <c r="E79" s="398"/>
      <c r="F79" s="398"/>
      <c r="G79" s="398"/>
      <c r="H79" s="398"/>
    </row>
    <row r="80" spans="1:8" x14ac:dyDescent="0.3">
      <c r="A80" s="266" t="s">
        <v>217</v>
      </c>
      <c r="B80" s="399" t="s">
        <v>215</v>
      </c>
      <c r="C80" s="399"/>
      <c r="D80" s="399"/>
      <c r="E80" s="399"/>
      <c r="F80" s="399"/>
      <c r="G80" s="399"/>
      <c r="H80" s="267">
        <f>SUM(H81:H82)</f>
        <v>3482.39</v>
      </c>
    </row>
    <row r="81" spans="1:8" ht="20.399999999999999" x14ac:dyDescent="0.3">
      <c r="A81" s="268" t="s">
        <v>218</v>
      </c>
      <c r="B81" s="261">
        <v>95878</v>
      </c>
      <c r="C81" s="273" t="s">
        <v>278</v>
      </c>
      <c r="D81" s="274" t="s">
        <v>216</v>
      </c>
      <c r="E81" s="270">
        <f>MC!C217</f>
        <v>1371.69</v>
      </c>
      <c r="F81" s="270">
        <f>F24</f>
        <v>1.66</v>
      </c>
      <c r="G81" s="270">
        <f>G24</f>
        <v>2.02</v>
      </c>
      <c r="H81" s="271">
        <f>ROUND(E81*G81,2)</f>
        <v>2770.81</v>
      </c>
    </row>
    <row r="82" spans="1:8" ht="30.6" x14ac:dyDescent="0.3">
      <c r="A82" s="268" t="s">
        <v>277</v>
      </c>
      <c r="B82" s="261">
        <v>93596</v>
      </c>
      <c r="C82" s="273" t="s">
        <v>279</v>
      </c>
      <c r="D82" s="274" t="s">
        <v>216</v>
      </c>
      <c r="E82" s="270">
        <f>MC!C225</f>
        <v>900.74</v>
      </c>
      <c r="F82" s="270">
        <f>F25</f>
        <v>0.65</v>
      </c>
      <c r="G82" s="270">
        <f>G25</f>
        <v>0.79</v>
      </c>
      <c r="H82" s="271">
        <f>ROUND(E82*G82,2)</f>
        <v>711.58</v>
      </c>
    </row>
    <row r="83" spans="1:8" x14ac:dyDescent="0.3">
      <c r="A83" s="398"/>
      <c r="B83" s="398"/>
      <c r="C83" s="398"/>
      <c r="D83" s="398"/>
      <c r="E83" s="398"/>
      <c r="F83" s="398"/>
      <c r="G83" s="398"/>
      <c r="H83" s="398"/>
    </row>
    <row r="84" spans="1:8" x14ac:dyDescent="0.3">
      <c r="A84" s="266" t="s">
        <v>254</v>
      </c>
      <c r="B84" s="399" t="s">
        <v>255</v>
      </c>
      <c r="C84" s="399"/>
      <c r="D84" s="399"/>
      <c r="E84" s="399"/>
      <c r="F84" s="399"/>
      <c r="G84" s="399"/>
      <c r="H84" s="267">
        <f>SUM(H85:H86)</f>
        <v>1299.97</v>
      </c>
    </row>
    <row r="85" spans="1:8" ht="20.399999999999999" x14ac:dyDescent="0.3">
      <c r="A85" s="268" t="s">
        <v>256</v>
      </c>
      <c r="B85" s="261" t="s">
        <v>273</v>
      </c>
      <c r="C85" s="273" t="s">
        <v>259</v>
      </c>
      <c r="D85" s="274" t="s">
        <v>15</v>
      </c>
      <c r="E85" s="270">
        <f>MC!C230</f>
        <v>0.23</v>
      </c>
      <c r="F85" s="270">
        <f>F28</f>
        <v>980.47</v>
      </c>
      <c r="G85" s="270">
        <f>G28</f>
        <v>1195.78</v>
      </c>
      <c r="H85" s="271">
        <f>ROUND(E85*G85,2)</f>
        <v>275.02999999999997</v>
      </c>
    </row>
    <row r="86" spans="1:8" ht="30.6" x14ac:dyDescent="0.3">
      <c r="A86" s="268" t="s">
        <v>256</v>
      </c>
      <c r="B86" s="261" t="s">
        <v>275</v>
      </c>
      <c r="C86" s="273" t="s">
        <v>276</v>
      </c>
      <c r="D86" s="274" t="s">
        <v>176</v>
      </c>
      <c r="E86" s="270">
        <f>MC!C234</f>
        <v>2</v>
      </c>
      <c r="F86" s="270">
        <f>F29</f>
        <v>420.2</v>
      </c>
      <c r="G86" s="270">
        <f>G29</f>
        <v>512.47</v>
      </c>
      <c r="H86" s="271">
        <f>ROUND(E86*G86,2)</f>
        <v>1024.94</v>
      </c>
    </row>
    <row r="87" spans="1:8" x14ac:dyDescent="0.3">
      <c r="A87" s="398"/>
      <c r="B87" s="398"/>
      <c r="C87" s="398"/>
      <c r="D87" s="398"/>
      <c r="E87" s="398"/>
      <c r="F87" s="398"/>
      <c r="G87" s="398"/>
      <c r="H87" s="398"/>
    </row>
    <row r="88" spans="1:8" x14ac:dyDescent="0.3">
      <c r="A88" s="400" t="str">
        <f>MC!B236</f>
        <v>RUA MANOEL SENHOR</v>
      </c>
      <c r="B88" s="400"/>
      <c r="C88" s="400"/>
      <c r="D88" s="400"/>
      <c r="E88" s="400"/>
      <c r="F88" s="400"/>
      <c r="G88" s="400"/>
      <c r="H88" s="272">
        <f>SUM(H89,H92,H95,H99,H103)</f>
        <v>22372.940000000002</v>
      </c>
    </row>
    <row r="89" spans="1:8" x14ac:dyDescent="0.3">
      <c r="A89" s="266" t="s">
        <v>32</v>
      </c>
      <c r="B89" s="399" t="s">
        <v>165</v>
      </c>
      <c r="C89" s="399"/>
      <c r="D89" s="399"/>
      <c r="E89" s="399"/>
      <c r="F89" s="399"/>
      <c r="G89" s="399"/>
      <c r="H89" s="267">
        <f>H90</f>
        <v>342</v>
      </c>
    </row>
    <row r="90" spans="1:8" x14ac:dyDescent="0.3">
      <c r="A90" s="268" t="s">
        <v>34</v>
      </c>
      <c r="B90" s="261">
        <v>100575</v>
      </c>
      <c r="C90" s="273" t="s">
        <v>166</v>
      </c>
      <c r="D90" s="274" t="s">
        <v>15</v>
      </c>
      <c r="E90" s="270">
        <f>MC!C245</f>
        <v>150</v>
      </c>
      <c r="F90" s="270">
        <f>F14</f>
        <v>1.87</v>
      </c>
      <c r="G90" s="271">
        <f>G14</f>
        <v>2.2799999999999998</v>
      </c>
      <c r="H90" s="271">
        <f>ROUND(E90*G90,2)</f>
        <v>342</v>
      </c>
    </row>
    <row r="91" spans="1:8" x14ac:dyDescent="0.3">
      <c r="A91" s="398"/>
      <c r="B91" s="398"/>
      <c r="C91" s="398"/>
      <c r="D91" s="398"/>
      <c r="E91" s="398"/>
      <c r="F91" s="398"/>
      <c r="G91" s="398"/>
      <c r="H91" s="398"/>
    </row>
    <row r="92" spans="1:8" x14ac:dyDescent="0.3">
      <c r="A92" s="266" t="s">
        <v>167</v>
      </c>
      <c r="B92" s="399" t="s">
        <v>168</v>
      </c>
      <c r="C92" s="399"/>
      <c r="D92" s="399"/>
      <c r="E92" s="399"/>
      <c r="F92" s="399"/>
      <c r="G92" s="399"/>
      <c r="H92" s="267">
        <f>SUM(H93:H93)</f>
        <v>14412</v>
      </c>
    </row>
    <row r="93" spans="1:8" ht="20.399999999999999" x14ac:dyDescent="0.3">
      <c r="A93" s="268" t="s">
        <v>169</v>
      </c>
      <c r="B93" s="261" t="s">
        <v>252</v>
      </c>
      <c r="C93" s="273" t="s">
        <v>253</v>
      </c>
      <c r="D93" s="274" t="s">
        <v>15</v>
      </c>
      <c r="E93" s="270">
        <f>MC!C251</f>
        <v>150</v>
      </c>
      <c r="F93" s="270">
        <f>F17</f>
        <v>78.78</v>
      </c>
      <c r="G93" s="271">
        <f>G17</f>
        <v>96.08</v>
      </c>
      <c r="H93" s="271">
        <f>ROUND(E93*G93,2)</f>
        <v>14412</v>
      </c>
    </row>
    <row r="94" spans="1:8" x14ac:dyDescent="0.3">
      <c r="A94" s="398"/>
      <c r="B94" s="398"/>
      <c r="C94" s="398"/>
      <c r="D94" s="398"/>
      <c r="E94" s="398"/>
      <c r="F94" s="398"/>
      <c r="G94" s="398"/>
      <c r="H94" s="398"/>
    </row>
    <row r="95" spans="1:8" x14ac:dyDescent="0.3">
      <c r="A95" s="266" t="s">
        <v>170</v>
      </c>
      <c r="B95" s="399" t="s">
        <v>171</v>
      </c>
      <c r="C95" s="399"/>
      <c r="D95" s="399"/>
      <c r="E95" s="399"/>
      <c r="F95" s="399"/>
      <c r="G95" s="399"/>
      <c r="H95" s="267">
        <f>SUM(H96:H97)</f>
        <v>4505.2199999999993</v>
      </c>
    </row>
    <row r="96" spans="1:8" ht="30.6" x14ac:dyDescent="0.3">
      <c r="A96" s="268" t="s">
        <v>172</v>
      </c>
      <c r="B96" s="261">
        <v>94273</v>
      </c>
      <c r="C96" s="273" t="s">
        <v>173</v>
      </c>
      <c r="D96" s="274" t="s">
        <v>174</v>
      </c>
      <c r="E96" s="270">
        <f>MC!C258</f>
        <v>62</v>
      </c>
      <c r="F96" s="270">
        <f>F20</f>
        <v>41.46</v>
      </c>
      <c r="G96" s="270">
        <f>G20</f>
        <v>50.56</v>
      </c>
      <c r="H96" s="271">
        <f>ROUND(E96*G96,2)</f>
        <v>3134.72</v>
      </c>
    </row>
    <row r="97" spans="1:8" ht="20.399999999999999" x14ac:dyDescent="0.3">
      <c r="A97" s="268" t="s">
        <v>175</v>
      </c>
      <c r="B97" s="261" t="s">
        <v>257</v>
      </c>
      <c r="C97" s="273" t="s">
        <v>258</v>
      </c>
      <c r="D97" s="274" t="s">
        <v>174</v>
      </c>
      <c r="E97" s="270">
        <f>MC!C263</f>
        <v>50</v>
      </c>
      <c r="F97" s="270">
        <f>F21</f>
        <v>22.48</v>
      </c>
      <c r="G97" s="270">
        <f>G21</f>
        <v>27.41</v>
      </c>
      <c r="H97" s="271">
        <f>ROUND(E97*G97,2)</f>
        <v>1370.5</v>
      </c>
    </row>
    <row r="98" spans="1:8" x14ac:dyDescent="0.3">
      <c r="A98" s="398"/>
      <c r="B98" s="398"/>
      <c r="C98" s="398"/>
      <c r="D98" s="398"/>
      <c r="E98" s="398"/>
      <c r="F98" s="398"/>
      <c r="G98" s="398"/>
      <c r="H98" s="398"/>
    </row>
    <row r="99" spans="1:8" x14ac:dyDescent="0.3">
      <c r="A99" s="266" t="s">
        <v>217</v>
      </c>
      <c r="B99" s="399" t="s">
        <v>215</v>
      </c>
      <c r="C99" s="399"/>
      <c r="D99" s="399"/>
      <c r="E99" s="399"/>
      <c r="F99" s="399"/>
      <c r="G99" s="399"/>
      <c r="H99" s="267">
        <f>SUM(H100:H101)</f>
        <v>1813.75</v>
      </c>
    </row>
    <row r="100" spans="1:8" ht="20.399999999999999" x14ac:dyDescent="0.3">
      <c r="A100" s="268" t="s">
        <v>218</v>
      </c>
      <c r="B100" s="261">
        <v>95878</v>
      </c>
      <c r="C100" s="273" t="s">
        <v>278</v>
      </c>
      <c r="D100" s="274" t="s">
        <v>216</v>
      </c>
      <c r="E100" s="270">
        <f>MC!C272</f>
        <v>714.42</v>
      </c>
      <c r="F100" s="270">
        <f>F24</f>
        <v>1.66</v>
      </c>
      <c r="G100" s="270">
        <f>G24</f>
        <v>2.02</v>
      </c>
      <c r="H100" s="271">
        <f>ROUND(E100*G100,2)</f>
        <v>1443.13</v>
      </c>
    </row>
    <row r="101" spans="1:8" ht="30.6" x14ac:dyDescent="0.3">
      <c r="A101" s="268" t="s">
        <v>277</v>
      </c>
      <c r="B101" s="261">
        <v>93596</v>
      </c>
      <c r="C101" s="273" t="s">
        <v>279</v>
      </c>
      <c r="D101" s="274" t="s">
        <v>216</v>
      </c>
      <c r="E101" s="270">
        <f>MC!C280</f>
        <v>469.14</v>
      </c>
      <c r="F101" s="270">
        <f>F25</f>
        <v>0.65</v>
      </c>
      <c r="G101" s="270">
        <f>G25</f>
        <v>0.79</v>
      </c>
      <c r="H101" s="271">
        <f>ROUND(E101*G101,2)</f>
        <v>370.62</v>
      </c>
    </row>
    <row r="102" spans="1:8" x14ac:dyDescent="0.3">
      <c r="A102" s="398"/>
      <c r="B102" s="398"/>
      <c r="C102" s="398"/>
      <c r="D102" s="398"/>
      <c r="E102" s="398"/>
      <c r="F102" s="398"/>
      <c r="G102" s="398"/>
      <c r="H102" s="398"/>
    </row>
    <row r="103" spans="1:8" x14ac:dyDescent="0.3">
      <c r="A103" s="266" t="s">
        <v>254</v>
      </c>
      <c r="B103" s="399" t="s">
        <v>255</v>
      </c>
      <c r="C103" s="399"/>
      <c r="D103" s="399"/>
      <c r="E103" s="399"/>
      <c r="F103" s="399"/>
      <c r="G103" s="399"/>
      <c r="H103" s="267">
        <f>SUM(H104:H105)</f>
        <v>1299.97</v>
      </c>
    </row>
    <row r="104" spans="1:8" ht="20.399999999999999" x14ac:dyDescent="0.3">
      <c r="A104" s="268" t="s">
        <v>256</v>
      </c>
      <c r="B104" s="261" t="s">
        <v>273</v>
      </c>
      <c r="C104" s="273" t="s">
        <v>259</v>
      </c>
      <c r="D104" s="274" t="s">
        <v>15</v>
      </c>
      <c r="E104" s="270">
        <f>MC!C285</f>
        <v>0.23</v>
      </c>
      <c r="F104" s="270">
        <f>F28</f>
        <v>980.47</v>
      </c>
      <c r="G104" s="270">
        <f>G28</f>
        <v>1195.78</v>
      </c>
      <c r="H104" s="271">
        <f>ROUND(E104*G104,2)</f>
        <v>275.02999999999997</v>
      </c>
    </row>
    <row r="105" spans="1:8" ht="30.6" x14ac:dyDescent="0.3">
      <c r="A105" s="268" t="s">
        <v>256</v>
      </c>
      <c r="B105" s="261" t="s">
        <v>275</v>
      </c>
      <c r="C105" s="273" t="s">
        <v>276</v>
      </c>
      <c r="D105" s="274" t="s">
        <v>176</v>
      </c>
      <c r="E105" s="270">
        <f>MC!C289</f>
        <v>2</v>
      </c>
      <c r="F105" s="270">
        <f>F29</f>
        <v>420.2</v>
      </c>
      <c r="G105" s="270">
        <f>G29</f>
        <v>512.47</v>
      </c>
      <c r="H105" s="271">
        <f>ROUND(E105*G105,2)</f>
        <v>1024.94</v>
      </c>
    </row>
    <row r="106" spans="1:8" x14ac:dyDescent="0.3">
      <c r="A106" s="398"/>
      <c r="B106" s="398"/>
      <c r="C106" s="398"/>
      <c r="D106" s="398"/>
      <c r="E106" s="398"/>
      <c r="F106" s="398"/>
      <c r="G106" s="398"/>
      <c r="H106" s="398"/>
    </row>
    <row r="107" spans="1:8" x14ac:dyDescent="0.3">
      <c r="A107" s="400" t="str">
        <f>MC!B291</f>
        <v>PROJETADA 01 - COMUNIDADE GRACIOSA</v>
      </c>
      <c r="B107" s="400"/>
      <c r="C107" s="400"/>
      <c r="D107" s="400"/>
      <c r="E107" s="400"/>
      <c r="F107" s="400"/>
      <c r="G107" s="400"/>
      <c r="H107" s="272">
        <f>SUM(H108,H111,H114,H118,H122)</f>
        <v>520112.02</v>
      </c>
    </row>
    <row r="108" spans="1:8" x14ac:dyDescent="0.3">
      <c r="A108" s="266" t="s">
        <v>32</v>
      </c>
      <c r="B108" s="399" t="s">
        <v>165</v>
      </c>
      <c r="C108" s="399"/>
      <c r="D108" s="399"/>
      <c r="E108" s="399"/>
      <c r="F108" s="399"/>
      <c r="G108" s="399"/>
      <c r="H108" s="267">
        <f>H109</f>
        <v>8659.44</v>
      </c>
    </row>
    <row r="109" spans="1:8" x14ac:dyDescent="0.3">
      <c r="A109" s="268" t="s">
        <v>34</v>
      </c>
      <c r="B109" s="261">
        <v>100575</v>
      </c>
      <c r="C109" s="273" t="s">
        <v>166</v>
      </c>
      <c r="D109" s="274" t="s">
        <v>15</v>
      </c>
      <c r="E109" s="270">
        <f>MC!C300</f>
        <v>3798</v>
      </c>
      <c r="F109" s="270">
        <f>F14</f>
        <v>1.87</v>
      </c>
      <c r="G109" s="270">
        <f>G14</f>
        <v>2.2799999999999998</v>
      </c>
      <c r="H109" s="271">
        <f>ROUND(E109*G109,2)</f>
        <v>8659.44</v>
      </c>
    </row>
    <row r="110" spans="1:8" x14ac:dyDescent="0.3">
      <c r="A110" s="398"/>
      <c r="B110" s="398"/>
      <c r="C110" s="398"/>
      <c r="D110" s="398"/>
      <c r="E110" s="398"/>
      <c r="F110" s="398"/>
      <c r="G110" s="398"/>
      <c r="H110" s="398"/>
    </row>
    <row r="111" spans="1:8" x14ac:dyDescent="0.3">
      <c r="A111" s="266" t="s">
        <v>167</v>
      </c>
      <c r="B111" s="399" t="s">
        <v>168</v>
      </c>
      <c r="C111" s="399"/>
      <c r="D111" s="399"/>
      <c r="E111" s="399"/>
      <c r="F111" s="399"/>
      <c r="G111" s="399"/>
      <c r="H111" s="267">
        <f>SUM(H112:H112)</f>
        <v>364911.84</v>
      </c>
    </row>
    <row r="112" spans="1:8" ht="20.399999999999999" x14ac:dyDescent="0.3">
      <c r="A112" s="268" t="s">
        <v>169</v>
      </c>
      <c r="B112" s="261" t="s">
        <v>252</v>
      </c>
      <c r="C112" s="273" t="s">
        <v>253</v>
      </c>
      <c r="D112" s="274" t="s">
        <v>15</v>
      </c>
      <c r="E112" s="270">
        <f>MC!C306</f>
        <v>3798</v>
      </c>
      <c r="F112" s="270">
        <f>F17</f>
        <v>78.78</v>
      </c>
      <c r="G112" s="270">
        <f>G17</f>
        <v>96.08</v>
      </c>
      <c r="H112" s="271">
        <f>ROUND(E112*G112,2)</f>
        <v>364911.84</v>
      </c>
    </row>
    <row r="113" spans="1:8" x14ac:dyDescent="0.3">
      <c r="A113" s="398"/>
      <c r="B113" s="398"/>
      <c r="C113" s="398"/>
      <c r="D113" s="398"/>
      <c r="E113" s="398"/>
      <c r="F113" s="398"/>
      <c r="G113" s="398"/>
      <c r="H113" s="398"/>
    </row>
    <row r="114" spans="1:8" x14ac:dyDescent="0.3">
      <c r="A114" s="266" t="s">
        <v>170</v>
      </c>
      <c r="B114" s="399" t="s">
        <v>171</v>
      </c>
      <c r="C114" s="399"/>
      <c r="D114" s="399"/>
      <c r="E114" s="399"/>
      <c r="F114" s="399"/>
      <c r="G114" s="399"/>
      <c r="H114" s="267">
        <f>SUM(H115:H116)</f>
        <v>99316.739999999991</v>
      </c>
    </row>
    <row r="115" spans="1:8" ht="30.6" x14ac:dyDescent="0.3">
      <c r="A115" s="268" t="s">
        <v>172</v>
      </c>
      <c r="B115" s="261">
        <v>94273</v>
      </c>
      <c r="C115" s="273" t="s">
        <v>173</v>
      </c>
      <c r="D115" s="274" t="s">
        <v>174</v>
      </c>
      <c r="E115" s="270">
        <f>MC!C313</f>
        <v>1278</v>
      </c>
      <c r="F115" s="270">
        <f>F20</f>
        <v>41.46</v>
      </c>
      <c r="G115" s="270">
        <f>G20</f>
        <v>50.56</v>
      </c>
      <c r="H115" s="271">
        <f>ROUND(E115*G115,2)</f>
        <v>64615.68</v>
      </c>
    </row>
    <row r="116" spans="1:8" ht="20.399999999999999" x14ac:dyDescent="0.3">
      <c r="A116" s="268" t="s">
        <v>175</v>
      </c>
      <c r="B116" s="261" t="s">
        <v>257</v>
      </c>
      <c r="C116" s="273" t="s">
        <v>258</v>
      </c>
      <c r="D116" s="274" t="s">
        <v>174</v>
      </c>
      <c r="E116" s="270">
        <f>MC!C318</f>
        <v>1266</v>
      </c>
      <c r="F116" s="270">
        <f>F21</f>
        <v>22.48</v>
      </c>
      <c r="G116" s="270">
        <f>G21</f>
        <v>27.41</v>
      </c>
      <c r="H116" s="271">
        <f>ROUND(E116*G116,2)</f>
        <v>34701.06</v>
      </c>
    </row>
    <row r="117" spans="1:8" x14ac:dyDescent="0.3">
      <c r="A117" s="398"/>
      <c r="B117" s="398"/>
      <c r="C117" s="398"/>
      <c r="D117" s="398"/>
      <c r="E117" s="398"/>
      <c r="F117" s="398"/>
      <c r="G117" s="398"/>
      <c r="H117" s="398"/>
    </row>
    <row r="118" spans="1:8" x14ac:dyDescent="0.3">
      <c r="A118" s="266" t="s">
        <v>217</v>
      </c>
      <c r="B118" s="399" t="s">
        <v>215</v>
      </c>
      <c r="C118" s="399"/>
      <c r="D118" s="399"/>
      <c r="E118" s="399"/>
      <c r="F118" s="399"/>
      <c r="G118" s="399"/>
      <c r="H118" s="267">
        <f>SUM(H119:H120)</f>
        <v>45924.03</v>
      </c>
    </row>
    <row r="119" spans="1:8" ht="20.399999999999999" x14ac:dyDescent="0.3">
      <c r="A119" s="268" t="s">
        <v>218</v>
      </c>
      <c r="B119" s="261">
        <v>95878</v>
      </c>
      <c r="C119" s="273" t="s">
        <v>278</v>
      </c>
      <c r="D119" s="274" t="s">
        <v>216</v>
      </c>
      <c r="E119" s="270">
        <f>MC!C327</f>
        <v>18089.11</v>
      </c>
      <c r="F119" s="270">
        <f>F24</f>
        <v>1.66</v>
      </c>
      <c r="G119" s="270">
        <f>G24</f>
        <v>2.02</v>
      </c>
      <c r="H119" s="271">
        <f>ROUND(E119*G119,2)</f>
        <v>36540</v>
      </c>
    </row>
    <row r="120" spans="1:8" ht="30.6" x14ac:dyDescent="0.3">
      <c r="A120" s="268" t="s">
        <v>277</v>
      </c>
      <c r="B120" s="261">
        <v>93596</v>
      </c>
      <c r="C120" s="273" t="s">
        <v>279</v>
      </c>
      <c r="D120" s="274" t="s">
        <v>216</v>
      </c>
      <c r="E120" s="270">
        <f>MC!C335</f>
        <v>11878.52</v>
      </c>
      <c r="F120" s="270">
        <f>F25</f>
        <v>0.65</v>
      </c>
      <c r="G120" s="270">
        <f>G25</f>
        <v>0.79</v>
      </c>
      <c r="H120" s="271">
        <f>ROUND(E120*G120,2)</f>
        <v>9384.0300000000007</v>
      </c>
    </row>
    <row r="121" spans="1:8" x14ac:dyDescent="0.3">
      <c r="A121" s="398"/>
      <c r="B121" s="398"/>
      <c r="C121" s="398"/>
      <c r="D121" s="398"/>
      <c r="E121" s="398"/>
      <c r="F121" s="398"/>
      <c r="G121" s="398"/>
      <c r="H121" s="398"/>
    </row>
    <row r="122" spans="1:8" x14ac:dyDescent="0.3">
      <c r="A122" s="266" t="s">
        <v>254</v>
      </c>
      <c r="B122" s="399" t="s">
        <v>255</v>
      </c>
      <c r="C122" s="399"/>
      <c r="D122" s="399"/>
      <c r="E122" s="399"/>
      <c r="F122" s="399"/>
      <c r="G122" s="399"/>
      <c r="H122" s="267">
        <f>SUM(H123:H124)</f>
        <v>1299.97</v>
      </c>
    </row>
    <row r="123" spans="1:8" ht="20.399999999999999" x14ac:dyDescent="0.3">
      <c r="A123" s="268" t="s">
        <v>256</v>
      </c>
      <c r="B123" s="261" t="s">
        <v>273</v>
      </c>
      <c r="C123" s="273" t="s">
        <v>259</v>
      </c>
      <c r="D123" s="274" t="s">
        <v>15</v>
      </c>
      <c r="E123" s="270">
        <f>MC!C340</f>
        <v>0.23</v>
      </c>
      <c r="F123" s="270">
        <f>F28</f>
        <v>980.47</v>
      </c>
      <c r="G123" s="270">
        <f>G28</f>
        <v>1195.78</v>
      </c>
      <c r="H123" s="271">
        <f>ROUND(E123*G123,2)</f>
        <v>275.02999999999997</v>
      </c>
    </row>
    <row r="124" spans="1:8" ht="30.6" x14ac:dyDescent="0.3">
      <c r="A124" s="268" t="s">
        <v>256</v>
      </c>
      <c r="B124" s="261" t="s">
        <v>275</v>
      </c>
      <c r="C124" s="273" t="s">
        <v>276</v>
      </c>
      <c r="D124" s="274" t="s">
        <v>176</v>
      </c>
      <c r="E124" s="270">
        <f>MC!C344</f>
        <v>2</v>
      </c>
      <c r="F124" s="270">
        <f>F29</f>
        <v>420.2</v>
      </c>
      <c r="G124" s="270">
        <f>G29</f>
        <v>512.47</v>
      </c>
      <c r="H124" s="271">
        <f>ROUND(E124*G124,2)</f>
        <v>1024.94</v>
      </c>
    </row>
    <row r="125" spans="1:8" x14ac:dyDescent="0.3">
      <c r="A125" s="398"/>
      <c r="B125" s="398"/>
      <c r="C125" s="398"/>
      <c r="D125" s="398"/>
      <c r="E125" s="398"/>
      <c r="F125" s="398"/>
      <c r="G125" s="398"/>
      <c r="H125" s="398"/>
    </row>
    <row r="126" spans="1:8" x14ac:dyDescent="0.3">
      <c r="A126" s="400" t="str">
        <f>MC!B346</f>
        <v>PROJETADA 01 - COMUNIDADE LAGOA DO PIRIPIRI</v>
      </c>
      <c r="B126" s="400"/>
      <c r="C126" s="400"/>
      <c r="D126" s="400"/>
      <c r="E126" s="400"/>
      <c r="F126" s="400"/>
      <c r="G126" s="400"/>
      <c r="H126" s="272">
        <f>SUM(H127,H130,H133,H137,H141)</f>
        <v>108331.15999999999</v>
      </c>
    </row>
    <row r="127" spans="1:8" x14ac:dyDescent="0.3">
      <c r="A127" s="266" t="s">
        <v>32</v>
      </c>
      <c r="B127" s="399" t="s">
        <v>165</v>
      </c>
      <c r="C127" s="399"/>
      <c r="D127" s="399"/>
      <c r="E127" s="399"/>
      <c r="F127" s="399"/>
      <c r="G127" s="399"/>
      <c r="H127" s="267">
        <f>H128</f>
        <v>1778.4</v>
      </c>
    </row>
    <row r="128" spans="1:8" x14ac:dyDescent="0.3">
      <c r="A128" s="268" t="s">
        <v>34</v>
      </c>
      <c r="B128" s="261">
        <v>100575</v>
      </c>
      <c r="C128" s="273" t="s">
        <v>166</v>
      </c>
      <c r="D128" s="274" t="s">
        <v>15</v>
      </c>
      <c r="E128" s="270">
        <f>MC!C355</f>
        <v>780</v>
      </c>
      <c r="F128" s="270">
        <f>F14</f>
        <v>1.87</v>
      </c>
      <c r="G128" s="270">
        <f>G14</f>
        <v>2.2799999999999998</v>
      </c>
      <c r="H128" s="271">
        <f>ROUND(E128*G128,2)</f>
        <v>1778.4</v>
      </c>
    </row>
    <row r="129" spans="1:8" x14ac:dyDescent="0.3">
      <c r="A129" s="398"/>
      <c r="B129" s="398"/>
      <c r="C129" s="398"/>
      <c r="D129" s="398"/>
      <c r="E129" s="398"/>
      <c r="F129" s="398"/>
      <c r="G129" s="398"/>
      <c r="H129" s="398"/>
    </row>
    <row r="130" spans="1:8" x14ac:dyDescent="0.3">
      <c r="A130" s="266" t="s">
        <v>167</v>
      </c>
      <c r="B130" s="399" t="s">
        <v>168</v>
      </c>
      <c r="C130" s="399"/>
      <c r="D130" s="399"/>
      <c r="E130" s="399"/>
      <c r="F130" s="399"/>
      <c r="G130" s="399"/>
      <c r="H130" s="267">
        <f>SUM(H131:H131)</f>
        <v>74942.399999999994</v>
      </c>
    </row>
    <row r="131" spans="1:8" ht="20.399999999999999" x14ac:dyDescent="0.3">
      <c r="A131" s="268" t="s">
        <v>169</v>
      </c>
      <c r="B131" s="261" t="s">
        <v>252</v>
      </c>
      <c r="C131" s="273" t="s">
        <v>253</v>
      </c>
      <c r="D131" s="274" t="s">
        <v>15</v>
      </c>
      <c r="E131" s="270">
        <f>MC!C361</f>
        <v>780</v>
      </c>
      <c r="F131" s="270">
        <f>F17</f>
        <v>78.78</v>
      </c>
      <c r="G131" s="270">
        <f>G17</f>
        <v>96.08</v>
      </c>
      <c r="H131" s="271">
        <f>ROUND(E131*G131,2)</f>
        <v>74942.399999999994</v>
      </c>
    </row>
    <row r="132" spans="1:8" x14ac:dyDescent="0.3">
      <c r="A132" s="398"/>
      <c r="B132" s="398"/>
      <c r="C132" s="398"/>
      <c r="D132" s="398"/>
      <c r="E132" s="398"/>
      <c r="F132" s="398"/>
      <c r="G132" s="398"/>
      <c r="H132" s="398"/>
    </row>
    <row r="133" spans="1:8" x14ac:dyDescent="0.3">
      <c r="A133" s="266" t="s">
        <v>170</v>
      </c>
      <c r="B133" s="399" t="s">
        <v>171</v>
      </c>
      <c r="C133" s="399"/>
      <c r="D133" s="399"/>
      <c r="E133" s="399"/>
      <c r="F133" s="399"/>
      <c r="G133" s="399"/>
      <c r="H133" s="267">
        <f>SUM(H134:H135)</f>
        <v>20878.919999999998</v>
      </c>
    </row>
    <row r="134" spans="1:8" ht="30.6" x14ac:dyDescent="0.3">
      <c r="A134" s="268" t="s">
        <v>172</v>
      </c>
      <c r="B134" s="261">
        <v>94273</v>
      </c>
      <c r="C134" s="273" t="s">
        <v>173</v>
      </c>
      <c r="D134" s="274" t="s">
        <v>174</v>
      </c>
      <c r="E134" s="270">
        <f>MC!C368</f>
        <v>272</v>
      </c>
      <c r="F134" s="270">
        <f>F20</f>
        <v>41.46</v>
      </c>
      <c r="G134" s="270">
        <f>G20</f>
        <v>50.56</v>
      </c>
      <c r="H134" s="271">
        <f>ROUND(E134*G134,2)</f>
        <v>13752.32</v>
      </c>
    </row>
    <row r="135" spans="1:8" ht="20.399999999999999" x14ac:dyDescent="0.3">
      <c r="A135" s="268" t="s">
        <v>175</v>
      </c>
      <c r="B135" s="261" t="s">
        <v>257</v>
      </c>
      <c r="C135" s="273" t="s">
        <v>258</v>
      </c>
      <c r="D135" s="274" t="s">
        <v>174</v>
      </c>
      <c r="E135" s="270">
        <f>MC!C373</f>
        <v>260</v>
      </c>
      <c r="F135" s="270">
        <f>F21</f>
        <v>22.48</v>
      </c>
      <c r="G135" s="270">
        <f>G21</f>
        <v>27.41</v>
      </c>
      <c r="H135" s="271">
        <f>ROUND(E135*G135,2)</f>
        <v>7126.6</v>
      </c>
    </row>
    <row r="136" spans="1:8" x14ac:dyDescent="0.3">
      <c r="A136" s="398"/>
      <c r="B136" s="398"/>
      <c r="C136" s="398"/>
      <c r="D136" s="398"/>
      <c r="E136" s="398"/>
      <c r="F136" s="398"/>
      <c r="G136" s="398"/>
      <c r="H136" s="398"/>
    </row>
    <row r="137" spans="1:8" x14ac:dyDescent="0.3">
      <c r="A137" s="266" t="s">
        <v>217</v>
      </c>
      <c r="B137" s="399" t="s">
        <v>215</v>
      </c>
      <c r="C137" s="399"/>
      <c r="D137" s="399"/>
      <c r="E137" s="399"/>
      <c r="F137" s="399"/>
      <c r="G137" s="399"/>
      <c r="H137" s="267">
        <f>SUM(H138:H139)</f>
        <v>9431.4700000000012</v>
      </c>
    </row>
    <row r="138" spans="1:8" ht="20.399999999999999" x14ac:dyDescent="0.3">
      <c r="A138" s="268" t="s">
        <v>218</v>
      </c>
      <c r="B138" s="261">
        <v>95878</v>
      </c>
      <c r="C138" s="273" t="s">
        <v>278</v>
      </c>
      <c r="D138" s="274" t="s">
        <v>216</v>
      </c>
      <c r="E138" s="270">
        <f>MC!C382</f>
        <v>3714.98</v>
      </c>
      <c r="F138" s="270">
        <f>F24</f>
        <v>1.66</v>
      </c>
      <c r="G138" s="270">
        <f>G24</f>
        <v>2.02</v>
      </c>
      <c r="H138" s="271">
        <f>ROUND(E138*G138,2)</f>
        <v>7504.26</v>
      </c>
    </row>
    <row r="139" spans="1:8" ht="30.6" x14ac:dyDescent="0.3">
      <c r="A139" s="268" t="s">
        <v>277</v>
      </c>
      <c r="B139" s="261">
        <v>93596</v>
      </c>
      <c r="C139" s="273" t="s">
        <v>279</v>
      </c>
      <c r="D139" s="274" t="s">
        <v>216</v>
      </c>
      <c r="E139" s="270">
        <f>MC!C390</f>
        <v>2439.5100000000002</v>
      </c>
      <c r="F139" s="270">
        <f>F25</f>
        <v>0.65</v>
      </c>
      <c r="G139" s="270">
        <f>G25</f>
        <v>0.79</v>
      </c>
      <c r="H139" s="271">
        <f>ROUND(E139*G139,2)</f>
        <v>1927.21</v>
      </c>
    </row>
    <row r="140" spans="1:8" x14ac:dyDescent="0.3">
      <c r="A140" s="398"/>
      <c r="B140" s="398"/>
      <c r="C140" s="398"/>
      <c r="D140" s="398"/>
      <c r="E140" s="398"/>
      <c r="F140" s="398"/>
      <c r="G140" s="398"/>
      <c r="H140" s="398"/>
    </row>
    <row r="141" spans="1:8" x14ac:dyDescent="0.3">
      <c r="A141" s="266" t="s">
        <v>254</v>
      </c>
      <c r="B141" s="399" t="s">
        <v>255</v>
      </c>
      <c r="C141" s="399"/>
      <c r="D141" s="399"/>
      <c r="E141" s="399"/>
      <c r="F141" s="399"/>
      <c r="G141" s="399"/>
      <c r="H141" s="267">
        <f>SUM(H142:H143)</f>
        <v>1299.97</v>
      </c>
    </row>
    <row r="142" spans="1:8" ht="20.399999999999999" x14ac:dyDescent="0.3">
      <c r="A142" s="268" t="s">
        <v>256</v>
      </c>
      <c r="B142" s="261" t="s">
        <v>273</v>
      </c>
      <c r="C142" s="273" t="s">
        <v>259</v>
      </c>
      <c r="D142" s="274" t="s">
        <v>15</v>
      </c>
      <c r="E142" s="270">
        <f>MC!C395</f>
        <v>0.23</v>
      </c>
      <c r="F142" s="270">
        <f>F28</f>
        <v>980.47</v>
      </c>
      <c r="G142" s="270">
        <f>G28</f>
        <v>1195.78</v>
      </c>
      <c r="H142" s="271">
        <f>ROUND(E142*G142,2)</f>
        <v>275.02999999999997</v>
      </c>
    </row>
    <row r="143" spans="1:8" ht="30.6" x14ac:dyDescent="0.3">
      <c r="A143" s="268" t="s">
        <v>256</v>
      </c>
      <c r="B143" s="261" t="s">
        <v>275</v>
      </c>
      <c r="C143" s="273" t="s">
        <v>276</v>
      </c>
      <c r="D143" s="274" t="s">
        <v>176</v>
      </c>
      <c r="E143" s="270">
        <f>MC!C399</f>
        <v>2</v>
      </c>
      <c r="F143" s="270">
        <f>F29</f>
        <v>420.2</v>
      </c>
      <c r="G143" s="270">
        <f>G29</f>
        <v>512.47</v>
      </c>
      <c r="H143" s="271">
        <f>ROUND(E143*G143,2)</f>
        <v>1024.94</v>
      </c>
    </row>
    <row r="144" spans="1:8" x14ac:dyDescent="0.3">
      <c r="A144" s="398"/>
      <c r="B144" s="398"/>
      <c r="C144" s="398"/>
      <c r="D144" s="398"/>
      <c r="E144" s="398"/>
      <c r="F144" s="398"/>
      <c r="G144" s="398"/>
      <c r="H144" s="398"/>
    </row>
    <row r="145" spans="1:8" x14ac:dyDescent="0.3">
      <c r="A145" s="400" t="str">
        <f>MC!B401</f>
        <v>RUA PROJETADA 01 - COMUNIDADE ALIVIO</v>
      </c>
      <c r="B145" s="400"/>
      <c r="C145" s="400"/>
      <c r="D145" s="400"/>
      <c r="E145" s="400"/>
      <c r="F145" s="400"/>
      <c r="G145" s="400"/>
      <c r="H145" s="272">
        <f>SUM(H146,H149,H152,H156,H160)</f>
        <v>239315.14000000004</v>
      </c>
    </row>
    <row r="146" spans="1:8" x14ac:dyDescent="0.3">
      <c r="A146" s="266" t="s">
        <v>32</v>
      </c>
      <c r="B146" s="399" t="s">
        <v>165</v>
      </c>
      <c r="C146" s="399"/>
      <c r="D146" s="399"/>
      <c r="E146" s="399"/>
      <c r="F146" s="399"/>
      <c r="G146" s="399"/>
      <c r="H146" s="267">
        <f>H147</f>
        <v>3967.2</v>
      </c>
    </row>
    <row r="147" spans="1:8" x14ac:dyDescent="0.3">
      <c r="A147" s="268" t="s">
        <v>34</v>
      </c>
      <c r="B147" s="261">
        <v>100575</v>
      </c>
      <c r="C147" s="273" t="s">
        <v>166</v>
      </c>
      <c r="D147" s="274" t="s">
        <v>15</v>
      </c>
      <c r="E147" s="270">
        <f>MC!C410</f>
        <v>1740</v>
      </c>
      <c r="F147" s="270">
        <f>F14</f>
        <v>1.87</v>
      </c>
      <c r="G147" s="270">
        <f>G14</f>
        <v>2.2799999999999998</v>
      </c>
      <c r="H147" s="271">
        <f>ROUND(E147*G147,2)</f>
        <v>3967.2</v>
      </c>
    </row>
    <row r="148" spans="1:8" x14ac:dyDescent="0.3">
      <c r="A148" s="398"/>
      <c r="B148" s="398"/>
      <c r="C148" s="398"/>
      <c r="D148" s="398"/>
      <c r="E148" s="398"/>
      <c r="F148" s="398"/>
      <c r="G148" s="398"/>
      <c r="H148" s="398"/>
    </row>
    <row r="149" spans="1:8" x14ac:dyDescent="0.3">
      <c r="A149" s="266" t="s">
        <v>167</v>
      </c>
      <c r="B149" s="399" t="s">
        <v>168</v>
      </c>
      <c r="C149" s="399"/>
      <c r="D149" s="399"/>
      <c r="E149" s="399"/>
      <c r="F149" s="399"/>
      <c r="G149" s="399"/>
      <c r="H149" s="267">
        <f>SUM(H150:H150)</f>
        <v>167179.20000000001</v>
      </c>
    </row>
    <row r="150" spans="1:8" ht="20.399999999999999" x14ac:dyDescent="0.3">
      <c r="A150" s="268" t="s">
        <v>169</v>
      </c>
      <c r="B150" s="261" t="s">
        <v>252</v>
      </c>
      <c r="C150" s="273" t="s">
        <v>253</v>
      </c>
      <c r="D150" s="274" t="s">
        <v>15</v>
      </c>
      <c r="E150" s="270">
        <f>MC!C416</f>
        <v>1740</v>
      </c>
      <c r="F150" s="270">
        <f>F17</f>
        <v>78.78</v>
      </c>
      <c r="G150" s="270">
        <f>G17</f>
        <v>96.08</v>
      </c>
      <c r="H150" s="271">
        <f>ROUND(E150*G150,2)</f>
        <v>167179.20000000001</v>
      </c>
    </row>
    <row r="151" spans="1:8" x14ac:dyDescent="0.3">
      <c r="A151" s="398"/>
      <c r="B151" s="398"/>
      <c r="C151" s="398"/>
      <c r="D151" s="398"/>
      <c r="E151" s="398"/>
      <c r="F151" s="398"/>
      <c r="G151" s="398"/>
      <c r="H151" s="398"/>
    </row>
    <row r="152" spans="1:8" x14ac:dyDescent="0.3">
      <c r="A152" s="266" t="s">
        <v>170</v>
      </c>
      <c r="B152" s="399" t="s">
        <v>171</v>
      </c>
      <c r="C152" s="399"/>
      <c r="D152" s="399"/>
      <c r="E152" s="399"/>
      <c r="F152" s="399"/>
      <c r="G152" s="399"/>
      <c r="H152" s="267">
        <f>SUM(H153:H154)</f>
        <v>45829.32</v>
      </c>
    </row>
    <row r="153" spans="1:8" ht="30.6" x14ac:dyDescent="0.3">
      <c r="A153" s="268" t="s">
        <v>172</v>
      </c>
      <c r="B153" s="261">
        <v>94273</v>
      </c>
      <c r="C153" s="273" t="s">
        <v>173</v>
      </c>
      <c r="D153" s="274" t="s">
        <v>174</v>
      </c>
      <c r="E153" s="270">
        <f>MC!C423</f>
        <v>592</v>
      </c>
      <c r="F153" s="270">
        <f>F20</f>
        <v>41.46</v>
      </c>
      <c r="G153" s="270">
        <f>G20</f>
        <v>50.56</v>
      </c>
      <c r="H153" s="271">
        <f>ROUND(E153*G153,2)</f>
        <v>29931.52</v>
      </c>
    </row>
    <row r="154" spans="1:8" ht="20.399999999999999" x14ac:dyDescent="0.3">
      <c r="A154" s="268" t="s">
        <v>175</v>
      </c>
      <c r="B154" s="261" t="s">
        <v>257</v>
      </c>
      <c r="C154" s="273" t="s">
        <v>258</v>
      </c>
      <c r="D154" s="274" t="s">
        <v>174</v>
      </c>
      <c r="E154" s="270">
        <f>MC!C428</f>
        <v>580</v>
      </c>
      <c r="F154" s="270">
        <f>F21</f>
        <v>22.48</v>
      </c>
      <c r="G154" s="270">
        <f>G21</f>
        <v>27.41</v>
      </c>
      <c r="H154" s="271">
        <f>ROUND(E154*G154,2)</f>
        <v>15897.8</v>
      </c>
    </row>
    <row r="155" spans="1:8" x14ac:dyDescent="0.3">
      <c r="A155" s="398"/>
      <c r="B155" s="398"/>
      <c r="C155" s="398"/>
      <c r="D155" s="398"/>
      <c r="E155" s="398"/>
      <c r="F155" s="398"/>
      <c r="G155" s="398"/>
      <c r="H155" s="398"/>
    </row>
    <row r="156" spans="1:8" x14ac:dyDescent="0.3">
      <c r="A156" s="266" t="s">
        <v>217</v>
      </c>
      <c r="B156" s="399" t="s">
        <v>215</v>
      </c>
      <c r="C156" s="399"/>
      <c r="D156" s="399"/>
      <c r="E156" s="399"/>
      <c r="F156" s="399"/>
      <c r="G156" s="399"/>
      <c r="H156" s="267">
        <f>SUM(H157:H158)</f>
        <v>21039.45</v>
      </c>
    </row>
    <row r="157" spans="1:8" ht="20.399999999999999" x14ac:dyDescent="0.3">
      <c r="A157" s="268" t="s">
        <v>218</v>
      </c>
      <c r="B157" s="261">
        <v>95878</v>
      </c>
      <c r="C157" s="273" t="s">
        <v>278</v>
      </c>
      <c r="D157" s="274" t="s">
        <v>216</v>
      </c>
      <c r="E157" s="270">
        <f>MC!C437</f>
        <v>8287.27</v>
      </c>
      <c r="F157" s="270">
        <f>F24</f>
        <v>1.66</v>
      </c>
      <c r="G157" s="270">
        <f>G24</f>
        <v>2.02</v>
      </c>
      <c r="H157" s="271">
        <f>ROUND(E157*G157,2)</f>
        <v>16740.29</v>
      </c>
    </row>
    <row r="158" spans="1:8" ht="30.6" x14ac:dyDescent="0.3">
      <c r="A158" s="268" t="s">
        <v>277</v>
      </c>
      <c r="B158" s="261">
        <v>93596</v>
      </c>
      <c r="C158" s="273" t="s">
        <v>279</v>
      </c>
      <c r="D158" s="274" t="s">
        <v>216</v>
      </c>
      <c r="E158" s="270">
        <f>MC!C445</f>
        <v>5441.98</v>
      </c>
      <c r="F158" s="270">
        <f>F25</f>
        <v>0.65</v>
      </c>
      <c r="G158" s="270">
        <f>G25</f>
        <v>0.79</v>
      </c>
      <c r="H158" s="271">
        <f>ROUND(E158*G158,2)</f>
        <v>4299.16</v>
      </c>
    </row>
    <row r="159" spans="1:8" x14ac:dyDescent="0.3">
      <c r="A159" s="398"/>
      <c r="B159" s="398"/>
      <c r="C159" s="398"/>
      <c r="D159" s="398"/>
      <c r="E159" s="398"/>
      <c r="F159" s="398"/>
      <c r="G159" s="398"/>
      <c r="H159" s="398"/>
    </row>
    <row r="160" spans="1:8" x14ac:dyDescent="0.3">
      <c r="A160" s="266" t="s">
        <v>254</v>
      </c>
      <c r="B160" s="399" t="s">
        <v>255</v>
      </c>
      <c r="C160" s="399"/>
      <c r="D160" s="399"/>
      <c r="E160" s="399"/>
      <c r="F160" s="399"/>
      <c r="G160" s="399"/>
      <c r="H160" s="267">
        <f>SUM(H161:H162)</f>
        <v>1299.97</v>
      </c>
    </row>
    <row r="161" spans="1:8" ht="20.399999999999999" x14ac:dyDescent="0.3">
      <c r="A161" s="268" t="s">
        <v>256</v>
      </c>
      <c r="B161" s="261" t="s">
        <v>273</v>
      </c>
      <c r="C161" s="273" t="s">
        <v>259</v>
      </c>
      <c r="D161" s="274" t="s">
        <v>15</v>
      </c>
      <c r="E161" s="270">
        <f>MC!C450</f>
        <v>0.23</v>
      </c>
      <c r="F161" s="270">
        <f>F28</f>
        <v>980.47</v>
      </c>
      <c r="G161" s="270">
        <f>G28</f>
        <v>1195.78</v>
      </c>
      <c r="H161" s="271">
        <f>ROUND(E161*G161,2)</f>
        <v>275.02999999999997</v>
      </c>
    </row>
    <row r="162" spans="1:8" ht="30.6" x14ac:dyDescent="0.3">
      <c r="A162" s="268" t="s">
        <v>256</v>
      </c>
      <c r="B162" s="261" t="s">
        <v>275</v>
      </c>
      <c r="C162" s="273" t="s">
        <v>276</v>
      </c>
      <c r="D162" s="274" t="s">
        <v>176</v>
      </c>
      <c r="E162" s="270">
        <f>MC!C454</f>
        <v>2</v>
      </c>
      <c r="F162" s="270">
        <f>F29</f>
        <v>420.2</v>
      </c>
      <c r="G162" s="270">
        <f>G29</f>
        <v>512.47</v>
      </c>
      <c r="H162" s="271">
        <f>ROUND(E162*G162,2)</f>
        <v>1024.94</v>
      </c>
    </row>
    <row r="163" spans="1:8" x14ac:dyDescent="0.3">
      <c r="A163" s="398"/>
      <c r="B163" s="398"/>
      <c r="C163" s="398"/>
      <c r="D163" s="398"/>
      <c r="E163" s="398"/>
      <c r="F163" s="398"/>
      <c r="G163" s="398"/>
      <c r="H163" s="398"/>
    </row>
    <row r="164" spans="1:8" x14ac:dyDescent="0.3">
      <c r="A164" s="400" t="str">
        <f>MC!B456</f>
        <v>RUA PROJETADA 08</v>
      </c>
      <c r="B164" s="400"/>
      <c r="C164" s="400"/>
      <c r="D164" s="400"/>
      <c r="E164" s="400"/>
      <c r="F164" s="400"/>
      <c r="G164" s="400"/>
      <c r="H164" s="272">
        <f>SUM(H165,H168,H171,H175,H179)</f>
        <v>89502.22</v>
      </c>
    </row>
    <row r="165" spans="1:8" x14ac:dyDescent="0.3">
      <c r="A165" s="266" t="s">
        <v>32</v>
      </c>
      <c r="B165" s="399" t="s">
        <v>165</v>
      </c>
      <c r="C165" s="399"/>
      <c r="D165" s="399"/>
      <c r="E165" s="399"/>
      <c r="F165" s="399"/>
      <c r="G165" s="399"/>
      <c r="H165" s="267">
        <f>H166</f>
        <v>1463.76</v>
      </c>
    </row>
    <row r="166" spans="1:8" x14ac:dyDescent="0.3">
      <c r="A166" s="268" t="s">
        <v>34</v>
      </c>
      <c r="B166" s="261">
        <v>100575</v>
      </c>
      <c r="C166" s="273" t="s">
        <v>166</v>
      </c>
      <c r="D166" s="274" t="s">
        <v>15</v>
      </c>
      <c r="E166" s="270">
        <f>MC!C465</f>
        <v>642</v>
      </c>
      <c r="F166" s="270">
        <f>F14</f>
        <v>1.87</v>
      </c>
      <c r="G166" s="270">
        <f>G14</f>
        <v>2.2799999999999998</v>
      </c>
      <c r="H166" s="271">
        <f>ROUND(E166*G166,2)</f>
        <v>1463.76</v>
      </c>
    </row>
    <row r="167" spans="1:8" x14ac:dyDescent="0.3">
      <c r="A167" s="398"/>
      <c r="B167" s="398"/>
      <c r="C167" s="398"/>
      <c r="D167" s="398"/>
      <c r="E167" s="398"/>
      <c r="F167" s="398"/>
      <c r="G167" s="398"/>
      <c r="H167" s="398"/>
    </row>
    <row r="168" spans="1:8" x14ac:dyDescent="0.3">
      <c r="A168" s="266" t="s">
        <v>167</v>
      </c>
      <c r="B168" s="399" t="s">
        <v>168</v>
      </c>
      <c r="C168" s="399"/>
      <c r="D168" s="399"/>
      <c r="E168" s="399"/>
      <c r="F168" s="399"/>
      <c r="G168" s="399"/>
      <c r="H168" s="267">
        <f>SUM(H169:H169)</f>
        <v>61683.360000000001</v>
      </c>
    </row>
    <row r="169" spans="1:8" ht="20.399999999999999" x14ac:dyDescent="0.3">
      <c r="A169" s="268" t="s">
        <v>169</v>
      </c>
      <c r="B169" s="261" t="s">
        <v>252</v>
      </c>
      <c r="C169" s="273" t="s">
        <v>253</v>
      </c>
      <c r="D169" s="274" t="s">
        <v>15</v>
      </c>
      <c r="E169" s="270">
        <f>MC!C471</f>
        <v>642</v>
      </c>
      <c r="F169" s="270">
        <f>F17</f>
        <v>78.78</v>
      </c>
      <c r="G169" s="270">
        <f>G17</f>
        <v>96.08</v>
      </c>
      <c r="H169" s="271">
        <f>ROUND(E169*G169,2)</f>
        <v>61683.360000000001</v>
      </c>
    </row>
    <row r="170" spans="1:8" x14ac:dyDescent="0.3">
      <c r="A170" s="398"/>
      <c r="B170" s="398"/>
      <c r="C170" s="398"/>
      <c r="D170" s="398"/>
      <c r="E170" s="398"/>
      <c r="F170" s="398"/>
      <c r="G170" s="398"/>
      <c r="H170" s="398"/>
    </row>
    <row r="171" spans="1:8" x14ac:dyDescent="0.3">
      <c r="A171" s="266" t="s">
        <v>170</v>
      </c>
      <c r="B171" s="399" t="s">
        <v>171</v>
      </c>
      <c r="C171" s="399"/>
      <c r="D171" s="399"/>
      <c r="E171" s="399"/>
      <c r="F171" s="399"/>
      <c r="G171" s="399"/>
      <c r="H171" s="267">
        <f>SUM(H172:H173)</f>
        <v>17292.3</v>
      </c>
    </row>
    <row r="172" spans="1:8" ht="30.6" x14ac:dyDescent="0.3">
      <c r="A172" s="268" t="s">
        <v>172</v>
      </c>
      <c r="B172" s="261">
        <v>94273</v>
      </c>
      <c r="C172" s="273" t="s">
        <v>173</v>
      </c>
      <c r="D172" s="274" t="s">
        <v>174</v>
      </c>
      <c r="E172" s="270">
        <f>MC!C478</f>
        <v>226</v>
      </c>
      <c r="F172" s="270">
        <f>F20</f>
        <v>41.46</v>
      </c>
      <c r="G172" s="270">
        <f>G20</f>
        <v>50.56</v>
      </c>
      <c r="H172" s="271">
        <f>ROUND(E172*G172,2)</f>
        <v>11426.56</v>
      </c>
    </row>
    <row r="173" spans="1:8" ht="20.399999999999999" x14ac:dyDescent="0.3">
      <c r="A173" s="268" t="s">
        <v>175</v>
      </c>
      <c r="B173" s="261" t="s">
        <v>257</v>
      </c>
      <c r="C173" s="273" t="s">
        <v>258</v>
      </c>
      <c r="D173" s="274" t="s">
        <v>174</v>
      </c>
      <c r="E173" s="270">
        <f>MC!C483</f>
        <v>214</v>
      </c>
      <c r="F173" s="270">
        <f>F21</f>
        <v>22.48</v>
      </c>
      <c r="G173" s="270">
        <f>G21</f>
        <v>27.41</v>
      </c>
      <c r="H173" s="271">
        <f>ROUND(E173*G173,2)</f>
        <v>5865.74</v>
      </c>
    </row>
    <row r="174" spans="1:8" x14ac:dyDescent="0.3">
      <c r="A174" s="398"/>
      <c r="B174" s="398"/>
      <c r="C174" s="398"/>
      <c r="D174" s="398"/>
      <c r="E174" s="398"/>
      <c r="F174" s="398"/>
      <c r="G174" s="398"/>
      <c r="H174" s="398"/>
    </row>
    <row r="175" spans="1:8" x14ac:dyDescent="0.3">
      <c r="A175" s="266" t="s">
        <v>217</v>
      </c>
      <c r="B175" s="399" t="s">
        <v>215</v>
      </c>
      <c r="C175" s="399"/>
      <c r="D175" s="399"/>
      <c r="E175" s="399"/>
      <c r="F175" s="399"/>
      <c r="G175" s="399"/>
      <c r="H175" s="267">
        <f>SUM(H176:H177)</f>
        <v>7762.83</v>
      </c>
    </row>
    <row r="176" spans="1:8" ht="20.399999999999999" x14ac:dyDescent="0.3">
      <c r="A176" s="268" t="s">
        <v>218</v>
      </c>
      <c r="B176" s="261">
        <v>95878</v>
      </c>
      <c r="C176" s="273" t="s">
        <v>278</v>
      </c>
      <c r="D176" s="274" t="s">
        <v>216</v>
      </c>
      <c r="E176" s="270">
        <f>MC!C492</f>
        <v>3057.72</v>
      </c>
      <c r="F176" s="270">
        <f>F24</f>
        <v>1.66</v>
      </c>
      <c r="G176" s="270">
        <f>G24</f>
        <v>2.02</v>
      </c>
      <c r="H176" s="271">
        <f>ROUND(E176*G176,2)</f>
        <v>6176.59</v>
      </c>
    </row>
    <row r="177" spans="1:8" ht="30.6" x14ac:dyDescent="0.3">
      <c r="A177" s="268" t="s">
        <v>277</v>
      </c>
      <c r="B177" s="261">
        <v>93596</v>
      </c>
      <c r="C177" s="273" t="s">
        <v>279</v>
      </c>
      <c r="D177" s="274" t="s">
        <v>216</v>
      </c>
      <c r="E177" s="270">
        <f>MC!C500</f>
        <v>2007.9</v>
      </c>
      <c r="F177" s="270">
        <f>F25</f>
        <v>0.65</v>
      </c>
      <c r="G177" s="270">
        <f>G25</f>
        <v>0.79</v>
      </c>
      <c r="H177" s="271">
        <f>ROUND(E177*G177,2)</f>
        <v>1586.24</v>
      </c>
    </row>
    <row r="178" spans="1:8" x14ac:dyDescent="0.3">
      <c r="A178" s="398"/>
      <c r="B178" s="398"/>
      <c r="C178" s="398"/>
      <c r="D178" s="398"/>
      <c r="E178" s="398"/>
      <c r="F178" s="398"/>
      <c r="G178" s="398"/>
      <c r="H178" s="398"/>
    </row>
    <row r="179" spans="1:8" x14ac:dyDescent="0.3">
      <c r="A179" s="266" t="s">
        <v>254</v>
      </c>
      <c r="B179" s="399" t="s">
        <v>255</v>
      </c>
      <c r="C179" s="399"/>
      <c r="D179" s="399"/>
      <c r="E179" s="399"/>
      <c r="F179" s="399"/>
      <c r="G179" s="399"/>
      <c r="H179" s="267">
        <f>SUM(H180:H181)</f>
        <v>1299.97</v>
      </c>
    </row>
    <row r="180" spans="1:8" ht="20.399999999999999" x14ac:dyDescent="0.3">
      <c r="A180" s="268" t="s">
        <v>256</v>
      </c>
      <c r="B180" s="261" t="s">
        <v>273</v>
      </c>
      <c r="C180" s="273" t="s">
        <v>259</v>
      </c>
      <c r="D180" s="274" t="s">
        <v>15</v>
      </c>
      <c r="E180" s="270">
        <f>MC!C505</f>
        <v>0.23</v>
      </c>
      <c r="F180" s="270">
        <f>F28</f>
        <v>980.47</v>
      </c>
      <c r="G180" s="270">
        <f>G28</f>
        <v>1195.78</v>
      </c>
      <c r="H180" s="271">
        <f>ROUND(E180*G180,2)</f>
        <v>275.02999999999997</v>
      </c>
    </row>
    <row r="181" spans="1:8" ht="30.6" x14ac:dyDescent="0.3">
      <c r="A181" s="268" t="s">
        <v>256</v>
      </c>
      <c r="B181" s="261" t="s">
        <v>275</v>
      </c>
      <c r="C181" s="273" t="s">
        <v>276</v>
      </c>
      <c r="D181" s="274" t="s">
        <v>176</v>
      </c>
      <c r="E181" s="270">
        <f>MC!C509</f>
        <v>2</v>
      </c>
      <c r="F181" s="270">
        <f>F29</f>
        <v>420.2</v>
      </c>
      <c r="G181" s="270">
        <f>G29</f>
        <v>512.47</v>
      </c>
      <c r="H181" s="271">
        <f>ROUND(E181*G181,2)</f>
        <v>1024.94</v>
      </c>
    </row>
    <row r="182" spans="1:8" x14ac:dyDescent="0.3">
      <c r="A182" s="398"/>
      <c r="B182" s="398"/>
      <c r="C182" s="398"/>
      <c r="D182" s="398"/>
      <c r="E182" s="398"/>
      <c r="F182" s="398"/>
      <c r="G182" s="398"/>
      <c r="H182" s="398"/>
    </row>
    <row r="183" spans="1:8" x14ac:dyDescent="0.3">
      <c r="A183" s="400" t="str">
        <f>MC!B511</f>
        <v>RUA PROJETADA 09</v>
      </c>
      <c r="B183" s="400"/>
      <c r="C183" s="400"/>
      <c r="D183" s="400"/>
      <c r="E183" s="400"/>
      <c r="F183" s="400"/>
      <c r="G183" s="400"/>
      <c r="H183" s="272">
        <f>SUM(H184,H187,H190,H194,H198)</f>
        <v>114061.70999999999</v>
      </c>
    </row>
    <row r="184" spans="1:8" x14ac:dyDescent="0.3">
      <c r="A184" s="266" t="s">
        <v>32</v>
      </c>
      <c r="B184" s="275" t="s">
        <v>165</v>
      </c>
      <c r="C184" s="275"/>
      <c r="D184" s="275"/>
      <c r="E184" s="275"/>
      <c r="F184" s="275"/>
      <c r="G184" s="275"/>
      <c r="H184" s="267">
        <f>H185</f>
        <v>1874.16</v>
      </c>
    </row>
    <row r="185" spans="1:8" x14ac:dyDescent="0.3">
      <c r="A185" s="268" t="s">
        <v>34</v>
      </c>
      <c r="B185" s="261">
        <v>100575</v>
      </c>
      <c r="C185" s="273" t="s">
        <v>166</v>
      </c>
      <c r="D185" s="274" t="s">
        <v>15</v>
      </c>
      <c r="E185" s="270">
        <f>MC!C520</f>
        <v>822</v>
      </c>
      <c r="F185" s="270">
        <f>F14</f>
        <v>1.87</v>
      </c>
      <c r="G185" s="270">
        <f>G14</f>
        <v>2.2799999999999998</v>
      </c>
      <c r="H185" s="271">
        <f>ROUND(E185*G185,2)</f>
        <v>1874.16</v>
      </c>
    </row>
    <row r="186" spans="1:8" x14ac:dyDescent="0.3">
      <c r="A186" s="268"/>
      <c r="B186" s="268"/>
      <c r="C186" s="268"/>
      <c r="D186" s="268"/>
      <c r="E186" s="268"/>
      <c r="F186" s="268"/>
      <c r="G186" s="268"/>
      <c r="H186" s="268"/>
    </row>
    <row r="187" spans="1:8" x14ac:dyDescent="0.3">
      <c r="A187" s="266" t="s">
        <v>167</v>
      </c>
      <c r="B187" s="275" t="s">
        <v>168</v>
      </c>
      <c r="C187" s="275"/>
      <c r="D187" s="275"/>
      <c r="E187" s="275"/>
      <c r="F187" s="275"/>
      <c r="G187" s="275"/>
      <c r="H187" s="267">
        <f>SUM(H188:H188)</f>
        <v>78977.759999999995</v>
      </c>
    </row>
    <row r="188" spans="1:8" ht="20.399999999999999" x14ac:dyDescent="0.3">
      <c r="A188" s="268" t="s">
        <v>169</v>
      </c>
      <c r="B188" s="261" t="s">
        <v>252</v>
      </c>
      <c r="C188" s="273" t="s">
        <v>253</v>
      </c>
      <c r="D188" s="274" t="s">
        <v>15</v>
      </c>
      <c r="E188" s="270">
        <f>MC!C526</f>
        <v>822</v>
      </c>
      <c r="F188" s="270">
        <f>F17</f>
        <v>78.78</v>
      </c>
      <c r="G188" s="270">
        <f>G17</f>
        <v>96.08</v>
      </c>
      <c r="H188" s="271">
        <f>ROUND(E188*G188,2)</f>
        <v>78977.759999999995</v>
      </c>
    </row>
    <row r="189" spans="1:8" x14ac:dyDescent="0.3">
      <c r="A189" s="268"/>
      <c r="B189" s="268"/>
      <c r="C189" s="268"/>
      <c r="D189" s="268"/>
      <c r="E189" s="268"/>
      <c r="F189" s="268"/>
      <c r="G189" s="268"/>
      <c r="H189" s="268"/>
    </row>
    <row r="190" spans="1:8" ht="25.5" customHeight="1" x14ac:dyDescent="0.3">
      <c r="A190" s="266" t="s">
        <v>170</v>
      </c>
      <c r="B190" s="275" t="s">
        <v>171</v>
      </c>
      <c r="C190" s="275"/>
      <c r="D190" s="275"/>
      <c r="E190" s="275"/>
      <c r="F190" s="275"/>
      <c r="G190" s="275"/>
      <c r="H190" s="267">
        <f>SUM(H191:H192)</f>
        <v>21970.5</v>
      </c>
    </row>
    <row r="191" spans="1:8" ht="30.6" x14ac:dyDescent="0.3">
      <c r="A191" s="268" t="s">
        <v>172</v>
      </c>
      <c r="B191" s="261">
        <v>94273</v>
      </c>
      <c r="C191" s="273" t="s">
        <v>173</v>
      </c>
      <c r="D191" s="274" t="s">
        <v>174</v>
      </c>
      <c r="E191" s="270">
        <f>MC!C533</f>
        <v>286</v>
      </c>
      <c r="F191" s="270">
        <f>F20</f>
        <v>41.46</v>
      </c>
      <c r="G191" s="270">
        <f>G20</f>
        <v>50.56</v>
      </c>
      <c r="H191" s="271">
        <f>ROUND(E191*G191,2)</f>
        <v>14460.16</v>
      </c>
    </row>
    <row r="192" spans="1:8" ht="20.399999999999999" x14ac:dyDescent="0.3">
      <c r="A192" s="268" t="s">
        <v>175</v>
      </c>
      <c r="B192" s="261" t="s">
        <v>257</v>
      </c>
      <c r="C192" s="273" t="s">
        <v>258</v>
      </c>
      <c r="D192" s="274" t="s">
        <v>174</v>
      </c>
      <c r="E192" s="270">
        <f>MC!C538</f>
        <v>274</v>
      </c>
      <c r="F192" s="270">
        <f>F21</f>
        <v>22.48</v>
      </c>
      <c r="G192" s="270">
        <f>G21</f>
        <v>27.41</v>
      </c>
      <c r="H192" s="271">
        <f>ROUND(E192*G192,2)</f>
        <v>7510.34</v>
      </c>
    </row>
    <row r="193" spans="1:8" x14ac:dyDescent="0.3">
      <c r="A193" s="268"/>
      <c r="B193" s="268"/>
      <c r="C193" s="268"/>
      <c r="D193" s="268"/>
      <c r="E193" s="268"/>
      <c r="F193" s="268"/>
      <c r="G193" s="268"/>
      <c r="H193" s="268"/>
    </row>
    <row r="194" spans="1:8" x14ac:dyDescent="0.3">
      <c r="A194" s="266" t="s">
        <v>217</v>
      </c>
      <c r="B194" s="275" t="s">
        <v>215</v>
      </c>
      <c r="C194" s="275"/>
      <c r="D194" s="275"/>
      <c r="E194" s="275"/>
      <c r="F194" s="275"/>
      <c r="G194" s="275"/>
      <c r="H194" s="267">
        <f>SUM(H195:H196)</f>
        <v>9939.32</v>
      </c>
    </row>
    <row r="195" spans="1:8" ht="20.399999999999999" x14ac:dyDescent="0.3">
      <c r="A195" s="268" t="s">
        <v>218</v>
      </c>
      <c r="B195" s="261">
        <v>95878</v>
      </c>
      <c r="C195" s="273" t="s">
        <v>278</v>
      </c>
      <c r="D195" s="274" t="s">
        <v>216</v>
      </c>
      <c r="E195" s="270">
        <f>MC!C547</f>
        <v>3915.02</v>
      </c>
      <c r="F195" s="270">
        <f>F24</f>
        <v>1.66</v>
      </c>
      <c r="G195" s="270">
        <f>G24</f>
        <v>2.02</v>
      </c>
      <c r="H195" s="271">
        <f>ROUND(E195*G195,2)</f>
        <v>7908.34</v>
      </c>
    </row>
    <row r="196" spans="1:8" ht="30.6" x14ac:dyDescent="0.3">
      <c r="A196" s="268" t="s">
        <v>277</v>
      </c>
      <c r="B196" s="261">
        <v>93596</v>
      </c>
      <c r="C196" s="273" t="s">
        <v>279</v>
      </c>
      <c r="D196" s="274" t="s">
        <v>216</v>
      </c>
      <c r="E196" s="270">
        <f>MC!C555</f>
        <v>2570.86</v>
      </c>
      <c r="F196" s="270">
        <f>F25</f>
        <v>0.65</v>
      </c>
      <c r="G196" s="270">
        <f>G25</f>
        <v>0.79</v>
      </c>
      <c r="H196" s="271">
        <f>ROUND(E196*G196,2)</f>
        <v>2030.98</v>
      </c>
    </row>
    <row r="197" spans="1:8" x14ac:dyDescent="0.3">
      <c r="A197" s="268"/>
      <c r="B197" s="268"/>
      <c r="C197" s="268"/>
      <c r="D197" s="268"/>
      <c r="E197" s="268"/>
      <c r="F197" s="268"/>
      <c r="G197" s="268"/>
      <c r="H197" s="268"/>
    </row>
    <row r="198" spans="1:8" x14ac:dyDescent="0.3">
      <c r="A198" s="266" t="s">
        <v>254</v>
      </c>
      <c r="B198" s="275" t="s">
        <v>255</v>
      </c>
      <c r="C198" s="275"/>
      <c r="D198" s="275"/>
      <c r="E198" s="275"/>
      <c r="F198" s="275"/>
      <c r="G198" s="275"/>
      <c r="H198" s="267">
        <f>SUM(H199:H200)</f>
        <v>1299.97</v>
      </c>
    </row>
    <row r="199" spans="1:8" ht="20.399999999999999" x14ac:dyDescent="0.3">
      <c r="A199" s="268" t="s">
        <v>256</v>
      </c>
      <c r="B199" s="261" t="s">
        <v>273</v>
      </c>
      <c r="C199" s="273" t="s">
        <v>259</v>
      </c>
      <c r="D199" s="274" t="s">
        <v>15</v>
      </c>
      <c r="E199" s="270">
        <f>MC!C560</f>
        <v>0.23</v>
      </c>
      <c r="F199" s="270">
        <f>F28</f>
        <v>980.47</v>
      </c>
      <c r="G199" s="270">
        <f>G28</f>
        <v>1195.78</v>
      </c>
      <c r="H199" s="271">
        <f>ROUND(E199*G199,2)</f>
        <v>275.02999999999997</v>
      </c>
    </row>
    <row r="200" spans="1:8" ht="30.6" x14ac:dyDescent="0.3">
      <c r="A200" s="268" t="s">
        <v>256</v>
      </c>
      <c r="B200" s="261" t="s">
        <v>275</v>
      </c>
      <c r="C200" s="273" t="s">
        <v>276</v>
      </c>
      <c r="D200" s="274" t="s">
        <v>176</v>
      </c>
      <c r="E200" s="270">
        <f>MC!C564</f>
        <v>2</v>
      </c>
      <c r="F200" s="270">
        <f>F29</f>
        <v>420.2</v>
      </c>
      <c r="G200" s="270">
        <f>G29</f>
        <v>512.47</v>
      </c>
      <c r="H200" s="271">
        <f>ROUND(E200*G200,2)</f>
        <v>1024.94</v>
      </c>
    </row>
    <row r="201" spans="1:8" x14ac:dyDescent="0.3">
      <c r="A201" s="398"/>
      <c r="B201" s="398"/>
      <c r="C201" s="398"/>
      <c r="D201" s="398"/>
      <c r="E201" s="398"/>
      <c r="F201" s="398"/>
      <c r="G201" s="398"/>
      <c r="H201" s="398"/>
    </row>
    <row r="202" spans="1:8" x14ac:dyDescent="0.3">
      <c r="A202" s="400" t="str">
        <f>MC!B566</f>
        <v xml:space="preserve">RUA COQUEIRO VERDE </v>
      </c>
      <c r="B202" s="400"/>
      <c r="C202" s="400"/>
      <c r="D202" s="400"/>
      <c r="E202" s="400"/>
      <c r="F202" s="400"/>
      <c r="G202" s="400"/>
      <c r="H202" s="272">
        <f>SUM(H203,H206,H209,H213,H217)</f>
        <v>141077.16</v>
      </c>
    </row>
    <row r="203" spans="1:8" x14ac:dyDescent="0.3">
      <c r="A203" s="266" t="s">
        <v>32</v>
      </c>
      <c r="B203" s="399" t="s">
        <v>165</v>
      </c>
      <c r="C203" s="399"/>
      <c r="D203" s="399"/>
      <c r="E203" s="399"/>
      <c r="F203" s="399"/>
      <c r="G203" s="399"/>
      <c r="H203" s="267">
        <f>H204</f>
        <v>2325.6</v>
      </c>
    </row>
    <row r="204" spans="1:8" x14ac:dyDescent="0.3">
      <c r="A204" s="268" t="s">
        <v>34</v>
      </c>
      <c r="B204" s="261">
        <v>100575</v>
      </c>
      <c r="C204" s="273" t="s">
        <v>166</v>
      </c>
      <c r="D204" s="274" t="s">
        <v>15</v>
      </c>
      <c r="E204" s="270">
        <f>MC!C575</f>
        <v>1020</v>
      </c>
      <c r="F204" s="270">
        <f>F14</f>
        <v>1.87</v>
      </c>
      <c r="G204" s="270">
        <f>G14</f>
        <v>2.2799999999999998</v>
      </c>
      <c r="H204" s="271">
        <f>ROUND(E204*G204,2)</f>
        <v>2325.6</v>
      </c>
    </row>
    <row r="205" spans="1:8" x14ac:dyDescent="0.3">
      <c r="A205" s="398"/>
      <c r="B205" s="398"/>
      <c r="C205" s="398"/>
      <c r="D205" s="398"/>
      <c r="E205" s="398"/>
      <c r="F205" s="398"/>
      <c r="G205" s="398"/>
      <c r="H205" s="398"/>
    </row>
    <row r="206" spans="1:8" x14ac:dyDescent="0.3">
      <c r="A206" s="266" t="s">
        <v>167</v>
      </c>
      <c r="B206" s="399" t="s">
        <v>168</v>
      </c>
      <c r="C206" s="399"/>
      <c r="D206" s="399"/>
      <c r="E206" s="399"/>
      <c r="F206" s="399"/>
      <c r="G206" s="399"/>
      <c r="H206" s="267">
        <f>SUM(H207:H207)</f>
        <v>98001.600000000006</v>
      </c>
    </row>
    <row r="207" spans="1:8" ht="20.399999999999999" x14ac:dyDescent="0.3">
      <c r="A207" s="268" t="s">
        <v>169</v>
      </c>
      <c r="B207" s="261" t="s">
        <v>252</v>
      </c>
      <c r="C207" s="273" t="s">
        <v>253</v>
      </c>
      <c r="D207" s="274" t="s">
        <v>15</v>
      </c>
      <c r="E207" s="270">
        <f>MC!C581</f>
        <v>1020</v>
      </c>
      <c r="F207" s="270">
        <f>F17</f>
        <v>78.78</v>
      </c>
      <c r="G207" s="270">
        <f>G17</f>
        <v>96.08</v>
      </c>
      <c r="H207" s="271">
        <f>ROUND(E207*G207,2)</f>
        <v>98001.600000000006</v>
      </c>
    </row>
    <row r="208" spans="1:8" x14ac:dyDescent="0.3">
      <c r="A208" s="398"/>
      <c r="B208" s="398"/>
      <c r="C208" s="398"/>
      <c r="D208" s="398"/>
      <c r="E208" s="398"/>
      <c r="F208" s="398"/>
      <c r="G208" s="398"/>
      <c r="H208" s="398"/>
    </row>
    <row r="209" spans="1:8" x14ac:dyDescent="0.3">
      <c r="A209" s="266" t="s">
        <v>170</v>
      </c>
      <c r="B209" s="399" t="s">
        <v>171</v>
      </c>
      <c r="C209" s="399"/>
      <c r="D209" s="399"/>
      <c r="E209" s="399"/>
      <c r="F209" s="399"/>
      <c r="G209" s="399"/>
      <c r="H209" s="267">
        <f>SUM(H210:H211)</f>
        <v>27116.519999999997</v>
      </c>
    </row>
    <row r="210" spans="1:8" ht="30.6" x14ac:dyDescent="0.3">
      <c r="A210" s="268" t="s">
        <v>172</v>
      </c>
      <c r="B210" s="261">
        <v>94273</v>
      </c>
      <c r="C210" s="273" t="s">
        <v>173</v>
      </c>
      <c r="D210" s="274" t="s">
        <v>174</v>
      </c>
      <c r="E210" s="270">
        <f>MC!C588</f>
        <v>352</v>
      </c>
      <c r="F210" s="270">
        <f>F20</f>
        <v>41.46</v>
      </c>
      <c r="G210" s="270">
        <f>G20</f>
        <v>50.56</v>
      </c>
      <c r="H210" s="271">
        <f>ROUND(E210*G210,2)</f>
        <v>17797.12</v>
      </c>
    </row>
    <row r="211" spans="1:8" ht="20.399999999999999" x14ac:dyDescent="0.3">
      <c r="A211" s="268" t="s">
        <v>175</v>
      </c>
      <c r="B211" s="261" t="s">
        <v>257</v>
      </c>
      <c r="C211" s="273" t="s">
        <v>258</v>
      </c>
      <c r="D211" s="274" t="s">
        <v>174</v>
      </c>
      <c r="E211" s="270">
        <f>MC!C593</f>
        <v>340</v>
      </c>
      <c r="F211" s="270">
        <f>F21</f>
        <v>22.48</v>
      </c>
      <c r="G211" s="270">
        <f>G21</f>
        <v>27.41</v>
      </c>
      <c r="H211" s="271">
        <f>ROUND(E211*G211,2)</f>
        <v>9319.4</v>
      </c>
    </row>
    <row r="212" spans="1:8" x14ac:dyDescent="0.3">
      <c r="A212" s="398"/>
      <c r="B212" s="398"/>
      <c r="C212" s="398"/>
      <c r="D212" s="398"/>
      <c r="E212" s="398"/>
      <c r="F212" s="398"/>
      <c r="G212" s="398"/>
      <c r="H212" s="398"/>
    </row>
    <row r="213" spans="1:8" x14ac:dyDescent="0.3">
      <c r="A213" s="266" t="s">
        <v>217</v>
      </c>
      <c r="B213" s="399" t="s">
        <v>215</v>
      </c>
      <c r="C213" s="399"/>
      <c r="D213" s="399"/>
      <c r="E213" s="399"/>
      <c r="F213" s="399"/>
      <c r="G213" s="399"/>
      <c r="H213" s="267">
        <f>SUM(H214:H215)</f>
        <v>12333.470000000001</v>
      </c>
    </row>
    <row r="214" spans="1:8" ht="20.399999999999999" x14ac:dyDescent="0.3">
      <c r="A214" s="268" t="s">
        <v>218</v>
      </c>
      <c r="B214" s="261">
        <v>95878</v>
      </c>
      <c r="C214" s="273" t="s">
        <v>278</v>
      </c>
      <c r="D214" s="274" t="s">
        <v>216</v>
      </c>
      <c r="E214" s="270">
        <f>MC!C602</f>
        <v>4858.0600000000004</v>
      </c>
      <c r="F214" s="270">
        <f>F24</f>
        <v>1.66</v>
      </c>
      <c r="G214" s="270">
        <f>G24</f>
        <v>2.02</v>
      </c>
      <c r="H214" s="271">
        <f>ROUND(E214*G214,2)</f>
        <v>9813.2800000000007</v>
      </c>
    </row>
    <row r="215" spans="1:8" ht="30.6" x14ac:dyDescent="0.3">
      <c r="A215" s="268" t="s">
        <v>277</v>
      </c>
      <c r="B215" s="261">
        <v>93596</v>
      </c>
      <c r="C215" s="273" t="s">
        <v>279</v>
      </c>
      <c r="D215" s="274" t="s">
        <v>216</v>
      </c>
      <c r="E215" s="270">
        <f>MC!C610</f>
        <v>3190.12</v>
      </c>
      <c r="F215" s="270">
        <f>F25</f>
        <v>0.65</v>
      </c>
      <c r="G215" s="270">
        <f>G25</f>
        <v>0.79</v>
      </c>
      <c r="H215" s="271">
        <f>ROUND(E215*G215,2)</f>
        <v>2520.19</v>
      </c>
    </row>
    <row r="216" spans="1:8" x14ac:dyDescent="0.3">
      <c r="A216" s="398"/>
      <c r="B216" s="398"/>
      <c r="C216" s="398"/>
      <c r="D216" s="398"/>
      <c r="E216" s="398"/>
      <c r="F216" s="398"/>
      <c r="G216" s="398"/>
      <c r="H216" s="398"/>
    </row>
    <row r="217" spans="1:8" x14ac:dyDescent="0.3">
      <c r="A217" s="266" t="s">
        <v>254</v>
      </c>
      <c r="B217" s="399" t="s">
        <v>255</v>
      </c>
      <c r="C217" s="399"/>
      <c r="D217" s="399"/>
      <c r="E217" s="399"/>
      <c r="F217" s="399"/>
      <c r="G217" s="399"/>
      <c r="H217" s="267">
        <f>SUM(H218:H219)</f>
        <v>1299.97</v>
      </c>
    </row>
    <row r="218" spans="1:8" ht="20.399999999999999" x14ac:dyDescent="0.3">
      <c r="A218" s="268" t="s">
        <v>256</v>
      </c>
      <c r="B218" s="261" t="s">
        <v>273</v>
      </c>
      <c r="C218" s="273" t="s">
        <v>259</v>
      </c>
      <c r="D218" s="274" t="s">
        <v>15</v>
      </c>
      <c r="E218" s="270">
        <f>MC!C615</f>
        <v>0.23</v>
      </c>
      <c r="F218" s="270">
        <f>F28</f>
        <v>980.47</v>
      </c>
      <c r="G218" s="270">
        <f>G28</f>
        <v>1195.78</v>
      </c>
      <c r="H218" s="271">
        <f>ROUND(E218*G218,2)</f>
        <v>275.02999999999997</v>
      </c>
    </row>
    <row r="219" spans="1:8" ht="30.6" x14ac:dyDescent="0.3">
      <c r="A219" s="268" t="s">
        <v>256</v>
      </c>
      <c r="B219" s="261" t="s">
        <v>275</v>
      </c>
      <c r="C219" s="273" t="s">
        <v>276</v>
      </c>
      <c r="D219" s="274" t="s">
        <v>176</v>
      </c>
      <c r="E219" s="270">
        <f>MC!C619</f>
        <v>2</v>
      </c>
      <c r="F219" s="270">
        <f>F29</f>
        <v>420.2</v>
      </c>
      <c r="G219" s="270">
        <f>G29</f>
        <v>512.47</v>
      </c>
      <c r="H219" s="271">
        <f>ROUND(E219*G219,2)</f>
        <v>1024.94</v>
      </c>
    </row>
    <row r="220" spans="1:8" x14ac:dyDescent="0.3">
      <c r="A220" s="398"/>
      <c r="B220" s="398"/>
      <c r="C220" s="398"/>
      <c r="D220" s="398"/>
      <c r="E220" s="398"/>
      <c r="F220" s="398"/>
      <c r="G220" s="398"/>
      <c r="H220" s="398"/>
    </row>
    <row r="221" spans="1:8" x14ac:dyDescent="0.3">
      <c r="A221" s="400" t="str">
        <f>MC!B620</f>
        <v>RUA PROJETADA (LAGOA FUNDA)</v>
      </c>
      <c r="B221" s="400"/>
      <c r="C221" s="400"/>
      <c r="D221" s="400"/>
      <c r="E221" s="400"/>
      <c r="F221" s="400"/>
      <c r="G221" s="400"/>
      <c r="H221" s="272">
        <f>SUM(H222,H225,H228,H232,H236)</f>
        <v>18279.690000000002</v>
      </c>
    </row>
    <row r="222" spans="1:8" x14ac:dyDescent="0.3">
      <c r="A222" s="266" t="s">
        <v>32</v>
      </c>
      <c r="B222" s="399" t="s">
        <v>165</v>
      </c>
      <c r="C222" s="399"/>
      <c r="D222" s="399"/>
      <c r="E222" s="399"/>
      <c r="F222" s="399"/>
      <c r="G222" s="399"/>
      <c r="H222" s="267">
        <f>H223</f>
        <v>273.60000000000002</v>
      </c>
    </row>
    <row r="223" spans="1:8" x14ac:dyDescent="0.3">
      <c r="A223" s="268" t="s">
        <v>34</v>
      </c>
      <c r="B223" s="261">
        <v>100575</v>
      </c>
      <c r="C223" s="273" t="s">
        <v>166</v>
      </c>
      <c r="D223" s="274" t="s">
        <v>15</v>
      </c>
      <c r="E223" s="270">
        <f>MC!C629</f>
        <v>120</v>
      </c>
      <c r="F223" s="270">
        <f>F14</f>
        <v>1.87</v>
      </c>
      <c r="G223" s="270">
        <f>G14</f>
        <v>2.2799999999999998</v>
      </c>
      <c r="H223" s="271">
        <f>ROUND(E223*G223,2)</f>
        <v>273.60000000000002</v>
      </c>
    </row>
    <row r="224" spans="1:8" x14ac:dyDescent="0.3">
      <c r="A224" s="398"/>
      <c r="B224" s="398"/>
      <c r="C224" s="398"/>
      <c r="D224" s="398"/>
      <c r="E224" s="398"/>
      <c r="F224" s="398"/>
      <c r="G224" s="398"/>
      <c r="H224" s="398"/>
    </row>
    <row r="225" spans="1:8" x14ac:dyDescent="0.3">
      <c r="A225" s="266" t="s">
        <v>167</v>
      </c>
      <c r="B225" s="399" t="s">
        <v>168</v>
      </c>
      <c r="C225" s="399"/>
      <c r="D225" s="399"/>
      <c r="E225" s="399"/>
      <c r="F225" s="399"/>
      <c r="G225" s="399"/>
      <c r="H225" s="267">
        <f>SUM(H226:H226)</f>
        <v>11529.6</v>
      </c>
    </row>
    <row r="226" spans="1:8" ht="20.399999999999999" x14ac:dyDescent="0.3">
      <c r="A226" s="268" t="s">
        <v>169</v>
      </c>
      <c r="B226" s="261" t="s">
        <v>252</v>
      </c>
      <c r="C226" s="273" t="s">
        <v>253</v>
      </c>
      <c r="D226" s="274" t="s">
        <v>15</v>
      </c>
      <c r="E226" s="270">
        <f>MC!C635</f>
        <v>120</v>
      </c>
      <c r="F226" s="270">
        <f>F17</f>
        <v>78.78</v>
      </c>
      <c r="G226" s="270">
        <f>G17</f>
        <v>96.08</v>
      </c>
      <c r="H226" s="271">
        <f>ROUND(E226*G226,2)</f>
        <v>11529.6</v>
      </c>
    </row>
    <row r="227" spans="1:8" x14ac:dyDescent="0.3">
      <c r="A227" s="398"/>
      <c r="B227" s="398"/>
      <c r="C227" s="398"/>
      <c r="D227" s="398"/>
      <c r="E227" s="398"/>
      <c r="F227" s="398"/>
      <c r="G227" s="398"/>
      <c r="H227" s="398"/>
    </row>
    <row r="228" spans="1:8" x14ac:dyDescent="0.3">
      <c r="A228" s="266" t="s">
        <v>170</v>
      </c>
      <c r="B228" s="399" t="s">
        <v>171</v>
      </c>
      <c r="C228" s="399"/>
      <c r="D228" s="399"/>
      <c r="E228" s="399"/>
      <c r="F228" s="399"/>
      <c r="G228" s="399"/>
      <c r="H228" s="267">
        <f>SUM(H229:H230)</f>
        <v>3725.52</v>
      </c>
    </row>
    <row r="229" spans="1:8" ht="30.6" x14ac:dyDescent="0.3">
      <c r="A229" s="268" t="s">
        <v>172</v>
      </c>
      <c r="B229" s="261">
        <v>94273</v>
      </c>
      <c r="C229" s="273" t="s">
        <v>173</v>
      </c>
      <c r="D229" s="274" t="s">
        <v>174</v>
      </c>
      <c r="E229" s="270">
        <f>MC!C642</f>
        <v>52</v>
      </c>
      <c r="F229" s="270">
        <f>F20</f>
        <v>41.46</v>
      </c>
      <c r="G229" s="270">
        <f>G20</f>
        <v>50.56</v>
      </c>
      <c r="H229" s="271">
        <f>ROUND(E229*G229,2)</f>
        <v>2629.12</v>
      </c>
    </row>
    <row r="230" spans="1:8" ht="20.399999999999999" x14ac:dyDescent="0.3">
      <c r="A230" s="268" t="s">
        <v>175</v>
      </c>
      <c r="B230" s="261" t="s">
        <v>257</v>
      </c>
      <c r="C230" s="273" t="s">
        <v>258</v>
      </c>
      <c r="D230" s="274" t="s">
        <v>174</v>
      </c>
      <c r="E230" s="270">
        <f>MC!C647</f>
        <v>40</v>
      </c>
      <c r="F230" s="270">
        <f>F21</f>
        <v>22.48</v>
      </c>
      <c r="G230" s="270">
        <f>G21</f>
        <v>27.41</v>
      </c>
      <c r="H230" s="271">
        <f>ROUND(E230*G230,2)</f>
        <v>1096.4000000000001</v>
      </c>
    </row>
    <row r="231" spans="1:8" x14ac:dyDescent="0.3">
      <c r="A231" s="398"/>
      <c r="B231" s="398"/>
      <c r="C231" s="398"/>
      <c r="D231" s="398"/>
      <c r="E231" s="398"/>
      <c r="F231" s="398"/>
      <c r="G231" s="398"/>
      <c r="H231" s="398"/>
    </row>
    <row r="232" spans="1:8" x14ac:dyDescent="0.3">
      <c r="A232" s="266" t="s">
        <v>217</v>
      </c>
      <c r="B232" s="399" t="s">
        <v>215</v>
      </c>
      <c r="C232" s="399"/>
      <c r="D232" s="399"/>
      <c r="E232" s="399"/>
      <c r="F232" s="399"/>
      <c r="G232" s="399"/>
      <c r="H232" s="267">
        <f>SUM(H233:H234)</f>
        <v>1451</v>
      </c>
    </row>
    <row r="233" spans="1:8" ht="20.399999999999999" x14ac:dyDescent="0.3">
      <c r="A233" s="268" t="s">
        <v>218</v>
      </c>
      <c r="B233" s="261">
        <v>95878</v>
      </c>
      <c r="C233" s="273" t="s">
        <v>278</v>
      </c>
      <c r="D233" s="274" t="s">
        <v>216</v>
      </c>
      <c r="E233" s="270">
        <f>MC!C656</f>
        <v>571.54</v>
      </c>
      <c r="F233" s="270">
        <f>F24</f>
        <v>1.66</v>
      </c>
      <c r="G233" s="270">
        <f>G24</f>
        <v>2.02</v>
      </c>
      <c r="H233" s="271">
        <f>ROUND(E233*G233,2)</f>
        <v>1154.51</v>
      </c>
    </row>
    <row r="234" spans="1:8" ht="30.6" x14ac:dyDescent="0.3">
      <c r="A234" s="268" t="s">
        <v>277</v>
      </c>
      <c r="B234" s="261">
        <v>93596</v>
      </c>
      <c r="C234" s="273" t="s">
        <v>279</v>
      </c>
      <c r="D234" s="274" t="s">
        <v>216</v>
      </c>
      <c r="E234" s="270">
        <f>MC!C664</f>
        <v>375.31</v>
      </c>
      <c r="F234" s="270">
        <f>F25</f>
        <v>0.65</v>
      </c>
      <c r="G234" s="270">
        <f>G25</f>
        <v>0.79</v>
      </c>
      <c r="H234" s="271">
        <f>ROUND(E234*G234,2)</f>
        <v>296.49</v>
      </c>
    </row>
    <row r="235" spans="1:8" x14ac:dyDescent="0.3">
      <c r="A235" s="398"/>
      <c r="B235" s="398"/>
      <c r="C235" s="398"/>
      <c r="D235" s="398"/>
      <c r="E235" s="398"/>
      <c r="F235" s="398"/>
      <c r="G235" s="398"/>
      <c r="H235" s="398"/>
    </row>
    <row r="236" spans="1:8" x14ac:dyDescent="0.3">
      <c r="A236" s="266" t="s">
        <v>254</v>
      </c>
      <c r="B236" s="399" t="s">
        <v>255</v>
      </c>
      <c r="C236" s="399"/>
      <c r="D236" s="399"/>
      <c r="E236" s="399"/>
      <c r="F236" s="399"/>
      <c r="G236" s="399"/>
      <c r="H236" s="267">
        <f>SUM(H237:H238)</f>
        <v>1299.97</v>
      </c>
    </row>
    <row r="237" spans="1:8" ht="20.399999999999999" x14ac:dyDescent="0.3">
      <c r="A237" s="268" t="s">
        <v>256</v>
      </c>
      <c r="B237" s="261" t="s">
        <v>273</v>
      </c>
      <c r="C237" s="273" t="s">
        <v>259</v>
      </c>
      <c r="D237" s="274" t="s">
        <v>15</v>
      </c>
      <c r="E237" s="270">
        <f>MC!C669</f>
        <v>0.23</v>
      </c>
      <c r="F237" s="270">
        <f>F28</f>
        <v>980.47</v>
      </c>
      <c r="G237" s="270">
        <f>G28</f>
        <v>1195.78</v>
      </c>
      <c r="H237" s="271">
        <f>ROUND(E237*G237,2)</f>
        <v>275.02999999999997</v>
      </c>
    </row>
    <row r="238" spans="1:8" ht="30.6" x14ac:dyDescent="0.3">
      <c r="A238" s="268" t="s">
        <v>256</v>
      </c>
      <c r="B238" s="261" t="s">
        <v>275</v>
      </c>
      <c r="C238" s="273" t="s">
        <v>276</v>
      </c>
      <c r="D238" s="274" t="s">
        <v>176</v>
      </c>
      <c r="E238" s="270">
        <f>MC!C673</f>
        <v>2</v>
      </c>
      <c r="F238" s="270">
        <f>F29</f>
        <v>420.2</v>
      </c>
      <c r="G238" s="270">
        <f>G29</f>
        <v>512.47</v>
      </c>
      <c r="H238" s="271">
        <f>ROUND(E238*G238,2)</f>
        <v>1024.94</v>
      </c>
    </row>
    <row r="239" spans="1:8" x14ac:dyDescent="0.3">
      <c r="A239" s="398"/>
      <c r="B239" s="398"/>
      <c r="C239" s="398"/>
      <c r="D239" s="398"/>
      <c r="E239" s="398"/>
      <c r="F239" s="398"/>
      <c r="G239" s="398"/>
      <c r="H239" s="398"/>
    </row>
    <row r="240" spans="1:8" x14ac:dyDescent="0.3">
      <c r="A240" s="400" t="str">
        <f>MC!B675</f>
        <v xml:space="preserve">RUA PACAJÚ </v>
      </c>
      <c r="B240" s="400"/>
      <c r="C240" s="400"/>
      <c r="D240" s="400"/>
      <c r="E240" s="400"/>
      <c r="F240" s="400"/>
      <c r="G240" s="400"/>
      <c r="H240" s="272">
        <f>SUM(H241,H244,H247,H251,H255)</f>
        <v>216630.25</v>
      </c>
    </row>
    <row r="241" spans="1:8" x14ac:dyDescent="0.3">
      <c r="A241" s="266" t="s">
        <v>32</v>
      </c>
      <c r="B241" s="275" t="s">
        <v>165</v>
      </c>
      <c r="C241" s="275"/>
      <c r="D241" s="275"/>
      <c r="E241" s="275"/>
      <c r="F241" s="275"/>
      <c r="G241" s="275"/>
      <c r="H241" s="267">
        <f>H242</f>
        <v>3686.76</v>
      </c>
    </row>
    <row r="242" spans="1:8" x14ac:dyDescent="0.3">
      <c r="A242" s="268" t="s">
        <v>34</v>
      </c>
      <c r="B242" s="261">
        <v>100575</v>
      </c>
      <c r="C242" s="273" t="s">
        <v>166</v>
      </c>
      <c r="D242" s="274" t="s">
        <v>15</v>
      </c>
      <c r="E242" s="270">
        <f>MC!C684</f>
        <v>1617</v>
      </c>
      <c r="F242" s="270">
        <f>F14</f>
        <v>1.87</v>
      </c>
      <c r="G242" s="270">
        <f>G14</f>
        <v>2.2799999999999998</v>
      </c>
      <c r="H242" s="271">
        <f>ROUND(E242*G242,2)</f>
        <v>3686.76</v>
      </c>
    </row>
    <row r="243" spans="1:8" x14ac:dyDescent="0.3">
      <c r="A243" s="268"/>
      <c r="B243" s="268"/>
      <c r="C243" s="268"/>
      <c r="D243" s="268"/>
      <c r="E243" s="268"/>
      <c r="F243" s="268"/>
      <c r="G243" s="268"/>
      <c r="H243" s="268"/>
    </row>
    <row r="244" spans="1:8" x14ac:dyDescent="0.3">
      <c r="A244" s="266" t="s">
        <v>167</v>
      </c>
      <c r="B244" s="275" t="s">
        <v>168</v>
      </c>
      <c r="C244" s="275"/>
      <c r="D244" s="275"/>
      <c r="E244" s="275"/>
      <c r="F244" s="275"/>
      <c r="G244" s="275"/>
      <c r="H244" s="267">
        <f>SUM(H245:H245)</f>
        <v>155361.35999999999</v>
      </c>
    </row>
    <row r="245" spans="1:8" ht="20.399999999999999" x14ac:dyDescent="0.3">
      <c r="A245" s="268" t="s">
        <v>169</v>
      </c>
      <c r="B245" s="261" t="s">
        <v>252</v>
      </c>
      <c r="C245" s="273" t="s">
        <v>253</v>
      </c>
      <c r="D245" s="274" t="s">
        <v>15</v>
      </c>
      <c r="E245" s="270">
        <f>MC!C690</f>
        <v>1617</v>
      </c>
      <c r="F245" s="270">
        <f>F17</f>
        <v>78.78</v>
      </c>
      <c r="G245" s="270">
        <f>G17</f>
        <v>96.08</v>
      </c>
      <c r="H245" s="271">
        <f>ROUND(E245*G245,2)</f>
        <v>155361.35999999999</v>
      </c>
    </row>
    <row r="246" spans="1:8" x14ac:dyDescent="0.3">
      <c r="A246" s="268"/>
      <c r="B246" s="268"/>
      <c r="C246" s="268"/>
      <c r="D246" s="268"/>
      <c r="E246" s="268"/>
      <c r="F246" s="268"/>
      <c r="G246" s="268"/>
      <c r="H246" s="268"/>
    </row>
    <row r="247" spans="1:8" ht="21.75" customHeight="1" x14ac:dyDescent="0.3">
      <c r="A247" s="266" t="s">
        <v>170</v>
      </c>
      <c r="B247" s="275" t="s">
        <v>171</v>
      </c>
      <c r="C247" s="275"/>
      <c r="D247" s="275"/>
      <c r="E247" s="275"/>
      <c r="F247" s="275"/>
      <c r="G247" s="275"/>
      <c r="H247" s="267">
        <f>SUM(H248:H249)</f>
        <v>36729.980000000003</v>
      </c>
    </row>
    <row r="248" spans="1:8" ht="30.6" x14ac:dyDescent="0.3">
      <c r="A248" s="268" t="s">
        <v>172</v>
      </c>
      <c r="B248" s="261">
        <v>94273</v>
      </c>
      <c r="C248" s="273" t="s">
        <v>173</v>
      </c>
      <c r="D248" s="274" t="s">
        <v>174</v>
      </c>
      <c r="E248" s="270">
        <f>MC!C697</f>
        <v>476</v>
      </c>
      <c r="F248" s="270">
        <f>F20</f>
        <v>41.46</v>
      </c>
      <c r="G248" s="270">
        <f>G20</f>
        <v>50.56</v>
      </c>
      <c r="H248" s="271">
        <f>ROUND(E248*G248,2)</f>
        <v>24066.560000000001</v>
      </c>
    </row>
    <row r="249" spans="1:8" ht="20.399999999999999" x14ac:dyDescent="0.3">
      <c r="A249" s="268" t="s">
        <v>175</v>
      </c>
      <c r="B249" s="261" t="s">
        <v>257</v>
      </c>
      <c r="C249" s="273" t="s">
        <v>258</v>
      </c>
      <c r="D249" s="274" t="s">
        <v>174</v>
      </c>
      <c r="E249" s="270">
        <f>MC!C702</f>
        <v>462</v>
      </c>
      <c r="F249" s="270">
        <f>F21</f>
        <v>22.48</v>
      </c>
      <c r="G249" s="270">
        <f>G21</f>
        <v>27.41</v>
      </c>
      <c r="H249" s="271">
        <f>ROUND(E249*G249,2)</f>
        <v>12663.42</v>
      </c>
    </row>
    <row r="250" spans="1:8" x14ac:dyDescent="0.3">
      <c r="A250" s="268"/>
      <c r="B250" s="268"/>
      <c r="C250" s="268"/>
      <c r="D250" s="268"/>
      <c r="E250" s="268"/>
      <c r="F250" s="268"/>
      <c r="G250" s="268"/>
      <c r="H250" s="268"/>
    </row>
    <row r="251" spans="1:8" x14ac:dyDescent="0.3">
      <c r="A251" s="266" t="s">
        <v>217</v>
      </c>
      <c r="B251" s="275" t="s">
        <v>215</v>
      </c>
      <c r="C251" s="275"/>
      <c r="D251" s="275"/>
      <c r="E251" s="275"/>
      <c r="F251" s="275"/>
      <c r="G251" s="275"/>
      <c r="H251" s="267">
        <f>SUM(H252:H253)</f>
        <v>19552.18</v>
      </c>
    </row>
    <row r="252" spans="1:8" ht="20.399999999999999" x14ac:dyDescent="0.3">
      <c r="A252" s="268" t="s">
        <v>218</v>
      </c>
      <c r="B252" s="261">
        <v>95878</v>
      </c>
      <c r="C252" s="273" t="s">
        <v>278</v>
      </c>
      <c r="D252" s="274" t="s">
        <v>216</v>
      </c>
      <c r="E252" s="270">
        <f>MC!C711</f>
        <v>7701.45</v>
      </c>
      <c r="F252" s="270">
        <f>F24</f>
        <v>1.66</v>
      </c>
      <c r="G252" s="270">
        <f>G24</f>
        <v>2.02</v>
      </c>
      <c r="H252" s="271">
        <f>ROUND(E252*G252,2)</f>
        <v>15556.93</v>
      </c>
    </row>
    <row r="253" spans="1:8" ht="30.6" x14ac:dyDescent="0.3">
      <c r="A253" s="268" t="s">
        <v>277</v>
      </c>
      <c r="B253" s="261">
        <v>93596</v>
      </c>
      <c r="C253" s="273" t="s">
        <v>279</v>
      </c>
      <c r="D253" s="274" t="s">
        <v>216</v>
      </c>
      <c r="E253" s="270">
        <f>MC!C719</f>
        <v>5057.28</v>
      </c>
      <c r="F253" s="270">
        <f>F25</f>
        <v>0.65</v>
      </c>
      <c r="G253" s="270">
        <f>G25</f>
        <v>0.79</v>
      </c>
      <c r="H253" s="271">
        <f>ROUND(E253*G253,2)</f>
        <v>3995.25</v>
      </c>
    </row>
    <row r="254" spans="1:8" x14ac:dyDescent="0.3">
      <c r="A254" s="268"/>
      <c r="B254" s="268"/>
      <c r="C254" s="268"/>
      <c r="D254" s="268"/>
      <c r="E254" s="268"/>
      <c r="F254" s="268"/>
      <c r="G254" s="268"/>
      <c r="H254" s="268"/>
    </row>
    <row r="255" spans="1:8" x14ac:dyDescent="0.3">
      <c r="A255" s="266" t="s">
        <v>254</v>
      </c>
      <c r="B255" s="275" t="s">
        <v>255</v>
      </c>
      <c r="C255" s="275"/>
      <c r="D255" s="275"/>
      <c r="E255" s="275"/>
      <c r="F255" s="275"/>
      <c r="G255" s="275"/>
      <c r="H255" s="267">
        <f>SUM(H256:H257)</f>
        <v>1299.97</v>
      </c>
    </row>
    <row r="256" spans="1:8" ht="20.399999999999999" x14ac:dyDescent="0.3">
      <c r="A256" s="268" t="s">
        <v>256</v>
      </c>
      <c r="B256" s="261" t="s">
        <v>273</v>
      </c>
      <c r="C256" s="273" t="s">
        <v>259</v>
      </c>
      <c r="D256" s="274" t="s">
        <v>15</v>
      </c>
      <c r="E256" s="270">
        <f>MC!C724</f>
        <v>0.23</v>
      </c>
      <c r="F256" s="270">
        <f>F28</f>
        <v>980.47</v>
      </c>
      <c r="G256" s="270">
        <f>G28</f>
        <v>1195.78</v>
      </c>
      <c r="H256" s="271">
        <f>ROUND(E256*G256,2)</f>
        <v>275.02999999999997</v>
      </c>
    </row>
    <row r="257" spans="1:8" ht="30.6" x14ac:dyDescent="0.3">
      <c r="A257" s="268" t="s">
        <v>256</v>
      </c>
      <c r="B257" s="261" t="s">
        <v>275</v>
      </c>
      <c r="C257" s="273" t="s">
        <v>276</v>
      </c>
      <c r="D257" s="274" t="s">
        <v>176</v>
      </c>
      <c r="E257" s="270">
        <f>MC!C728</f>
        <v>2</v>
      </c>
      <c r="F257" s="270">
        <f>F29</f>
        <v>420.2</v>
      </c>
      <c r="G257" s="270">
        <f>G29</f>
        <v>512.47</v>
      </c>
      <c r="H257" s="271">
        <f>ROUND(E257*G257,2)</f>
        <v>1024.94</v>
      </c>
    </row>
    <row r="258" spans="1:8" x14ac:dyDescent="0.3">
      <c r="A258" s="398"/>
      <c r="B258" s="398"/>
      <c r="C258" s="398"/>
      <c r="D258" s="398"/>
      <c r="E258" s="398"/>
      <c r="F258" s="398"/>
      <c r="G258" s="398"/>
      <c r="H258" s="398"/>
    </row>
    <row r="259" spans="1:8" x14ac:dyDescent="0.3">
      <c r="A259" s="400" t="str">
        <f>MC!B730</f>
        <v>RUA 07 DE ABRIL</v>
      </c>
      <c r="B259" s="400"/>
      <c r="C259" s="400"/>
      <c r="D259" s="400"/>
      <c r="E259" s="400"/>
      <c r="F259" s="400"/>
      <c r="G259" s="400"/>
      <c r="H259" s="272">
        <f>SUM(H260,H263,H266,H270,H274)</f>
        <v>105056.56999999999</v>
      </c>
    </row>
    <row r="260" spans="1:8" x14ac:dyDescent="0.3">
      <c r="A260" s="266" t="s">
        <v>32</v>
      </c>
      <c r="B260" s="399" t="s">
        <v>165</v>
      </c>
      <c r="C260" s="399"/>
      <c r="D260" s="399"/>
      <c r="E260" s="399"/>
      <c r="F260" s="399"/>
      <c r="G260" s="399"/>
      <c r="H260" s="267">
        <f>H261</f>
        <v>1723.68</v>
      </c>
    </row>
    <row r="261" spans="1:8" x14ac:dyDescent="0.3">
      <c r="A261" s="268" t="s">
        <v>34</v>
      </c>
      <c r="B261" s="261">
        <v>100575</v>
      </c>
      <c r="C261" s="273" t="s">
        <v>166</v>
      </c>
      <c r="D261" s="274" t="s">
        <v>15</v>
      </c>
      <c r="E261" s="270">
        <f>MC!C739</f>
        <v>756</v>
      </c>
      <c r="F261" s="270">
        <f>F14</f>
        <v>1.87</v>
      </c>
      <c r="G261" s="270">
        <f>G14</f>
        <v>2.2799999999999998</v>
      </c>
      <c r="H261" s="271">
        <f>ROUND(E261*G261,2)</f>
        <v>1723.68</v>
      </c>
    </row>
    <row r="262" spans="1:8" x14ac:dyDescent="0.3">
      <c r="A262" s="398"/>
      <c r="B262" s="398"/>
      <c r="C262" s="398"/>
      <c r="D262" s="398"/>
      <c r="E262" s="398"/>
      <c r="F262" s="398"/>
      <c r="G262" s="398"/>
      <c r="H262" s="398"/>
    </row>
    <row r="263" spans="1:8" x14ac:dyDescent="0.3">
      <c r="A263" s="266" t="s">
        <v>167</v>
      </c>
      <c r="B263" s="399" t="s">
        <v>168</v>
      </c>
      <c r="C263" s="399"/>
      <c r="D263" s="399"/>
      <c r="E263" s="399"/>
      <c r="F263" s="399"/>
      <c r="G263" s="399"/>
      <c r="H263" s="267">
        <f>SUM(H264:H264)</f>
        <v>72636.479999999996</v>
      </c>
    </row>
    <row r="264" spans="1:8" ht="20.399999999999999" x14ac:dyDescent="0.3">
      <c r="A264" s="268" t="s">
        <v>169</v>
      </c>
      <c r="B264" s="261" t="s">
        <v>252</v>
      </c>
      <c r="C264" s="273" t="s">
        <v>253</v>
      </c>
      <c r="D264" s="274" t="s">
        <v>15</v>
      </c>
      <c r="E264" s="270">
        <f>MC!C745</f>
        <v>756</v>
      </c>
      <c r="F264" s="270">
        <f>F17</f>
        <v>78.78</v>
      </c>
      <c r="G264" s="270">
        <f>G17</f>
        <v>96.08</v>
      </c>
      <c r="H264" s="271">
        <f>ROUND(E264*G264,2)</f>
        <v>72636.479999999996</v>
      </c>
    </row>
    <row r="265" spans="1:8" x14ac:dyDescent="0.3">
      <c r="A265" s="398"/>
      <c r="B265" s="398"/>
      <c r="C265" s="398"/>
      <c r="D265" s="398"/>
      <c r="E265" s="398"/>
      <c r="F265" s="398"/>
      <c r="G265" s="398"/>
      <c r="H265" s="398"/>
    </row>
    <row r="266" spans="1:8" x14ac:dyDescent="0.3">
      <c r="A266" s="266" t="s">
        <v>170</v>
      </c>
      <c r="B266" s="399" t="s">
        <v>171</v>
      </c>
      <c r="C266" s="399"/>
      <c r="D266" s="399"/>
      <c r="E266" s="399"/>
      <c r="F266" s="399"/>
      <c r="G266" s="399"/>
      <c r="H266" s="267">
        <f>SUM(H267:H268)</f>
        <v>20255.16</v>
      </c>
    </row>
    <row r="267" spans="1:8" ht="30.6" x14ac:dyDescent="0.3">
      <c r="A267" s="268" t="s">
        <v>172</v>
      </c>
      <c r="B267" s="261">
        <v>94273</v>
      </c>
      <c r="C267" s="273" t="s">
        <v>173</v>
      </c>
      <c r="D267" s="274" t="s">
        <v>174</v>
      </c>
      <c r="E267" s="270">
        <f>MC!C752</f>
        <v>264</v>
      </c>
      <c r="F267" s="270">
        <f>F20</f>
        <v>41.46</v>
      </c>
      <c r="G267" s="270">
        <f>G20</f>
        <v>50.56</v>
      </c>
      <c r="H267" s="271">
        <f>ROUND(E267*G267,2)</f>
        <v>13347.84</v>
      </c>
    </row>
    <row r="268" spans="1:8" ht="20.399999999999999" x14ac:dyDescent="0.3">
      <c r="A268" s="268" t="s">
        <v>175</v>
      </c>
      <c r="B268" s="261" t="s">
        <v>257</v>
      </c>
      <c r="C268" s="273" t="s">
        <v>258</v>
      </c>
      <c r="D268" s="274" t="s">
        <v>174</v>
      </c>
      <c r="E268" s="270">
        <f>MC!C757</f>
        <v>252</v>
      </c>
      <c r="F268" s="270">
        <f>F21</f>
        <v>22.48</v>
      </c>
      <c r="G268" s="270">
        <f>G21</f>
        <v>27.41</v>
      </c>
      <c r="H268" s="271">
        <f>ROUND(E268*G268,2)</f>
        <v>6907.32</v>
      </c>
    </row>
    <row r="269" spans="1:8" x14ac:dyDescent="0.3">
      <c r="A269" s="398"/>
      <c r="B269" s="398"/>
      <c r="C269" s="398"/>
      <c r="D269" s="398"/>
      <c r="E269" s="398"/>
      <c r="F269" s="398"/>
      <c r="G269" s="398"/>
      <c r="H269" s="398"/>
    </row>
    <row r="270" spans="1:8" x14ac:dyDescent="0.3">
      <c r="A270" s="266" t="s">
        <v>217</v>
      </c>
      <c r="B270" s="399" t="s">
        <v>215</v>
      </c>
      <c r="C270" s="399"/>
      <c r="D270" s="399"/>
      <c r="E270" s="399"/>
      <c r="F270" s="399"/>
      <c r="G270" s="399"/>
      <c r="H270" s="267">
        <f>SUM(H271:H272)</f>
        <v>9141.2800000000007</v>
      </c>
    </row>
    <row r="271" spans="1:8" ht="20.399999999999999" x14ac:dyDescent="0.3">
      <c r="A271" s="268" t="s">
        <v>218</v>
      </c>
      <c r="B271" s="261">
        <v>95878</v>
      </c>
      <c r="C271" s="273" t="s">
        <v>278</v>
      </c>
      <c r="D271" s="274" t="s">
        <v>216</v>
      </c>
      <c r="E271" s="270">
        <f>MC!C766</f>
        <v>3600.68</v>
      </c>
      <c r="F271" s="270">
        <f>F24</f>
        <v>1.66</v>
      </c>
      <c r="G271" s="270">
        <f>G24</f>
        <v>2.02</v>
      </c>
      <c r="H271" s="271">
        <f>ROUND(E271*G271,2)</f>
        <v>7273.37</v>
      </c>
    </row>
    <row r="272" spans="1:8" ht="30.6" x14ac:dyDescent="0.3">
      <c r="A272" s="268" t="s">
        <v>277</v>
      </c>
      <c r="B272" s="261">
        <v>93596</v>
      </c>
      <c r="C272" s="273" t="s">
        <v>279</v>
      </c>
      <c r="D272" s="274" t="s">
        <v>216</v>
      </c>
      <c r="E272" s="270">
        <f>MC!C774</f>
        <v>2364.44</v>
      </c>
      <c r="F272" s="270">
        <f>F25</f>
        <v>0.65</v>
      </c>
      <c r="G272" s="270">
        <f>G25</f>
        <v>0.79</v>
      </c>
      <c r="H272" s="271">
        <f>ROUND(E272*G272,2)</f>
        <v>1867.91</v>
      </c>
    </row>
    <row r="273" spans="1:8" x14ac:dyDescent="0.3">
      <c r="A273" s="398"/>
      <c r="B273" s="398"/>
      <c r="C273" s="398"/>
      <c r="D273" s="398"/>
      <c r="E273" s="398"/>
      <c r="F273" s="398"/>
      <c r="G273" s="398"/>
      <c r="H273" s="398"/>
    </row>
    <row r="274" spans="1:8" x14ac:dyDescent="0.3">
      <c r="A274" s="266" t="s">
        <v>254</v>
      </c>
      <c r="B274" s="399" t="s">
        <v>255</v>
      </c>
      <c r="C274" s="399"/>
      <c r="D274" s="399"/>
      <c r="E274" s="399"/>
      <c r="F274" s="399"/>
      <c r="G274" s="399"/>
      <c r="H274" s="267">
        <f>SUM(H275:H276)</f>
        <v>1299.97</v>
      </c>
    </row>
    <row r="275" spans="1:8" ht="20.399999999999999" x14ac:dyDescent="0.3">
      <c r="A275" s="268" t="s">
        <v>256</v>
      </c>
      <c r="B275" s="261" t="s">
        <v>273</v>
      </c>
      <c r="C275" s="273" t="s">
        <v>259</v>
      </c>
      <c r="D275" s="274" t="s">
        <v>15</v>
      </c>
      <c r="E275" s="270">
        <f>MC!C779</f>
        <v>0.23</v>
      </c>
      <c r="F275" s="270">
        <f>F28</f>
        <v>980.47</v>
      </c>
      <c r="G275" s="270">
        <f>G28</f>
        <v>1195.78</v>
      </c>
      <c r="H275" s="271">
        <f>ROUND(E275*G275,2)</f>
        <v>275.02999999999997</v>
      </c>
    </row>
    <row r="276" spans="1:8" ht="30.6" x14ac:dyDescent="0.3">
      <c r="A276" s="268" t="s">
        <v>256</v>
      </c>
      <c r="B276" s="261" t="s">
        <v>275</v>
      </c>
      <c r="C276" s="273" t="s">
        <v>276</v>
      </c>
      <c r="D276" s="274" t="s">
        <v>176</v>
      </c>
      <c r="E276" s="270">
        <f>MC!C783</f>
        <v>2</v>
      </c>
      <c r="F276" s="270">
        <f>F29</f>
        <v>420.2</v>
      </c>
      <c r="G276" s="270">
        <f>G29</f>
        <v>512.47</v>
      </c>
      <c r="H276" s="271">
        <f>ROUND(E276*G276,2)</f>
        <v>1024.94</v>
      </c>
    </row>
  </sheetData>
  <mergeCells count="149">
    <mergeCell ref="B266:G266"/>
    <mergeCell ref="A269:H269"/>
    <mergeCell ref="B270:G270"/>
    <mergeCell ref="A273:H273"/>
    <mergeCell ref="B274:G274"/>
    <mergeCell ref="A220:H220"/>
    <mergeCell ref="B236:G236"/>
    <mergeCell ref="A239:H239"/>
    <mergeCell ref="A240:G240"/>
    <mergeCell ref="A258:H258"/>
    <mergeCell ref="A259:G259"/>
    <mergeCell ref="B260:G260"/>
    <mergeCell ref="A262:H262"/>
    <mergeCell ref="B263:G263"/>
    <mergeCell ref="A265:H265"/>
    <mergeCell ref="A221:G221"/>
    <mergeCell ref="B222:G222"/>
    <mergeCell ref="A224:H224"/>
    <mergeCell ref="B225:G225"/>
    <mergeCell ref="A227:H227"/>
    <mergeCell ref="B228:G228"/>
    <mergeCell ref="A231:H231"/>
    <mergeCell ref="B232:G232"/>
    <mergeCell ref="A235:H235"/>
    <mergeCell ref="B209:G209"/>
    <mergeCell ref="A212:H212"/>
    <mergeCell ref="B213:G213"/>
    <mergeCell ref="A216:H216"/>
    <mergeCell ref="B217:G217"/>
    <mergeCell ref="A202:G202"/>
    <mergeCell ref="B203:G203"/>
    <mergeCell ref="A205:H205"/>
    <mergeCell ref="B206:G206"/>
    <mergeCell ref="A208:H208"/>
    <mergeCell ref="A174:H174"/>
    <mergeCell ref="B175:G175"/>
    <mergeCell ref="A178:H178"/>
    <mergeCell ref="B179:G179"/>
    <mergeCell ref="A201:H201"/>
    <mergeCell ref="B165:G165"/>
    <mergeCell ref="A167:H167"/>
    <mergeCell ref="B168:G168"/>
    <mergeCell ref="A170:H170"/>
    <mergeCell ref="B171:G171"/>
    <mergeCell ref="A182:H182"/>
    <mergeCell ref="A183:G183"/>
    <mergeCell ref="B156:G156"/>
    <mergeCell ref="A159:H159"/>
    <mergeCell ref="B160:G160"/>
    <mergeCell ref="A163:H163"/>
    <mergeCell ref="A164:G164"/>
    <mergeCell ref="A148:H148"/>
    <mergeCell ref="B149:G149"/>
    <mergeCell ref="A151:H151"/>
    <mergeCell ref="B152:G152"/>
    <mergeCell ref="A155:H155"/>
    <mergeCell ref="A140:H140"/>
    <mergeCell ref="B141:G141"/>
    <mergeCell ref="A144:H144"/>
    <mergeCell ref="A145:G145"/>
    <mergeCell ref="B146:G146"/>
    <mergeCell ref="B130:G130"/>
    <mergeCell ref="A132:H132"/>
    <mergeCell ref="B133:G133"/>
    <mergeCell ref="A136:H136"/>
    <mergeCell ref="B137:G137"/>
    <mergeCell ref="B122:G122"/>
    <mergeCell ref="A125:H125"/>
    <mergeCell ref="A126:G126"/>
    <mergeCell ref="B127:G127"/>
    <mergeCell ref="A129:H129"/>
    <mergeCell ref="A113:H113"/>
    <mergeCell ref="B114:G114"/>
    <mergeCell ref="A117:H117"/>
    <mergeCell ref="B118:G118"/>
    <mergeCell ref="A121:H121"/>
    <mergeCell ref="A106:H106"/>
    <mergeCell ref="A107:G107"/>
    <mergeCell ref="B108:G108"/>
    <mergeCell ref="A110:H110"/>
    <mergeCell ref="B111:G111"/>
    <mergeCell ref="G3:G4"/>
    <mergeCell ref="B27:G27"/>
    <mergeCell ref="H3:H4"/>
    <mergeCell ref="D4:E4"/>
    <mergeCell ref="A18:H18"/>
    <mergeCell ref="B19:G19"/>
    <mergeCell ref="A26:H26"/>
    <mergeCell ref="A22:H22"/>
    <mergeCell ref="B23:G23"/>
    <mergeCell ref="B6:B7"/>
    <mergeCell ref="A11:H11"/>
    <mergeCell ref="A30:H30"/>
    <mergeCell ref="B32:G32"/>
    <mergeCell ref="A34:H34"/>
    <mergeCell ref="B35:G35"/>
    <mergeCell ref="B46:G46"/>
    <mergeCell ref="A49:H49"/>
    <mergeCell ref="B51:G51"/>
    <mergeCell ref="A53:H53"/>
    <mergeCell ref="A1:H2"/>
    <mergeCell ref="B13:G13"/>
    <mergeCell ref="A15:H15"/>
    <mergeCell ref="B16:G16"/>
    <mergeCell ref="F6:H6"/>
    <mergeCell ref="B8:G8"/>
    <mergeCell ref="A6:A7"/>
    <mergeCell ref="C6:C7"/>
    <mergeCell ref="D6:D7"/>
    <mergeCell ref="E6:E7"/>
    <mergeCell ref="A3:E3"/>
    <mergeCell ref="F3:F4"/>
    <mergeCell ref="B38:G38"/>
    <mergeCell ref="A41:H41"/>
    <mergeCell ref="B42:G42"/>
    <mergeCell ref="A45:H45"/>
    <mergeCell ref="A64:H64"/>
    <mergeCell ref="B65:G65"/>
    <mergeCell ref="A68:H68"/>
    <mergeCell ref="B70:G70"/>
    <mergeCell ref="B54:G54"/>
    <mergeCell ref="A56:H56"/>
    <mergeCell ref="B57:G57"/>
    <mergeCell ref="A60:H60"/>
    <mergeCell ref="B61:G61"/>
    <mergeCell ref="A102:H102"/>
    <mergeCell ref="B103:G103"/>
    <mergeCell ref="A12:G12"/>
    <mergeCell ref="A31:G31"/>
    <mergeCell ref="A50:G50"/>
    <mergeCell ref="A69:G69"/>
    <mergeCell ref="A88:G88"/>
    <mergeCell ref="B89:G89"/>
    <mergeCell ref="A91:H91"/>
    <mergeCell ref="B92:G92"/>
    <mergeCell ref="A94:H94"/>
    <mergeCell ref="B95:G95"/>
    <mergeCell ref="B80:G80"/>
    <mergeCell ref="A83:H83"/>
    <mergeCell ref="B84:G84"/>
    <mergeCell ref="A87:H87"/>
    <mergeCell ref="A72:H72"/>
    <mergeCell ref="B73:G73"/>
    <mergeCell ref="A75:H75"/>
    <mergeCell ref="B76:G76"/>
    <mergeCell ref="A79:H79"/>
    <mergeCell ref="A98:H98"/>
    <mergeCell ref="B99:G99"/>
    <mergeCell ref="A37:H37"/>
  </mergeCells>
  <phoneticPr fontId="17" type="noConversion"/>
  <pageMargins left="0.51181102362204722" right="0.51181102362204722" top="1.7716535433070868" bottom="1.1811023622047245" header="0.51181102362204722" footer="0.51181102362204722"/>
  <pageSetup paperSize="9" scale="66" fitToHeight="0" orientation="portrait" r:id="rId1"/>
  <headerFooter>
    <oddHeader>&amp;C&amp;G</oddHeader>
  </headerFooter>
  <rowBreaks count="6" manualBreakCount="6">
    <brk id="49" max="16383" man="1"/>
    <brk id="87" max="16383" man="1"/>
    <brk id="125" max="16383" man="1"/>
    <brk id="163" max="16383" man="1"/>
    <brk id="201" max="16383" man="1"/>
    <brk id="239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14999847407452621"/>
    <pageSetUpPr fitToPage="1"/>
  </sheetPr>
  <dimension ref="A1:H120"/>
  <sheetViews>
    <sheetView view="pageBreakPreview" zoomScale="90" zoomScaleNormal="100" zoomScaleSheetLayoutView="90" workbookViewId="0">
      <selection activeCell="L9" sqref="L9"/>
    </sheetView>
  </sheetViews>
  <sheetFormatPr defaultRowHeight="14.4" x14ac:dyDescent="0.3"/>
  <cols>
    <col min="1" max="1" width="22.88671875" style="15" customWidth="1"/>
    <col min="2" max="2" width="16.5546875" style="15" customWidth="1"/>
    <col min="3" max="3" width="9.44140625" customWidth="1"/>
    <col min="4" max="4" width="59.109375" customWidth="1"/>
    <col min="5" max="5" width="13.5546875" customWidth="1"/>
    <col min="6" max="6" width="17.33203125" bestFit="1" customWidth="1"/>
    <col min="7" max="7" width="9.109375" customWidth="1"/>
  </cols>
  <sheetData>
    <row r="1" spans="1:8" x14ac:dyDescent="0.3">
      <c r="A1" s="412" t="s">
        <v>186</v>
      </c>
      <c r="B1" s="412"/>
      <c r="C1" s="412"/>
      <c r="D1" s="412"/>
      <c r="E1" s="412"/>
      <c r="F1" s="412"/>
      <c r="G1" s="412"/>
      <c r="H1" s="412"/>
    </row>
    <row r="2" spans="1:8" x14ac:dyDescent="0.3">
      <c r="A2" s="412"/>
      <c r="B2" s="412"/>
      <c r="C2" s="412"/>
      <c r="D2" s="412"/>
      <c r="E2" s="412"/>
      <c r="F2" s="412"/>
      <c r="G2" s="412"/>
      <c r="H2" s="412"/>
    </row>
    <row r="3" spans="1:8" ht="23.25" customHeight="1" x14ac:dyDescent="0.3">
      <c r="A3" s="414" t="str">
        <f>'ORÇAMENTO SD'!A3:E3</f>
        <v>PAVIMENTAÇÃO DE VIAS PÚBLICAS NO MUNÍCIO DE JOSÉ DE FREITAS - PI</v>
      </c>
      <c r="B3" s="414"/>
      <c r="C3" s="414"/>
      <c r="D3" s="183" t="s">
        <v>187</v>
      </c>
      <c r="E3" s="211">
        <v>0.21959999999999999</v>
      </c>
      <c r="F3" s="413" t="str">
        <f>'ORÇAMENTO SD'!F3:F4</f>
        <v>FONTE:  
SINAPI 05/2025</v>
      </c>
      <c r="G3" s="413"/>
      <c r="H3" s="413"/>
    </row>
    <row r="4" spans="1:8" ht="25.5" customHeight="1" x14ac:dyDescent="0.3">
      <c r="A4" s="212" t="str">
        <f>'ORÇAMENTO SD'!A4</f>
        <v>LOCAL: DIVERSAS</v>
      </c>
      <c r="B4" s="212"/>
      <c r="C4" s="212"/>
      <c r="D4" s="415" t="s">
        <v>9</v>
      </c>
      <c r="E4" s="415"/>
      <c r="F4" s="413"/>
      <c r="G4" s="413"/>
      <c r="H4" s="413"/>
    </row>
    <row r="5" spans="1:8" x14ac:dyDescent="0.3">
      <c r="A5" s="213"/>
      <c r="B5" s="213"/>
      <c r="C5" s="213"/>
      <c r="D5" s="213"/>
      <c r="E5" s="213"/>
      <c r="F5" s="214"/>
      <c r="G5" s="213"/>
      <c r="H5" s="215"/>
    </row>
    <row r="6" spans="1:8" ht="27.6" x14ac:dyDescent="0.3">
      <c r="A6" s="217" t="s">
        <v>333</v>
      </c>
      <c r="B6" s="218" t="s">
        <v>188</v>
      </c>
      <c r="C6" s="217" t="s">
        <v>228</v>
      </c>
      <c r="D6" s="217" t="s">
        <v>189</v>
      </c>
      <c r="E6" s="219" t="s">
        <v>229</v>
      </c>
      <c r="F6" s="218" t="s">
        <v>230</v>
      </c>
      <c r="G6" s="218" t="s">
        <v>231</v>
      </c>
      <c r="H6" s="218" t="s">
        <v>115</v>
      </c>
    </row>
    <row r="7" spans="1:8" s="115" customFormat="1" ht="39.6" x14ac:dyDescent="0.3">
      <c r="A7" s="220" t="s">
        <v>334</v>
      </c>
      <c r="B7" s="221" t="s">
        <v>260</v>
      </c>
      <c r="C7" s="220" t="s">
        <v>193</v>
      </c>
      <c r="D7" s="220" t="s">
        <v>335</v>
      </c>
      <c r="E7" s="222" t="s">
        <v>15</v>
      </c>
      <c r="F7" s="223">
        <v>1</v>
      </c>
      <c r="G7" s="224">
        <v>464.39</v>
      </c>
      <c r="H7" s="224">
        <v>464.39</v>
      </c>
    </row>
    <row r="8" spans="1:8" x14ac:dyDescent="0.3">
      <c r="A8" s="225" t="s">
        <v>336</v>
      </c>
      <c r="B8" s="226" t="s">
        <v>261</v>
      </c>
      <c r="C8" s="225" t="s">
        <v>193</v>
      </c>
      <c r="D8" s="225" t="s">
        <v>337</v>
      </c>
      <c r="E8" s="227" t="s">
        <v>15</v>
      </c>
      <c r="F8" s="228">
        <v>0.5</v>
      </c>
      <c r="G8" s="229">
        <v>26</v>
      </c>
      <c r="H8" s="229">
        <v>13</v>
      </c>
    </row>
    <row r="9" spans="1:8" x14ac:dyDescent="0.3">
      <c r="A9" s="225" t="s">
        <v>336</v>
      </c>
      <c r="B9" s="226" t="s">
        <v>194</v>
      </c>
      <c r="C9" s="225" t="s">
        <v>193</v>
      </c>
      <c r="D9" s="225" t="s">
        <v>338</v>
      </c>
      <c r="E9" s="227" t="s">
        <v>195</v>
      </c>
      <c r="F9" s="228">
        <v>0.37290000000000001</v>
      </c>
      <c r="G9" s="229">
        <v>26.97</v>
      </c>
      <c r="H9" s="229">
        <v>10.050000000000001</v>
      </c>
    </row>
    <row r="10" spans="1:8" x14ac:dyDescent="0.3">
      <c r="A10" s="225" t="s">
        <v>336</v>
      </c>
      <c r="B10" s="226" t="s">
        <v>196</v>
      </c>
      <c r="C10" s="225" t="s">
        <v>193</v>
      </c>
      <c r="D10" s="225" t="s">
        <v>339</v>
      </c>
      <c r="E10" s="227" t="s">
        <v>195</v>
      </c>
      <c r="F10" s="228">
        <v>1.1186</v>
      </c>
      <c r="G10" s="229">
        <v>21.71</v>
      </c>
      <c r="H10" s="229">
        <v>24.28</v>
      </c>
    </row>
    <row r="11" spans="1:8" ht="39.6" x14ac:dyDescent="0.3">
      <c r="A11" s="225" t="s">
        <v>340</v>
      </c>
      <c r="B11" s="226" t="s">
        <v>199</v>
      </c>
      <c r="C11" s="225" t="s">
        <v>193</v>
      </c>
      <c r="D11" s="225" t="s">
        <v>341</v>
      </c>
      <c r="E11" s="227" t="s">
        <v>342</v>
      </c>
      <c r="F11" s="228">
        <v>1</v>
      </c>
      <c r="G11" s="229">
        <v>400</v>
      </c>
      <c r="H11" s="229">
        <v>400</v>
      </c>
    </row>
    <row r="12" spans="1:8" ht="26.4" x14ac:dyDescent="0.3">
      <c r="A12" s="225" t="s">
        <v>340</v>
      </c>
      <c r="B12" s="226" t="s">
        <v>262</v>
      </c>
      <c r="C12" s="225" t="s">
        <v>193</v>
      </c>
      <c r="D12" s="225" t="s">
        <v>343</v>
      </c>
      <c r="E12" s="227" t="s">
        <v>198</v>
      </c>
      <c r="F12" s="228">
        <v>3.2082999999999999</v>
      </c>
      <c r="G12" s="229">
        <v>5.0999999999999996</v>
      </c>
      <c r="H12" s="229">
        <v>16.36</v>
      </c>
    </row>
    <row r="13" spans="1:8" x14ac:dyDescent="0.3">
      <c r="A13" s="225" t="s">
        <v>340</v>
      </c>
      <c r="B13" s="226" t="s">
        <v>264</v>
      </c>
      <c r="C13" s="225" t="s">
        <v>193</v>
      </c>
      <c r="D13" s="225" t="s">
        <v>344</v>
      </c>
      <c r="E13" s="227" t="s">
        <v>200</v>
      </c>
      <c r="F13" s="228">
        <v>1.32E-2</v>
      </c>
      <c r="G13" s="229">
        <v>20.74</v>
      </c>
      <c r="H13" s="229">
        <v>0.27</v>
      </c>
    </row>
    <row r="14" spans="1:8" x14ac:dyDescent="0.3">
      <c r="A14" s="225" t="s">
        <v>340</v>
      </c>
      <c r="B14" s="226" t="s">
        <v>263</v>
      </c>
      <c r="C14" s="225" t="s">
        <v>193</v>
      </c>
      <c r="D14" s="225" t="s">
        <v>345</v>
      </c>
      <c r="E14" s="227" t="s">
        <v>200</v>
      </c>
      <c r="F14" s="228">
        <v>1.1299999999999999E-2</v>
      </c>
      <c r="G14" s="229">
        <v>38.700000000000003</v>
      </c>
      <c r="H14" s="229">
        <v>0.43</v>
      </c>
    </row>
    <row r="15" spans="1:8" ht="26.4" x14ac:dyDescent="0.3">
      <c r="A15" s="230"/>
      <c r="B15" s="230"/>
      <c r="C15" s="230"/>
      <c r="D15" s="230"/>
      <c r="E15" s="230" t="s">
        <v>346</v>
      </c>
      <c r="F15" s="231">
        <v>0</v>
      </c>
      <c r="G15" s="230" t="s">
        <v>347</v>
      </c>
      <c r="H15" s="231">
        <v>29.29</v>
      </c>
    </row>
    <row r="16" spans="1:8" x14ac:dyDescent="0.3">
      <c r="A16" s="230"/>
      <c r="B16" s="230"/>
      <c r="C16" s="230"/>
      <c r="D16" s="230"/>
      <c r="E16" s="230"/>
      <c r="F16" s="410" t="s">
        <v>348</v>
      </c>
      <c r="G16" s="410"/>
      <c r="H16" s="231">
        <v>566.37</v>
      </c>
    </row>
    <row r="17" spans="1:8" ht="27" thickBot="1" x14ac:dyDescent="0.35">
      <c r="A17" s="232"/>
      <c r="B17" s="232"/>
      <c r="C17" s="232"/>
      <c r="D17" s="232"/>
      <c r="E17" s="232" t="s">
        <v>349</v>
      </c>
      <c r="F17" s="233" t="s">
        <v>350</v>
      </c>
      <c r="G17" s="232" t="s">
        <v>351</v>
      </c>
      <c r="H17" s="234">
        <v>566.37</v>
      </c>
    </row>
    <row r="18" spans="1:8" ht="15" thickTop="1" x14ac:dyDescent="0.3">
      <c r="A18" s="235"/>
      <c r="B18" s="235"/>
      <c r="C18" s="235"/>
      <c r="D18" s="235"/>
      <c r="E18" s="235"/>
      <c r="F18" s="235"/>
      <c r="G18" s="235"/>
      <c r="H18" s="235"/>
    </row>
    <row r="19" spans="1:8" ht="27.6" x14ac:dyDescent="0.3">
      <c r="A19" s="217" t="s">
        <v>352</v>
      </c>
      <c r="B19" s="218" t="s">
        <v>188</v>
      </c>
      <c r="C19" s="217" t="s">
        <v>228</v>
      </c>
      <c r="D19" s="217" t="s">
        <v>189</v>
      </c>
      <c r="E19" s="219" t="s">
        <v>229</v>
      </c>
      <c r="F19" s="218" t="s">
        <v>230</v>
      </c>
      <c r="G19" s="218" t="s">
        <v>231</v>
      </c>
      <c r="H19" s="218" t="s">
        <v>115</v>
      </c>
    </row>
    <row r="20" spans="1:8" ht="26.4" x14ac:dyDescent="0.3">
      <c r="A20" s="220" t="s">
        <v>334</v>
      </c>
      <c r="B20" s="221" t="s">
        <v>353</v>
      </c>
      <c r="C20" s="220" t="s">
        <v>354</v>
      </c>
      <c r="D20" s="236" t="s">
        <v>355</v>
      </c>
      <c r="E20" s="222" t="s">
        <v>38</v>
      </c>
      <c r="F20" s="223">
        <v>1</v>
      </c>
      <c r="G20" s="224">
        <v>7369.2</v>
      </c>
      <c r="H20" s="224">
        <v>7369.2</v>
      </c>
    </row>
    <row r="21" spans="1:8" x14ac:dyDescent="0.3">
      <c r="A21" s="225" t="s">
        <v>336</v>
      </c>
      <c r="B21" s="226" t="s">
        <v>356</v>
      </c>
      <c r="C21" s="225" t="s">
        <v>193</v>
      </c>
      <c r="D21" s="225" t="s">
        <v>357</v>
      </c>
      <c r="E21" s="227" t="s">
        <v>195</v>
      </c>
      <c r="F21" s="228">
        <v>60</v>
      </c>
      <c r="G21" s="229">
        <v>35.39</v>
      </c>
      <c r="H21" s="229">
        <v>2123.4</v>
      </c>
    </row>
    <row r="22" spans="1:8" x14ac:dyDescent="0.3">
      <c r="A22" s="225" t="s">
        <v>336</v>
      </c>
      <c r="B22" s="226" t="s">
        <v>358</v>
      </c>
      <c r="C22" s="225" t="s">
        <v>193</v>
      </c>
      <c r="D22" s="225" t="s">
        <v>359</v>
      </c>
      <c r="E22" s="227" t="s">
        <v>195</v>
      </c>
      <c r="F22" s="228">
        <v>60</v>
      </c>
      <c r="G22" s="229">
        <v>22.81</v>
      </c>
      <c r="H22" s="229">
        <v>1368.6</v>
      </c>
    </row>
    <row r="23" spans="1:8" ht="26.4" x14ac:dyDescent="0.3">
      <c r="A23" s="225" t="s">
        <v>336</v>
      </c>
      <c r="B23" s="226" t="s">
        <v>360</v>
      </c>
      <c r="C23" s="225" t="s">
        <v>193</v>
      </c>
      <c r="D23" s="225" t="s">
        <v>361</v>
      </c>
      <c r="E23" s="227" t="s">
        <v>195</v>
      </c>
      <c r="F23" s="228">
        <v>30</v>
      </c>
      <c r="G23" s="229">
        <v>129.24</v>
      </c>
      <c r="H23" s="229">
        <v>3877.2</v>
      </c>
    </row>
    <row r="24" spans="1:8" ht="26.4" x14ac:dyDescent="0.3">
      <c r="A24" s="230"/>
      <c r="B24" s="230"/>
      <c r="C24" s="230"/>
      <c r="D24" s="230"/>
      <c r="E24" s="230" t="s">
        <v>346</v>
      </c>
      <c r="F24" s="231">
        <v>0</v>
      </c>
      <c r="G24" s="230" t="s">
        <v>347</v>
      </c>
      <c r="H24" s="231">
        <v>6985.5</v>
      </c>
    </row>
    <row r="25" spans="1:8" x14ac:dyDescent="0.3">
      <c r="A25" s="230"/>
      <c r="B25" s="230"/>
      <c r="C25" s="230"/>
      <c r="D25" s="230"/>
      <c r="E25" s="230"/>
      <c r="F25" s="410" t="s">
        <v>348</v>
      </c>
      <c r="G25" s="410"/>
      <c r="H25" s="231">
        <v>8987.4699999999993</v>
      </c>
    </row>
    <row r="26" spans="1:8" ht="27" thickBot="1" x14ac:dyDescent="0.35">
      <c r="A26" s="232"/>
      <c r="B26" s="232"/>
      <c r="C26" s="232"/>
      <c r="D26" s="232"/>
      <c r="E26" s="232" t="s">
        <v>349</v>
      </c>
      <c r="F26" s="233" t="s">
        <v>350</v>
      </c>
      <c r="G26" s="232" t="s">
        <v>351</v>
      </c>
      <c r="H26" s="234">
        <v>8987.4699999999993</v>
      </c>
    </row>
    <row r="27" spans="1:8" ht="15" thickTop="1" x14ac:dyDescent="0.3">
      <c r="A27" s="235"/>
      <c r="B27" s="235"/>
      <c r="C27" s="235"/>
      <c r="D27" s="235"/>
      <c r="E27" s="235"/>
      <c r="F27" s="235"/>
      <c r="G27" s="235"/>
      <c r="H27" s="235"/>
    </row>
    <row r="28" spans="1:8" ht="27.6" x14ac:dyDescent="0.3">
      <c r="A28" s="217" t="s">
        <v>362</v>
      </c>
      <c r="B28" s="218" t="s">
        <v>188</v>
      </c>
      <c r="C28" s="217" t="s">
        <v>228</v>
      </c>
      <c r="D28" s="217" t="s">
        <v>189</v>
      </c>
      <c r="E28" s="219" t="s">
        <v>229</v>
      </c>
      <c r="F28" s="218" t="s">
        <v>230</v>
      </c>
      <c r="G28" s="218" t="s">
        <v>231</v>
      </c>
      <c r="H28" s="218" t="s">
        <v>115</v>
      </c>
    </row>
    <row r="29" spans="1:8" s="216" customFormat="1" ht="45" customHeight="1" x14ac:dyDescent="0.3">
      <c r="A29" s="220" t="s">
        <v>334</v>
      </c>
      <c r="B29" s="221" t="s">
        <v>265</v>
      </c>
      <c r="C29" s="220" t="s">
        <v>193</v>
      </c>
      <c r="D29" s="220" t="s">
        <v>363</v>
      </c>
      <c r="E29" s="222" t="s">
        <v>15</v>
      </c>
      <c r="F29" s="223">
        <v>1</v>
      </c>
      <c r="G29" s="224">
        <v>1.87</v>
      </c>
      <c r="H29" s="224">
        <v>1.87</v>
      </c>
    </row>
    <row r="30" spans="1:8" x14ac:dyDescent="0.3">
      <c r="A30" s="225" t="s">
        <v>336</v>
      </c>
      <c r="B30" s="226" t="s">
        <v>196</v>
      </c>
      <c r="C30" s="225" t="s">
        <v>193</v>
      </c>
      <c r="D30" s="225" t="s">
        <v>339</v>
      </c>
      <c r="E30" s="227" t="s">
        <v>195</v>
      </c>
      <c r="F30" s="228">
        <v>1.0342999999999999E-3</v>
      </c>
      <c r="G30" s="229">
        <v>21.71</v>
      </c>
      <c r="H30" s="229">
        <v>0.02</v>
      </c>
    </row>
    <row r="31" spans="1:8" ht="52.8" x14ac:dyDescent="0.3">
      <c r="A31" s="225" t="s">
        <v>336</v>
      </c>
      <c r="B31" s="226" t="s">
        <v>267</v>
      </c>
      <c r="C31" s="225" t="s">
        <v>193</v>
      </c>
      <c r="D31" s="225" t="s">
        <v>364</v>
      </c>
      <c r="E31" s="227" t="s">
        <v>236</v>
      </c>
      <c r="F31" s="228">
        <v>7.5449999999999996E-3</v>
      </c>
      <c r="G31" s="229">
        <v>70.88</v>
      </c>
      <c r="H31" s="229">
        <v>0.53</v>
      </c>
    </row>
    <row r="32" spans="1:8" ht="39.6" x14ac:dyDescent="0.3">
      <c r="A32" s="225" t="s">
        <v>336</v>
      </c>
      <c r="B32" s="226" t="s">
        <v>269</v>
      </c>
      <c r="C32" s="225" t="s">
        <v>193</v>
      </c>
      <c r="D32" s="225" t="s">
        <v>365</v>
      </c>
      <c r="E32" s="227" t="s">
        <v>236</v>
      </c>
      <c r="F32" s="228">
        <v>7.3180000000000001E-4</v>
      </c>
      <c r="G32" s="229">
        <v>109.4</v>
      </c>
      <c r="H32" s="229">
        <v>0.08</v>
      </c>
    </row>
    <row r="33" spans="1:8" ht="52.8" x14ac:dyDescent="0.3">
      <c r="A33" s="225" t="s">
        <v>336</v>
      </c>
      <c r="B33" s="226" t="s">
        <v>270</v>
      </c>
      <c r="C33" s="225" t="s">
        <v>193</v>
      </c>
      <c r="D33" s="225" t="s">
        <v>366</v>
      </c>
      <c r="E33" s="227" t="s">
        <v>234</v>
      </c>
      <c r="F33" s="228">
        <v>2.5195E-3</v>
      </c>
      <c r="G33" s="229">
        <v>167.76</v>
      </c>
      <c r="H33" s="229">
        <v>0.42</v>
      </c>
    </row>
    <row r="34" spans="1:8" s="115" customFormat="1" ht="25.5" customHeight="1" x14ac:dyDescent="0.3">
      <c r="A34" s="225" t="s">
        <v>336</v>
      </c>
      <c r="B34" s="226" t="s">
        <v>266</v>
      </c>
      <c r="C34" s="225" t="s">
        <v>193</v>
      </c>
      <c r="D34" s="225" t="s">
        <v>367</v>
      </c>
      <c r="E34" s="227" t="s">
        <v>234</v>
      </c>
      <c r="F34" s="228">
        <v>1.0702000000000001E-3</v>
      </c>
      <c r="G34" s="229">
        <v>316.25</v>
      </c>
      <c r="H34" s="229">
        <v>0.33</v>
      </c>
    </row>
    <row r="35" spans="1:8" ht="52.8" x14ac:dyDescent="0.3">
      <c r="A35" s="225" t="s">
        <v>336</v>
      </c>
      <c r="B35" s="226" t="s">
        <v>271</v>
      </c>
      <c r="C35" s="225" t="s">
        <v>193</v>
      </c>
      <c r="D35" s="225" t="s">
        <v>368</v>
      </c>
      <c r="E35" s="227" t="s">
        <v>236</v>
      </c>
      <c r="F35" s="228">
        <v>6.0956999999999999E-3</v>
      </c>
      <c r="G35" s="229">
        <v>68.56</v>
      </c>
      <c r="H35" s="229">
        <v>0.41</v>
      </c>
    </row>
    <row r="36" spans="1:8" ht="39.6" x14ac:dyDescent="0.3">
      <c r="A36" s="225" t="s">
        <v>336</v>
      </c>
      <c r="B36" s="226" t="s">
        <v>268</v>
      </c>
      <c r="C36" s="225" t="s">
        <v>193</v>
      </c>
      <c r="D36" s="225" t="s">
        <v>369</v>
      </c>
      <c r="E36" s="227" t="s">
        <v>234</v>
      </c>
      <c r="F36" s="228">
        <v>3.0249999999999998E-4</v>
      </c>
      <c r="G36" s="229">
        <v>268.83999999999997</v>
      </c>
      <c r="H36" s="229">
        <v>0.08</v>
      </c>
    </row>
    <row r="37" spans="1:8" ht="26.4" x14ac:dyDescent="0.3">
      <c r="A37" s="230"/>
      <c r="B37" s="230"/>
      <c r="C37" s="230"/>
      <c r="D37" s="230"/>
      <c r="E37" s="230" t="s">
        <v>346</v>
      </c>
      <c r="F37" s="231">
        <v>0</v>
      </c>
      <c r="G37" s="230" t="s">
        <v>347</v>
      </c>
      <c r="H37" s="231">
        <v>0.38</v>
      </c>
    </row>
    <row r="38" spans="1:8" x14ac:dyDescent="0.3">
      <c r="A38" s="230"/>
      <c r="B38" s="230"/>
      <c r="C38" s="230"/>
      <c r="D38" s="230"/>
      <c r="E38" s="230"/>
      <c r="F38" s="410" t="s">
        <v>348</v>
      </c>
      <c r="G38" s="410"/>
      <c r="H38" s="231">
        <v>2.2799999999999998</v>
      </c>
    </row>
    <row r="39" spans="1:8" ht="27" thickBot="1" x14ac:dyDescent="0.35">
      <c r="A39" s="232"/>
      <c r="B39" s="232"/>
      <c r="C39" s="232"/>
      <c r="D39" s="232"/>
      <c r="E39" s="232" t="s">
        <v>349</v>
      </c>
      <c r="F39" s="233" t="s">
        <v>350</v>
      </c>
      <c r="G39" s="232" t="s">
        <v>351</v>
      </c>
      <c r="H39" s="234">
        <v>2.2799999999999998</v>
      </c>
    </row>
    <row r="40" spans="1:8" ht="15" thickTop="1" x14ac:dyDescent="0.3">
      <c r="A40" s="235"/>
      <c r="B40" s="235"/>
      <c r="C40" s="235"/>
      <c r="D40" s="235"/>
      <c r="E40" s="235"/>
      <c r="F40" s="235"/>
      <c r="G40" s="235"/>
      <c r="H40" s="235"/>
    </row>
    <row r="41" spans="1:8" ht="27.6" x14ac:dyDescent="0.3">
      <c r="A41" s="217" t="s">
        <v>370</v>
      </c>
      <c r="B41" s="218" t="s">
        <v>188</v>
      </c>
      <c r="C41" s="217" t="s">
        <v>228</v>
      </c>
      <c r="D41" s="217" t="s">
        <v>189</v>
      </c>
      <c r="E41" s="219" t="s">
        <v>229</v>
      </c>
      <c r="F41" s="218" t="s">
        <v>230</v>
      </c>
      <c r="G41" s="218" t="s">
        <v>231</v>
      </c>
      <c r="H41" s="218" t="s">
        <v>115</v>
      </c>
    </row>
    <row r="42" spans="1:8" ht="39.6" x14ac:dyDescent="0.3">
      <c r="A42" s="220" t="s">
        <v>334</v>
      </c>
      <c r="B42" s="221" t="s">
        <v>371</v>
      </c>
      <c r="C42" s="220" t="s">
        <v>354</v>
      </c>
      <c r="D42" s="220" t="s">
        <v>372</v>
      </c>
      <c r="E42" s="222" t="s">
        <v>15</v>
      </c>
      <c r="F42" s="223">
        <v>1</v>
      </c>
      <c r="G42" s="224">
        <v>78.78</v>
      </c>
      <c r="H42" s="224">
        <v>78.78</v>
      </c>
    </row>
    <row r="43" spans="1:8" x14ac:dyDescent="0.3">
      <c r="A43" s="225" t="s">
        <v>336</v>
      </c>
      <c r="B43" s="226" t="s">
        <v>196</v>
      </c>
      <c r="C43" s="225" t="s">
        <v>193</v>
      </c>
      <c r="D43" s="225" t="s">
        <v>339</v>
      </c>
      <c r="E43" s="227" t="s">
        <v>195</v>
      </c>
      <c r="F43" s="228">
        <v>0.40210000000000001</v>
      </c>
      <c r="G43" s="229">
        <v>21.71</v>
      </c>
      <c r="H43" s="229">
        <v>8.7200000000000006</v>
      </c>
    </row>
    <row r="44" spans="1:8" s="115" customFormat="1" x14ac:dyDescent="0.3">
      <c r="A44" s="225" t="s">
        <v>336</v>
      </c>
      <c r="B44" s="226" t="s">
        <v>373</v>
      </c>
      <c r="C44" s="225" t="s">
        <v>193</v>
      </c>
      <c r="D44" s="225" t="s">
        <v>374</v>
      </c>
      <c r="E44" s="227" t="s">
        <v>195</v>
      </c>
      <c r="F44" s="228">
        <v>0.40210000000000001</v>
      </c>
      <c r="G44" s="229">
        <v>27.19</v>
      </c>
      <c r="H44" s="229">
        <v>10.93</v>
      </c>
    </row>
    <row r="45" spans="1:8" ht="52.8" x14ac:dyDescent="0.3">
      <c r="A45" s="225" t="s">
        <v>336</v>
      </c>
      <c r="B45" s="226" t="s">
        <v>375</v>
      </c>
      <c r="C45" s="225" t="s">
        <v>193</v>
      </c>
      <c r="D45" s="225" t="s">
        <v>376</v>
      </c>
      <c r="E45" s="227" t="s">
        <v>236</v>
      </c>
      <c r="F45" s="228">
        <v>0.13089999999999999</v>
      </c>
      <c r="G45" s="229">
        <v>66.88</v>
      </c>
      <c r="H45" s="229">
        <v>8.75</v>
      </c>
    </row>
    <row r="46" spans="1:8" ht="39.6" x14ac:dyDescent="0.3">
      <c r="A46" s="225" t="s">
        <v>336</v>
      </c>
      <c r="B46" s="226" t="s">
        <v>377</v>
      </c>
      <c r="C46" s="225" t="s">
        <v>193</v>
      </c>
      <c r="D46" s="225" t="s">
        <v>378</v>
      </c>
      <c r="E46" s="227" t="s">
        <v>197</v>
      </c>
      <c r="F46" s="228">
        <v>2.0400000000000001E-2</v>
      </c>
      <c r="G46" s="229">
        <v>675.8</v>
      </c>
      <c r="H46" s="229">
        <v>13.78</v>
      </c>
    </row>
    <row r="47" spans="1:8" ht="26.4" x14ac:dyDescent="0.3">
      <c r="A47" s="225" t="s">
        <v>336</v>
      </c>
      <c r="B47" s="226" t="s">
        <v>379</v>
      </c>
      <c r="C47" s="225" t="s">
        <v>354</v>
      </c>
      <c r="D47" s="225" t="s">
        <v>380</v>
      </c>
      <c r="E47" s="227" t="s">
        <v>381</v>
      </c>
      <c r="F47" s="228">
        <v>4.2000000000000003E-2</v>
      </c>
      <c r="G47" s="229">
        <v>612.20000000000005</v>
      </c>
      <c r="H47" s="229">
        <v>25.71</v>
      </c>
    </row>
    <row r="48" spans="1:8" ht="52.8" x14ac:dyDescent="0.3">
      <c r="A48" s="225" t="s">
        <v>336</v>
      </c>
      <c r="B48" s="226" t="s">
        <v>382</v>
      </c>
      <c r="C48" s="225" t="s">
        <v>193</v>
      </c>
      <c r="D48" s="225" t="s">
        <v>383</v>
      </c>
      <c r="E48" s="227" t="s">
        <v>234</v>
      </c>
      <c r="F48" s="228">
        <v>3.0999999999999999E-3</v>
      </c>
      <c r="G48" s="229">
        <v>164.48</v>
      </c>
      <c r="H48" s="229">
        <v>0.5</v>
      </c>
    </row>
    <row r="49" spans="1:8" ht="26.4" x14ac:dyDescent="0.3">
      <c r="A49" s="225" t="s">
        <v>340</v>
      </c>
      <c r="B49" s="226" t="s">
        <v>384</v>
      </c>
      <c r="C49" s="225" t="s">
        <v>193</v>
      </c>
      <c r="D49" s="225" t="s">
        <v>385</v>
      </c>
      <c r="E49" s="227" t="s">
        <v>386</v>
      </c>
      <c r="F49" s="228">
        <v>0.114</v>
      </c>
      <c r="G49" s="229">
        <v>91.17</v>
      </c>
      <c r="H49" s="229">
        <v>10.39</v>
      </c>
    </row>
    <row r="50" spans="1:8" ht="26.4" x14ac:dyDescent="0.3">
      <c r="A50" s="230"/>
      <c r="B50" s="230"/>
      <c r="C50" s="230"/>
      <c r="D50" s="230"/>
      <c r="E50" s="230" t="s">
        <v>346</v>
      </c>
      <c r="F50" s="231">
        <v>0</v>
      </c>
      <c r="G50" s="230" t="s">
        <v>347</v>
      </c>
      <c r="H50" s="231">
        <v>36.74</v>
      </c>
    </row>
    <row r="51" spans="1:8" x14ac:dyDescent="0.3">
      <c r="A51" s="230"/>
      <c r="B51" s="230"/>
      <c r="C51" s="230"/>
      <c r="D51" s="230"/>
      <c r="E51" s="230"/>
      <c r="F51" s="410" t="s">
        <v>348</v>
      </c>
      <c r="G51" s="410"/>
      <c r="H51" s="231">
        <v>96.08</v>
      </c>
    </row>
    <row r="52" spans="1:8" s="115" customFormat="1" ht="26.4" x14ac:dyDescent="0.3">
      <c r="A52" s="232"/>
      <c r="B52" s="232"/>
      <c r="C52" s="232"/>
      <c r="D52" s="232"/>
      <c r="E52" s="232" t="s">
        <v>349</v>
      </c>
      <c r="F52" s="233" t="s">
        <v>350</v>
      </c>
      <c r="G52" s="232" t="s">
        <v>351</v>
      </c>
      <c r="H52" s="234">
        <v>96.08</v>
      </c>
    </row>
    <row r="53" spans="1:8" s="115" customFormat="1" x14ac:dyDescent="0.3">
      <c r="A53" s="232"/>
      <c r="B53" s="232"/>
      <c r="C53" s="232"/>
      <c r="D53" s="232"/>
      <c r="E53" s="232"/>
      <c r="F53" s="233"/>
      <c r="G53" s="232"/>
      <c r="H53" s="234"/>
    </row>
    <row r="54" spans="1:8" s="115" customFormat="1" x14ac:dyDescent="0.3">
      <c r="A54" s="408" t="s">
        <v>237</v>
      </c>
      <c r="B54" s="408"/>
      <c r="C54" s="408"/>
      <c r="D54" s="408"/>
      <c r="E54" s="408"/>
      <c r="F54" s="408"/>
      <c r="G54" s="406" t="s">
        <v>238</v>
      </c>
      <c r="H54" s="406"/>
    </row>
    <row r="55" spans="1:8" s="115" customFormat="1" ht="27.6" x14ac:dyDescent="0.3">
      <c r="A55" s="238"/>
      <c r="B55" s="239" t="s">
        <v>188</v>
      </c>
      <c r="C55" s="238" t="s">
        <v>228</v>
      </c>
      <c r="D55" s="238" t="s">
        <v>189</v>
      </c>
      <c r="E55" s="240" t="s">
        <v>229</v>
      </c>
      <c r="F55" s="239" t="s">
        <v>230</v>
      </c>
      <c r="G55" s="239" t="s">
        <v>231</v>
      </c>
      <c r="H55" s="239" t="s">
        <v>115</v>
      </c>
    </row>
    <row r="56" spans="1:8" s="115" customFormat="1" x14ac:dyDescent="0.3">
      <c r="D56" s="237" t="s">
        <v>189</v>
      </c>
      <c r="E56" s="237" t="s">
        <v>190</v>
      </c>
      <c r="F56" s="237" t="s">
        <v>191</v>
      </c>
      <c r="G56" s="237" t="s">
        <v>192</v>
      </c>
      <c r="H56" s="237" t="s">
        <v>115</v>
      </c>
    </row>
    <row r="57" spans="1:8" s="115" customFormat="1" x14ac:dyDescent="0.3">
      <c r="A57" s="241" t="s">
        <v>336</v>
      </c>
      <c r="B57" s="242">
        <v>88309</v>
      </c>
      <c r="C57" s="242" t="s">
        <v>193</v>
      </c>
      <c r="D57" s="243" t="s">
        <v>239</v>
      </c>
      <c r="E57" s="242" t="s">
        <v>202</v>
      </c>
      <c r="F57" s="244">
        <v>12</v>
      </c>
      <c r="G57" s="245">
        <v>27.39</v>
      </c>
      <c r="H57" s="245">
        <f>TRUNC(G57*F57,2)</f>
        <v>328.68</v>
      </c>
    </row>
    <row r="58" spans="1:8" s="115" customFormat="1" x14ac:dyDescent="0.3">
      <c r="A58" s="241" t="s">
        <v>336</v>
      </c>
      <c r="B58" s="242">
        <v>88316</v>
      </c>
      <c r="C58" s="242" t="s">
        <v>193</v>
      </c>
      <c r="D58" s="243" t="s">
        <v>203</v>
      </c>
      <c r="E58" s="242" t="s">
        <v>202</v>
      </c>
      <c r="F58" s="244">
        <v>12</v>
      </c>
      <c r="G58" s="245">
        <v>21.71</v>
      </c>
      <c r="H58" s="245">
        <f>TRUNC(G58*F58,2)</f>
        <v>260.52</v>
      </c>
    </row>
    <row r="59" spans="1:8" s="115" customFormat="1" x14ac:dyDescent="0.3">
      <c r="A59" s="241" t="s">
        <v>340</v>
      </c>
      <c r="B59" s="407" t="s">
        <v>240</v>
      </c>
      <c r="C59" s="407"/>
      <c r="D59" s="243" t="s">
        <v>241</v>
      </c>
      <c r="E59" s="242" t="s">
        <v>242</v>
      </c>
      <c r="F59" s="244">
        <v>1</v>
      </c>
      <c r="G59" s="245">
        <v>23</v>
      </c>
      <c r="H59" s="245">
        <f>TRUNC(G59*F59,2)</f>
        <v>23</v>
      </c>
    </row>
    <row r="60" spans="1:8" s="115" customFormat="1" x14ac:dyDescent="0.3">
      <c r="A60" s="409"/>
      <c r="B60" s="409"/>
      <c r="D60" s="246"/>
      <c r="E60" s="246"/>
      <c r="F60" s="411" t="s">
        <v>201</v>
      </c>
      <c r="G60" s="411"/>
      <c r="H60" s="247">
        <f>SUM(H57:H59)</f>
        <v>612.20000000000005</v>
      </c>
    </row>
    <row r="61" spans="1:8" s="115" customFormat="1" ht="15" thickBot="1" x14ac:dyDescent="0.35">
      <c r="A61" s="248"/>
      <c r="B61" s="248"/>
      <c r="H61" s="234"/>
    </row>
    <row r="62" spans="1:8" ht="15.75" customHeight="1" thickTop="1" x14ac:dyDescent="0.3">
      <c r="A62" s="235"/>
      <c r="B62" s="235"/>
      <c r="C62" s="235"/>
      <c r="D62" s="235"/>
      <c r="E62" s="235"/>
      <c r="F62" s="235"/>
      <c r="G62" s="235"/>
      <c r="H62" s="235"/>
    </row>
    <row r="63" spans="1:8" ht="27.6" x14ac:dyDescent="0.3">
      <c r="A63" s="217" t="s">
        <v>387</v>
      </c>
      <c r="B63" s="218" t="s">
        <v>188</v>
      </c>
      <c r="C63" s="217" t="s">
        <v>228</v>
      </c>
      <c r="D63" s="217" t="s">
        <v>189</v>
      </c>
      <c r="E63" s="219" t="s">
        <v>229</v>
      </c>
      <c r="F63" s="218" t="s">
        <v>230</v>
      </c>
      <c r="G63" s="218" t="s">
        <v>231</v>
      </c>
      <c r="H63" s="218" t="s">
        <v>115</v>
      </c>
    </row>
    <row r="64" spans="1:8" ht="52.8" x14ac:dyDescent="0.3">
      <c r="A64" s="220" t="s">
        <v>334</v>
      </c>
      <c r="B64" s="221" t="s">
        <v>272</v>
      </c>
      <c r="C64" s="220" t="s">
        <v>193</v>
      </c>
      <c r="D64" s="220" t="s">
        <v>388</v>
      </c>
      <c r="E64" s="222" t="s">
        <v>198</v>
      </c>
      <c r="F64" s="223">
        <v>1</v>
      </c>
      <c r="G64" s="224">
        <v>41.46</v>
      </c>
      <c r="H64" s="224">
        <v>41.46</v>
      </c>
    </row>
    <row r="65" spans="1:8" ht="26.4" x14ac:dyDescent="0.3">
      <c r="A65" s="225" t="s">
        <v>336</v>
      </c>
      <c r="B65" s="226" t="s">
        <v>208</v>
      </c>
      <c r="C65" s="225" t="s">
        <v>193</v>
      </c>
      <c r="D65" s="225" t="s">
        <v>389</v>
      </c>
      <c r="E65" s="227" t="s">
        <v>197</v>
      </c>
      <c r="F65" s="228">
        <v>1.8E-3</v>
      </c>
      <c r="G65" s="229">
        <v>765.31</v>
      </c>
      <c r="H65" s="229">
        <v>1.37</v>
      </c>
    </row>
    <row r="66" spans="1:8" x14ac:dyDescent="0.3">
      <c r="A66" s="225" t="s">
        <v>336</v>
      </c>
      <c r="B66" s="226" t="s">
        <v>196</v>
      </c>
      <c r="C66" s="225" t="s">
        <v>193</v>
      </c>
      <c r="D66" s="225" t="s">
        <v>339</v>
      </c>
      <c r="E66" s="227" t="s">
        <v>195</v>
      </c>
      <c r="F66" s="228">
        <v>0.2296</v>
      </c>
      <c r="G66" s="229">
        <v>21.71</v>
      </c>
      <c r="H66" s="229">
        <v>4.9800000000000004</v>
      </c>
    </row>
    <row r="67" spans="1:8" x14ac:dyDescent="0.3">
      <c r="A67" s="225" t="s">
        <v>336</v>
      </c>
      <c r="B67" s="226" t="s">
        <v>204</v>
      </c>
      <c r="C67" s="225" t="s">
        <v>193</v>
      </c>
      <c r="D67" s="225" t="s">
        <v>390</v>
      </c>
      <c r="E67" s="227" t="s">
        <v>195</v>
      </c>
      <c r="F67" s="228">
        <v>0.2296</v>
      </c>
      <c r="G67" s="229">
        <v>27.39</v>
      </c>
      <c r="H67" s="229">
        <v>6.28</v>
      </c>
    </row>
    <row r="68" spans="1:8" ht="26.4" x14ac:dyDescent="0.3">
      <c r="A68" s="225" t="s">
        <v>340</v>
      </c>
      <c r="B68" s="226" t="s">
        <v>205</v>
      </c>
      <c r="C68" s="225" t="s">
        <v>193</v>
      </c>
      <c r="D68" s="225" t="s">
        <v>391</v>
      </c>
      <c r="E68" s="227" t="s">
        <v>386</v>
      </c>
      <c r="F68" s="228">
        <v>6.6E-3</v>
      </c>
      <c r="G68" s="229">
        <v>90</v>
      </c>
      <c r="H68" s="229">
        <v>0.59</v>
      </c>
    </row>
    <row r="69" spans="1:8" ht="26.4" x14ac:dyDescent="0.3">
      <c r="A69" s="225" t="s">
        <v>340</v>
      </c>
      <c r="B69" s="226" t="s">
        <v>209</v>
      </c>
      <c r="C69" s="225" t="s">
        <v>193</v>
      </c>
      <c r="D69" s="225" t="s">
        <v>392</v>
      </c>
      <c r="E69" s="227" t="s">
        <v>198</v>
      </c>
      <c r="F69" s="228">
        <v>1.0049999999999999</v>
      </c>
      <c r="G69" s="229">
        <v>28.1</v>
      </c>
      <c r="H69" s="229">
        <v>28.24</v>
      </c>
    </row>
    <row r="70" spans="1:8" ht="26.4" x14ac:dyDescent="0.3">
      <c r="A70" s="230"/>
      <c r="B70" s="230"/>
      <c r="C70" s="230"/>
      <c r="D70" s="230"/>
      <c r="E70" s="230" t="s">
        <v>346</v>
      </c>
      <c r="F70" s="231">
        <v>0</v>
      </c>
      <c r="G70" s="230" t="s">
        <v>347</v>
      </c>
      <c r="H70" s="231">
        <v>8.4700000000000006</v>
      </c>
    </row>
    <row r="71" spans="1:8" x14ac:dyDescent="0.3">
      <c r="A71" s="230"/>
      <c r="B71" s="230"/>
      <c r="C71" s="230"/>
      <c r="D71" s="230"/>
      <c r="E71" s="230"/>
      <c r="F71" s="410" t="s">
        <v>348</v>
      </c>
      <c r="G71" s="410"/>
      <c r="H71" s="231">
        <v>50.56</v>
      </c>
    </row>
    <row r="72" spans="1:8" ht="27" thickBot="1" x14ac:dyDescent="0.35">
      <c r="A72" s="232"/>
      <c r="B72" s="232"/>
      <c r="C72" s="232"/>
      <c r="D72" s="232"/>
      <c r="E72" s="232" t="s">
        <v>349</v>
      </c>
      <c r="F72" s="233" t="s">
        <v>350</v>
      </c>
      <c r="G72" s="232" t="s">
        <v>351</v>
      </c>
      <c r="H72" s="234">
        <v>50.56</v>
      </c>
    </row>
    <row r="73" spans="1:8" ht="15" thickTop="1" x14ac:dyDescent="0.3">
      <c r="A73" s="235"/>
      <c r="B73" s="235"/>
      <c r="C73" s="235"/>
      <c r="D73" s="235"/>
      <c r="E73" s="235"/>
      <c r="F73" s="235"/>
      <c r="G73" s="235"/>
      <c r="H73" s="235"/>
    </row>
    <row r="74" spans="1:8" ht="27.6" x14ac:dyDescent="0.3">
      <c r="A74" s="217" t="s">
        <v>393</v>
      </c>
      <c r="B74" s="218" t="s">
        <v>188</v>
      </c>
      <c r="C74" s="217" t="s">
        <v>228</v>
      </c>
      <c r="D74" s="217" t="s">
        <v>189</v>
      </c>
      <c r="E74" s="219" t="s">
        <v>229</v>
      </c>
      <c r="F74" s="218" t="s">
        <v>230</v>
      </c>
      <c r="G74" s="218" t="s">
        <v>231</v>
      </c>
      <c r="H74" s="218" t="s">
        <v>115</v>
      </c>
    </row>
    <row r="75" spans="1:8" ht="26.4" x14ac:dyDescent="0.3">
      <c r="A75" s="220" t="s">
        <v>334</v>
      </c>
      <c r="B75" s="221" t="s">
        <v>394</v>
      </c>
      <c r="C75" s="220" t="s">
        <v>354</v>
      </c>
      <c r="D75" s="220" t="s">
        <v>258</v>
      </c>
      <c r="E75" s="222" t="s">
        <v>174</v>
      </c>
      <c r="F75" s="223">
        <v>1</v>
      </c>
      <c r="G75" s="224">
        <v>22.48</v>
      </c>
      <c r="H75" s="224">
        <v>22.48</v>
      </c>
    </row>
    <row r="76" spans="1:8" x14ac:dyDescent="0.3">
      <c r="A76" s="225" t="s">
        <v>336</v>
      </c>
      <c r="B76" s="226" t="s">
        <v>196</v>
      </c>
      <c r="C76" s="225" t="s">
        <v>193</v>
      </c>
      <c r="D76" s="225" t="s">
        <v>339</v>
      </c>
      <c r="E76" s="227" t="s">
        <v>195</v>
      </c>
      <c r="F76" s="228">
        <v>0.2326</v>
      </c>
      <c r="G76" s="229">
        <v>21.71</v>
      </c>
      <c r="H76" s="229">
        <v>5.04</v>
      </c>
    </row>
    <row r="77" spans="1:8" x14ac:dyDescent="0.3">
      <c r="A77" s="225" t="s">
        <v>336</v>
      </c>
      <c r="B77" s="226" t="s">
        <v>204</v>
      </c>
      <c r="C77" s="225" t="s">
        <v>193</v>
      </c>
      <c r="D77" s="225" t="s">
        <v>390</v>
      </c>
      <c r="E77" s="227" t="s">
        <v>195</v>
      </c>
      <c r="F77" s="228">
        <v>0.2326</v>
      </c>
      <c r="G77" s="229">
        <v>27.39</v>
      </c>
      <c r="H77" s="229">
        <v>6.37</v>
      </c>
    </row>
    <row r="78" spans="1:8" ht="39.6" x14ac:dyDescent="0.3">
      <c r="A78" s="225" t="s">
        <v>340</v>
      </c>
      <c r="B78" s="226" t="s">
        <v>207</v>
      </c>
      <c r="C78" s="225" t="s">
        <v>193</v>
      </c>
      <c r="D78" s="225" t="s">
        <v>395</v>
      </c>
      <c r="E78" s="227" t="s">
        <v>386</v>
      </c>
      <c r="F78" s="228">
        <v>1.4999999999999999E-2</v>
      </c>
      <c r="G78" s="229">
        <v>540</v>
      </c>
      <c r="H78" s="229">
        <v>8.1</v>
      </c>
    </row>
    <row r="79" spans="1:8" ht="26.4" x14ac:dyDescent="0.3">
      <c r="A79" s="225" t="s">
        <v>340</v>
      </c>
      <c r="B79" s="226" t="s">
        <v>206</v>
      </c>
      <c r="C79" s="225" t="s">
        <v>193</v>
      </c>
      <c r="D79" s="225" t="s">
        <v>396</v>
      </c>
      <c r="E79" s="227" t="s">
        <v>198</v>
      </c>
      <c r="F79" s="228">
        <v>0.2</v>
      </c>
      <c r="G79" s="229">
        <v>3.52</v>
      </c>
      <c r="H79" s="229">
        <v>0.7</v>
      </c>
    </row>
    <row r="80" spans="1:8" ht="26.4" x14ac:dyDescent="0.3">
      <c r="A80" s="225" t="s">
        <v>340</v>
      </c>
      <c r="B80" s="226" t="s">
        <v>210</v>
      </c>
      <c r="C80" s="225" t="s">
        <v>193</v>
      </c>
      <c r="D80" s="225" t="s">
        <v>397</v>
      </c>
      <c r="E80" s="227" t="s">
        <v>198</v>
      </c>
      <c r="F80" s="228">
        <v>8.3299999999999999E-2</v>
      </c>
      <c r="G80" s="229">
        <v>16.670000000000002</v>
      </c>
      <c r="H80" s="229">
        <v>1.38</v>
      </c>
    </row>
    <row r="81" spans="1:8" ht="26.4" x14ac:dyDescent="0.3">
      <c r="A81" s="225" t="s">
        <v>340</v>
      </c>
      <c r="B81" s="226" t="s">
        <v>205</v>
      </c>
      <c r="C81" s="225" t="s">
        <v>193</v>
      </c>
      <c r="D81" s="225" t="s">
        <v>391</v>
      </c>
      <c r="E81" s="227" t="s">
        <v>386</v>
      </c>
      <c r="F81" s="228">
        <v>9.9000000000000008E-3</v>
      </c>
      <c r="G81" s="229">
        <v>90</v>
      </c>
      <c r="H81" s="229">
        <v>0.89</v>
      </c>
    </row>
    <row r="82" spans="1:8" ht="26.4" x14ac:dyDescent="0.3">
      <c r="A82" s="230"/>
      <c r="B82" s="230"/>
      <c r="C82" s="230"/>
      <c r="D82" s="230"/>
      <c r="E82" s="230" t="s">
        <v>346</v>
      </c>
      <c r="F82" s="231">
        <v>0</v>
      </c>
      <c r="G82" s="230" t="s">
        <v>347</v>
      </c>
      <c r="H82" s="231">
        <v>8.34</v>
      </c>
    </row>
    <row r="83" spans="1:8" x14ac:dyDescent="0.3">
      <c r="A83" s="230"/>
      <c r="B83" s="230"/>
      <c r="C83" s="230"/>
      <c r="D83" s="230"/>
      <c r="E83" s="230"/>
      <c r="F83" s="410" t="s">
        <v>348</v>
      </c>
      <c r="G83" s="410"/>
      <c r="H83" s="231">
        <v>27.41</v>
      </c>
    </row>
    <row r="84" spans="1:8" ht="27" thickBot="1" x14ac:dyDescent="0.35">
      <c r="A84" s="232"/>
      <c r="B84" s="232"/>
      <c r="C84" s="232"/>
      <c r="D84" s="232"/>
      <c r="E84" s="232" t="s">
        <v>349</v>
      </c>
      <c r="F84" s="233" t="s">
        <v>350</v>
      </c>
      <c r="G84" s="232" t="s">
        <v>351</v>
      </c>
      <c r="H84" s="234">
        <v>27.41</v>
      </c>
    </row>
    <row r="85" spans="1:8" ht="15" thickTop="1" x14ac:dyDescent="0.3">
      <c r="A85" s="235"/>
      <c r="B85" s="235"/>
      <c r="C85" s="235"/>
      <c r="D85" s="235"/>
      <c r="E85" s="235"/>
      <c r="F85" s="235"/>
      <c r="G85" s="235"/>
      <c r="H85" s="235"/>
    </row>
    <row r="86" spans="1:8" ht="27.6" x14ac:dyDescent="0.3">
      <c r="A86" s="217" t="s">
        <v>398</v>
      </c>
      <c r="B86" s="218" t="s">
        <v>188</v>
      </c>
      <c r="C86" s="217" t="s">
        <v>228</v>
      </c>
      <c r="D86" s="217" t="s">
        <v>189</v>
      </c>
      <c r="E86" s="219" t="s">
        <v>229</v>
      </c>
      <c r="F86" s="218" t="s">
        <v>230</v>
      </c>
      <c r="G86" s="218" t="s">
        <v>231</v>
      </c>
      <c r="H86" s="218" t="s">
        <v>115</v>
      </c>
    </row>
    <row r="87" spans="1:8" ht="39.6" x14ac:dyDescent="0.3">
      <c r="A87" s="220" t="s">
        <v>334</v>
      </c>
      <c r="B87" s="221" t="s">
        <v>280</v>
      </c>
      <c r="C87" s="220" t="s">
        <v>193</v>
      </c>
      <c r="D87" s="220" t="s">
        <v>399</v>
      </c>
      <c r="E87" s="222" t="s">
        <v>232</v>
      </c>
      <c r="F87" s="223">
        <v>1</v>
      </c>
      <c r="G87" s="224">
        <v>1.66</v>
      </c>
      <c r="H87" s="224">
        <v>1.66</v>
      </c>
    </row>
    <row r="88" spans="1:8" ht="52.8" x14ac:dyDescent="0.3">
      <c r="A88" s="225" t="s">
        <v>336</v>
      </c>
      <c r="B88" s="226" t="s">
        <v>233</v>
      </c>
      <c r="C88" s="225" t="s">
        <v>193</v>
      </c>
      <c r="D88" s="225" t="s">
        <v>400</v>
      </c>
      <c r="E88" s="227" t="s">
        <v>234</v>
      </c>
      <c r="F88" s="228">
        <v>5.5999999999999999E-3</v>
      </c>
      <c r="G88" s="229">
        <v>266.36</v>
      </c>
      <c r="H88" s="229">
        <v>1.49</v>
      </c>
    </row>
    <row r="89" spans="1:8" ht="52.8" x14ac:dyDescent="0.3">
      <c r="A89" s="225" t="s">
        <v>336</v>
      </c>
      <c r="B89" s="226" t="s">
        <v>235</v>
      </c>
      <c r="C89" s="225" t="s">
        <v>193</v>
      </c>
      <c r="D89" s="225" t="s">
        <v>401</v>
      </c>
      <c r="E89" s="227" t="s">
        <v>236</v>
      </c>
      <c r="F89" s="228">
        <v>2.3999999999999998E-3</v>
      </c>
      <c r="G89" s="229">
        <v>71.36</v>
      </c>
      <c r="H89" s="229">
        <v>0.17</v>
      </c>
    </row>
    <row r="90" spans="1:8" ht="26.4" x14ac:dyDescent="0.3">
      <c r="A90" s="230"/>
      <c r="B90" s="230"/>
      <c r="C90" s="230"/>
      <c r="D90" s="230"/>
      <c r="E90" s="230" t="s">
        <v>346</v>
      </c>
      <c r="F90" s="231">
        <v>0</v>
      </c>
      <c r="G90" s="230" t="s">
        <v>347</v>
      </c>
      <c r="H90" s="231">
        <v>0.16</v>
      </c>
    </row>
    <row r="91" spans="1:8" x14ac:dyDescent="0.3">
      <c r="A91" s="230"/>
      <c r="B91" s="230"/>
      <c r="C91" s="230"/>
      <c r="D91" s="230"/>
      <c r="E91" s="230"/>
      <c r="F91" s="410" t="s">
        <v>348</v>
      </c>
      <c r="G91" s="410"/>
      <c r="H91" s="231">
        <v>2.02</v>
      </c>
    </row>
    <row r="92" spans="1:8" ht="27" thickBot="1" x14ac:dyDescent="0.35">
      <c r="A92" s="232"/>
      <c r="B92" s="232"/>
      <c r="C92" s="232"/>
      <c r="D92" s="232"/>
      <c r="E92" s="232" t="s">
        <v>349</v>
      </c>
      <c r="F92" s="233" t="s">
        <v>350</v>
      </c>
      <c r="G92" s="232" t="s">
        <v>351</v>
      </c>
      <c r="H92" s="234">
        <v>2.02</v>
      </c>
    </row>
    <row r="93" spans="1:8" ht="15" thickTop="1" x14ac:dyDescent="0.3">
      <c r="A93" s="235"/>
      <c r="B93" s="235"/>
      <c r="C93" s="235"/>
      <c r="D93" s="235"/>
      <c r="E93" s="235"/>
      <c r="F93" s="235"/>
      <c r="G93" s="235"/>
      <c r="H93" s="235"/>
    </row>
    <row r="94" spans="1:8" ht="27.6" x14ac:dyDescent="0.3">
      <c r="A94" s="217" t="s">
        <v>402</v>
      </c>
      <c r="B94" s="218" t="s">
        <v>188</v>
      </c>
      <c r="C94" s="217" t="s">
        <v>228</v>
      </c>
      <c r="D94" s="217" t="s">
        <v>189</v>
      </c>
      <c r="E94" s="219" t="s">
        <v>229</v>
      </c>
      <c r="F94" s="218" t="s">
        <v>230</v>
      </c>
      <c r="G94" s="218" t="s">
        <v>231</v>
      </c>
      <c r="H94" s="218" t="s">
        <v>115</v>
      </c>
    </row>
    <row r="95" spans="1:8" s="115" customFormat="1" ht="39.6" x14ac:dyDescent="0.3">
      <c r="A95" s="220" t="s">
        <v>334</v>
      </c>
      <c r="B95" s="221" t="s">
        <v>281</v>
      </c>
      <c r="C95" s="220" t="s">
        <v>193</v>
      </c>
      <c r="D95" s="220" t="s">
        <v>403</v>
      </c>
      <c r="E95" s="222" t="s">
        <v>232</v>
      </c>
      <c r="F95" s="223">
        <v>1</v>
      </c>
      <c r="G95" s="224">
        <v>0.65</v>
      </c>
      <c r="H95" s="224">
        <v>0.65</v>
      </c>
    </row>
    <row r="96" spans="1:8" ht="52.8" x14ac:dyDescent="0.3">
      <c r="A96" s="225" t="s">
        <v>336</v>
      </c>
      <c r="B96" s="226" t="s">
        <v>235</v>
      </c>
      <c r="C96" s="225" t="s">
        <v>193</v>
      </c>
      <c r="D96" s="225" t="s">
        <v>401</v>
      </c>
      <c r="E96" s="227" t="s">
        <v>236</v>
      </c>
      <c r="F96" s="228">
        <v>1E-3</v>
      </c>
      <c r="G96" s="229">
        <v>71.36</v>
      </c>
      <c r="H96" s="229">
        <v>7.0000000000000007E-2</v>
      </c>
    </row>
    <row r="97" spans="1:8" ht="52.8" x14ac:dyDescent="0.3">
      <c r="A97" s="225" t="s">
        <v>336</v>
      </c>
      <c r="B97" s="226" t="s">
        <v>233</v>
      </c>
      <c r="C97" s="225" t="s">
        <v>193</v>
      </c>
      <c r="D97" s="225" t="s">
        <v>400</v>
      </c>
      <c r="E97" s="227" t="s">
        <v>234</v>
      </c>
      <c r="F97" s="228">
        <v>2.2000000000000001E-3</v>
      </c>
      <c r="G97" s="229">
        <v>266.36</v>
      </c>
      <c r="H97" s="229">
        <v>0.57999999999999996</v>
      </c>
    </row>
    <row r="98" spans="1:8" ht="26.4" x14ac:dyDescent="0.3">
      <c r="A98" s="230"/>
      <c r="B98" s="230"/>
      <c r="C98" s="230"/>
      <c r="D98" s="230"/>
      <c r="E98" s="230" t="s">
        <v>346</v>
      </c>
      <c r="F98" s="231">
        <v>0</v>
      </c>
      <c r="G98" s="230" t="s">
        <v>347</v>
      </c>
      <c r="H98" s="231">
        <v>0.06</v>
      </c>
    </row>
    <row r="99" spans="1:8" x14ac:dyDescent="0.3">
      <c r="A99" s="230"/>
      <c r="B99" s="230"/>
      <c r="C99" s="230"/>
      <c r="D99" s="230"/>
      <c r="E99" s="230"/>
      <c r="F99" s="410" t="s">
        <v>348</v>
      </c>
      <c r="G99" s="410"/>
      <c r="H99" s="231">
        <v>0.79</v>
      </c>
    </row>
    <row r="100" spans="1:8" ht="27" thickBot="1" x14ac:dyDescent="0.35">
      <c r="A100" s="232"/>
      <c r="B100" s="232"/>
      <c r="C100" s="232"/>
      <c r="D100" s="232"/>
      <c r="E100" s="232" t="s">
        <v>349</v>
      </c>
      <c r="F100" s="233" t="s">
        <v>350</v>
      </c>
      <c r="G100" s="232" t="s">
        <v>351</v>
      </c>
      <c r="H100" s="234">
        <v>0.79</v>
      </c>
    </row>
    <row r="101" spans="1:8" ht="15" thickTop="1" x14ac:dyDescent="0.3">
      <c r="A101" s="235"/>
      <c r="B101" s="235"/>
      <c r="C101" s="235"/>
      <c r="D101" s="235"/>
      <c r="E101" s="235"/>
      <c r="F101" s="235"/>
      <c r="G101" s="235"/>
      <c r="H101" s="235"/>
    </row>
    <row r="102" spans="1:8" ht="27.6" x14ac:dyDescent="0.3">
      <c r="A102" s="217" t="s">
        <v>404</v>
      </c>
      <c r="B102" s="218" t="s">
        <v>188</v>
      </c>
      <c r="C102" s="217" t="s">
        <v>228</v>
      </c>
      <c r="D102" s="217" t="s">
        <v>189</v>
      </c>
      <c r="E102" s="219" t="s">
        <v>229</v>
      </c>
      <c r="F102" s="218" t="s">
        <v>230</v>
      </c>
      <c r="G102" s="218" t="s">
        <v>231</v>
      </c>
      <c r="H102" s="218" t="s">
        <v>115</v>
      </c>
    </row>
    <row r="103" spans="1:8" ht="26.4" x14ac:dyDescent="0.3">
      <c r="A103" s="220" t="s">
        <v>334</v>
      </c>
      <c r="B103" s="221" t="s">
        <v>405</v>
      </c>
      <c r="C103" s="220" t="s">
        <v>354</v>
      </c>
      <c r="D103" s="220" t="s">
        <v>406</v>
      </c>
      <c r="E103" s="222" t="s">
        <v>15</v>
      </c>
      <c r="F103" s="223">
        <v>1</v>
      </c>
      <c r="G103" s="224">
        <v>980.47</v>
      </c>
      <c r="H103" s="224">
        <v>980.47</v>
      </c>
    </row>
    <row r="104" spans="1:8" ht="26.4" x14ac:dyDescent="0.3">
      <c r="A104" s="225" t="s">
        <v>336</v>
      </c>
      <c r="B104" s="226" t="s">
        <v>407</v>
      </c>
      <c r="C104" s="225" t="s">
        <v>193</v>
      </c>
      <c r="D104" s="225" t="s">
        <v>408</v>
      </c>
      <c r="E104" s="227" t="s">
        <v>195</v>
      </c>
      <c r="F104" s="228">
        <v>0.25269999999999998</v>
      </c>
      <c r="G104" s="229">
        <v>22.39</v>
      </c>
      <c r="H104" s="229">
        <v>5.65</v>
      </c>
    </row>
    <row r="105" spans="1:8" x14ac:dyDescent="0.3">
      <c r="A105" s="225" t="s">
        <v>336</v>
      </c>
      <c r="B105" s="226" t="s">
        <v>196</v>
      </c>
      <c r="C105" s="225" t="s">
        <v>193</v>
      </c>
      <c r="D105" s="225" t="s">
        <v>339</v>
      </c>
      <c r="E105" s="227" t="s">
        <v>195</v>
      </c>
      <c r="F105" s="228">
        <v>0.75819999999999999</v>
      </c>
      <c r="G105" s="229">
        <v>21.71</v>
      </c>
      <c r="H105" s="229">
        <v>16.46</v>
      </c>
    </row>
    <row r="106" spans="1:8" ht="26.4" x14ac:dyDescent="0.3">
      <c r="A106" s="225" t="s">
        <v>340</v>
      </c>
      <c r="B106" s="226" t="s">
        <v>409</v>
      </c>
      <c r="C106" s="225" t="s">
        <v>193</v>
      </c>
      <c r="D106" s="225" t="s">
        <v>410</v>
      </c>
      <c r="E106" s="227" t="s">
        <v>342</v>
      </c>
      <c r="F106" s="228">
        <v>1</v>
      </c>
      <c r="G106" s="229">
        <v>924</v>
      </c>
      <c r="H106" s="229">
        <v>924</v>
      </c>
    </row>
    <row r="107" spans="1:8" ht="26.4" x14ac:dyDescent="0.3">
      <c r="A107" s="225" t="s">
        <v>340</v>
      </c>
      <c r="B107" s="226" t="s">
        <v>411</v>
      </c>
      <c r="C107" s="225" t="s">
        <v>193</v>
      </c>
      <c r="D107" s="225" t="s">
        <v>412</v>
      </c>
      <c r="E107" s="227" t="s">
        <v>274</v>
      </c>
      <c r="F107" s="228">
        <v>4</v>
      </c>
      <c r="G107" s="229">
        <v>8.59</v>
      </c>
      <c r="H107" s="229">
        <v>34.36</v>
      </c>
    </row>
    <row r="108" spans="1:8" ht="26.4" x14ac:dyDescent="0.3">
      <c r="A108" s="230"/>
      <c r="B108" s="230"/>
      <c r="C108" s="230"/>
      <c r="D108" s="230"/>
      <c r="E108" s="230" t="s">
        <v>346</v>
      </c>
      <c r="F108" s="231">
        <v>0</v>
      </c>
      <c r="G108" s="230" t="s">
        <v>347</v>
      </c>
      <c r="H108" s="231">
        <v>15.78</v>
      </c>
    </row>
    <row r="109" spans="1:8" x14ac:dyDescent="0.3">
      <c r="A109" s="230"/>
      <c r="B109" s="230"/>
      <c r="C109" s="230"/>
      <c r="D109" s="230"/>
      <c r="E109" s="230"/>
      <c r="F109" s="410" t="s">
        <v>348</v>
      </c>
      <c r="G109" s="410"/>
      <c r="H109" s="231">
        <v>1195.78</v>
      </c>
    </row>
    <row r="110" spans="1:8" ht="27" thickBot="1" x14ac:dyDescent="0.35">
      <c r="A110" s="232"/>
      <c r="B110" s="232"/>
      <c r="C110" s="232"/>
      <c r="D110" s="232"/>
      <c r="E110" s="232" t="s">
        <v>349</v>
      </c>
      <c r="F110" s="233" t="s">
        <v>350</v>
      </c>
      <c r="G110" s="232" t="s">
        <v>351</v>
      </c>
      <c r="H110" s="234">
        <v>1195.78</v>
      </c>
    </row>
    <row r="111" spans="1:8" ht="15" thickTop="1" x14ac:dyDescent="0.3">
      <c r="A111" s="235"/>
      <c r="B111" s="235"/>
      <c r="C111" s="235"/>
      <c r="D111" s="235"/>
      <c r="E111" s="235"/>
      <c r="F111" s="235"/>
      <c r="G111" s="235"/>
      <c r="H111" s="235"/>
    </row>
    <row r="112" spans="1:8" ht="27.6" x14ac:dyDescent="0.3">
      <c r="A112" s="217" t="s">
        <v>413</v>
      </c>
      <c r="B112" s="218" t="s">
        <v>188</v>
      </c>
      <c r="C112" s="217" t="s">
        <v>228</v>
      </c>
      <c r="D112" s="217" t="s">
        <v>189</v>
      </c>
      <c r="E112" s="219" t="s">
        <v>229</v>
      </c>
      <c r="F112" s="218" t="s">
        <v>230</v>
      </c>
      <c r="G112" s="218" t="s">
        <v>231</v>
      </c>
      <c r="H112" s="218" t="s">
        <v>115</v>
      </c>
    </row>
    <row r="113" spans="1:8" ht="39.6" x14ac:dyDescent="0.3">
      <c r="A113" s="220" t="s">
        <v>334</v>
      </c>
      <c r="B113" s="221" t="s">
        <v>414</v>
      </c>
      <c r="C113" s="220" t="s">
        <v>354</v>
      </c>
      <c r="D113" s="220" t="s">
        <v>276</v>
      </c>
      <c r="E113" s="222" t="s">
        <v>176</v>
      </c>
      <c r="F113" s="223">
        <v>1</v>
      </c>
      <c r="G113" s="224">
        <v>420.2</v>
      </c>
      <c r="H113" s="224">
        <v>420.2</v>
      </c>
    </row>
    <row r="114" spans="1:8" ht="39.6" x14ac:dyDescent="0.3">
      <c r="A114" s="225" t="s">
        <v>336</v>
      </c>
      <c r="B114" s="226" t="s">
        <v>415</v>
      </c>
      <c r="C114" s="225" t="s">
        <v>193</v>
      </c>
      <c r="D114" s="225" t="s">
        <v>416</v>
      </c>
      <c r="E114" s="227" t="s">
        <v>197</v>
      </c>
      <c r="F114" s="228">
        <v>2.3699999999999999E-2</v>
      </c>
      <c r="G114" s="229">
        <v>980.34</v>
      </c>
      <c r="H114" s="229">
        <v>23.23</v>
      </c>
    </row>
    <row r="115" spans="1:8" x14ac:dyDescent="0.3">
      <c r="A115" s="225" t="s">
        <v>336</v>
      </c>
      <c r="B115" s="226" t="s">
        <v>196</v>
      </c>
      <c r="C115" s="225" t="s">
        <v>193</v>
      </c>
      <c r="D115" s="225" t="s">
        <v>339</v>
      </c>
      <c r="E115" s="227" t="s">
        <v>195</v>
      </c>
      <c r="F115" s="228">
        <v>0.64129999999999998</v>
      </c>
      <c r="G115" s="229">
        <v>21.71</v>
      </c>
      <c r="H115" s="229">
        <v>13.92</v>
      </c>
    </row>
    <row r="116" spans="1:8" ht="26.4" x14ac:dyDescent="0.3">
      <c r="A116" s="225" t="s">
        <v>336</v>
      </c>
      <c r="B116" s="226" t="s">
        <v>407</v>
      </c>
      <c r="C116" s="225" t="s">
        <v>193</v>
      </c>
      <c r="D116" s="225" t="s">
        <v>408</v>
      </c>
      <c r="E116" s="227" t="s">
        <v>195</v>
      </c>
      <c r="F116" s="228">
        <v>0.21379999999999999</v>
      </c>
      <c r="G116" s="229">
        <v>22.39</v>
      </c>
      <c r="H116" s="229">
        <v>4.78</v>
      </c>
    </row>
    <row r="117" spans="1:8" ht="26.4" x14ac:dyDescent="0.3">
      <c r="A117" s="225" t="s">
        <v>340</v>
      </c>
      <c r="B117" s="226" t="s">
        <v>417</v>
      </c>
      <c r="C117" s="225" t="s">
        <v>193</v>
      </c>
      <c r="D117" s="225" t="s">
        <v>418</v>
      </c>
      <c r="E117" s="227" t="s">
        <v>198</v>
      </c>
      <c r="F117" s="228">
        <v>3.3</v>
      </c>
      <c r="G117" s="229">
        <v>114.63</v>
      </c>
      <c r="H117" s="229">
        <v>378.27</v>
      </c>
    </row>
    <row r="118" spans="1:8" ht="26.4" x14ac:dyDescent="0.3">
      <c r="A118" s="230"/>
      <c r="B118" s="230"/>
      <c r="C118" s="230"/>
      <c r="D118" s="230"/>
      <c r="E118" s="230" t="s">
        <v>346</v>
      </c>
      <c r="F118" s="231">
        <v>0</v>
      </c>
      <c r="G118" s="230" t="s">
        <v>347</v>
      </c>
      <c r="H118" s="231">
        <v>15.58</v>
      </c>
    </row>
    <row r="119" spans="1:8" x14ac:dyDescent="0.3">
      <c r="A119" s="230"/>
      <c r="B119" s="230"/>
      <c r="C119" s="230"/>
      <c r="D119" s="230"/>
      <c r="E119" s="230"/>
      <c r="F119" s="410" t="s">
        <v>348</v>
      </c>
      <c r="G119" s="410"/>
      <c r="H119" s="231">
        <v>512.47</v>
      </c>
    </row>
    <row r="120" spans="1:8" ht="26.4" x14ac:dyDescent="0.3">
      <c r="A120" s="232"/>
      <c r="B120" s="232"/>
      <c r="C120" s="232"/>
      <c r="D120" s="232"/>
      <c r="E120" s="232" t="s">
        <v>349</v>
      </c>
      <c r="F120" s="233" t="s">
        <v>350</v>
      </c>
      <c r="G120" s="232" t="s">
        <v>351</v>
      </c>
      <c r="H120" s="234">
        <v>512.47</v>
      </c>
    </row>
  </sheetData>
  <mergeCells count="19">
    <mergeCell ref="A1:H2"/>
    <mergeCell ref="F3:H4"/>
    <mergeCell ref="F51:G51"/>
    <mergeCell ref="F38:G38"/>
    <mergeCell ref="F25:G25"/>
    <mergeCell ref="F16:G16"/>
    <mergeCell ref="A3:C3"/>
    <mergeCell ref="D4:E4"/>
    <mergeCell ref="G54:H54"/>
    <mergeCell ref="B59:C59"/>
    <mergeCell ref="A54:F54"/>
    <mergeCell ref="A60:B60"/>
    <mergeCell ref="F119:G119"/>
    <mergeCell ref="F109:G109"/>
    <mergeCell ref="F99:G99"/>
    <mergeCell ref="F91:G91"/>
    <mergeCell ref="F83:G83"/>
    <mergeCell ref="F71:G71"/>
    <mergeCell ref="F60:G60"/>
  </mergeCells>
  <pageMargins left="0.51181102362204722" right="0.51181102362204722" top="1.7716535433070868" bottom="1.1811023622047245" header="0.51181102362204722" footer="0.51181102362204722"/>
  <pageSetup paperSize="9" scale="58" fitToHeight="0" orientation="portrait" r:id="rId1"/>
  <headerFooter>
    <oddHeader>&amp;C&amp;G</oddHeader>
  </headerFooter>
  <rowBreaks count="2" manualBreakCount="2">
    <brk id="39" max="16383" man="1"/>
    <brk id="84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246"/>
  <sheetViews>
    <sheetView view="pageBreakPreview" topLeftCell="A225" zoomScale="120" zoomScaleNormal="100" zoomScaleSheetLayoutView="120" workbookViewId="0">
      <selection activeCell="I110" sqref="I110"/>
    </sheetView>
  </sheetViews>
  <sheetFormatPr defaultRowHeight="14.4" x14ac:dyDescent="0.3"/>
  <cols>
    <col min="1" max="1" width="9.109375" style="15"/>
    <col min="2" max="2" width="32.44140625" bestFit="1" customWidth="1"/>
    <col min="3" max="3" width="8.6640625" customWidth="1"/>
    <col min="4" max="4" width="17.44140625" customWidth="1"/>
    <col min="5" max="5" width="14.44140625" bestFit="1" customWidth="1"/>
    <col min="6" max="6" width="14.44140625" customWidth="1"/>
    <col min="7" max="7" width="14.6640625" customWidth="1"/>
    <col min="8" max="8" width="16.44140625" bestFit="1" customWidth="1"/>
  </cols>
  <sheetData>
    <row r="1" spans="1:8" x14ac:dyDescent="0.3">
      <c r="A1" s="381" t="s">
        <v>177</v>
      </c>
      <c r="B1" s="381"/>
      <c r="C1" s="381"/>
      <c r="D1" s="381"/>
      <c r="E1" s="381"/>
      <c r="F1" s="381"/>
      <c r="G1" s="381"/>
    </row>
    <row r="2" spans="1:8" ht="15" customHeight="1" x14ac:dyDescent="0.3">
      <c r="A2" s="416" t="str">
        <f>'RESUMO SD '!A2:B2</f>
        <v>PAVIMENTAÇÃO DE VIAS PÚBLICAS NO MUNÍCIO DE JOSÉ DE FREITAS - PI</v>
      </c>
      <c r="B2" s="416"/>
      <c r="C2" s="416"/>
      <c r="D2" s="416"/>
      <c r="E2" s="416"/>
      <c r="F2" s="416"/>
      <c r="G2" s="416"/>
    </row>
    <row r="3" spans="1:8" ht="15.75" customHeight="1" x14ac:dyDescent="0.3">
      <c r="A3" s="381" t="s">
        <v>24</v>
      </c>
      <c r="B3" s="381" t="s">
        <v>178</v>
      </c>
      <c r="C3" s="424" t="s">
        <v>184</v>
      </c>
      <c r="D3" s="425" t="s">
        <v>213</v>
      </c>
      <c r="E3" s="417" t="s">
        <v>179</v>
      </c>
      <c r="F3" s="417"/>
      <c r="G3" s="417"/>
    </row>
    <row r="4" spans="1:8" ht="23.25" customHeight="1" x14ac:dyDescent="0.3">
      <c r="A4" s="381"/>
      <c r="B4" s="381"/>
      <c r="C4" s="424"/>
      <c r="D4" s="425"/>
      <c r="E4" s="114">
        <v>30</v>
      </c>
      <c r="F4" s="114">
        <v>60</v>
      </c>
      <c r="G4" s="114">
        <v>90</v>
      </c>
    </row>
    <row r="5" spans="1:8" x14ac:dyDescent="0.3">
      <c r="A5" s="179" t="s">
        <v>29</v>
      </c>
      <c r="B5" s="393" t="str">
        <f>'RESUMO SD '!B9:D9</f>
        <v>PAVIMENTAÇÃO DE VIAS EM PARALELEPÍPEDO</v>
      </c>
      <c r="C5" s="393"/>
      <c r="D5" s="393"/>
      <c r="E5" s="393"/>
      <c r="F5" s="393"/>
      <c r="G5" s="393"/>
    </row>
    <row r="6" spans="1:8" x14ac:dyDescent="0.3">
      <c r="A6" s="426" t="s">
        <v>31</v>
      </c>
      <c r="B6" s="427" t="s">
        <v>30</v>
      </c>
      <c r="C6" s="428"/>
      <c r="D6" s="429"/>
      <c r="E6" s="109"/>
      <c r="F6" s="109"/>
      <c r="G6" s="109"/>
    </row>
    <row r="7" spans="1:8" x14ac:dyDescent="0.3">
      <c r="A7" s="426"/>
      <c r="B7" s="427"/>
      <c r="C7" s="428"/>
      <c r="D7" s="429"/>
      <c r="E7" s="110"/>
      <c r="F7" s="110"/>
      <c r="G7" s="110"/>
    </row>
    <row r="8" spans="1:8" x14ac:dyDescent="0.3">
      <c r="A8" s="418" t="s">
        <v>180</v>
      </c>
      <c r="B8" s="419" t="s">
        <v>36</v>
      </c>
      <c r="C8" s="420">
        <f>D8/$D$236</f>
        <v>1.8622867597073505E-3</v>
      </c>
      <c r="D8" s="421">
        <f>'ORÇAMENTO SD'!H9</f>
        <v>3398.22</v>
      </c>
      <c r="E8" s="111">
        <f>$D$8*E9</f>
        <v>3398.22</v>
      </c>
      <c r="F8" s="111"/>
      <c r="G8" s="112"/>
    </row>
    <row r="9" spans="1:8" x14ac:dyDescent="0.3">
      <c r="A9" s="418"/>
      <c r="B9" s="419"/>
      <c r="C9" s="420"/>
      <c r="D9" s="421"/>
      <c r="E9" s="113">
        <v>1</v>
      </c>
      <c r="F9" s="113"/>
      <c r="G9" s="113"/>
    </row>
    <row r="10" spans="1:8" x14ac:dyDescent="0.3">
      <c r="A10" s="418" t="s">
        <v>181</v>
      </c>
      <c r="B10" s="419" t="s">
        <v>37</v>
      </c>
      <c r="C10" s="420">
        <f>D10/$D$236</f>
        <v>1.4775894189546607E-2</v>
      </c>
      <c r="D10" s="421">
        <f>'ORÇAMENTO SD'!H10</f>
        <v>26962.41</v>
      </c>
      <c r="E10" s="111">
        <f>$D$10*E11</f>
        <v>8989.2674939999997</v>
      </c>
      <c r="F10" s="111">
        <f>$D$10*F11</f>
        <v>8986.5712530000001</v>
      </c>
      <c r="G10" s="111">
        <f>$D$10*G11</f>
        <v>8986.5712530000001</v>
      </c>
      <c r="H10" s="257">
        <f>SUM(E10:G10)+E8</f>
        <v>30360.630000000005</v>
      </c>
    </row>
    <row r="11" spans="1:8" x14ac:dyDescent="0.3">
      <c r="A11" s="418"/>
      <c r="B11" s="419"/>
      <c r="C11" s="420"/>
      <c r="D11" s="421"/>
      <c r="E11" s="113">
        <v>0.33339999999999997</v>
      </c>
      <c r="F11" s="113">
        <v>0.33329999999999999</v>
      </c>
      <c r="G11" s="113">
        <v>0.33329999999999999</v>
      </c>
      <c r="H11" s="169">
        <f>H10-'RESUMO SD '!E6</f>
        <v>0</v>
      </c>
    </row>
    <row r="12" spans="1:8" x14ac:dyDescent="0.3">
      <c r="A12" s="21"/>
      <c r="B12" s="28"/>
      <c r="C12" s="181"/>
      <c r="D12" s="180"/>
      <c r="E12" s="113"/>
      <c r="F12" s="113"/>
      <c r="G12" s="113"/>
    </row>
    <row r="13" spans="1:8" x14ac:dyDescent="0.3">
      <c r="A13" s="393" t="str">
        <f>'ORÇAMENTO SD'!A12:G12</f>
        <v>RUA ANTONIO ANANIAS SAMPAIO</v>
      </c>
      <c r="B13" s="393"/>
      <c r="C13" s="393"/>
      <c r="D13" s="393"/>
      <c r="E13" s="393"/>
      <c r="F13" s="393"/>
      <c r="G13" s="393"/>
    </row>
    <row r="14" spans="1:8" x14ac:dyDescent="0.3">
      <c r="A14" s="418" t="s">
        <v>32</v>
      </c>
      <c r="B14" s="419" t="str">
        <f>'ORÇAMENTO SD'!B13:G13</f>
        <v>TERRAPLENAGEM</v>
      </c>
      <c r="C14" s="420">
        <f>D14/$D$236</f>
        <v>3.8234141006545318E-4</v>
      </c>
      <c r="D14" s="421">
        <f>'ORÇAMENTO SD'!H13</f>
        <v>697.68</v>
      </c>
      <c r="E14" s="112">
        <f>$D$14*E15</f>
        <v>697.68</v>
      </c>
      <c r="F14" s="112"/>
      <c r="G14" s="112"/>
      <c r="H14" s="186">
        <f>E14+E17+E20+E23+E26-'RESUMO SD '!E10</f>
        <v>0</v>
      </c>
    </row>
    <row r="15" spans="1:8" x14ac:dyDescent="0.3">
      <c r="A15" s="418"/>
      <c r="B15" s="419"/>
      <c r="C15" s="420"/>
      <c r="D15" s="421"/>
      <c r="E15" s="113">
        <v>1</v>
      </c>
      <c r="F15" s="113"/>
      <c r="G15" s="113"/>
    </row>
    <row r="16" spans="1:8" x14ac:dyDescent="0.3">
      <c r="A16" s="164"/>
      <c r="B16" s="164"/>
      <c r="C16" s="164"/>
      <c r="D16" s="164"/>
      <c r="E16" s="164"/>
      <c r="F16" s="164"/>
      <c r="G16" s="164"/>
    </row>
    <row r="17" spans="1:8" x14ac:dyDescent="0.3">
      <c r="A17" s="422" t="s">
        <v>167</v>
      </c>
      <c r="B17" s="423" t="str">
        <f>'ORÇAMENTO SD'!B16:G16</f>
        <v>PAVIMENTAÇÃO</v>
      </c>
      <c r="C17" s="420">
        <f>D17/$D$236</f>
        <v>1.6112001175038922E-2</v>
      </c>
      <c r="D17" s="421">
        <f>'ORÇAMENTO SD'!H16</f>
        <v>29400.48</v>
      </c>
      <c r="E17" s="112">
        <f>$D$17*E18</f>
        <v>29400.48</v>
      </c>
      <c r="F17" s="112"/>
      <c r="G17" s="112"/>
    </row>
    <row r="18" spans="1:8" x14ac:dyDescent="0.3">
      <c r="A18" s="422"/>
      <c r="B18" s="423"/>
      <c r="C18" s="420"/>
      <c r="D18" s="421"/>
      <c r="E18" s="113">
        <v>1</v>
      </c>
      <c r="F18" s="113"/>
      <c r="G18" s="113"/>
    </row>
    <row r="19" spans="1:8" x14ac:dyDescent="0.3">
      <c r="A19" s="165"/>
      <c r="B19" s="165"/>
      <c r="C19" s="165"/>
      <c r="D19" s="165"/>
      <c r="E19" s="165"/>
      <c r="F19" s="165"/>
      <c r="G19" s="165"/>
    </row>
    <row r="20" spans="1:8" x14ac:dyDescent="0.3">
      <c r="A20" s="418" t="s">
        <v>170</v>
      </c>
      <c r="B20" s="419" t="str">
        <f>'ORÇAMENTO SD'!B19:G19</f>
        <v>SERVIÇOS COMPLEMENTARES</v>
      </c>
      <c r="C20" s="420">
        <f>D20/$D$236</f>
        <v>4.6908503527130739E-3</v>
      </c>
      <c r="D20" s="421">
        <f>'ORÇAMENTO SD'!H19</f>
        <v>8559.66</v>
      </c>
      <c r="E20" s="112">
        <f>$D$20*E21</f>
        <v>8559.66</v>
      </c>
      <c r="F20" s="112"/>
      <c r="G20" s="112"/>
    </row>
    <row r="21" spans="1:8" x14ac:dyDescent="0.3">
      <c r="A21" s="418"/>
      <c r="B21" s="419"/>
      <c r="C21" s="420"/>
      <c r="D21" s="421"/>
      <c r="E21" s="113">
        <v>1</v>
      </c>
      <c r="F21" s="113"/>
      <c r="G21" s="113"/>
    </row>
    <row r="22" spans="1:8" x14ac:dyDescent="0.3">
      <c r="A22" s="165"/>
      <c r="B22" s="165"/>
      <c r="C22" s="165"/>
      <c r="D22" s="165"/>
      <c r="E22" s="165"/>
      <c r="F22" s="165"/>
      <c r="G22" s="165"/>
    </row>
    <row r="23" spans="1:8" x14ac:dyDescent="0.3">
      <c r="A23" s="418" t="s">
        <v>217</v>
      </c>
      <c r="B23" s="419" t="str">
        <f>'ORÇAMENTO SD'!B23:G23</f>
        <v xml:space="preserve">TRANSPORTE </v>
      </c>
      <c r="C23" s="420">
        <f>D23/$D$236</f>
        <v>2.0276951242871803E-3</v>
      </c>
      <c r="D23" s="421">
        <f>'ORÇAMENTO SD'!H23</f>
        <v>3700.0499999999997</v>
      </c>
      <c r="E23" s="112">
        <f>$D$23*E24</f>
        <v>3700.0499999999997</v>
      </c>
      <c r="F23" s="112"/>
      <c r="G23" s="112"/>
    </row>
    <row r="24" spans="1:8" x14ac:dyDescent="0.3">
      <c r="A24" s="418"/>
      <c r="B24" s="419"/>
      <c r="C24" s="420"/>
      <c r="D24" s="421"/>
      <c r="E24" s="113">
        <v>1</v>
      </c>
      <c r="F24" s="113"/>
      <c r="G24" s="113"/>
    </row>
    <row r="25" spans="1:8" x14ac:dyDescent="0.3">
      <c r="A25" s="165"/>
      <c r="B25" s="165"/>
      <c r="C25" s="165"/>
      <c r="D25" s="165"/>
      <c r="E25" s="165"/>
      <c r="F25" s="165"/>
      <c r="G25" s="165"/>
    </row>
    <row r="26" spans="1:8" x14ac:dyDescent="0.3">
      <c r="A26" s="418" t="s">
        <v>254</v>
      </c>
      <c r="B26" s="419" t="s">
        <v>255</v>
      </c>
      <c r="C26" s="420">
        <f>D26/$D$236</f>
        <v>7.1240735414916179E-4</v>
      </c>
      <c r="D26" s="421">
        <f>'ORÇAMENTO SD'!H27</f>
        <v>1299.97</v>
      </c>
      <c r="E26" s="112">
        <f>$D$26*E27</f>
        <v>1299.97</v>
      </c>
      <c r="F26" s="112"/>
      <c r="G26" s="112"/>
    </row>
    <row r="27" spans="1:8" x14ac:dyDescent="0.3">
      <c r="A27" s="418"/>
      <c r="B27" s="419"/>
      <c r="C27" s="420"/>
      <c r="D27" s="421"/>
      <c r="E27" s="113">
        <v>1</v>
      </c>
      <c r="F27" s="113"/>
      <c r="G27" s="113"/>
    </row>
    <row r="28" spans="1:8" x14ac:dyDescent="0.3">
      <c r="A28" s="21"/>
      <c r="B28" s="28"/>
      <c r="C28" s="181"/>
      <c r="D28" s="180"/>
      <c r="E28" s="113"/>
      <c r="F28" s="113"/>
      <c r="G28" s="113"/>
    </row>
    <row r="29" spans="1:8" x14ac:dyDescent="0.3">
      <c r="A29" s="393" t="str">
        <f>'ORÇAMENTO SD'!A31:G31</f>
        <v>RUA PROJETADA 257</v>
      </c>
      <c r="B29" s="393"/>
      <c r="C29" s="393"/>
      <c r="D29" s="393"/>
      <c r="E29" s="393"/>
      <c r="F29" s="393"/>
      <c r="G29" s="393"/>
    </row>
    <row r="30" spans="1:8" x14ac:dyDescent="0.3">
      <c r="A30" s="418" t="s">
        <v>32</v>
      </c>
      <c r="B30" s="419" t="str">
        <f>B14</f>
        <v>TERRAPLENAGEM</v>
      </c>
      <c r="C30" s="420">
        <f>D30/$D$236</f>
        <v>7.1220458737682461E-4</v>
      </c>
      <c r="D30" s="421">
        <f>'ORÇAMENTO SD'!H32</f>
        <v>1299.5999999999999</v>
      </c>
      <c r="E30" s="112">
        <f>$D$30*E31</f>
        <v>1299.5999999999999</v>
      </c>
      <c r="F30" s="112">
        <f>$D$30*F31</f>
        <v>0</v>
      </c>
      <c r="G30" s="112"/>
      <c r="H30" s="186">
        <f>E30+E33+E36+E39+E42-'RESUMO SD '!E11</f>
        <v>0</v>
      </c>
    </row>
    <row r="31" spans="1:8" x14ac:dyDescent="0.3">
      <c r="A31" s="418"/>
      <c r="B31" s="419"/>
      <c r="C31" s="420"/>
      <c r="D31" s="421"/>
      <c r="E31" s="113">
        <v>1</v>
      </c>
      <c r="F31" s="113"/>
      <c r="G31" s="113"/>
    </row>
    <row r="32" spans="1:8" x14ac:dyDescent="0.3">
      <c r="A32" s="164"/>
      <c r="B32" s="164"/>
      <c r="C32" s="164"/>
      <c r="D32" s="164"/>
      <c r="E32" s="164"/>
      <c r="F32" s="164"/>
      <c r="G32" s="164"/>
    </row>
    <row r="33" spans="1:8" x14ac:dyDescent="0.3">
      <c r="A33" s="422" t="s">
        <v>167</v>
      </c>
      <c r="B33" s="423" t="str">
        <f>B17</f>
        <v>PAVIMENTAÇÃO</v>
      </c>
      <c r="C33" s="420">
        <f>D33/$D$236</f>
        <v>3.0012551208405836E-2</v>
      </c>
      <c r="D33" s="421">
        <f>'ORÇAMENTO SD'!H35</f>
        <v>54765.599999999999</v>
      </c>
      <c r="E33" s="112">
        <f>$D$33*E34</f>
        <v>54765.599999999999</v>
      </c>
      <c r="F33" s="112">
        <f>$D$33*F34</f>
        <v>0</v>
      </c>
      <c r="G33" s="112"/>
    </row>
    <row r="34" spans="1:8" x14ac:dyDescent="0.3">
      <c r="A34" s="422"/>
      <c r="B34" s="423"/>
      <c r="C34" s="420"/>
      <c r="D34" s="421"/>
      <c r="E34" s="113">
        <v>1</v>
      </c>
      <c r="F34" s="113"/>
      <c r="G34" s="113"/>
    </row>
    <row r="35" spans="1:8" x14ac:dyDescent="0.3">
      <c r="A35" s="165"/>
      <c r="B35" s="165"/>
      <c r="C35" s="165"/>
      <c r="D35" s="165"/>
      <c r="E35" s="165"/>
      <c r="F35" s="165"/>
      <c r="G35" s="165"/>
    </row>
    <row r="36" spans="1:8" x14ac:dyDescent="0.3">
      <c r="A36" s="418" t="s">
        <v>170</v>
      </c>
      <c r="B36" s="419" t="str">
        <f>B20</f>
        <v>SERVIÇOS COMPLEMENTARES</v>
      </c>
      <c r="C36" s="420">
        <f>D36/$D$236</f>
        <v>8.4510012203984006E-3</v>
      </c>
      <c r="D36" s="421">
        <f>'ORÇAMENTO SD'!H38</f>
        <v>15421.02</v>
      </c>
      <c r="E36" s="112">
        <f>$D$36*E37</f>
        <v>15421.02</v>
      </c>
      <c r="F36" s="112">
        <f>$D$36*F37</f>
        <v>0</v>
      </c>
      <c r="G36" s="112"/>
    </row>
    <row r="37" spans="1:8" x14ac:dyDescent="0.3">
      <c r="A37" s="418"/>
      <c r="B37" s="419"/>
      <c r="C37" s="420"/>
      <c r="D37" s="421"/>
      <c r="E37" s="113">
        <v>1</v>
      </c>
      <c r="F37" s="113"/>
      <c r="G37" s="113"/>
    </row>
    <row r="38" spans="1:8" x14ac:dyDescent="0.3">
      <c r="A38" s="165"/>
      <c r="B38" s="165"/>
      <c r="C38" s="165"/>
      <c r="D38" s="165"/>
      <c r="E38" s="165"/>
      <c r="F38" s="165"/>
      <c r="G38" s="165"/>
    </row>
    <row r="39" spans="1:8" x14ac:dyDescent="0.3">
      <c r="A39" s="418" t="s">
        <v>217</v>
      </c>
      <c r="B39" s="419" t="str">
        <f>B23</f>
        <v xml:space="preserve">TRANSPORTE </v>
      </c>
      <c r="C39" s="420">
        <f>D39/$D$236</f>
        <v>3.7770791530839639E-3</v>
      </c>
      <c r="D39" s="421">
        <f>'ORÇAMENTO SD'!H42</f>
        <v>6892.25</v>
      </c>
      <c r="E39" s="112">
        <f>$D$39*E40</f>
        <v>6892.25</v>
      </c>
      <c r="F39" s="112">
        <f>$D$39*F40</f>
        <v>0</v>
      </c>
      <c r="G39" s="112"/>
    </row>
    <row r="40" spans="1:8" x14ac:dyDescent="0.3">
      <c r="A40" s="418"/>
      <c r="B40" s="419"/>
      <c r="C40" s="420"/>
      <c r="D40" s="421"/>
      <c r="E40" s="113">
        <v>1</v>
      </c>
      <c r="F40" s="113"/>
      <c r="G40" s="113"/>
    </row>
    <row r="41" spans="1:8" x14ac:dyDescent="0.3">
      <c r="A41" s="165"/>
      <c r="B41" s="165"/>
      <c r="C41" s="165"/>
      <c r="D41" s="165"/>
      <c r="E41" s="165"/>
      <c r="F41" s="165"/>
      <c r="G41" s="165"/>
    </row>
    <row r="42" spans="1:8" x14ac:dyDescent="0.3">
      <c r="A42" s="418" t="s">
        <v>254</v>
      </c>
      <c r="B42" s="419" t="str">
        <f>B26</f>
        <v>SINALIZAÇÃO</v>
      </c>
      <c r="C42" s="420">
        <f>D42/$D$236</f>
        <v>7.1240735414916179E-4</v>
      </c>
      <c r="D42" s="421">
        <f>'ORÇAMENTO SD'!H46</f>
        <v>1299.97</v>
      </c>
      <c r="E42" s="112">
        <f>$D$42*E43</f>
        <v>1299.97</v>
      </c>
      <c r="F42" s="112">
        <f>$D$42*F43</f>
        <v>0</v>
      </c>
      <c r="G42" s="112"/>
    </row>
    <row r="43" spans="1:8" x14ac:dyDescent="0.3">
      <c r="A43" s="418"/>
      <c r="B43" s="419"/>
      <c r="C43" s="420"/>
      <c r="D43" s="421"/>
      <c r="E43" s="113">
        <v>1</v>
      </c>
      <c r="F43" s="113"/>
      <c r="G43" s="113"/>
    </row>
    <row r="44" spans="1:8" x14ac:dyDescent="0.3">
      <c r="A44" s="21"/>
      <c r="B44" s="28"/>
      <c r="C44" s="181"/>
      <c r="D44" s="180"/>
      <c r="E44" s="113"/>
      <c r="F44" s="113"/>
      <c r="G44" s="113"/>
    </row>
    <row r="45" spans="1:8" x14ac:dyDescent="0.3">
      <c r="A45" s="393" t="str">
        <f>'ORÇAMENTO SD'!A50:G50</f>
        <v>RUA DEUSDETH ROCHA</v>
      </c>
      <c r="B45" s="393"/>
      <c r="C45" s="393"/>
      <c r="D45" s="393"/>
      <c r="E45" s="393"/>
      <c r="F45" s="393"/>
      <c r="G45" s="393"/>
    </row>
    <row r="46" spans="1:8" x14ac:dyDescent="0.3">
      <c r="A46" s="418" t="s">
        <v>32</v>
      </c>
      <c r="B46" s="419" t="str">
        <f>B14</f>
        <v>TERRAPLENAGEM</v>
      </c>
      <c r="C46" s="420">
        <f>D46/$D$236</f>
        <v>4.8729787557361684E-4</v>
      </c>
      <c r="D46" s="421">
        <f>'ORÇAMENTO SD'!H51</f>
        <v>889.2</v>
      </c>
      <c r="E46" s="112">
        <f>$D$46*E47</f>
        <v>889.2</v>
      </c>
      <c r="F46" s="112">
        <f>$D$46*F47</f>
        <v>0</v>
      </c>
      <c r="G46" s="112">
        <f>$D$46*G47</f>
        <v>0</v>
      </c>
      <c r="H46" s="186">
        <f>E46+E49+E52+E55+E58-'RESUMO SD '!E12</f>
        <v>0</v>
      </c>
    </row>
    <row r="47" spans="1:8" x14ac:dyDescent="0.3">
      <c r="A47" s="418"/>
      <c r="B47" s="419"/>
      <c r="C47" s="420"/>
      <c r="D47" s="421"/>
      <c r="E47" s="113">
        <v>1</v>
      </c>
      <c r="F47" s="113"/>
      <c r="G47" s="113"/>
    </row>
    <row r="48" spans="1:8" x14ac:dyDescent="0.3">
      <c r="A48" s="164"/>
      <c r="B48" s="164"/>
      <c r="C48" s="164"/>
      <c r="D48" s="164"/>
      <c r="E48" s="164"/>
      <c r="F48" s="164"/>
      <c r="G48" s="164"/>
    </row>
    <row r="49" spans="1:8" x14ac:dyDescent="0.3">
      <c r="A49" s="422" t="s">
        <v>167</v>
      </c>
      <c r="B49" s="423" t="str">
        <f>B17</f>
        <v>PAVIMENTAÇÃO</v>
      </c>
      <c r="C49" s="420">
        <f>D49/$D$236</f>
        <v>2.0534903458382939E-2</v>
      </c>
      <c r="D49" s="421">
        <f>'ORÇAMENTO SD'!H54</f>
        <v>37471.199999999997</v>
      </c>
      <c r="E49" s="112">
        <f>$D$49*E50</f>
        <v>37471.199999999997</v>
      </c>
      <c r="F49" s="112">
        <f>$D$49*F50</f>
        <v>0</v>
      </c>
      <c r="G49" s="112">
        <f>$D$49*G50</f>
        <v>0</v>
      </c>
    </row>
    <row r="50" spans="1:8" x14ac:dyDescent="0.3">
      <c r="A50" s="422"/>
      <c r="B50" s="423"/>
      <c r="C50" s="420"/>
      <c r="D50" s="421"/>
      <c r="E50" s="113">
        <v>1</v>
      </c>
      <c r="F50" s="113"/>
      <c r="G50" s="113"/>
    </row>
    <row r="51" spans="1:8" x14ac:dyDescent="0.3">
      <c r="A51" s="165"/>
      <c r="B51" s="165"/>
      <c r="C51" s="165"/>
      <c r="D51" s="165"/>
      <c r="E51" s="165"/>
      <c r="F51" s="165"/>
      <c r="G51" s="165"/>
    </row>
    <row r="52" spans="1:8" x14ac:dyDescent="0.3">
      <c r="A52" s="418" t="s">
        <v>170</v>
      </c>
      <c r="B52" s="419" t="str">
        <f>B20</f>
        <v>SERVIÇOS COMPLEMENTARES</v>
      </c>
      <c r="C52" s="420">
        <f>D52/$D$236</f>
        <v>5.8872619924311316E-3</v>
      </c>
      <c r="D52" s="421">
        <f>'ORÇAMENTO SD'!H57</f>
        <v>10742.82</v>
      </c>
      <c r="E52" s="112">
        <f>$D$52*E53</f>
        <v>10742.82</v>
      </c>
      <c r="F52" s="112">
        <f>$D$52*F53</f>
        <v>0</v>
      </c>
      <c r="G52" s="112">
        <f>$D$52*G53</f>
        <v>0</v>
      </c>
    </row>
    <row r="53" spans="1:8" x14ac:dyDescent="0.3">
      <c r="A53" s="418"/>
      <c r="B53" s="419"/>
      <c r="C53" s="420"/>
      <c r="D53" s="421"/>
      <c r="E53" s="113">
        <v>1</v>
      </c>
      <c r="F53" s="113"/>
      <c r="G53" s="113"/>
    </row>
    <row r="54" spans="1:8" x14ac:dyDescent="0.3">
      <c r="A54" s="165"/>
      <c r="B54" s="165"/>
      <c r="C54" s="165"/>
      <c r="D54" s="165"/>
      <c r="E54" s="165"/>
      <c r="F54" s="165"/>
      <c r="G54" s="165"/>
    </row>
    <row r="55" spans="1:8" x14ac:dyDescent="0.3">
      <c r="A55" s="418" t="s">
        <v>217</v>
      </c>
      <c r="B55" s="419" t="str">
        <f>B23</f>
        <v xml:space="preserve">TRANSPORTE </v>
      </c>
      <c r="C55" s="420">
        <f>D55/$D$236</f>
        <v>2.5843063549019032E-3</v>
      </c>
      <c r="D55" s="421">
        <f>'ORÇAMENTO SD'!H61</f>
        <v>4715.7300000000005</v>
      </c>
      <c r="E55" s="112">
        <f>$D$55*E56</f>
        <v>4715.7300000000005</v>
      </c>
      <c r="F55" s="112">
        <f>$D$55*F56</f>
        <v>0</v>
      </c>
      <c r="G55" s="112">
        <f>$D$55*G56</f>
        <v>0</v>
      </c>
    </row>
    <row r="56" spans="1:8" x14ac:dyDescent="0.3">
      <c r="A56" s="418"/>
      <c r="B56" s="419"/>
      <c r="C56" s="420"/>
      <c r="D56" s="421"/>
      <c r="E56" s="113">
        <v>1</v>
      </c>
      <c r="F56" s="113"/>
      <c r="G56" s="113"/>
    </row>
    <row r="57" spans="1:8" x14ac:dyDescent="0.3">
      <c r="A57" s="165"/>
      <c r="B57" s="165"/>
      <c r="C57" s="165"/>
      <c r="D57" s="165"/>
      <c r="E57" s="165"/>
      <c r="F57" s="165"/>
      <c r="G57" s="165"/>
    </row>
    <row r="58" spans="1:8" x14ac:dyDescent="0.3">
      <c r="A58" s="418" t="s">
        <v>254</v>
      </c>
      <c r="B58" s="419" t="str">
        <f>B26</f>
        <v>SINALIZAÇÃO</v>
      </c>
      <c r="C58" s="420">
        <f>D58/$D$236</f>
        <v>7.1240735414916179E-4</v>
      </c>
      <c r="D58" s="421">
        <f>'ORÇAMENTO SD'!H65</f>
        <v>1299.97</v>
      </c>
      <c r="E58" s="112">
        <f>$D$58*E59</f>
        <v>1299.97</v>
      </c>
      <c r="F58" s="112">
        <f>$D$58*F59</f>
        <v>0</v>
      </c>
      <c r="G58" s="112">
        <f>$D$58*G59</f>
        <v>0</v>
      </c>
    </row>
    <row r="59" spans="1:8" x14ac:dyDescent="0.3">
      <c r="A59" s="418"/>
      <c r="B59" s="419"/>
      <c r="C59" s="420"/>
      <c r="D59" s="421"/>
      <c r="E59" s="113">
        <v>1</v>
      </c>
      <c r="F59" s="113"/>
      <c r="G59" s="113"/>
    </row>
    <row r="60" spans="1:8" x14ac:dyDescent="0.3">
      <c r="A60" s="393" t="str">
        <f>'ORÇAMENTO SD'!A69:G69</f>
        <v xml:space="preserve">RUA FRANCISCO FORTES MARTINS </v>
      </c>
      <c r="B60" s="393"/>
      <c r="C60" s="393"/>
      <c r="D60" s="393"/>
      <c r="E60" s="393"/>
      <c r="F60" s="393"/>
      <c r="G60" s="393"/>
    </row>
    <row r="61" spans="1:8" x14ac:dyDescent="0.3">
      <c r="A61" s="418" t="s">
        <v>32</v>
      </c>
      <c r="B61" s="419" t="str">
        <f>B14</f>
        <v>TERRAPLENAGEM</v>
      </c>
      <c r="C61" s="420">
        <f>D61/$D$236</f>
        <v>3.5985073888513243E-4</v>
      </c>
      <c r="D61" s="421">
        <f>'ORÇAMENTO SD'!H70</f>
        <v>656.64</v>
      </c>
      <c r="E61" s="112">
        <f>$D$61*E62</f>
        <v>656.64</v>
      </c>
      <c r="F61" s="112">
        <f>$D$61*F62</f>
        <v>0</v>
      </c>
      <c r="G61" s="112">
        <f>$D$61*G62</f>
        <v>0</v>
      </c>
      <c r="H61" s="186">
        <f>E61+E64+E67+E70+E73-'RESUMO SD '!E13</f>
        <v>0</v>
      </c>
    </row>
    <row r="62" spans="1:8" x14ac:dyDescent="0.3">
      <c r="A62" s="418"/>
      <c r="B62" s="419"/>
      <c r="C62" s="420"/>
      <c r="D62" s="421"/>
      <c r="E62" s="113">
        <v>1</v>
      </c>
      <c r="F62" s="113"/>
      <c r="G62" s="113"/>
    </row>
    <row r="63" spans="1:8" x14ac:dyDescent="0.3">
      <c r="A63" s="164"/>
      <c r="B63" s="164"/>
      <c r="C63" s="164"/>
      <c r="D63" s="164"/>
      <c r="E63" s="164"/>
      <c r="F63" s="164"/>
      <c r="G63" s="164"/>
    </row>
    <row r="64" spans="1:8" x14ac:dyDescent="0.3">
      <c r="A64" s="422" t="s">
        <v>167</v>
      </c>
      <c r="B64" s="423" t="str">
        <f>B17</f>
        <v>PAVIMENTAÇÃO</v>
      </c>
      <c r="C64" s="420">
        <f>D64/$D$236</f>
        <v>1.5164236400036633E-2</v>
      </c>
      <c r="D64" s="421">
        <f>'ORÇAMENTO SD'!H73</f>
        <v>27671.040000000001</v>
      </c>
      <c r="E64" s="112">
        <f>$D$64*E65</f>
        <v>27671.040000000001</v>
      </c>
      <c r="F64" s="112">
        <f>$D$64*F65</f>
        <v>0</v>
      </c>
      <c r="G64" s="112">
        <f>$D$64*G65</f>
        <v>0</v>
      </c>
    </row>
    <row r="65" spans="1:8" x14ac:dyDescent="0.3">
      <c r="A65" s="422"/>
      <c r="B65" s="423"/>
      <c r="C65" s="420"/>
      <c r="D65" s="421"/>
      <c r="E65" s="113">
        <v>1</v>
      </c>
      <c r="F65" s="113"/>
      <c r="G65" s="113"/>
    </row>
    <row r="66" spans="1:8" x14ac:dyDescent="0.3">
      <c r="A66" s="165"/>
      <c r="B66" s="165"/>
      <c r="C66" s="165"/>
      <c r="D66" s="165"/>
      <c r="E66" s="165"/>
      <c r="F66" s="165"/>
      <c r="G66" s="165"/>
    </row>
    <row r="67" spans="1:8" x14ac:dyDescent="0.3">
      <c r="A67" s="418" t="s">
        <v>170</v>
      </c>
      <c r="B67" s="419" t="str">
        <f>B20</f>
        <v>SERVIÇOS COMPLEMENTARES</v>
      </c>
      <c r="C67" s="420">
        <f>D67/$D$236</f>
        <v>4.434476429916347E-3</v>
      </c>
      <c r="D67" s="421">
        <f>'ORÇAMENTO SD'!H76</f>
        <v>8091.84</v>
      </c>
      <c r="E67" s="112">
        <f>$D$67*E68</f>
        <v>8091.84</v>
      </c>
      <c r="F67" s="112">
        <f>$D$67*F68</f>
        <v>0</v>
      </c>
      <c r="G67" s="112">
        <f>$D$67*G68</f>
        <v>0</v>
      </c>
    </row>
    <row r="68" spans="1:8" x14ac:dyDescent="0.3">
      <c r="A68" s="418"/>
      <c r="B68" s="419"/>
      <c r="C68" s="420"/>
      <c r="D68" s="421"/>
      <c r="E68" s="113">
        <v>1</v>
      </c>
      <c r="F68" s="113"/>
      <c r="G68" s="113"/>
    </row>
    <row r="69" spans="1:8" x14ac:dyDescent="0.3">
      <c r="A69" s="165"/>
      <c r="B69" s="165"/>
      <c r="C69" s="165"/>
      <c r="D69" s="165"/>
      <c r="E69" s="165"/>
      <c r="F69" s="165"/>
      <c r="G69" s="165"/>
    </row>
    <row r="70" spans="1:8" x14ac:dyDescent="0.3">
      <c r="A70" s="418" t="s">
        <v>217</v>
      </c>
      <c r="B70" s="419" t="str">
        <f>B23</f>
        <v xml:space="preserve">TRANSPORTE </v>
      </c>
      <c r="C70" s="420">
        <f>D70/$D$236</f>
        <v>1.9084134603225456E-3</v>
      </c>
      <c r="D70" s="421">
        <f>'ORÇAMENTO SD'!H80</f>
        <v>3482.39</v>
      </c>
      <c r="E70" s="112">
        <f>$D$70*E71</f>
        <v>3482.39</v>
      </c>
      <c r="F70" s="112">
        <f>$D$70*F71</f>
        <v>0</v>
      </c>
      <c r="G70" s="112">
        <f>$D$70*G71</f>
        <v>0</v>
      </c>
    </row>
    <row r="71" spans="1:8" x14ac:dyDescent="0.3">
      <c r="A71" s="418"/>
      <c r="B71" s="419"/>
      <c r="C71" s="420"/>
      <c r="D71" s="421"/>
      <c r="E71" s="113">
        <v>1</v>
      </c>
      <c r="F71" s="113"/>
      <c r="G71" s="113"/>
    </row>
    <row r="72" spans="1:8" x14ac:dyDescent="0.3">
      <c r="A72" s="165"/>
      <c r="B72" s="165"/>
      <c r="C72" s="165"/>
      <c r="D72" s="165"/>
      <c r="E72" s="165"/>
      <c r="F72" s="165"/>
      <c r="G72" s="165"/>
    </row>
    <row r="73" spans="1:8" x14ac:dyDescent="0.3">
      <c r="A73" s="418" t="s">
        <v>254</v>
      </c>
      <c r="B73" s="419" t="str">
        <f>B26</f>
        <v>SINALIZAÇÃO</v>
      </c>
      <c r="C73" s="420">
        <f>D73/$D$236</f>
        <v>7.1240735414916179E-4</v>
      </c>
      <c r="D73" s="421">
        <f>'ORÇAMENTO SD'!H84</f>
        <v>1299.97</v>
      </c>
      <c r="E73" s="112">
        <f>$D$73*E74</f>
        <v>1299.97</v>
      </c>
      <c r="F73" s="112">
        <f>$D$73*F74</f>
        <v>0</v>
      </c>
      <c r="G73" s="112">
        <f>$D$73*G74</f>
        <v>0</v>
      </c>
    </row>
    <row r="74" spans="1:8" x14ac:dyDescent="0.3">
      <c r="A74" s="418"/>
      <c r="B74" s="419"/>
      <c r="C74" s="420"/>
      <c r="D74" s="421"/>
      <c r="E74" s="113">
        <v>1</v>
      </c>
      <c r="F74" s="113"/>
      <c r="G74" s="113"/>
    </row>
    <row r="75" spans="1:8" x14ac:dyDescent="0.3">
      <c r="A75" s="21"/>
      <c r="B75" s="28"/>
      <c r="C75" s="181"/>
      <c r="D75" s="180"/>
      <c r="E75" s="113"/>
      <c r="F75" s="113"/>
      <c r="G75" s="113"/>
    </row>
    <row r="76" spans="1:8" x14ac:dyDescent="0.3">
      <c r="A76" s="393" t="str">
        <f>'ORÇAMENTO SD'!A88:G88</f>
        <v>RUA MANOEL SENHOR</v>
      </c>
      <c r="B76" s="393"/>
      <c r="C76" s="393"/>
      <c r="D76" s="393"/>
      <c r="E76" s="393"/>
      <c r="F76" s="393"/>
      <c r="G76" s="393"/>
    </row>
    <row r="77" spans="1:8" x14ac:dyDescent="0.3">
      <c r="A77" s="418" t="s">
        <v>32</v>
      </c>
      <c r="B77" s="419" t="str">
        <f>B14</f>
        <v>TERRAPLENAGEM</v>
      </c>
      <c r="C77" s="420">
        <f>D77/$D$236</f>
        <v>1.8742225983600647E-4</v>
      </c>
      <c r="D77" s="421">
        <f>'ORÇAMENTO SD'!H89</f>
        <v>342</v>
      </c>
      <c r="E77" s="112">
        <f>$D$77*E78</f>
        <v>342</v>
      </c>
      <c r="F77" s="112">
        <f>$D$77*F78</f>
        <v>0</v>
      </c>
      <c r="G77" s="112">
        <f>$D$77*G78</f>
        <v>0</v>
      </c>
      <c r="H77" s="186">
        <f>E77+E80+E83+E86+E89-'RESUMO SD '!E14</f>
        <v>0</v>
      </c>
    </row>
    <row r="78" spans="1:8" x14ac:dyDescent="0.3">
      <c r="A78" s="418"/>
      <c r="B78" s="419"/>
      <c r="C78" s="420"/>
      <c r="D78" s="421"/>
      <c r="E78" s="113">
        <v>1</v>
      </c>
      <c r="F78" s="113"/>
      <c r="G78" s="113"/>
    </row>
    <row r="79" spans="1:8" x14ac:dyDescent="0.3">
      <c r="A79" s="164"/>
      <c r="B79" s="164"/>
      <c r="C79" s="164"/>
      <c r="D79" s="164"/>
      <c r="E79" s="164"/>
      <c r="F79" s="164"/>
      <c r="G79" s="164"/>
    </row>
    <row r="80" spans="1:8" x14ac:dyDescent="0.3">
      <c r="A80" s="422" t="s">
        <v>167</v>
      </c>
      <c r="B80" s="423" t="str">
        <f>B17</f>
        <v>PAVIMENTAÇÃO</v>
      </c>
      <c r="C80" s="420">
        <f>D80/$D$236</f>
        <v>7.8980397916857473E-3</v>
      </c>
      <c r="D80" s="421">
        <f>'ORÇAMENTO SD'!H92</f>
        <v>14412</v>
      </c>
      <c r="E80" s="112">
        <f>$D$80*E81</f>
        <v>14412</v>
      </c>
      <c r="F80" s="112">
        <f>$D$80*F81</f>
        <v>0</v>
      </c>
      <c r="G80" s="112">
        <f>$D$80*G81</f>
        <v>0</v>
      </c>
    </row>
    <row r="81" spans="1:9" x14ac:dyDescent="0.3">
      <c r="A81" s="422"/>
      <c r="B81" s="423"/>
      <c r="C81" s="420"/>
      <c r="D81" s="421"/>
      <c r="E81" s="113">
        <v>1</v>
      </c>
      <c r="F81" s="113"/>
      <c r="G81" s="113"/>
    </row>
    <row r="82" spans="1:9" x14ac:dyDescent="0.3">
      <c r="A82" s="165"/>
      <c r="B82" s="165"/>
      <c r="C82" s="165"/>
      <c r="D82" s="165"/>
      <c r="E82" s="165"/>
      <c r="F82" s="165"/>
      <c r="G82" s="165"/>
    </row>
    <row r="83" spans="1:9" x14ac:dyDescent="0.3">
      <c r="A83" s="418" t="s">
        <v>170</v>
      </c>
      <c r="B83" s="419" t="str">
        <f>B20</f>
        <v>SERVIÇOS COMPLEMENTARES</v>
      </c>
      <c r="C83" s="420">
        <f>D83/$D$236</f>
        <v>2.4689430218081082E-3</v>
      </c>
      <c r="D83" s="421">
        <f>'ORÇAMENTO SD'!H95</f>
        <v>4505.2199999999993</v>
      </c>
      <c r="E83" s="112">
        <f>$D$83*E84</f>
        <v>4505.2199999999993</v>
      </c>
      <c r="F83" s="112">
        <f>$D$83*F84</f>
        <v>0</v>
      </c>
      <c r="G83" s="112">
        <f>$D$83*G84</f>
        <v>0</v>
      </c>
    </row>
    <row r="84" spans="1:9" x14ac:dyDescent="0.3">
      <c r="A84" s="418"/>
      <c r="B84" s="419"/>
      <c r="C84" s="420"/>
      <c r="D84" s="421"/>
      <c r="E84" s="113">
        <v>1</v>
      </c>
      <c r="F84" s="113"/>
      <c r="G84" s="113"/>
    </row>
    <row r="85" spans="1:9" x14ac:dyDescent="0.3">
      <c r="A85" s="165"/>
      <c r="B85" s="165"/>
      <c r="C85" s="165"/>
      <c r="D85" s="165"/>
      <c r="E85" s="165"/>
      <c r="F85" s="165"/>
      <c r="G85" s="165"/>
    </row>
    <row r="86" spans="1:9" x14ac:dyDescent="0.3">
      <c r="A86" s="418" t="s">
        <v>217</v>
      </c>
      <c r="B86" s="419" t="str">
        <f>B23</f>
        <v xml:space="preserve">TRANSPORTE </v>
      </c>
      <c r="C86" s="420">
        <f>D86/$D$236</f>
        <v>9.9396819817999045E-4</v>
      </c>
      <c r="D86" s="421">
        <f>'ORÇAMENTO SD'!H99</f>
        <v>1813.75</v>
      </c>
      <c r="E86" s="112">
        <f>$D$86*E87</f>
        <v>1813.75</v>
      </c>
      <c r="F86" s="112">
        <f>$D$86*F87</f>
        <v>0</v>
      </c>
      <c r="G86" s="112">
        <f>$D$86*G87</f>
        <v>0</v>
      </c>
    </row>
    <row r="87" spans="1:9" x14ac:dyDescent="0.3">
      <c r="A87" s="418"/>
      <c r="B87" s="419"/>
      <c r="C87" s="420"/>
      <c r="D87" s="421"/>
      <c r="E87" s="113">
        <v>1</v>
      </c>
      <c r="F87" s="113"/>
      <c r="G87" s="113"/>
    </row>
    <row r="88" spans="1:9" x14ac:dyDescent="0.3">
      <c r="A88" s="165"/>
      <c r="B88" s="165"/>
      <c r="C88" s="165"/>
      <c r="D88" s="165"/>
      <c r="E88" s="165"/>
      <c r="F88" s="165"/>
      <c r="G88" s="165"/>
    </row>
    <row r="89" spans="1:9" x14ac:dyDescent="0.3">
      <c r="A89" s="418" t="s">
        <v>254</v>
      </c>
      <c r="B89" s="419" t="str">
        <f>B26</f>
        <v>SINALIZAÇÃO</v>
      </c>
      <c r="C89" s="420">
        <f>D89/$D$236</f>
        <v>7.1240735414916179E-4</v>
      </c>
      <c r="D89" s="421">
        <f>'ORÇAMENTO SD'!H103</f>
        <v>1299.97</v>
      </c>
      <c r="E89" s="112">
        <f>$D$89*E90</f>
        <v>1299.97</v>
      </c>
      <c r="F89" s="112">
        <f>$D$89*F90</f>
        <v>0</v>
      </c>
      <c r="G89" s="112">
        <f>$D$89*G90</f>
        <v>0</v>
      </c>
    </row>
    <row r="90" spans="1:9" x14ac:dyDescent="0.3">
      <c r="A90" s="418"/>
      <c r="B90" s="419"/>
      <c r="C90" s="420"/>
      <c r="D90" s="421"/>
      <c r="E90" s="113">
        <v>1</v>
      </c>
      <c r="F90" s="113"/>
      <c r="G90" s="113"/>
    </row>
    <row r="91" spans="1:9" x14ac:dyDescent="0.3">
      <c r="A91" s="21"/>
      <c r="B91" s="28"/>
      <c r="C91" s="181"/>
      <c r="D91" s="180"/>
      <c r="E91" s="113"/>
      <c r="F91" s="113"/>
      <c r="G91" s="113"/>
    </row>
    <row r="92" spans="1:9" x14ac:dyDescent="0.3">
      <c r="A92" s="393" t="str">
        <f>'ORÇAMENTO SD'!A107:G107</f>
        <v>PROJETADA 01 - COMUNIDADE GRACIOSA</v>
      </c>
      <c r="B92" s="393"/>
      <c r="C92" s="393"/>
      <c r="D92" s="393"/>
      <c r="E92" s="393"/>
      <c r="F92" s="393"/>
      <c r="G92" s="393"/>
    </row>
    <row r="93" spans="1:9" x14ac:dyDescent="0.3">
      <c r="A93" s="418" t="s">
        <v>32</v>
      </c>
      <c r="B93" s="419" t="str">
        <f>B14</f>
        <v>TERRAPLENAGEM</v>
      </c>
      <c r="C93" s="420">
        <f>D93/$D$236</f>
        <v>4.7455316190476845E-3</v>
      </c>
      <c r="D93" s="421">
        <f>'ORÇAMENTO SD'!H108</f>
        <v>8659.44</v>
      </c>
      <c r="E93" s="112">
        <f>$D$93*E94</f>
        <v>6061.6080000000002</v>
      </c>
      <c r="F93" s="112">
        <f t="shared" ref="F93:G93" si="0">$D$93*F94</f>
        <v>2597.8319999999999</v>
      </c>
      <c r="G93" s="112">
        <f t="shared" si="0"/>
        <v>0</v>
      </c>
      <c r="H93" s="186">
        <f>E93+F93</f>
        <v>8659.44</v>
      </c>
    </row>
    <row r="94" spans="1:9" x14ac:dyDescent="0.3">
      <c r="A94" s="418"/>
      <c r="B94" s="419"/>
      <c r="C94" s="420"/>
      <c r="D94" s="421"/>
      <c r="E94" s="113">
        <v>0.7</v>
      </c>
      <c r="F94" s="113">
        <v>0.3</v>
      </c>
      <c r="G94" s="113"/>
      <c r="H94" s="186">
        <f>E94+F94</f>
        <v>1</v>
      </c>
    </row>
    <row r="95" spans="1:9" x14ac:dyDescent="0.3">
      <c r="A95" s="164"/>
      <c r="B95" s="164"/>
      <c r="C95" s="164"/>
      <c r="D95" s="164"/>
      <c r="E95" s="164"/>
      <c r="F95" s="164"/>
      <c r="G95" s="164"/>
      <c r="H95" s="186">
        <f>E95+F95</f>
        <v>0</v>
      </c>
      <c r="I95" s="169">
        <f>E93+F93+E96+F96+E99+F99+E102+F102+E105+F105-'RESUMO SD '!E15</f>
        <v>0</v>
      </c>
    </row>
    <row r="96" spans="1:9" x14ac:dyDescent="0.3">
      <c r="A96" s="422" t="s">
        <v>167</v>
      </c>
      <c r="B96" s="423" t="str">
        <f>B17</f>
        <v>PAVIMENTAÇÃO</v>
      </c>
      <c r="C96" s="420">
        <f>D96/$D$236</f>
        <v>0.19997836752548312</v>
      </c>
      <c r="D96" s="421">
        <f>'ORÇAMENTO SD'!H111</f>
        <v>364911.84</v>
      </c>
      <c r="E96" s="112">
        <f>$D$96*E97</f>
        <v>255438.288</v>
      </c>
      <c r="F96" s="112">
        <f t="shared" ref="F96:G96" si="1">$D$96*F97</f>
        <v>109473.55200000001</v>
      </c>
      <c r="G96" s="112">
        <f t="shared" si="1"/>
        <v>0</v>
      </c>
      <c r="H96" s="186">
        <f>E96+F96</f>
        <v>364911.84</v>
      </c>
    </row>
    <row r="97" spans="1:8" x14ac:dyDescent="0.3">
      <c r="A97" s="422"/>
      <c r="B97" s="423"/>
      <c r="C97" s="420"/>
      <c r="D97" s="421"/>
      <c r="E97" s="113">
        <v>0.7</v>
      </c>
      <c r="F97" s="113">
        <v>0.3</v>
      </c>
      <c r="G97" s="113"/>
      <c r="H97" s="186">
        <f>E97+F97</f>
        <v>1</v>
      </c>
    </row>
    <row r="98" spans="1:8" x14ac:dyDescent="0.3">
      <c r="A98" s="165"/>
      <c r="B98" s="165"/>
      <c r="C98" s="165"/>
      <c r="D98" s="165"/>
      <c r="E98" s="165"/>
      <c r="F98" s="165"/>
      <c r="G98" s="165"/>
      <c r="H98" s="186">
        <f>E98+F98</f>
        <v>0</v>
      </c>
    </row>
    <row r="99" spans="1:8" x14ac:dyDescent="0.3">
      <c r="A99" s="418" t="s">
        <v>170</v>
      </c>
      <c r="B99" s="419" t="str">
        <f>B20</f>
        <v>SERVIÇOS COMPLEMENTARES</v>
      </c>
      <c r="C99" s="420">
        <f>D99/$D$236</f>
        <v>5.4427391375278057E-2</v>
      </c>
      <c r="D99" s="421">
        <f>'ORÇAMENTO SD'!H114</f>
        <v>99316.739999999991</v>
      </c>
      <c r="E99" s="112">
        <f>$D$99*E100</f>
        <v>69521.717999999993</v>
      </c>
      <c r="F99" s="112">
        <f t="shared" ref="F99:G99" si="2">$D$99*F100</f>
        <v>29795.021999999997</v>
      </c>
      <c r="G99" s="112">
        <f t="shared" si="2"/>
        <v>0</v>
      </c>
      <c r="H99" s="186">
        <f>E99+F99</f>
        <v>99316.739999999991</v>
      </c>
    </row>
    <row r="100" spans="1:8" x14ac:dyDescent="0.3">
      <c r="A100" s="418"/>
      <c r="B100" s="419"/>
      <c r="C100" s="420"/>
      <c r="D100" s="421"/>
      <c r="E100" s="113">
        <v>0.7</v>
      </c>
      <c r="F100" s="113">
        <v>0.3</v>
      </c>
      <c r="G100" s="113"/>
      <c r="H100" s="186">
        <f>E100+F100</f>
        <v>1</v>
      </c>
    </row>
    <row r="101" spans="1:8" x14ac:dyDescent="0.3">
      <c r="A101" s="165"/>
      <c r="B101" s="165"/>
      <c r="C101" s="165"/>
      <c r="D101" s="165"/>
      <c r="E101" s="165"/>
      <c r="F101" s="165"/>
      <c r="G101" s="165"/>
      <c r="H101" s="186">
        <f>E101+F101</f>
        <v>0</v>
      </c>
    </row>
    <row r="102" spans="1:8" x14ac:dyDescent="0.3">
      <c r="A102" s="418" t="s">
        <v>217</v>
      </c>
      <c r="B102" s="419" t="str">
        <f>B23</f>
        <v xml:space="preserve">TRANSPORTE </v>
      </c>
      <c r="C102" s="420">
        <f>D102/$D$236</f>
        <v>2.5167209015720924E-2</v>
      </c>
      <c r="D102" s="421">
        <f>'ORÇAMENTO SD'!H118</f>
        <v>45924.03</v>
      </c>
      <c r="E102" s="112">
        <f>$D$102*E103</f>
        <v>32146.820999999996</v>
      </c>
      <c r="F102" s="112">
        <f t="shared" ref="F102:G102" si="3">$D$102*F103</f>
        <v>13777.208999999999</v>
      </c>
      <c r="G102" s="112">
        <f t="shared" si="3"/>
        <v>0</v>
      </c>
      <c r="H102" s="186">
        <f>E102+F102</f>
        <v>45924.03</v>
      </c>
    </row>
    <row r="103" spans="1:8" x14ac:dyDescent="0.3">
      <c r="A103" s="418"/>
      <c r="B103" s="419"/>
      <c r="C103" s="420"/>
      <c r="D103" s="421"/>
      <c r="E103" s="113">
        <v>0.7</v>
      </c>
      <c r="F103" s="113">
        <v>0.3</v>
      </c>
      <c r="G103" s="113"/>
      <c r="H103" s="186">
        <f>E103+F103</f>
        <v>1</v>
      </c>
    </row>
    <row r="104" spans="1:8" x14ac:dyDescent="0.3">
      <c r="A104" s="165"/>
      <c r="B104" s="165"/>
      <c r="C104" s="165"/>
      <c r="D104" s="165"/>
      <c r="E104" s="165"/>
      <c r="F104" s="165"/>
      <c r="G104" s="165"/>
      <c r="H104" s="186">
        <f>E104+F104</f>
        <v>0</v>
      </c>
    </row>
    <row r="105" spans="1:8" x14ac:dyDescent="0.3">
      <c r="A105" s="418" t="s">
        <v>254</v>
      </c>
      <c r="B105" s="419" t="str">
        <f>B26</f>
        <v>SINALIZAÇÃO</v>
      </c>
      <c r="C105" s="420">
        <f>D105/$D$236</f>
        <v>7.1240735414916179E-4</v>
      </c>
      <c r="D105" s="421">
        <f>'ORÇAMENTO SD'!H122</f>
        <v>1299.97</v>
      </c>
      <c r="E105" s="112">
        <f>$D$105*E106</f>
        <v>909.97899999999993</v>
      </c>
      <c r="F105" s="112">
        <f t="shared" ref="F105:G105" si="4">$D$105*F106</f>
        <v>389.99099999999999</v>
      </c>
      <c r="G105" s="112">
        <f t="shared" si="4"/>
        <v>0</v>
      </c>
      <c r="H105" s="186">
        <f>E105+F105</f>
        <v>1299.9699999999998</v>
      </c>
    </row>
    <row r="106" spans="1:8" x14ac:dyDescent="0.3">
      <c r="A106" s="418"/>
      <c r="B106" s="419"/>
      <c r="C106" s="420"/>
      <c r="D106" s="421"/>
      <c r="E106" s="113">
        <v>0.7</v>
      </c>
      <c r="F106" s="113">
        <v>0.3</v>
      </c>
      <c r="G106" s="113"/>
      <c r="H106" s="186">
        <f>E106+F106</f>
        <v>1</v>
      </c>
    </row>
    <row r="107" spans="1:8" x14ac:dyDescent="0.3">
      <c r="A107" s="21"/>
      <c r="B107" s="28"/>
      <c r="C107" s="181"/>
      <c r="D107" s="180"/>
      <c r="E107" s="113"/>
      <c r="F107" s="113"/>
      <c r="G107" s="113"/>
    </row>
    <row r="108" spans="1:8" x14ac:dyDescent="0.3">
      <c r="A108" s="393" t="str">
        <f>'ORÇAMENTO SD'!A126:G126</f>
        <v>PROJETADA 01 - COMUNIDADE LAGOA DO PIRIPIRI</v>
      </c>
      <c r="B108" s="393"/>
      <c r="C108" s="393"/>
      <c r="D108" s="393"/>
      <c r="E108" s="393"/>
      <c r="F108" s="393"/>
      <c r="G108" s="393"/>
    </row>
    <row r="109" spans="1:8" x14ac:dyDescent="0.3">
      <c r="A109" s="418" t="s">
        <v>32</v>
      </c>
      <c r="B109" s="419" t="str">
        <f>B30</f>
        <v>TERRAPLENAGEM</v>
      </c>
      <c r="C109" s="420">
        <f>D109/$D$236</f>
        <v>9.7459575114723369E-4</v>
      </c>
      <c r="D109" s="421">
        <f>'ORÇAMENTO SD'!H127</f>
        <v>1778.4</v>
      </c>
      <c r="E109" s="112">
        <f>$D$109*E110</f>
        <v>0</v>
      </c>
      <c r="F109" s="112">
        <f t="shared" ref="F109:G109" si="5">$D$109*F110</f>
        <v>1778.4</v>
      </c>
      <c r="G109" s="112">
        <f t="shared" si="5"/>
        <v>0</v>
      </c>
    </row>
    <row r="110" spans="1:8" x14ac:dyDescent="0.3">
      <c r="A110" s="418"/>
      <c r="B110" s="419"/>
      <c r="C110" s="420"/>
      <c r="D110" s="421"/>
      <c r="E110" s="113"/>
      <c r="F110" s="113">
        <v>1</v>
      </c>
      <c r="G110" s="113"/>
    </row>
    <row r="111" spans="1:8" x14ac:dyDescent="0.3">
      <c r="A111" s="164"/>
      <c r="B111" s="164"/>
      <c r="C111" s="164"/>
      <c r="D111" s="164"/>
      <c r="E111" s="164"/>
      <c r="F111" s="164"/>
      <c r="G111" s="164"/>
    </row>
    <row r="112" spans="1:8" x14ac:dyDescent="0.3">
      <c r="A112" s="422" t="s">
        <v>167</v>
      </c>
      <c r="B112" s="423" t="str">
        <f>B33</f>
        <v>PAVIMENTAÇÃO</v>
      </c>
      <c r="C112" s="420">
        <f>D112/$D$236</f>
        <v>4.1069806916765879E-2</v>
      </c>
      <c r="D112" s="421">
        <f>'ORÇAMENTO SD'!H130</f>
        <v>74942.399999999994</v>
      </c>
      <c r="E112" s="112">
        <f>$D$112*E113</f>
        <v>0</v>
      </c>
      <c r="F112" s="112">
        <f t="shared" ref="F112:G112" si="6">$D$112*F113</f>
        <v>74942.399999999994</v>
      </c>
      <c r="G112" s="112">
        <f t="shared" si="6"/>
        <v>0</v>
      </c>
      <c r="H112" s="186">
        <f>F109+F112+F115+F118+F121-'RESUMO SD '!E16</f>
        <v>0</v>
      </c>
    </row>
    <row r="113" spans="1:8" x14ac:dyDescent="0.3">
      <c r="A113" s="422"/>
      <c r="B113" s="423"/>
      <c r="C113" s="420"/>
      <c r="D113" s="421"/>
      <c r="E113" s="113"/>
      <c r="F113" s="113">
        <v>1</v>
      </c>
      <c r="G113" s="113"/>
    </row>
    <row r="114" spans="1:8" x14ac:dyDescent="0.3">
      <c r="A114" s="165"/>
      <c r="B114" s="165"/>
      <c r="C114" s="165"/>
      <c r="D114" s="165"/>
      <c r="E114" s="165"/>
      <c r="F114" s="165"/>
      <c r="G114" s="165"/>
    </row>
    <row r="115" spans="1:8" x14ac:dyDescent="0.3">
      <c r="A115" s="418" t="s">
        <v>170</v>
      </c>
      <c r="B115" s="419" t="str">
        <f>B36</f>
        <v>SERVIÇOS COMPLEMENTARES</v>
      </c>
      <c r="C115" s="420">
        <f>D115/$D$236</f>
        <v>1.1442030319693545E-2</v>
      </c>
      <c r="D115" s="421">
        <f>'ORÇAMENTO SD'!H133</f>
        <v>20878.919999999998</v>
      </c>
      <c r="E115" s="112">
        <f>$D$115*E116</f>
        <v>0</v>
      </c>
      <c r="F115" s="112">
        <f t="shared" ref="F115:G115" si="7">$D$115*F116</f>
        <v>20878.919999999998</v>
      </c>
      <c r="G115" s="112">
        <f t="shared" si="7"/>
        <v>0</v>
      </c>
    </row>
    <row r="116" spans="1:8" x14ac:dyDescent="0.3">
      <c r="A116" s="418"/>
      <c r="B116" s="419"/>
      <c r="C116" s="420"/>
      <c r="D116" s="421"/>
      <c r="E116" s="113"/>
      <c r="F116" s="113">
        <v>1</v>
      </c>
      <c r="G116" s="113"/>
    </row>
    <row r="117" spans="1:8" x14ac:dyDescent="0.3">
      <c r="A117" s="165"/>
      <c r="B117" s="165"/>
      <c r="C117" s="165"/>
      <c r="D117" s="165"/>
      <c r="E117" s="165"/>
      <c r="F117" s="165"/>
      <c r="G117" s="165"/>
    </row>
    <row r="118" spans="1:8" x14ac:dyDescent="0.3">
      <c r="A118" s="418" t="s">
        <v>217</v>
      </c>
      <c r="B118" s="419" t="str">
        <f>B39</f>
        <v xml:space="preserve">TRANSPORTE </v>
      </c>
      <c r="C118" s="420">
        <f>D118/$D$236</f>
        <v>5.1686181899868429E-3</v>
      </c>
      <c r="D118" s="421">
        <f>'ORÇAMENTO SD'!H137</f>
        <v>9431.4700000000012</v>
      </c>
      <c r="E118" s="112">
        <f>$D$118*E119</f>
        <v>0</v>
      </c>
      <c r="F118" s="112">
        <f t="shared" ref="F118:G118" si="8">$D$118*F119</f>
        <v>9431.4700000000012</v>
      </c>
      <c r="G118" s="112">
        <f t="shared" si="8"/>
        <v>0</v>
      </c>
    </row>
    <row r="119" spans="1:8" x14ac:dyDescent="0.3">
      <c r="A119" s="418"/>
      <c r="B119" s="419"/>
      <c r="C119" s="420"/>
      <c r="D119" s="421"/>
      <c r="E119" s="113"/>
      <c r="F119" s="113">
        <v>1</v>
      </c>
      <c r="G119" s="113"/>
    </row>
    <row r="120" spans="1:8" x14ac:dyDescent="0.3">
      <c r="A120" s="165"/>
      <c r="B120" s="165"/>
      <c r="C120" s="165"/>
      <c r="D120" s="165"/>
      <c r="E120" s="165"/>
      <c r="F120" s="165"/>
      <c r="G120" s="165"/>
    </row>
    <row r="121" spans="1:8" x14ac:dyDescent="0.3">
      <c r="A121" s="418" t="s">
        <v>254</v>
      </c>
      <c r="B121" s="419" t="str">
        <f>B42</f>
        <v>SINALIZAÇÃO</v>
      </c>
      <c r="C121" s="420">
        <f>D121/$D$236</f>
        <v>7.1240735414916179E-4</v>
      </c>
      <c r="D121" s="421">
        <f>'ORÇAMENTO SD'!H141</f>
        <v>1299.97</v>
      </c>
      <c r="E121" s="112">
        <f>$D$121*E122</f>
        <v>0</v>
      </c>
      <c r="F121" s="112">
        <f t="shared" ref="F121:G121" si="9">$D$121*F122</f>
        <v>1299.97</v>
      </c>
      <c r="G121" s="112">
        <f t="shared" si="9"/>
        <v>0</v>
      </c>
    </row>
    <row r="122" spans="1:8" x14ac:dyDescent="0.3">
      <c r="A122" s="418"/>
      <c r="B122" s="419"/>
      <c r="C122" s="420"/>
      <c r="D122" s="421"/>
      <c r="E122" s="113"/>
      <c r="F122" s="113">
        <v>1</v>
      </c>
      <c r="G122" s="113"/>
    </row>
    <row r="123" spans="1:8" x14ac:dyDescent="0.3">
      <c r="A123" s="21"/>
      <c r="B123" s="28"/>
      <c r="C123" s="181"/>
      <c r="D123" s="180"/>
      <c r="E123" s="113"/>
      <c r="F123" s="113"/>
      <c r="G123" s="113"/>
    </row>
    <row r="124" spans="1:8" x14ac:dyDescent="0.3">
      <c r="A124" s="393" t="str">
        <f>'ORÇAMENTO SD'!A145:G145</f>
        <v>RUA PROJETADA 01 - COMUNIDADE ALIVIO</v>
      </c>
      <c r="B124" s="393"/>
      <c r="C124" s="393"/>
      <c r="D124" s="393"/>
      <c r="E124" s="393"/>
      <c r="F124" s="393"/>
      <c r="G124" s="393"/>
    </row>
    <row r="125" spans="1:8" x14ac:dyDescent="0.3">
      <c r="A125" s="418" t="s">
        <v>32</v>
      </c>
      <c r="B125" s="419" t="str">
        <f>B46</f>
        <v>TERRAPLENAGEM</v>
      </c>
      <c r="C125" s="420">
        <f>D125/$D$236</f>
        <v>2.1740982140976751E-3</v>
      </c>
      <c r="D125" s="421">
        <f>'ORÇAMENTO SD'!H146</f>
        <v>3967.2</v>
      </c>
      <c r="E125" s="112">
        <f>$D$125*E126</f>
        <v>0</v>
      </c>
      <c r="F125" s="112">
        <f t="shared" ref="F125:G125" si="10">$D$125*F126</f>
        <v>3967.2</v>
      </c>
      <c r="G125" s="112">
        <f t="shared" si="10"/>
        <v>0</v>
      </c>
      <c r="H125" s="186">
        <f>G125+G128+G131+G134+G137-'RESUMO SD '!E17</f>
        <v>-239315.14000000004</v>
      </c>
    </row>
    <row r="126" spans="1:8" x14ac:dyDescent="0.3">
      <c r="A126" s="418"/>
      <c r="B126" s="419"/>
      <c r="C126" s="420"/>
      <c r="D126" s="421"/>
      <c r="E126" s="113"/>
      <c r="F126" s="113">
        <v>1</v>
      </c>
      <c r="G126" s="113"/>
    </row>
    <row r="127" spans="1:8" x14ac:dyDescent="0.3">
      <c r="A127" s="164"/>
      <c r="B127" s="164"/>
      <c r="C127" s="164"/>
      <c r="D127" s="164"/>
      <c r="E127" s="164"/>
      <c r="F127" s="164"/>
      <c r="G127" s="164"/>
    </row>
    <row r="128" spans="1:8" x14ac:dyDescent="0.3">
      <c r="A128" s="422" t="s">
        <v>167</v>
      </c>
      <c r="B128" s="423" t="str">
        <f>B49</f>
        <v>PAVIMENTAÇÃO</v>
      </c>
      <c r="C128" s="420">
        <f>D128/$D$236</f>
        <v>9.1617261583554668E-2</v>
      </c>
      <c r="D128" s="421">
        <f>'ORÇAMENTO SD'!H149</f>
        <v>167179.20000000001</v>
      </c>
      <c r="E128" s="112">
        <f>$D$128*E129</f>
        <v>0</v>
      </c>
      <c r="F128" s="112">
        <f t="shared" ref="F128:G128" si="11">$D$128*F129</f>
        <v>167179.20000000001</v>
      </c>
      <c r="G128" s="112">
        <f t="shared" si="11"/>
        <v>0</v>
      </c>
    </row>
    <row r="129" spans="1:8" x14ac:dyDescent="0.3">
      <c r="A129" s="422"/>
      <c r="B129" s="423"/>
      <c r="C129" s="420"/>
      <c r="D129" s="421"/>
      <c r="E129" s="113"/>
      <c r="F129" s="113">
        <v>1</v>
      </c>
      <c r="G129" s="113"/>
    </row>
    <row r="130" spans="1:8" x14ac:dyDescent="0.3">
      <c r="A130" s="165"/>
      <c r="B130" s="165"/>
      <c r="C130" s="165"/>
      <c r="D130" s="165"/>
      <c r="E130" s="165"/>
      <c r="F130" s="165"/>
      <c r="G130" s="165"/>
    </row>
    <row r="131" spans="1:8" x14ac:dyDescent="0.3">
      <c r="A131" s="418" t="s">
        <v>170</v>
      </c>
      <c r="B131" s="419" t="str">
        <f>B52</f>
        <v>SERVIÇOS COMPLEMENTARES</v>
      </c>
      <c r="C131" s="420">
        <f>D131/$D$236</f>
        <v>2.511530620218564E-2</v>
      </c>
      <c r="D131" s="421">
        <f>'ORÇAMENTO SD'!H152</f>
        <v>45829.32</v>
      </c>
      <c r="E131" s="112">
        <f>$D$131*E132</f>
        <v>0</v>
      </c>
      <c r="F131" s="112">
        <f>$D$131*F132</f>
        <v>45829.32</v>
      </c>
      <c r="G131" s="112">
        <f>$D$131*G132</f>
        <v>0</v>
      </c>
    </row>
    <row r="132" spans="1:8" x14ac:dyDescent="0.3">
      <c r="A132" s="418"/>
      <c r="B132" s="419"/>
      <c r="C132" s="420"/>
      <c r="D132" s="421"/>
      <c r="E132" s="113"/>
      <c r="F132" s="113">
        <v>1</v>
      </c>
      <c r="G132" s="113"/>
    </row>
    <row r="133" spans="1:8" x14ac:dyDescent="0.3">
      <c r="A133" s="165"/>
      <c r="B133" s="165"/>
      <c r="C133" s="165"/>
      <c r="D133" s="165"/>
      <c r="E133" s="165"/>
      <c r="F133" s="165"/>
      <c r="G133" s="165"/>
    </row>
    <row r="134" spans="1:8" x14ac:dyDescent="0.3">
      <c r="A134" s="418" t="s">
        <v>217</v>
      </c>
      <c r="B134" s="419" t="str">
        <f>B55</f>
        <v xml:space="preserve">TRANSPORTE </v>
      </c>
      <c r="C134" s="420">
        <f>D134/$D$236</f>
        <v>1.153000369797271E-2</v>
      </c>
      <c r="D134" s="421">
        <f>'ORÇAMENTO SD'!H156</f>
        <v>21039.45</v>
      </c>
      <c r="E134" s="112">
        <f>$D$134*E135</f>
        <v>0</v>
      </c>
      <c r="F134" s="112">
        <f t="shared" ref="F134:G134" si="12">$D$134*F135</f>
        <v>21039.45</v>
      </c>
      <c r="G134" s="112">
        <f t="shared" si="12"/>
        <v>0</v>
      </c>
    </row>
    <row r="135" spans="1:8" x14ac:dyDescent="0.3">
      <c r="A135" s="418"/>
      <c r="B135" s="419"/>
      <c r="C135" s="420"/>
      <c r="D135" s="421"/>
      <c r="E135" s="113"/>
      <c r="F135" s="113">
        <v>1</v>
      </c>
      <c r="G135" s="113"/>
    </row>
    <row r="136" spans="1:8" x14ac:dyDescent="0.3">
      <c r="A136" s="165"/>
      <c r="B136" s="165"/>
      <c r="C136" s="165"/>
      <c r="D136" s="165"/>
      <c r="E136" s="165"/>
      <c r="F136" s="165"/>
      <c r="G136" s="165"/>
    </row>
    <row r="137" spans="1:8" x14ac:dyDescent="0.3">
      <c r="A137" s="418" t="s">
        <v>254</v>
      </c>
      <c r="B137" s="419" t="str">
        <f>B58</f>
        <v>SINALIZAÇÃO</v>
      </c>
      <c r="C137" s="420">
        <f>D137/$D$236</f>
        <v>7.1240735414916179E-4</v>
      </c>
      <c r="D137" s="421">
        <f>'ORÇAMENTO SD'!H160</f>
        <v>1299.97</v>
      </c>
      <c r="E137" s="112">
        <f>$D$137*E138</f>
        <v>0</v>
      </c>
      <c r="F137" s="112">
        <f t="shared" ref="F137:G137" si="13">$D$137*F138</f>
        <v>1299.97</v>
      </c>
      <c r="G137" s="112">
        <f t="shared" si="13"/>
        <v>0</v>
      </c>
    </row>
    <row r="138" spans="1:8" x14ac:dyDescent="0.3">
      <c r="A138" s="418"/>
      <c r="B138" s="419"/>
      <c r="C138" s="420"/>
      <c r="D138" s="421"/>
      <c r="E138" s="113"/>
      <c r="F138" s="113">
        <v>1</v>
      </c>
      <c r="G138" s="113"/>
    </row>
    <row r="139" spans="1:8" x14ac:dyDescent="0.3">
      <c r="A139" s="21"/>
      <c r="B139" s="28"/>
      <c r="C139" s="181"/>
      <c r="D139" s="180"/>
      <c r="E139" s="113"/>
      <c r="F139" s="113"/>
      <c r="G139" s="113"/>
    </row>
    <row r="140" spans="1:8" x14ac:dyDescent="0.3">
      <c r="A140" s="393" t="str">
        <f>'ORÇAMENTO SD'!A164:G164</f>
        <v>RUA PROJETADA 08</v>
      </c>
      <c r="B140" s="393"/>
      <c r="C140" s="393"/>
      <c r="D140" s="393"/>
      <c r="E140" s="393"/>
      <c r="F140" s="393"/>
      <c r="G140" s="393"/>
    </row>
    <row r="141" spans="1:8" x14ac:dyDescent="0.3">
      <c r="A141" s="418" t="s">
        <v>32</v>
      </c>
      <c r="B141" s="419" t="str">
        <f>B14</f>
        <v>TERRAPLENAGEM</v>
      </c>
      <c r="C141" s="420">
        <f>D141/$D$236</f>
        <v>8.0216727209810772E-4</v>
      </c>
      <c r="D141" s="421">
        <f>'ORÇAMENTO SD'!H165</f>
        <v>1463.76</v>
      </c>
      <c r="E141" s="112">
        <f>$D$141*E142</f>
        <v>0</v>
      </c>
      <c r="F141" s="112">
        <f t="shared" ref="F141:G141" si="14">$D$141*F142</f>
        <v>1463.76</v>
      </c>
      <c r="G141" s="112">
        <f t="shared" si="14"/>
        <v>0</v>
      </c>
      <c r="H141" s="186">
        <f>G141+G144+G147+G150+G153-'RESUMO SD '!E18</f>
        <v>-89502.22</v>
      </c>
    </row>
    <row r="142" spans="1:8" x14ac:dyDescent="0.3">
      <c r="A142" s="418"/>
      <c r="B142" s="419"/>
      <c r="C142" s="420"/>
      <c r="D142" s="421"/>
      <c r="E142" s="113"/>
      <c r="F142" s="113">
        <v>1</v>
      </c>
      <c r="G142" s="113"/>
    </row>
    <row r="143" spans="1:8" x14ac:dyDescent="0.3">
      <c r="A143" s="164"/>
      <c r="B143" s="164"/>
      <c r="C143" s="164"/>
      <c r="D143" s="164"/>
      <c r="E143" s="164"/>
      <c r="F143" s="164"/>
      <c r="G143" s="164"/>
    </row>
    <row r="144" spans="1:8" x14ac:dyDescent="0.3">
      <c r="A144" s="422" t="s">
        <v>167</v>
      </c>
      <c r="B144" s="423" t="str">
        <f>B17</f>
        <v>PAVIMENTAÇÃO</v>
      </c>
      <c r="C144" s="420">
        <f>D144/$D$236</f>
        <v>3.3803610308414993E-2</v>
      </c>
      <c r="D144" s="421">
        <f>'ORÇAMENTO SD'!H168</f>
        <v>61683.360000000001</v>
      </c>
      <c r="E144" s="112">
        <f>$D$144*E145</f>
        <v>0</v>
      </c>
      <c r="F144" s="112">
        <f t="shared" ref="F144:G144" si="15">$D$144*F145</f>
        <v>61683.360000000001</v>
      </c>
      <c r="G144" s="112">
        <f t="shared" si="15"/>
        <v>0</v>
      </c>
    </row>
    <row r="145" spans="1:8" x14ac:dyDescent="0.3">
      <c r="A145" s="422"/>
      <c r="B145" s="423"/>
      <c r="C145" s="420"/>
      <c r="D145" s="421"/>
      <c r="E145" s="113"/>
      <c r="F145" s="113">
        <v>1</v>
      </c>
      <c r="G145" s="113"/>
    </row>
    <row r="146" spans="1:8" x14ac:dyDescent="0.3">
      <c r="A146" s="165"/>
      <c r="B146" s="165"/>
      <c r="C146" s="165"/>
      <c r="D146" s="165"/>
      <c r="E146" s="165"/>
      <c r="F146" s="165"/>
      <c r="G146" s="165"/>
    </row>
    <row r="147" spans="1:8" x14ac:dyDescent="0.3">
      <c r="A147" s="418" t="s">
        <v>170</v>
      </c>
      <c r="B147" s="419" t="str">
        <f>B20</f>
        <v>SERVIÇOS COMPLEMENTARES</v>
      </c>
      <c r="C147" s="420">
        <f>D147/$D$236</f>
        <v>9.4764969115853064E-3</v>
      </c>
      <c r="D147" s="421">
        <f>'ORÇAMENTO SD'!H171</f>
        <v>17292.3</v>
      </c>
      <c r="E147" s="112">
        <f>$D$147*E148</f>
        <v>0</v>
      </c>
      <c r="F147" s="112">
        <f t="shared" ref="F147:G147" si="16">$D$147*F148</f>
        <v>17292.3</v>
      </c>
      <c r="G147" s="112">
        <f t="shared" si="16"/>
        <v>0</v>
      </c>
    </row>
    <row r="148" spans="1:8" x14ac:dyDescent="0.3">
      <c r="A148" s="418"/>
      <c r="B148" s="419"/>
      <c r="C148" s="420"/>
      <c r="D148" s="421"/>
      <c r="E148" s="113"/>
      <c r="F148" s="113">
        <v>1</v>
      </c>
      <c r="G148" s="113"/>
    </row>
    <row r="149" spans="1:8" x14ac:dyDescent="0.3">
      <c r="A149" s="165"/>
      <c r="B149" s="165"/>
      <c r="C149" s="165"/>
      <c r="D149" s="165"/>
      <c r="E149" s="165"/>
      <c r="F149" s="165"/>
      <c r="G149" s="165"/>
    </row>
    <row r="150" spans="1:8" x14ac:dyDescent="0.3">
      <c r="A150" s="418" t="s">
        <v>217</v>
      </c>
      <c r="B150" s="419" t="str">
        <f>B23</f>
        <v xml:space="preserve">TRANSPORTE </v>
      </c>
      <c r="C150" s="420">
        <f>D150/$D$236</f>
        <v>4.2541729278442872E-3</v>
      </c>
      <c r="D150" s="421">
        <f>'ORÇAMENTO SD'!H175</f>
        <v>7762.83</v>
      </c>
      <c r="E150" s="112">
        <f>$D$150*E151</f>
        <v>0</v>
      </c>
      <c r="F150" s="112">
        <f t="shared" ref="F150:G150" si="17">$D$150*F151</f>
        <v>7762.83</v>
      </c>
      <c r="G150" s="112">
        <f t="shared" si="17"/>
        <v>0</v>
      </c>
    </row>
    <row r="151" spans="1:8" x14ac:dyDescent="0.3">
      <c r="A151" s="418"/>
      <c r="B151" s="419"/>
      <c r="C151" s="420"/>
      <c r="D151" s="421"/>
      <c r="E151" s="113"/>
      <c r="F151" s="113">
        <v>1</v>
      </c>
      <c r="G151" s="113"/>
    </row>
    <row r="152" spans="1:8" x14ac:dyDescent="0.3">
      <c r="A152" s="165"/>
      <c r="B152" s="165"/>
      <c r="C152" s="165"/>
      <c r="D152" s="165"/>
      <c r="E152" s="165"/>
      <c r="F152" s="165"/>
      <c r="G152" s="165"/>
    </row>
    <row r="153" spans="1:8" x14ac:dyDescent="0.3">
      <c r="A153" s="418" t="s">
        <v>254</v>
      </c>
      <c r="B153" s="419" t="str">
        <f>B26</f>
        <v>SINALIZAÇÃO</v>
      </c>
      <c r="C153" s="420">
        <f>D153/$D$236</f>
        <v>7.1240735414916179E-4</v>
      </c>
      <c r="D153" s="421">
        <f>'ORÇAMENTO SD'!H179</f>
        <v>1299.97</v>
      </c>
      <c r="E153" s="112">
        <f>$D$153*E154</f>
        <v>0</v>
      </c>
      <c r="F153" s="112">
        <f t="shared" ref="F153:G153" si="18">$D$153*F154</f>
        <v>1299.97</v>
      </c>
      <c r="G153" s="112">
        <f t="shared" si="18"/>
        <v>0</v>
      </c>
    </row>
    <row r="154" spans="1:8" x14ac:dyDescent="0.3">
      <c r="A154" s="418"/>
      <c r="B154" s="419"/>
      <c r="C154" s="420"/>
      <c r="D154" s="421"/>
      <c r="E154" s="113"/>
      <c r="F154" s="113">
        <v>1</v>
      </c>
      <c r="G154" s="113"/>
    </row>
    <row r="155" spans="1:8" x14ac:dyDescent="0.3">
      <c r="A155" s="251"/>
      <c r="B155" s="252"/>
      <c r="C155" s="253"/>
      <c r="D155" s="254"/>
      <c r="E155" s="113"/>
      <c r="F155" s="113"/>
      <c r="G155" s="113"/>
    </row>
    <row r="156" spans="1:8" x14ac:dyDescent="0.3">
      <c r="A156" s="393" t="str">
        <f>'ORÇAMENTO SD'!A183:G183</f>
        <v>RUA PROJETADA 09</v>
      </c>
      <c r="B156" s="393"/>
      <c r="C156" s="393"/>
      <c r="D156" s="393"/>
      <c r="E156" s="393"/>
      <c r="F156" s="393"/>
      <c r="G156" s="393"/>
    </row>
    <row r="157" spans="1:8" x14ac:dyDescent="0.3">
      <c r="A157" s="418" t="s">
        <v>32</v>
      </c>
      <c r="B157" s="419" t="str">
        <f>B30</f>
        <v>TERRAPLENAGEM</v>
      </c>
      <c r="C157" s="420">
        <f>D157/$D$236</f>
        <v>1.0270739839013155E-3</v>
      </c>
      <c r="D157" s="421">
        <f>'ORÇAMENTO SD'!H184</f>
        <v>1874.16</v>
      </c>
      <c r="E157" s="112">
        <f>$D$157*E158</f>
        <v>0</v>
      </c>
      <c r="F157" s="112">
        <f t="shared" ref="F157:G157" si="19">$D$157*F158</f>
        <v>0</v>
      </c>
      <c r="G157" s="112">
        <f t="shared" si="19"/>
        <v>1874.16</v>
      </c>
      <c r="H157" s="186">
        <f>G157+G160+G163+G166+G169-'RESUMO SD '!E19</f>
        <v>0</v>
      </c>
    </row>
    <row r="158" spans="1:8" x14ac:dyDescent="0.3">
      <c r="A158" s="418"/>
      <c r="B158" s="419"/>
      <c r="C158" s="420"/>
      <c r="D158" s="421"/>
      <c r="E158" s="113"/>
      <c r="F158" s="113"/>
      <c r="G158" s="113">
        <v>1</v>
      </c>
    </row>
    <row r="159" spans="1:8" x14ac:dyDescent="0.3">
      <c r="A159" s="164"/>
      <c r="B159" s="164"/>
      <c r="C159" s="164"/>
      <c r="D159" s="164"/>
      <c r="E159" s="164"/>
      <c r="F159" s="164"/>
      <c r="G159" s="164"/>
    </row>
    <row r="160" spans="1:8" x14ac:dyDescent="0.3">
      <c r="A160" s="422" t="s">
        <v>167</v>
      </c>
      <c r="B160" s="423" t="str">
        <f>B33</f>
        <v>PAVIMENTAÇÃO</v>
      </c>
      <c r="C160" s="420">
        <f>D160/$D$236</f>
        <v>4.3281258058437889E-2</v>
      </c>
      <c r="D160" s="421">
        <f>'ORÇAMENTO SD'!H187</f>
        <v>78977.759999999995</v>
      </c>
      <c r="E160" s="112">
        <f>$D$160*E161</f>
        <v>0</v>
      </c>
      <c r="F160" s="112">
        <f t="shared" ref="F160:G160" si="20">$D$160*F161</f>
        <v>0</v>
      </c>
      <c r="G160" s="112">
        <f t="shared" si="20"/>
        <v>78977.759999999995</v>
      </c>
    </row>
    <row r="161" spans="1:8" x14ac:dyDescent="0.3">
      <c r="A161" s="422"/>
      <c r="B161" s="423"/>
      <c r="C161" s="420"/>
      <c r="D161" s="421"/>
      <c r="E161" s="113"/>
      <c r="F161" s="113"/>
      <c r="G161" s="113">
        <v>1</v>
      </c>
    </row>
    <row r="162" spans="1:8" x14ac:dyDescent="0.3">
      <c r="A162" s="165"/>
      <c r="B162" s="165"/>
      <c r="C162" s="165"/>
      <c r="D162" s="165"/>
      <c r="E162" s="165"/>
      <c r="F162" s="165"/>
      <c r="G162" s="165"/>
    </row>
    <row r="163" spans="1:8" x14ac:dyDescent="0.3">
      <c r="A163" s="418" t="s">
        <v>170</v>
      </c>
      <c r="B163" s="419" t="str">
        <f>B36</f>
        <v>SERVIÇOS COMPLEMENTARES</v>
      </c>
      <c r="C163" s="420">
        <f>D163/$D$236</f>
        <v>1.2040236139552574E-2</v>
      </c>
      <c r="D163" s="421">
        <f>'ORÇAMENTO SD'!H190</f>
        <v>21970.5</v>
      </c>
      <c r="E163" s="112">
        <f>$D$163*E164</f>
        <v>0</v>
      </c>
      <c r="F163" s="112">
        <f t="shared" ref="F163:G163" si="21">$D$163*F164</f>
        <v>0</v>
      </c>
      <c r="G163" s="112">
        <f t="shared" si="21"/>
        <v>21970.5</v>
      </c>
    </row>
    <row r="164" spans="1:8" x14ac:dyDescent="0.3">
      <c r="A164" s="418"/>
      <c r="B164" s="419"/>
      <c r="C164" s="420"/>
      <c r="D164" s="421"/>
      <c r="E164" s="113"/>
      <c r="F164" s="113"/>
      <c r="G164" s="113">
        <v>1</v>
      </c>
    </row>
    <row r="165" spans="1:8" x14ac:dyDescent="0.3">
      <c r="A165" s="165"/>
      <c r="B165" s="165"/>
      <c r="C165" s="165"/>
      <c r="D165" s="165"/>
      <c r="E165" s="165"/>
      <c r="F165" s="165"/>
      <c r="G165" s="165"/>
    </row>
    <row r="166" spans="1:8" x14ac:dyDescent="0.3">
      <c r="A166" s="418" t="s">
        <v>217</v>
      </c>
      <c r="B166" s="419" t="str">
        <f>B39</f>
        <v xml:space="preserve">TRANSPORTE </v>
      </c>
      <c r="C166" s="420">
        <f>D166/$D$236</f>
        <v>5.4469292854772396E-3</v>
      </c>
      <c r="D166" s="421">
        <f>'ORÇAMENTO SD'!H194</f>
        <v>9939.32</v>
      </c>
      <c r="E166" s="112">
        <f>$D$166*E167</f>
        <v>0</v>
      </c>
      <c r="F166" s="112">
        <f t="shared" ref="F166:G166" si="22">$D$166*F167</f>
        <v>0</v>
      </c>
      <c r="G166" s="112">
        <f t="shared" si="22"/>
        <v>9939.32</v>
      </c>
    </row>
    <row r="167" spans="1:8" x14ac:dyDescent="0.3">
      <c r="A167" s="418"/>
      <c r="B167" s="419"/>
      <c r="C167" s="420"/>
      <c r="D167" s="421"/>
      <c r="E167" s="113"/>
      <c r="F167" s="113"/>
      <c r="G167" s="113">
        <v>1</v>
      </c>
    </row>
    <row r="168" spans="1:8" x14ac:dyDescent="0.3">
      <c r="A168" s="165"/>
      <c r="B168" s="165"/>
      <c r="C168" s="165"/>
      <c r="D168" s="165"/>
      <c r="E168" s="165"/>
      <c r="F168" s="165"/>
      <c r="G168" s="165"/>
    </row>
    <row r="169" spans="1:8" x14ac:dyDescent="0.3">
      <c r="A169" s="418" t="s">
        <v>254</v>
      </c>
      <c r="B169" s="419" t="str">
        <f>B42</f>
        <v>SINALIZAÇÃO</v>
      </c>
      <c r="C169" s="420">
        <f>D169/$D$236</f>
        <v>7.1240735414916179E-4</v>
      </c>
      <c r="D169" s="421">
        <f>'ORÇAMENTO SD'!H198</f>
        <v>1299.97</v>
      </c>
      <c r="E169" s="112">
        <f>$D$169*E170</f>
        <v>0</v>
      </c>
      <c r="F169" s="112">
        <f t="shared" ref="F169:G169" si="23">$D$169*F170</f>
        <v>0</v>
      </c>
      <c r="G169" s="112">
        <f t="shared" si="23"/>
        <v>1299.97</v>
      </c>
    </row>
    <row r="170" spans="1:8" x14ac:dyDescent="0.3">
      <c r="A170" s="418"/>
      <c r="B170" s="419"/>
      <c r="C170" s="420"/>
      <c r="D170" s="421"/>
      <c r="E170" s="113"/>
      <c r="F170" s="113"/>
      <c r="G170" s="113">
        <v>1</v>
      </c>
    </row>
    <row r="171" spans="1:8" x14ac:dyDescent="0.3">
      <c r="A171" s="251"/>
      <c r="B171" s="252"/>
      <c r="C171" s="253"/>
      <c r="D171" s="254"/>
      <c r="E171" s="113"/>
      <c r="F171" s="113"/>
      <c r="G171" s="113"/>
    </row>
    <row r="172" spans="1:8" x14ac:dyDescent="0.3">
      <c r="A172" s="393" t="str">
        <f>'ORÇAMENTO SD'!A202:G202</f>
        <v xml:space="preserve">RUA COQUEIRO VERDE </v>
      </c>
      <c r="B172" s="393"/>
      <c r="C172" s="393"/>
      <c r="D172" s="393"/>
      <c r="E172" s="393"/>
      <c r="F172" s="393"/>
      <c r="G172" s="393"/>
    </row>
    <row r="173" spans="1:8" x14ac:dyDescent="0.3">
      <c r="A173" s="418" t="s">
        <v>32</v>
      </c>
      <c r="B173" s="419" t="str">
        <f>B30</f>
        <v>TERRAPLENAGEM</v>
      </c>
      <c r="C173" s="420">
        <f>D173/$D$236</f>
        <v>1.274471366884844E-3</v>
      </c>
      <c r="D173" s="421">
        <f>'ORÇAMENTO SD'!H203</f>
        <v>2325.6</v>
      </c>
      <c r="E173" s="112">
        <f>$D$173*E174</f>
        <v>0</v>
      </c>
      <c r="F173" s="112">
        <f t="shared" ref="F173:G173" si="24">$D$173*F174</f>
        <v>0</v>
      </c>
      <c r="G173" s="112">
        <f t="shared" si="24"/>
        <v>2325.6</v>
      </c>
      <c r="H173" s="186" t="e">
        <f>#REF!+#REF!+#REF!+#REF!+#REF!-'RESUMO SD '!E20</f>
        <v>#REF!</v>
      </c>
    </row>
    <row r="174" spans="1:8" x14ac:dyDescent="0.3">
      <c r="A174" s="418"/>
      <c r="B174" s="419"/>
      <c r="C174" s="420"/>
      <c r="D174" s="421"/>
      <c r="E174" s="113"/>
      <c r="F174" s="113"/>
      <c r="G174" s="113">
        <v>1</v>
      </c>
    </row>
    <row r="175" spans="1:8" x14ac:dyDescent="0.3">
      <c r="A175" s="164"/>
      <c r="B175" s="164"/>
      <c r="C175" s="164"/>
      <c r="D175" s="164"/>
      <c r="E175" s="164"/>
      <c r="F175" s="164"/>
      <c r="G175" s="164"/>
    </row>
    <row r="176" spans="1:8" x14ac:dyDescent="0.3">
      <c r="A176" s="422" t="s">
        <v>167</v>
      </c>
      <c r="B176" s="423" t="str">
        <f>B33</f>
        <v>PAVIMENTAÇÃO</v>
      </c>
      <c r="C176" s="420">
        <f>D176/$D$236</f>
        <v>5.3706670583463081E-2</v>
      </c>
      <c r="D176" s="421">
        <f>'ORÇAMENTO SD'!H206</f>
        <v>98001.600000000006</v>
      </c>
      <c r="E176" s="112">
        <f>$D$176*E177</f>
        <v>0</v>
      </c>
      <c r="F176" s="112">
        <f t="shared" ref="F176:G176" si="25">$D$176*F177</f>
        <v>0</v>
      </c>
      <c r="G176" s="112">
        <f t="shared" si="25"/>
        <v>98001.600000000006</v>
      </c>
    </row>
    <row r="177" spans="1:8" x14ac:dyDescent="0.3">
      <c r="A177" s="422"/>
      <c r="B177" s="423"/>
      <c r="C177" s="420"/>
      <c r="D177" s="421"/>
      <c r="E177" s="113"/>
      <c r="F177" s="113"/>
      <c r="G177" s="113">
        <v>1</v>
      </c>
    </row>
    <row r="178" spans="1:8" x14ac:dyDescent="0.3">
      <c r="A178" s="165"/>
      <c r="B178" s="165"/>
      <c r="C178" s="165"/>
      <c r="D178" s="165"/>
      <c r="E178" s="165"/>
      <c r="F178" s="165"/>
      <c r="G178" s="165"/>
    </row>
    <row r="179" spans="1:8" x14ac:dyDescent="0.3">
      <c r="A179" s="418" t="s">
        <v>170</v>
      </c>
      <c r="B179" s="419" t="str">
        <f>B36</f>
        <v>SERVIÇOS COMPLEMENTARES</v>
      </c>
      <c r="C179" s="420">
        <f>D179/$D$236</f>
        <v>1.4860349290316566E-2</v>
      </c>
      <c r="D179" s="421">
        <f>'ORÇAMENTO SD'!H209</f>
        <v>27116.519999999997</v>
      </c>
      <c r="E179" s="112">
        <f>$D$179*E180</f>
        <v>0</v>
      </c>
      <c r="F179" s="112">
        <f t="shared" ref="F179:G179" si="26">$D$179*F180</f>
        <v>0</v>
      </c>
      <c r="G179" s="112">
        <f t="shared" si="26"/>
        <v>27116.519999999997</v>
      </c>
    </row>
    <row r="180" spans="1:8" x14ac:dyDescent="0.3">
      <c r="A180" s="418"/>
      <c r="B180" s="419"/>
      <c r="C180" s="420"/>
      <c r="D180" s="421"/>
      <c r="E180" s="113"/>
      <c r="F180" s="113"/>
      <c r="G180" s="113">
        <v>1</v>
      </c>
    </row>
    <row r="181" spans="1:8" x14ac:dyDescent="0.3">
      <c r="A181" s="165"/>
      <c r="B181" s="165"/>
      <c r="C181" s="165"/>
      <c r="D181" s="165"/>
      <c r="E181" s="165"/>
      <c r="F181" s="165"/>
      <c r="G181" s="165"/>
    </row>
    <row r="182" spans="1:8" x14ac:dyDescent="0.3">
      <c r="A182" s="418" t="s">
        <v>217</v>
      </c>
      <c r="B182" s="419" t="str">
        <f>B39</f>
        <v xml:space="preserve">TRANSPORTE </v>
      </c>
      <c r="C182" s="420">
        <f>D182/$D$236</f>
        <v>6.7589673070748276E-3</v>
      </c>
      <c r="D182" s="421">
        <f>'ORÇAMENTO SD'!H213</f>
        <v>12333.470000000001</v>
      </c>
      <c r="E182" s="112">
        <f>$D$182*E183</f>
        <v>0</v>
      </c>
      <c r="F182" s="112">
        <f t="shared" ref="F182:G182" si="27">$D$182*F183</f>
        <v>0</v>
      </c>
      <c r="G182" s="112">
        <f t="shared" si="27"/>
        <v>12333.470000000001</v>
      </c>
    </row>
    <row r="183" spans="1:8" x14ac:dyDescent="0.3">
      <c r="A183" s="418"/>
      <c r="B183" s="419"/>
      <c r="C183" s="420"/>
      <c r="D183" s="421"/>
      <c r="E183" s="113"/>
      <c r="F183" s="113"/>
      <c r="G183" s="113">
        <v>1</v>
      </c>
    </row>
    <row r="184" spans="1:8" x14ac:dyDescent="0.3">
      <c r="A184" s="165"/>
      <c r="B184" s="165"/>
      <c r="C184" s="165"/>
      <c r="D184" s="165"/>
      <c r="E184" s="165"/>
      <c r="F184" s="165"/>
      <c r="G184" s="165"/>
    </row>
    <row r="185" spans="1:8" x14ac:dyDescent="0.3">
      <c r="A185" s="418" t="s">
        <v>254</v>
      </c>
      <c r="B185" s="419" t="str">
        <f>B42</f>
        <v>SINALIZAÇÃO</v>
      </c>
      <c r="C185" s="420">
        <f>D185/$D$236</f>
        <v>7.1240735414916179E-4</v>
      </c>
      <c r="D185" s="421">
        <f>'ORÇAMENTO SD'!H217</f>
        <v>1299.97</v>
      </c>
      <c r="E185" s="112">
        <f>$D$185*E186</f>
        <v>0</v>
      </c>
      <c r="F185" s="112">
        <f t="shared" ref="F185:G185" si="28">$D$185*F186</f>
        <v>0</v>
      </c>
      <c r="G185" s="112">
        <f t="shared" si="28"/>
        <v>1299.97</v>
      </c>
    </row>
    <row r="186" spans="1:8" x14ac:dyDescent="0.3">
      <c r="A186" s="418"/>
      <c r="B186" s="419"/>
      <c r="C186" s="420"/>
      <c r="D186" s="421"/>
      <c r="E186" s="113"/>
      <c r="F186" s="113"/>
      <c r="G186" s="113">
        <v>1</v>
      </c>
    </row>
    <row r="187" spans="1:8" x14ac:dyDescent="0.3">
      <c r="A187" s="251"/>
      <c r="B187" s="252"/>
      <c r="C187" s="253"/>
      <c r="D187" s="254"/>
      <c r="E187" s="113"/>
      <c r="F187" s="113"/>
      <c r="G187" s="113"/>
    </row>
    <row r="188" spans="1:8" x14ac:dyDescent="0.3">
      <c r="A188" s="393" t="str">
        <f>'ORÇAMENTO SD'!A221:G221</f>
        <v>RUA PROJETADA (LAGOA FUNDA)</v>
      </c>
      <c r="B188" s="393"/>
      <c r="C188" s="393"/>
      <c r="D188" s="393"/>
      <c r="E188" s="393"/>
      <c r="F188" s="393"/>
      <c r="G188" s="393"/>
    </row>
    <row r="189" spans="1:8" x14ac:dyDescent="0.3">
      <c r="A189" s="418" t="s">
        <v>32</v>
      </c>
      <c r="B189" s="419" t="str">
        <f>B46</f>
        <v>TERRAPLENAGEM</v>
      </c>
      <c r="C189" s="420">
        <f>D189/$D$236</f>
        <v>1.4993780786880519E-4</v>
      </c>
      <c r="D189" s="421">
        <f>'ORÇAMENTO SD'!H222</f>
        <v>273.60000000000002</v>
      </c>
      <c r="E189" s="112">
        <f>$D$189*E190</f>
        <v>0</v>
      </c>
      <c r="F189" s="112">
        <f t="shared" ref="F189:G189" si="29">$D$189*F190</f>
        <v>0</v>
      </c>
      <c r="G189" s="112">
        <f t="shared" si="29"/>
        <v>273.60000000000002</v>
      </c>
      <c r="H189" s="186" t="e">
        <f>#REF!+#REF!+#REF!+#REF!+#REF!-'RESUMO SD '!E21</f>
        <v>#REF!</v>
      </c>
    </row>
    <row r="190" spans="1:8" x14ac:dyDescent="0.3">
      <c r="A190" s="418"/>
      <c r="B190" s="419"/>
      <c r="C190" s="420"/>
      <c r="D190" s="421"/>
      <c r="E190" s="113"/>
      <c r="F190" s="113"/>
      <c r="G190" s="113">
        <v>1</v>
      </c>
    </row>
    <row r="191" spans="1:8" x14ac:dyDescent="0.3">
      <c r="A191" s="164"/>
      <c r="B191" s="164"/>
      <c r="C191" s="164"/>
      <c r="D191" s="164"/>
      <c r="E191" s="164"/>
      <c r="F191" s="164"/>
      <c r="G191" s="164"/>
    </row>
    <row r="192" spans="1:8" x14ac:dyDescent="0.3">
      <c r="A192" s="422" t="s">
        <v>167</v>
      </c>
      <c r="B192" s="423" t="str">
        <f>B49</f>
        <v>PAVIMENTAÇÃO</v>
      </c>
      <c r="C192" s="420">
        <f>D192/$D$236</f>
        <v>6.3184318333485978E-3</v>
      </c>
      <c r="D192" s="421">
        <f>'ORÇAMENTO SD'!H225</f>
        <v>11529.6</v>
      </c>
      <c r="E192" s="112">
        <f>$D$192*E193</f>
        <v>0</v>
      </c>
      <c r="F192" s="112">
        <f t="shared" ref="F192:G192" si="30">$D$192*F193</f>
        <v>0</v>
      </c>
      <c r="G192" s="112">
        <f t="shared" si="30"/>
        <v>11529.6</v>
      </c>
    </row>
    <row r="193" spans="1:8" x14ac:dyDescent="0.3">
      <c r="A193" s="422"/>
      <c r="B193" s="423"/>
      <c r="C193" s="420"/>
      <c r="D193" s="421"/>
      <c r="E193" s="113"/>
      <c r="F193" s="113"/>
      <c r="G193" s="113">
        <v>1</v>
      </c>
    </row>
    <row r="194" spans="1:8" x14ac:dyDescent="0.3">
      <c r="A194" s="165"/>
      <c r="B194" s="165"/>
      <c r="C194" s="165"/>
      <c r="D194" s="165"/>
      <c r="E194" s="165"/>
      <c r="F194" s="165"/>
      <c r="G194" s="165"/>
    </row>
    <row r="195" spans="1:8" x14ac:dyDescent="0.3">
      <c r="A195" s="418" t="s">
        <v>170</v>
      </c>
      <c r="B195" s="419" t="str">
        <f>B52</f>
        <v>SERVIÇOS COMPLEMENTARES</v>
      </c>
      <c r="C195" s="420">
        <f>D195/$D$236</f>
        <v>2.0416531504802308E-3</v>
      </c>
      <c r="D195" s="421">
        <f>'ORÇAMENTO SD'!H228</f>
        <v>3725.52</v>
      </c>
      <c r="E195" s="112">
        <f>$D$195*E196</f>
        <v>0</v>
      </c>
      <c r="F195" s="112">
        <f t="shared" ref="F195:G195" si="31">$D$195*F196</f>
        <v>0</v>
      </c>
      <c r="G195" s="112">
        <f t="shared" si="31"/>
        <v>3725.52</v>
      </c>
    </row>
    <row r="196" spans="1:8" x14ac:dyDescent="0.3">
      <c r="A196" s="418"/>
      <c r="B196" s="419"/>
      <c r="C196" s="420"/>
      <c r="D196" s="421"/>
      <c r="E196" s="113"/>
      <c r="F196" s="113"/>
      <c r="G196" s="113">
        <v>1</v>
      </c>
    </row>
    <row r="197" spans="1:8" x14ac:dyDescent="0.3">
      <c r="A197" s="165"/>
      <c r="B197" s="165"/>
      <c r="C197" s="165"/>
      <c r="D197" s="165"/>
      <c r="E197" s="165"/>
      <c r="F197" s="165"/>
      <c r="G197" s="165"/>
    </row>
    <row r="198" spans="1:8" x14ac:dyDescent="0.3">
      <c r="A198" s="418" t="s">
        <v>217</v>
      </c>
      <c r="B198" s="419" t="str">
        <f>B55</f>
        <v xml:space="preserve">TRANSPORTE </v>
      </c>
      <c r="C198" s="420">
        <f>D198/$D$236</f>
        <v>7.9517455854399236E-4</v>
      </c>
      <c r="D198" s="421">
        <f>'ORÇAMENTO SD'!H232</f>
        <v>1451</v>
      </c>
      <c r="E198" s="112">
        <f>$D$198*E199</f>
        <v>0</v>
      </c>
      <c r="F198" s="112">
        <f t="shared" ref="F198:G198" si="32">$D$198*F199</f>
        <v>0</v>
      </c>
      <c r="G198" s="112">
        <f t="shared" si="32"/>
        <v>1451</v>
      </c>
    </row>
    <row r="199" spans="1:8" x14ac:dyDescent="0.3">
      <c r="A199" s="418"/>
      <c r="B199" s="419"/>
      <c r="C199" s="420"/>
      <c r="D199" s="421"/>
      <c r="E199" s="113"/>
      <c r="F199" s="113"/>
      <c r="G199" s="113">
        <v>1</v>
      </c>
    </row>
    <row r="200" spans="1:8" x14ac:dyDescent="0.3">
      <c r="A200" s="165"/>
      <c r="B200" s="165"/>
      <c r="C200" s="165"/>
      <c r="D200" s="165"/>
      <c r="E200" s="165"/>
      <c r="F200" s="165"/>
      <c r="G200" s="165"/>
    </row>
    <row r="201" spans="1:8" x14ac:dyDescent="0.3">
      <c r="A201" s="418" t="s">
        <v>254</v>
      </c>
      <c r="B201" s="419" t="str">
        <f>B58</f>
        <v>SINALIZAÇÃO</v>
      </c>
      <c r="C201" s="420">
        <f>D201/$D$236</f>
        <v>7.1240735414916179E-4</v>
      </c>
      <c r="D201" s="421">
        <f>'ORÇAMENTO SD'!H236</f>
        <v>1299.97</v>
      </c>
      <c r="E201" s="112">
        <f>$D$201*E202</f>
        <v>0</v>
      </c>
      <c r="F201" s="112">
        <f t="shared" ref="F201:G201" si="33">$D$201*F202</f>
        <v>0</v>
      </c>
      <c r="G201" s="112">
        <f t="shared" si="33"/>
        <v>1299.97</v>
      </c>
    </row>
    <row r="202" spans="1:8" x14ac:dyDescent="0.3">
      <c r="A202" s="418"/>
      <c r="B202" s="419"/>
      <c r="C202" s="420"/>
      <c r="D202" s="421"/>
      <c r="E202" s="113"/>
      <c r="F202" s="113"/>
      <c r="G202" s="113">
        <v>1</v>
      </c>
    </row>
    <row r="203" spans="1:8" x14ac:dyDescent="0.3">
      <c r="A203" s="251"/>
      <c r="B203" s="252"/>
      <c r="C203" s="253"/>
      <c r="D203" s="254"/>
      <c r="E203" s="113"/>
      <c r="F203" s="113"/>
      <c r="G203" s="113"/>
    </row>
    <row r="204" spans="1:8" x14ac:dyDescent="0.3">
      <c r="A204" s="393" t="str">
        <f>'ORÇAMENTO SD'!A240:G240</f>
        <v xml:space="preserve">RUA PACAJÚ </v>
      </c>
      <c r="B204" s="393"/>
      <c r="C204" s="393"/>
      <c r="D204" s="393"/>
      <c r="E204" s="393"/>
      <c r="F204" s="393"/>
      <c r="G204" s="393"/>
    </row>
    <row r="205" spans="1:8" x14ac:dyDescent="0.3">
      <c r="A205" s="418" t="s">
        <v>32</v>
      </c>
      <c r="B205" s="419" t="str">
        <f>B189</f>
        <v>TERRAPLENAGEM</v>
      </c>
      <c r="C205" s="420">
        <f>D205/$D$236</f>
        <v>2.0204119610321499E-3</v>
      </c>
      <c r="D205" s="421">
        <f>'ORÇAMENTO SD'!H241</f>
        <v>3686.76</v>
      </c>
      <c r="E205" s="112">
        <f>$D$205*E206</f>
        <v>0</v>
      </c>
      <c r="F205" s="112">
        <f t="shared" ref="F205:G205" si="34">$D$205*F206</f>
        <v>0</v>
      </c>
      <c r="G205" s="112">
        <f t="shared" si="34"/>
        <v>3686.76</v>
      </c>
      <c r="H205" s="186" t="e">
        <f>#REF!+#REF!+#REF!+#REF!+#REF!-'RESUMO SD '!E22</f>
        <v>#REF!</v>
      </c>
    </row>
    <row r="206" spans="1:8" x14ac:dyDescent="0.3">
      <c r="A206" s="418"/>
      <c r="B206" s="419"/>
      <c r="C206" s="420"/>
      <c r="D206" s="421"/>
      <c r="E206" s="113"/>
      <c r="F206" s="113"/>
      <c r="G206" s="113">
        <v>1</v>
      </c>
    </row>
    <row r="207" spans="1:8" x14ac:dyDescent="0.3">
      <c r="A207" s="164"/>
      <c r="B207" s="164"/>
      <c r="C207" s="164"/>
      <c r="D207" s="164"/>
      <c r="E207" s="164"/>
      <c r="F207" s="164"/>
      <c r="G207" s="164"/>
    </row>
    <row r="208" spans="1:8" x14ac:dyDescent="0.3">
      <c r="A208" s="422" t="s">
        <v>167</v>
      </c>
      <c r="B208" s="423" t="str">
        <f>B192</f>
        <v>PAVIMENTAÇÃO</v>
      </c>
      <c r="C208" s="420">
        <f>D208/$D$236</f>
        <v>8.514086895437234E-2</v>
      </c>
      <c r="D208" s="421">
        <f>'ORÇAMENTO SD'!H244</f>
        <v>155361.35999999999</v>
      </c>
      <c r="E208" s="112">
        <f>$D$208*E209</f>
        <v>0</v>
      </c>
      <c r="F208" s="112">
        <f t="shared" ref="F208:G208" si="35">$D$208*F209</f>
        <v>0</v>
      </c>
      <c r="G208" s="112">
        <f t="shared" si="35"/>
        <v>155361.35999999999</v>
      </c>
    </row>
    <row r="209" spans="1:8" x14ac:dyDescent="0.3">
      <c r="A209" s="422"/>
      <c r="B209" s="423"/>
      <c r="C209" s="420"/>
      <c r="D209" s="421"/>
      <c r="E209" s="113"/>
      <c r="F209" s="113"/>
      <c r="G209" s="113">
        <v>1</v>
      </c>
    </row>
    <row r="210" spans="1:8" x14ac:dyDescent="0.3">
      <c r="A210" s="165"/>
      <c r="B210" s="165"/>
      <c r="C210" s="165"/>
      <c r="D210" s="165"/>
      <c r="E210" s="165"/>
      <c r="F210" s="165"/>
      <c r="G210" s="165"/>
    </row>
    <row r="211" spans="1:8" x14ac:dyDescent="0.3">
      <c r="A211" s="418" t="s">
        <v>170</v>
      </c>
      <c r="B211" s="419" t="str">
        <f>B195</f>
        <v>SERVIÇOS COMPLEMENTARES</v>
      </c>
      <c r="C211" s="420">
        <f>D211/$D$236</f>
        <v>2.0128701331378136E-2</v>
      </c>
      <c r="D211" s="421">
        <f>'ORÇAMENTO SD'!H247</f>
        <v>36729.980000000003</v>
      </c>
      <c r="E211" s="112">
        <f>$D$211*E212</f>
        <v>0</v>
      </c>
      <c r="F211" s="112">
        <f t="shared" ref="F211:G211" si="36">$D$211*F212</f>
        <v>0</v>
      </c>
      <c r="G211" s="112">
        <f t="shared" si="36"/>
        <v>36729.980000000003</v>
      </c>
    </row>
    <row r="212" spans="1:8" x14ac:dyDescent="0.3">
      <c r="A212" s="418"/>
      <c r="B212" s="419"/>
      <c r="C212" s="420"/>
      <c r="D212" s="421"/>
      <c r="E212" s="113"/>
      <c r="F212" s="113"/>
      <c r="G212" s="113">
        <v>1</v>
      </c>
    </row>
    <row r="213" spans="1:8" x14ac:dyDescent="0.3">
      <c r="A213" s="165"/>
      <c r="B213" s="165"/>
      <c r="C213" s="165"/>
      <c r="D213" s="165"/>
      <c r="E213" s="165"/>
      <c r="F213" s="165"/>
      <c r="G213" s="165"/>
    </row>
    <row r="214" spans="1:8" x14ac:dyDescent="0.3">
      <c r="A214" s="418" t="s">
        <v>217</v>
      </c>
      <c r="B214" s="419" t="str">
        <f>B198</f>
        <v xml:space="preserve">TRANSPORTE </v>
      </c>
      <c r="C214" s="420">
        <f>D214/$D$236</f>
        <v>1.0714952515556635E-2</v>
      </c>
      <c r="D214" s="421">
        <f>'ORÇAMENTO SD'!H251</f>
        <v>19552.18</v>
      </c>
      <c r="E214" s="112">
        <f>$D$214*E215</f>
        <v>0</v>
      </c>
      <c r="F214" s="112">
        <f t="shared" ref="F214:G214" si="37">$D$214*F215</f>
        <v>0</v>
      </c>
      <c r="G214" s="112">
        <f t="shared" si="37"/>
        <v>19552.18</v>
      </c>
    </row>
    <row r="215" spans="1:8" x14ac:dyDescent="0.3">
      <c r="A215" s="418"/>
      <c r="B215" s="419"/>
      <c r="C215" s="420"/>
      <c r="D215" s="421"/>
      <c r="E215" s="113"/>
      <c r="F215" s="113"/>
      <c r="G215" s="113">
        <v>1</v>
      </c>
    </row>
    <row r="216" spans="1:8" x14ac:dyDescent="0.3">
      <c r="A216" s="165"/>
      <c r="B216" s="165"/>
      <c r="C216" s="165"/>
      <c r="D216" s="165"/>
      <c r="E216" s="165"/>
      <c r="F216" s="165"/>
      <c r="G216" s="165"/>
    </row>
    <row r="217" spans="1:8" x14ac:dyDescent="0.3">
      <c r="A217" s="418" t="s">
        <v>254</v>
      </c>
      <c r="B217" s="419" t="str">
        <f>B201</f>
        <v>SINALIZAÇÃO</v>
      </c>
      <c r="C217" s="420">
        <f>D217/$D$236</f>
        <v>7.1240735414916179E-4</v>
      </c>
      <c r="D217" s="421">
        <f>'ORÇAMENTO SD'!H255</f>
        <v>1299.97</v>
      </c>
      <c r="E217" s="112">
        <f>$D$217*E218</f>
        <v>0</v>
      </c>
      <c r="F217" s="112">
        <f t="shared" ref="F217:G217" si="38">$D$217*F218</f>
        <v>0</v>
      </c>
      <c r="G217" s="112">
        <f t="shared" si="38"/>
        <v>1299.97</v>
      </c>
    </row>
    <row r="218" spans="1:8" x14ac:dyDescent="0.3">
      <c r="A218" s="418"/>
      <c r="B218" s="419"/>
      <c r="C218" s="420"/>
      <c r="D218" s="421"/>
      <c r="E218" s="113"/>
      <c r="F218" s="113"/>
      <c r="G218" s="113">
        <v>1</v>
      </c>
    </row>
    <row r="219" spans="1:8" x14ac:dyDescent="0.3">
      <c r="A219" s="251"/>
      <c r="B219" s="252"/>
      <c r="C219" s="253"/>
      <c r="D219" s="254"/>
      <c r="E219" s="113"/>
      <c r="F219" s="113"/>
      <c r="G219" s="113"/>
    </row>
    <row r="220" spans="1:8" x14ac:dyDescent="0.3">
      <c r="A220" s="393" t="str">
        <f>'ORÇAMENTO SD'!A259:G259</f>
        <v>RUA 07 DE ABRIL</v>
      </c>
      <c r="B220" s="393"/>
      <c r="C220" s="393"/>
      <c r="D220" s="393"/>
      <c r="E220" s="393"/>
      <c r="F220" s="393"/>
      <c r="G220" s="393"/>
    </row>
    <row r="221" spans="1:8" x14ac:dyDescent="0.3">
      <c r="A221" s="418" t="s">
        <v>32</v>
      </c>
      <c r="B221" s="419" t="str">
        <f>B205</f>
        <v>TERRAPLENAGEM</v>
      </c>
      <c r="C221" s="420">
        <f>D221/$D$236</f>
        <v>9.4460818957347269E-4</v>
      </c>
      <c r="D221" s="421">
        <f>'ORÇAMENTO SD'!H260</f>
        <v>1723.68</v>
      </c>
      <c r="E221" s="112">
        <f>$D$221*E222</f>
        <v>0</v>
      </c>
      <c r="F221" s="112">
        <f t="shared" ref="F221:G221" si="39">$D$221*F222</f>
        <v>0</v>
      </c>
      <c r="G221" s="112">
        <f t="shared" si="39"/>
        <v>1723.68</v>
      </c>
      <c r="H221" s="186" t="e">
        <f>#REF!+#REF!+#REF!+#REF!+#REF!-'RESUMO SD '!E23</f>
        <v>#REF!</v>
      </c>
    </row>
    <row r="222" spans="1:8" x14ac:dyDescent="0.3">
      <c r="A222" s="418"/>
      <c r="B222" s="419"/>
      <c r="C222" s="420"/>
      <c r="D222" s="421"/>
      <c r="E222" s="113"/>
      <c r="F222" s="113"/>
      <c r="G222" s="113">
        <v>1</v>
      </c>
    </row>
    <row r="223" spans="1:8" x14ac:dyDescent="0.3">
      <c r="A223" s="164"/>
      <c r="B223" s="164"/>
      <c r="C223" s="164"/>
      <c r="D223" s="164"/>
      <c r="E223" s="164"/>
      <c r="F223" s="164"/>
      <c r="G223" s="164"/>
    </row>
    <row r="224" spans="1:8" x14ac:dyDescent="0.3">
      <c r="A224" s="422" t="s">
        <v>167</v>
      </c>
      <c r="B224" s="423" t="str">
        <f>B208</f>
        <v>PAVIMENTAÇÃO</v>
      </c>
      <c r="C224" s="420">
        <f>D224/$D$236</f>
        <v>3.9806120550096163E-2</v>
      </c>
      <c r="D224" s="421">
        <f>'ORÇAMENTO SD'!H263</f>
        <v>72636.479999999996</v>
      </c>
      <c r="E224" s="112">
        <f>$D$224*E225</f>
        <v>0</v>
      </c>
      <c r="F224" s="112">
        <f t="shared" ref="F224:G224" si="40">$D$224*F225</f>
        <v>0</v>
      </c>
      <c r="G224" s="112">
        <f t="shared" si="40"/>
        <v>72636.479999999996</v>
      </c>
    </row>
    <row r="225" spans="1:8" x14ac:dyDescent="0.3">
      <c r="A225" s="422"/>
      <c r="B225" s="423"/>
      <c r="C225" s="420"/>
      <c r="D225" s="421"/>
      <c r="E225" s="113"/>
      <c r="F225" s="113"/>
      <c r="G225" s="113">
        <v>1</v>
      </c>
    </row>
    <row r="226" spans="1:8" x14ac:dyDescent="0.3">
      <c r="A226" s="165"/>
      <c r="B226" s="165"/>
      <c r="C226" s="165"/>
      <c r="D226" s="165"/>
      <c r="E226" s="165"/>
      <c r="F226" s="165"/>
      <c r="G226" s="165"/>
    </row>
    <row r="227" spans="1:8" x14ac:dyDescent="0.3">
      <c r="A227" s="418" t="s">
        <v>170</v>
      </c>
      <c r="B227" s="419" t="str">
        <f>B211</f>
        <v>SERVIÇOS COMPLEMENTARES</v>
      </c>
      <c r="C227" s="420">
        <f>D227/$D$236</f>
        <v>1.1100198422631243E-2</v>
      </c>
      <c r="D227" s="421">
        <f>'ORÇAMENTO SD'!H266</f>
        <v>20255.16</v>
      </c>
      <c r="E227" s="112">
        <f>$D$227*E228</f>
        <v>0</v>
      </c>
      <c r="F227" s="112">
        <f t="shared" ref="F227:G227" si="41">$D$227*F228</f>
        <v>0</v>
      </c>
      <c r="G227" s="112">
        <f t="shared" si="41"/>
        <v>20255.16</v>
      </c>
    </row>
    <row r="228" spans="1:8" x14ac:dyDescent="0.3">
      <c r="A228" s="418"/>
      <c r="B228" s="419"/>
      <c r="C228" s="420"/>
      <c r="D228" s="421"/>
      <c r="E228" s="113"/>
      <c r="F228" s="113"/>
      <c r="G228" s="113">
        <v>1</v>
      </c>
    </row>
    <row r="229" spans="1:8" x14ac:dyDescent="0.3">
      <c r="A229" s="165"/>
      <c r="B229" s="165"/>
      <c r="C229" s="165"/>
      <c r="D229" s="165"/>
      <c r="E229" s="165"/>
      <c r="F229" s="165"/>
      <c r="G229" s="165"/>
    </row>
    <row r="230" spans="1:8" x14ac:dyDescent="0.3">
      <c r="A230" s="418" t="s">
        <v>217</v>
      </c>
      <c r="B230" s="419" t="str">
        <f>B214</f>
        <v xml:space="preserve">TRANSPORTE </v>
      </c>
      <c r="C230" s="420">
        <f>D230/$D$236</f>
        <v>5.0095887584610801E-3</v>
      </c>
      <c r="D230" s="421">
        <f>'ORÇAMENTO SD'!H270</f>
        <v>9141.2800000000007</v>
      </c>
      <c r="E230" s="112">
        <f>$D$230*E231</f>
        <v>0</v>
      </c>
      <c r="F230" s="112">
        <f t="shared" ref="F230:G230" si="42">$D$230*F231</f>
        <v>0</v>
      </c>
      <c r="G230" s="112">
        <f t="shared" si="42"/>
        <v>9141.2800000000007</v>
      </c>
    </row>
    <row r="231" spans="1:8" x14ac:dyDescent="0.3">
      <c r="A231" s="418"/>
      <c r="B231" s="419"/>
      <c r="C231" s="420"/>
      <c r="D231" s="421"/>
      <c r="E231" s="113"/>
      <c r="F231" s="113"/>
      <c r="G231" s="113">
        <v>1</v>
      </c>
    </row>
    <row r="232" spans="1:8" x14ac:dyDescent="0.3">
      <c r="A232" s="165"/>
      <c r="B232" s="165"/>
      <c r="C232" s="165"/>
      <c r="D232" s="165"/>
      <c r="E232" s="165"/>
      <c r="F232" s="165"/>
      <c r="G232" s="165"/>
    </row>
    <row r="233" spans="1:8" x14ac:dyDescent="0.3">
      <c r="A233" s="418" t="s">
        <v>254</v>
      </c>
      <c r="B233" s="419" t="str">
        <f>B217</f>
        <v>SINALIZAÇÃO</v>
      </c>
      <c r="C233" s="420">
        <f>D233/$D$236</f>
        <v>7.1240735414916179E-4</v>
      </c>
      <c r="D233" s="421">
        <f>'ORÇAMENTO SD'!H274</f>
        <v>1299.97</v>
      </c>
      <c r="E233" s="112">
        <f>$D$233*E234</f>
        <v>0</v>
      </c>
      <c r="F233" s="112">
        <f t="shared" ref="F233:G233" si="43">$D$233*F234</f>
        <v>0</v>
      </c>
      <c r="G233" s="112">
        <f t="shared" si="43"/>
        <v>1299.97</v>
      </c>
    </row>
    <row r="234" spans="1:8" x14ac:dyDescent="0.3">
      <c r="A234" s="418"/>
      <c r="B234" s="419"/>
      <c r="C234" s="420"/>
      <c r="D234" s="421"/>
      <c r="E234" s="113"/>
      <c r="F234" s="113"/>
      <c r="G234" s="113">
        <v>1</v>
      </c>
    </row>
    <row r="235" spans="1:8" x14ac:dyDescent="0.3">
      <c r="A235" s="165"/>
      <c r="B235" s="165"/>
      <c r="C235" s="165"/>
      <c r="D235" s="165"/>
      <c r="E235" s="165"/>
      <c r="F235" s="165"/>
      <c r="G235" s="165"/>
    </row>
    <row r="236" spans="1:8" x14ac:dyDescent="0.3">
      <c r="A236" s="430" t="s">
        <v>182</v>
      </c>
      <c r="B236" s="430"/>
      <c r="C236" s="434">
        <f>SUM(C8:C234)</f>
        <v>0.99999999999999933</v>
      </c>
      <c r="D236" s="431">
        <f>SUM(D8:D234)</f>
        <v>1824756.5700000003</v>
      </c>
      <c r="E236" s="121">
        <f>E8+E10+E14+E17+E20+E23+E26+E30+E33+E36+E39+E42+E46+E49+E52+E55+E58+E61+E64+E67+E70+E73+E77+E80+E83+E86+E89+E93+E96+E99+E102+E105+E109+E112+E115+E118+E121+E125+E128+E131+E134+E137+E141+E144+E147+E150+E153+E157+E160+E163+E166+E169+E173+E176+E179+E182+E185+E189+E192+E195+E198+E201+E205+E208+E211+E214+E217+E221+E224+E227+E230+E233</f>
        <v>618495.92149400013</v>
      </c>
      <c r="F236" s="121">
        <f t="shared" ref="F236:G236" si="44">F8+F10+F14+F17+F20+F23+F26+F30+F33+F36+F39+F42+F46+F49+F52+F55+F58+F61+F64+F67+F70+F73+F77+F80+F83+F86+F89+F93+F96+F99+F102+F105+F109+F112+F115+F118+F121+F125+F128+F131+F134+F137+F141+F144+F147+F150+F153+F157+F160+F163+F166+F169+F173+F176+F179+F182+F185+F189+F192+F195+F198+F201+F205+F208+F211+F214+F217+F221+F224+F227+F230+F233</f>
        <v>602168.69725299999</v>
      </c>
      <c r="G236" s="121">
        <f t="shared" si="44"/>
        <v>604091.95125299983</v>
      </c>
      <c r="H236" s="256"/>
    </row>
    <row r="237" spans="1:8" x14ac:dyDescent="0.3">
      <c r="A237" s="430"/>
      <c r="B237" s="430"/>
      <c r="C237" s="434"/>
      <c r="D237" s="432"/>
      <c r="E237" s="121">
        <f>E236</f>
        <v>618495.92149400013</v>
      </c>
      <c r="F237" s="121">
        <f>F236+E237</f>
        <v>1220664.6187470001</v>
      </c>
      <c r="G237" s="255">
        <f>G236+F237</f>
        <v>1824756.5699999998</v>
      </c>
    </row>
    <row r="238" spans="1:8" x14ac:dyDescent="0.3">
      <c r="A238" s="430" t="s">
        <v>183</v>
      </c>
      <c r="B238" s="430"/>
      <c r="C238" s="434"/>
      <c r="D238" s="432"/>
      <c r="E238" s="122">
        <f>E236/$D$236</f>
        <v>0.33894708568935311</v>
      </c>
      <c r="F238" s="122">
        <f>F236/$D$236</f>
        <v>0.32999946795807394</v>
      </c>
      <c r="G238" s="122">
        <f>G236/$D$236</f>
        <v>0.33105344635257278</v>
      </c>
    </row>
    <row r="239" spans="1:8" x14ac:dyDescent="0.3">
      <c r="A239" s="430"/>
      <c r="B239" s="430"/>
      <c r="C239" s="434"/>
      <c r="D239" s="433"/>
      <c r="E239" s="122">
        <f>E238</f>
        <v>0.33894708568935311</v>
      </c>
      <c r="F239" s="122">
        <f>E239+F238</f>
        <v>0.66894655364742706</v>
      </c>
      <c r="G239" s="122">
        <f t="shared" ref="G239" si="45">F239+G238</f>
        <v>0.99999999999999978</v>
      </c>
    </row>
    <row r="241" spans="3:4" x14ac:dyDescent="0.3">
      <c r="C241" s="172"/>
      <c r="D241" s="168">
        <f>'RESUMO SD '!F25</f>
        <v>1824756.5699999998</v>
      </c>
    </row>
    <row r="242" spans="3:4" x14ac:dyDescent="0.3">
      <c r="D242" s="168">
        <f>D236-D241</f>
        <v>0</v>
      </c>
    </row>
    <row r="243" spans="3:4" x14ac:dyDescent="0.3">
      <c r="D243" s="169">
        <f>D236-G237</f>
        <v>0</v>
      </c>
    </row>
    <row r="246" spans="3:4" x14ac:dyDescent="0.3">
      <c r="D246" s="182"/>
    </row>
  </sheetData>
  <mergeCells count="318">
    <mergeCell ref="A230:A231"/>
    <mergeCell ref="B230:B231"/>
    <mergeCell ref="C230:C231"/>
    <mergeCell ref="D230:D231"/>
    <mergeCell ref="A233:A234"/>
    <mergeCell ref="B233:B234"/>
    <mergeCell ref="C233:C234"/>
    <mergeCell ref="D233:D234"/>
    <mergeCell ref="D236:D239"/>
    <mergeCell ref="A238:B239"/>
    <mergeCell ref="C236:C239"/>
    <mergeCell ref="A221:A222"/>
    <mergeCell ref="B221:B222"/>
    <mergeCell ref="C221:C222"/>
    <mergeCell ref="D221:D222"/>
    <mergeCell ref="A224:A225"/>
    <mergeCell ref="B224:B225"/>
    <mergeCell ref="C224:C225"/>
    <mergeCell ref="D224:D225"/>
    <mergeCell ref="A227:A228"/>
    <mergeCell ref="B227:B228"/>
    <mergeCell ref="C227:C228"/>
    <mergeCell ref="D227:D228"/>
    <mergeCell ref="A214:A215"/>
    <mergeCell ref="B214:B215"/>
    <mergeCell ref="C214:C215"/>
    <mergeCell ref="D214:D215"/>
    <mergeCell ref="A217:A218"/>
    <mergeCell ref="B217:B218"/>
    <mergeCell ref="C217:C218"/>
    <mergeCell ref="D217:D218"/>
    <mergeCell ref="A220:G220"/>
    <mergeCell ref="A205:A206"/>
    <mergeCell ref="B205:B206"/>
    <mergeCell ref="C205:C206"/>
    <mergeCell ref="D205:D206"/>
    <mergeCell ref="A208:A209"/>
    <mergeCell ref="B208:B209"/>
    <mergeCell ref="C208:C209"/>
    <mergeCell ref="D208:D209"/>
    <mergeCell ref="A211:A212"/>
    <mergeCell ref="B211:B212"/>
    <mergeCell ref="C211:C212"/>
    <mergeCell ref="D211:D212"/>
    <mergeCell ref="A198:A199"/>
    <mergeCell ref="B198:B199"/>
    <mergeCell ref="C198:C199"/>
    <mergeCell ref="D198:D199"/>
    <mergeCell ref="A201:A202"/>
    <mergeCell ref="B201:B202"/>
    <mergeCell ref="C201:C202"/>
    <mergeCell ref="D201:D202"/>
    <mergeCell ref="A204:G204"/>
    <mergeCell ref="A189:A190"/>
    <mergeCell ref="B189:B190"/>
    <mergeCell ref="C189:C190"/>
    <mergeCell ref="D189:D190"/>
    <mergeCell ref="A192:A193"/>
    <mergeCell ref="B192:B193"/>
    <mergeCell ref="C192:C193"/>
    <mergeCell ref="D192:D193"/>
    <mergeCell ref="A195:A196"/>
    <mergeCell ref="B195:B196"/>
    <mergeCell ref="C195:C196"/>
    <mergeCell ref="D195:D196"/>
    <mergeCell ref="A169:A170"/>
    <mergeCell ref="B169:B170"/>
    <mergeCell ref="C169:C170"/>
    <mergeCell ref="D169:D170"/>
    <mergeCell ref="A188:G188"/>
    <mergeCell ref="A173:A174"/>
    <mergeCell ref="B173:B174"/>
    <mergeCell ref="C173:C174"/>
    <mergeCell ref="D173:D174"/>
    <mergeCell ref="A176:A177"/>
    <mergeCell ref="B176:B177"/>
    <mergeCell ref="C176:C177"/>
    <mergeCell ref="D176:D177"/>
    <mergeCell ref="A185:A186"/>
    <mergeCell ref="B185:B186"/>
    <mergeCell ref="C185:C186"/>
    <mergeCell ref="D185:D186"/>
    <mergeCell ref="A86:A87"/>
    <mergeCell ref="B86:B87"/>
    <mergeCell ref="C86:C87"/>
    <mergeCell ref="D86:D87"/>
    <mergeCell ref="A89:A90"/>
    <mergeCell ref="B89:B90"/>
    <mergeCell ref="C89:C90"/>
    <mergeCell ref="D89:D90"/>
    <mergeCell ref="A80:A81"/>
    <mergeCell ref="B80:B81"/>
    <mergeCell ref="C80:C81"/>
    <mergeCell ref="D80:D81"/>
    <mergeCell ref="A83:A84"/>
    <mergeCell ref="B83:B84"/>
    <mergeCell ref="C83:C84"/>
    <mergeCell ref="D83:D84"/>
    <mergeCell ref="A77:A78"/>
    <mergeCell ref="B77:B78"/>
    <mergeCell ref="C77:C78"/>
    <mergeCell ref="D77:D78"/>
    <mergeCell ref="A70:A71"/>
    <mergeCell ref="B70:B71"/>
    <mergeCell ref="C70:C71"/>
    <mergeCell ref="D70:D71"/>
    <mergeCell ref="A73:A74"/>
    <mergeCell ref="B73:B74"/>
    <mergeCell ref="C73:C74"/>
    <mergeCell ref="D73:D74"/>
    <mergeCell ref="A64:A65"/>
    <mergeCell ref="B64:B65"/>
    <mergeCell ref="C64:C65"/>
    <mergeCell ref="D64:D65"/>
    <mergeCell ref="A67:A68"/>
    <mergeCell ref="B67:B68"/>
    <mergeCell ref="C67:C68"/>
    <mergeCell ref="D67:D68"/>
    <mergeCell ref="A61:A62"/>
    <mergeCell ref="B61:B62"/>
    <mergeCell ref="C61:C62"/>
    <mergeCell ref="D61:D62"/>
    <mergeCell ref="A55:A56"/>
    <mergeCell ref="B55:B56"/>
    <mergeCell ref="C55:C56"/>
    <mergeCell ref="D55:D56"/>
    <mergeCell ref="A58:A59"/>
    <mergeCell ref="B58:B59"/>
    <mergeCell ref="C58:C59"/>
    <mergeCell ref="D58:D59"/>
    <mergeCell ref="A49:A50"/>
    <mergeCell ref="B49:B50"/>
    <mergeCell ref="C49:C50"/>
    <mergeCell ref="D49:D50"/>
    <mergeCell ref="A52:A53"/>
    <mergeCell ref="B52:B53"/>
    <mergeCell ref="C52:C53"/>
    <mergeCell ref="D52:D53"/>
    <mergeCell ref="D36:D37"/>
    <mergeCell ref="A39:A40"/>
    <mergeCell ref="B39:B40"/>
    <mergeCell ref="A46:A47"/>
    <mergeCell ref="B46:B47"/>
    <mergeCell ref="C46:C47"/>
    <mergeCell ref="D46:D47"/>
    <mergeCell ref="C39:C40"/>
    <mergeCell ref="D39:D40"/>
    <mergeCell ref="A42:A43"/>
    <mergeCell ref="B42:B43"/>
    <mergeCell ref="C42:C43"/>
    <mergeCell ref="D42:D43"/>
    <mergeCell ref="A23:A24"/>
    <mergeCell ref="B23:B24"/>
    <mergeCell ref="C23:C24"/>
    <mergeCell ref="D23:D24"/>
    <mergeCell ref="D26:D27"/>
    <mergeCell ref="A26:A27"/>
    <mergeCell ref="B26:B27"/>
    <mergeCell ref="C26:C27"/>
    <mergeCell ref="A236:B237"/>
    <mergeCell ref="A30:A31"/>
    <mergeCell ref="B30:B31"/>
    <mergeCell ref="C30:C31"/>
    <mergeCell ref="D30:D31"/>
    <mergeCell ref="A33:A34"/>
    <mergeCell ref="B33:B34"/>
    <mergeCell ref="C33:C34"/>
    <mergeCell ref="D33:D34"/>
    <mergeCell ref="A36:A37"/>
    <mergeCell ref="B36:B37"/>
    <mergeCell ref="C36:C37"/>
    <mergeCell ref="A93:A94"/>
    <mergeCell ref="B93:B94"/>
    <mergeCell ref="C93:C94"/>
    <mergeCell ref="D93:D94"/>
    <mergeCell ref="A20:A21"/>
    <mergeCell ref="B20:B21"/>
    <mergeCell ref="C20:C21"/>
    <mergeCell ref="D20:D21"/>
    <mergeCell ref="A10:A11"/>
    <mergeCell ref="A17:A18"/>
    <mergeCell ref="B17:B18"/>
    <mergeCell ref="C17:C18"/>
    <mergeCell ref="D17:D18"/>
    <mergeCell ref="A3:A4"/>
    <mergeCell ref="B3:B4"/>
    <mergeCell ref="C3:C4"/>
    <mergeCell ref="D3:D4"/>
    <mergeCell ref="D10:D11"/>
    <mergeCell ref="A14:A15"/>
    <mergeCell ref="B14:B15"/>
    <mergeCell ref="C14:C15"/>
    <mergeCell ref="D14:D15"/>
    <mergeCell ref="A6:A7"/>
    <mergeCell ref="B6:B7"/>
    <mergeCell ref="C6:C7"/>
    <mergeCell ref="B10:B11"/>
    <mergeCell ref="C10:C11"/>
    <mergeCell ref="A8:A9"/>
    <mergeCell ref="B8:B9"/>
    <mergeCell ref="C8:C9"/>
    <mergeCell ref="D8:D9"/>
    <mergeCell ref="D6:D7"/>
    <mergeCell ref="A96:A97"/>
    <mergeCell ref="B96:B97"/>
    <mergeCell ref="C96:C97"/>
    <mergeCell ref="D96:D97"/>
    <mergeCell ref="A92:G92"/>
    <mergeCell ref="A99:A100"/>
    <mergeCell ref="B99:B100"/>
    <mergeCell ref="C99:C100"/>
    <mergeCell ref="D99:D100"/>
    <mergeCell ref="A102:A103"/>
    <mergeCell ref="B102:B103"/>
    <mergeCell ref="C102:C103"/>
    <mergeCell ref="D102:D103"/>
    <mergeCell ref="A105:A106"/>
    <mergeCell ref="B105:B106"/>
    <mergeCell ref="C105:C106"/>
    <mergeCell ref="D105:D106"/>
    <mergeCell ref="A109:A110"/>
    <mergeCell ref="B109:B110"/>
    <mergeCell ref="C109:C110"/>
    <mergeCell ref="D109:D110"/>
    <mergeCell ref="A112:A113"/>
    <mergeCell ref="B112:B113"/>
    <mergeCell ref="C112:C113"/>
    <mergeCell ref="D112:D113"/>
    <mergeCell ref="A108:G108"/>
    <mergeCell ref="A115:A116"/>
    <mergeCell ref="B115:B116"/>
    <mergeCell ref="C115:C116"/>
    <mergeCell ref="D115:D116"/>
    <mergeCell ref="A118:A119"/>
    <mergeCell ref="B118:B119"/>
    <mergeCell ref="C118:C119"/>
    <mergeCell ref="D118:D119"/>
    <mergeCell ref="A121:A122"/>
    <mergeCell ref="B121:B122"/>
    <mergeCell ref="C121:C122"/>
    <mergeCell ref="D121:D122"/>
    <mergeCell ref="A134:A135"/>
    <mergeCell ref="B134:B135"/>
    <mergeCell ref="C134:C135"/>
    <mergeCell ref="D134:D135"/>
    <mergeCell ref="A124:G124"/>
    <mergeCell ref="A137:A138"/>
    <mergeCell ref="B137:B138"/>
    <mergeCell ref="C137:C138"/>
    <mergeCell ref="D137:D138"/>
    <mergeCell ref="A125:A126"/>
    <mergeCell ref="B125:B126"/>
    <mergeCell ref="C125:C126"/>
    <mergeCell ref="D125:D126"/>
    <mergeCell ref="A128:A129"/>
    <mergeCell ref="B128:B129"/>
    <mergeCell ref="C128:C129"/>
    <mergeCell ref="D128:D129"/>
    <mergeCell ref="A147:A148"/>
    <mergeCell ref="B147:B148"/>
    <mergeCell ref="C147:C148"/>
    <mergeCell ref="D147:D148"/>
    <mergeCell ref="A150:A151"/>
    <mergeCell ref="B150:B151"/>
    <mergeCell ref="C150:C151"/>
    <mergeCell ref="D150:D151"/>
    <mergeCell ref="A153:A154"/>
    <mergeCell ref="B153:B154"/>
    <mergeCell ref="C153:C154"/>
    <mergeCell ref="D153:D154"/>
    <mergeCell ref="A157:A158"/>
    <mergeCell ref="B157:B158"/>
    <mergeCell ref="C157:C158"/>
    <mergeCell ref="A179:A180"/>
    <mergeCell ref="B179:B180"/>
    <mergeCell ref="C179:C180"/>
    <mergeCell ref="D179:D180"/>
    <mergeCell ref="A182:A183"/>
    <mergeCell ref="B182:B183"/>
    <mergeCell ref="C182:C183"/>
    <mergeCell ref="D182:D183"/>
    <mergeCell ref="D157:D158"/>
    <mergeCell ref="A160:A161"/>
    <mergeCell ref="B160:B161"/>
    <mergeCell ref="C160:C161"/>
    <mergeCell ref="D160:D161"/>
    <mergeCell ref="A163:A164"/>
    <mergeCell ref="B163:B164"/>
    <mergeCell ref="C163:C164"/>
    <mergeCell ref="D163:D164"/>
    <mergeCell ref="A166:A167"/>
    <mergeCell ref="B166:B167"/>
    <mergeCell ref="C166:C167"/>
    <mergeCell ref="D166:D167"/>
    <mergeCell ref="A140:G140"/>
    <mergeCell ref="A172:G172"/>
    <mergeCell ref="A1:G1"/>
    <mergeCell ref="A2:G2"/>
    <mergeCell ref="E3:G3"/>
    <mergeCell ref="B5:G5"/>
    <mergeCell ref="A29:G29"/>
    <mergeCell ref="A13:G13"/>
    <mergeCell ref="A45:G45"/>
    <mergeCell ref="A60:G60"/>
    <mergeCell ref="A76:G76"/>
    <mergeCell ref="A141:A142"/>
    <mergeCell ref="B141:B142"/>
    <mergeCell ref="C141:C142"/>
    <mergeCell ref="D141:D142"/>
    <mergeCell ref="A144:A145"/>
    <mergeCell ref="B144:B145"/>
    <mergeCell ref="C144:C145"/>
    <mergeCell ref="D144:D145"/>
    <mergeCell ref="A131:A132"/>
    <mergeCell ref="B131:B132"/>
    <mergeCell ref="C131:C132"/>
    <mergeCell ref="D131:D132"/>
    <mergeCell ref="A156:G156"/>
  </mergeCells>
  <conditionalFormatting sqref="E16:G16">
    <cfRule type="expression" dxfId="102" priority="77" stopIfTrue="1">
      <formula>LEN(TRIM(E16))&gt;0</formula>
    </cfRule>
  </conditionalFormatting>
  <conditionalFormatting sqref="E19:G19">
    <cfRule type="expression" dxfId="101" priority="76" stopIfTrue="1">
      <formula>LEN(TRIM(E19))&gt;0</formula>
    </cfRule>
  </conditionalFormatting>
  <conditionalFormatting sqref="E22:G22">
    <cfRule type="expression" dxfId="100" priority="54" stopIfTrue="1">
      <formula>LEN(TRIM(E22))&gt;0</formula>
    </cfRule>
  </conditionalFormatting>
  <conditionalFormatting sqref="E25:G25 E235:G235">
    <cfRule type="expression" dxfId="99" priority="72" stopIfTrue="1">
      <formula>LEN(TRIM(E25))&gt;0</formula>
    </cfRule>
  </conditionalFormatting>
  <conditionalFormatting sqref="E32:G32">
    <cfRule type="expression" dxfId="98" priority="52" stopIfTrue="1">
      <formula>LEN(TRIM(E32))&gt;0</formula>
    </cfRule>
  </conditionalFormatting>
  <conditionalFormatting sqref="E35:G35">
    <cfRule type="expression" dxfId="97" priority="51" stopIfTrue="1">
      <formula>LEN(TRIM(E35))&gt;0</formula>
    </cfRule>
  </conditionalFormatting>
  <conditionalFormatting sqref="E38:G38">
    <cfRule type="expression" dxfId="96" priority="49" stopIfTrue="1">
      <formula>LEN(TRIM(E38))&gt;0</formula>
    </cfRule>
  </conditionalFormatting>
  <conditionalFormatting sqref="E41:G41">
    <cfRule type="expression" dxfId="95" priority="50" stopIfTrue="1">
      <formula>LEN(TRIM(E41))&gt;0</formula>
    </cfRule>
  </conditionalFormatting>
  <conditionalFormatting sqref="E48:G48">
    <cfRule type="expression" dxfId="94" priority="48" stopIfTrue="1">
      <formula>LEN(TRIM(E48))&gt;0</formula>
    </cfRule>
  </conditionalFormatting>
  <conditionalFormatting sqref="E51:G51">
    <cfRule type="expression" dxfId="93" priority="47" stopIfTrue="1">
      <formula>LEN(TRIM(E51))&gt;0</formula>
    </cfRule>
  </conditionalFormatting>
  <conditionalFormatting sqref="E54:G54">
    <cfRule type="expression" dxfId="92" priority="45" stopIfTrue="1">
      <formula>LEN(TRIM(E54))&gt;0</formula>
    </cfRule>
  </conditionalFormatting>
  <conditionalFormatting sqref="E57:G57">
    <cfRule type="expression" dxfId="91" priority="46" stopIfTrue="1">
      <formula>LEN(TRIM(E57))&gt;0</formula>
    </cfRule>
  </conditionalFormatting>
  <conditionalFormatting sqref="E63:G63">
    <cfRule type="expression" dxfId="90" priority="44" stopIfTrue="1">
      <formula>LEN(TRIM(E63))&gt;0</formula>
    </cfRule>
  </conditionalFormatting>
  <conditionalFormatting sqref="E66:G66">
    <cfRule type="expression" dxfId="89" priority="43" stopIfTrue="1">
      <formula>LEN(TRIM(E66))&gt;0</formula>
    </cfRule>
  </conditionalFormatting>
  <conditionalFormatting sqref="E69:G69">
    <cfRule type="expression" dxfId="88" priority="41" stopIfTrue="1">
      <formula>LEN(TRIM(E69))&gt;0</formula>
    </cfRule>
  </conditionalFormatting>
  <conditionalFormatting sqref="E72:G72">
    <cfRule type="expression" dxfId="87" priority="42" stopIfTrue="1">
      <formula>LEN(TRIM(E72))&gt;0</formula>
    </cfRule>
  </conditionalFormatting>
  <conditionalFormatting sqref="E79:G79">
    <cfRule type="expression" dxfId="86" priority="40" stopIfTrue="1">
      <formula>LEN(TRIM(E79))&gt;0</formula>
    </cfRule>
  </conditionalFormatting>
  <conditionalFormatting sqref="E82:G82">
    <cfRule type="expression" dxfId="85" priority="39" stopIfTrue="1">
      <formula>LEN(TRIM(E82))&gt;0</formula>
    </cfRule>
  </conditionalFormatting>
  <conditionalFormatting sqref="E85:G85">
    <cfRule type="expression" dxfId="84" priority="37" stopIfTrue="1">
      <formula>LEN(TRIM(E85))&gt;0</formula>
    </cfRule>
  </conditionalFormatting>
  <conditionalFormatting sqref="E88:G88">
    <cfRule type="expression" dxfId="83" priority="38" stopIfTrue="1">
      <formula>LEN(TRIM(E88))&gt;0</formula>
    </cfRule>
  </conditionalFormatting>
  <conditionalFormatting sqref="E95:G95">
    <cfRule type="expression" dxfId="82" priority="36" stopIfTrue="1">
      <formula>LEN(TRIM(E95))&gt;0</formula>
    </cfRule>
  </conditionalFormatting>
  <conditionalFormatting sqref="E98:G98">
    <cfRule type="expression" dxfId="81" priority="35" stopIfTrue="1">
      <formula>LEN(TRIM(E98))&gt;0</formula>
    </cfRule>
  </conditionalFormatting>
  <conditionalFormatting sqref="E101:G101">
    <cfRule type="expression" dxfId="80" priority="33" stopIfTrue="1">
      <formula>LEN(TRIM(E101))&gt;0</formula>
    </cfRule>
  </conditionalFormatting>
  <conditionalFormatting sqref="E104:G104">
    <cfRule type="expression" dxfId="79" priority="34" stopIfTrue="1">
      <formula>LEN(TRIM(E104))&gt;0</formula>
    </cfRule>
  </conditionalFormatting>
  <conditionalFormatting sqref="E111:G111">
    <cfRule type="expression" dxfId="78" priority="32" stopIfTrue="1">
      <formula>LEN(TRIM(E111))&gt;0</formula>
    </cfRule>
  </conditionalFormatting>
  <conditionalFormatting sqref="E114:G114">
    <cfRule type="expression" dxfId="77" priority="31" stopIfTrue="1">
      <formula>LEN(TRIM(E114))&gt;0</formula>
    </cfRule>
  </conditionalFormatting>
  <conditionalFormatting sqref="E117:G117">
    <cfRule type="expression" dxfId="76" priority="29" stopIfTrue="1">
      <formula>LEN(TRIM(E117))&gt;0</formula>
    </cfRule>
  </conditionalFormatting>
  <conditionalFormatting sqref="E120:G120">
    <cfRule type="expression" dxfId="75" priority="30" stopIfTrue="1">
      <formula>LEN(TRIM(E120))&gt;0</formula>
    </cfRule>
  </conditionalFormatting>
  <conditionalFormatting sqref="E127:G127">
    <cfRule type="expression" dxfId="74" priority="28" stopIfTrue="1">
      <formula>LEN(TRIM(E127))&gt;0</formula>
    </cfRule>
  </conditionalFormatting>
  <conditionalFormatting sqref="E130:G130">
    <cfRule type="expression" dxfId="73" priority="27" stopIfTrue="1">
      <formula>LEN(TRIM(E130))&gt;0</formula>
    </cfRule>
  </conditionalFormatting>
  <conditionalFormatting sqref="E133:G133">
    <cfRule type="expression" dxfId="72" priority="25" stopIfTrue="1">
      <formula>LEN(TRIM(E133))&gt;0</formula>
    </cfRule>
  </conditionalFormatting>
  <conditionalFormatting sqref="E136:G136">
    <cfRule type="expression" dxfId="71" priority="26" stopIfTrue="1">
      <formula>LEN(TRIM(E136))&gt;0</formula>
    </cfRule>
  </conditionalFormatting>
  <conditionalFormatting sqref="E143:G143">
    <cfRule type="expression" dxfId="70" priority="24" stopIfTrue="1">
      <formula>LEN(TRIM(E143))&gt;0</formula>
    </cfRule>
  </conditionalFormatting>
  <conditionalFormatting sqref="E146:G146">
    <cfRule type="expression" dxfId="69" priority="23" stopIfTrue="1">
      <formula>LEN(TRIM(E146))&gt;0</formula>
    </cfRule>
  </conditionalFormatting>
  <conditionalFormatting sqref="E149:G149">
    <cfRule type="expression" dxfId="68" priority="21" stopIfTrue="1">
      <formula>LEN(TRIM(E149))&gt;0</formula>
    </cfRule>
  </conditionalFormatting>
  <conditionalFormatting sqref="E152:G152">
    <cfRule type="expression" dxfId="67" priority="22" stopIfTrue="1">
      <formula>LEN(TRIM(E152))&gt;0</formula>
    </cfRule>
  </conditionalFormatting>
  <conditionalFormatting sqref="E159:G159">
    <cfRule type="expression" dxfId="66" priority="16" stopIfTrue="1">
      <formula>LEN(TRIM(E159))&gt;0</formula>
    </cfRule>
  </conditionalFormatting>
  <conditionalFormatting sqref="E162:G162">
    <cfRule type="expression" dxfId="65" priority="15" stopIfTrue="1">
      <formula>LEN(TRIM(E162))&gt;0</formula>
    </cfRule>
  </conditionalFormatting>
  <conditionalFormatting sqref="E165:G165">
    <cfRule type="expression" dxfId="64" priority="13" stopIfTrue="1">
      <formula>LEN(TRIM(E165))&gt;0</formula>
    </cfRule>
  </conditionalFormatting>
  <conditionalFormatting sqref="E168:G168">
    <cfRule type="expression" dxfId="63" priority="14" stopIfTrue="1">
      <formula>LEN(TRIM(E168))&gt;0</formula>
    </cfRule>
  </conditionalFormatting>
  <conditionalFormatting sqref="E175:G175">
    <cfRule type="expression" dxfId="62" priority="20" stopIfTrue="1">
      <formula>LEN(TRIM(E175))&gt;0</formula>
    </cfRule>
  </conditionalFormatting>
  <conditionalFormatting sqref="E178:G178">
    <cfRule type="expression" dxfId="61" priority="19" stopIfTrue="1">
      <formula>LEN(TRIM(E178))&gt;0</formula>
    </cfRule>
  </conditionalFormatting>
  <conditionalFormatting sqref="E181:G181">
    <cfRule type="expression" dxfId="60" priority="17" stopIfTrue="1">
      <formula>LEN(TRIM(E181))&gt;0</formula>
    </cfRule>
  </conditionalFormatting>
  <conditionalFormatting sqref="E184:G184">
    <cfRule type="expression" dxfId="59" priority="18" stopIfTrue="1">
      <formula>LEN(TRIM(E184))&gt;0</formula>
    </cfRule>
  </conditionalFormatting>
  <conditionalFormatting sqref="E191:G191">
    <cfRule type="expression" dxfId="58" priority="12" stopIfTrue="1">
      <formula>LEN(TRIM(E191))&gt;0</formula>
    </cfRule>
  </conditionalFormatting>
  <conditionalFormatting sqref="E194:G194">
    <cfRule type="expression" dxfId="57" priority="11" stopIfTrue="1">
      <formula>LEN(TRIM(E194))&gt;0</formula>
    </cfRule>
  </conditionalFormatting>
  <conditionalFormatting sqref="E197:G197">
    <cfRule type="expression" dxfId="56" priority="9" stopIfTrue="1">
      <formula>LEN(TRIM(E197))&gt;0</formula>
    </cfRule>
  </conditionalFormatting>
  <conditionalFormatting sqref="E200:G200">
    <cfRule type="expression" dxfId="55" priority="10" stopIfTrue="1">
      <formula>LEN(TRIM(E200))&gt;0</formula>
    </cfRule>
  </conditionalFormatting>
  <conditionalFormatting sqref="E207:G207">
    <cfRule type="expression" dxfId="54" priority="8" stopIfTrue="1">
      <formula>LEN(TRIM(E207))&gt;0</formula>
    </cfRule>
  </conditionalFormatting>
  <conditionalFormatting sqref="E210:G210">
    <cfRule type="expression" dxfId="53" priority="7" stopIfTrue="1">
      <formula>LEN(TRIM(E210))&gt;0</formula>
    </cfRule>
  </conditionalFormatting>
  <conditionalFormatting sqref="E213:G213">
    <cfRule type="expression" dxfId="52" priority="5" stopIfTrue="1">
      <formula>LEN(TRIM(E213))&gt;0</formula>
    </cfRule>
  </conditionalFormatting>
  <conditionalFormatting sqref="E216:G216">
    <cfRule type="expression" dxfId="51" priority="6" stopIfTrue="1">
      <formula>LEN(TRIM(E216))&gt;0</formula>
    </cfRule>
  </conditionalFormatting>
  <conditionalFormatting sqref="E223:G223">
    <cfRule type="expression" dxfId="50" priority="4" stopIfTrue="1">
      <formula>LEN(TRIM(E223))&gt;0</formula>
    </cfRule>
  </conditionalFormatting>
  <conditionalFormatting sqref="E226:G226">
    <cfRule type="expression" dxfId="49" priority="3" stopIfTrue="1">
      <formula>LEN(TRIM(E226))&gt;0</formula>
    </cfRule>
  </conditionalFormatting>
  <conditionalFormatting sqref="E229:G229">
    <cfRule type="expression" dxfId="48" priority="1" stopIfTrue="1">
      <formula>LEN(TRIM(E229))&gt;0</formula>
    </cfRule>
  </conditionalFormatting>
  <conditionalFormatting sqref="E232:G232">
    <cfRule type="expression" dxfId="47" priority="2" stopIfTrue="1">
      <formula>LEN(TRIM(E232))&gt;0</formula>
    </cfRule>
  </conditionalFormatting>
  <pageMargins left="0.9055118110236221" right="0.51181102362204722" top="1.6141732283464567" bottom="0.19685039370078741" header="0.51181102362204722" footer="0.51181102362204722"/>
  <pageSetup paperSize="9" scale="78" fitToHeight="0" orientation="portrait" r:id="rId1"/>
  <headerFooter>
    <oddHeader>&amp;C&amp;G</oddHeader>
  </headerFooter>
  <rowBreaks count="3" manualBreakCount="3">
    <brk id="59" max="7" man="1"/>
    <brk id="107" max="7" man="1"/>
    <brk id="171" max="7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783"/>
  <sheetViews>
    <sheetView view="pageBreakPreview" zoomScaleNormal="100" zoomScaleSheetLayoutView="100" workbookViewId="0">
      <selection activeCell="C14" sqref="C14"/>
    </sheetView>
  </sheetViews>
  <sheetFormatPr defaultColWidth="9.109375" defaultRowHeight="13.2" x14ac:dyDescent="0.3"/>
  <cols>
    <col min="1" max="1" width="6.33203125" style="306" bestFit="1" customWidth="1"/>
    <col min="2" max="2" width="52.33203125" style="306" bestFit="1" customWidth="1"/>
    <col min="3" max="3" width="11.33203125" style="306" bestFit="1" customWidth="1"/>
    <col min="4" max="4" width="20.5546875" style="306" customWidth="1"/>
    <col min="5" max="5" width="42.6640625" style="306" customWidth="1"/>
    <col min="6" max="16384" width="9.109375" style="154"/>
  </cols>
  <sheetData>
    <row r="1" spans="1:5" ht="24.75" customHeight="1" x14ac:dyDescent="0.3">
      <c r="A1" s="276" t="str">
        <f>'RESUMO SD '!A2:B2</f>
        <v>PAVIMENTAÇÃO DE VIAS PÚBLICAS NO MUNÍCIO DE JOSÉ DE FREITAS - PI</v>
      </c>
      <c r="B1" s="277"/>
      <c r="C1" s="278"/>
      <c r="D1" s="278"/>
      <c r="E1" s="279"/>
    </row>
    <row r="2" spans="1:5" x14ac:dyDescent="0.3">
      <c r="A2" s="276" t="str">
        <f>'RESUMO SD '!A3:D3</f>
        <v>LOCAL: DIVERSAS</v>
      </c>
      <c r="B2" s="277"/>
      <c r="C2" s="278"/>
      <c r="D2" s="278"/>
      <c r="E2" s="280"/>
    </row>
    <row r="3" spans="1:5" x14ac:dyDescent="0.3">
      <c r="A3" s="439" t="s">
        <v>282</v>
      </c>
      <c r="B3" s="439"/>
      <c r="C3" s="439"/>
      <c r="D3" s="439"/>
      <c r="E3" s="439"/>
    </row>
    <row r="4" spans="1:5" ht="20.25" customHeight="1" x14ac:dyDescent="0.3">
      <c r="A4" s="440" t="s">
        <v>185</v>
      </c>
      <c r="B4" s="440"/>
      <c r="C4" s="440"/>
      <c r="D4" s="440"/>
      <c r="E4" s="440"/>
    </row>
    <row r="5" spans="1:5" x14ac:dyDescent="0.25">
      <c r="A5" s="281" t="s">
        <v>29</v>
      </c>
      <c r="B5" s="282" t="s">
        <v>30</v>
      </c>
      <c r="C5" s="283"/>
      <c r="D5" s="284"/>
      <c r="E5" s="285"/>
    </row>
    <row r="6" spans="1:5" x14ac:dyDescent="0.25">
      <c r="A6" s="286" t="s">
        <v>31</v>
      </c>
      <c r="B6" s="287" t="s">
        <v>36</v>
      </c>
      <c r="C6" s="288"/>
      <c r="D6" s="289"/>
      <c r="E6" s="290"/>
    </row>
    <row r="7" spans="1:5" x14ac:dyDescent="0.25">
      <c r="A7" s="290"/>
      <c r="B7" s="291" t="s">
        <v>283</v>
      </c>
      <c r="C7" s="155">
        <v>3</v>
      </c>
      <c r="D7" s="289" t="s">
        <v>174</v>
      </c>
      <c r="E7" s="290"/>
    </row>
    <row r="8" spans="1:5" x14ac:dyDescent="0.25">
      <c r="A8" s="290"/>
      <c r="B8" s="291" t="s">
        <v>284</v>
      </c>
      <c r="C8" s="155">
        <v>2</v>
      </c>
      <c r="D8" s="289" t="s">
        <v>174</v>
      </c>
      <c r="E8" s="285"/>
    </row>
    <row r="9" spans="1:5" x14ac:dyDescent="0.25">
      <c r="A9" s="290"/>
      <c r="B9" s="291" t="s">
        <v>243</v>
      </c>
      <c r="C9" s="155">
        <v>1</v>
      </c>
      <c r="D9" s="289" t="s">
        <v>285</v>
      </c>
      <c r="E9" s="285"/>
    </row>
    <row r="10" spans="1:5" x14ac:dyDescent="0.25">
      <c r="A10" s="290"/>
      <c r="B10" s="291" t="s">
        <v>302</v>
      </c>
      <c r="C10" s="292">
        <f>ROUND(C9*C8*C7,2)</f>
        <v>6</v>
      </c>
      <c r="D10" s="293" t="s">
        <v>15</v>
      </c>
      <c r="E10" s="285"/>
    </row>
    <row r="11" spans="1:5" x14ac:dyDescent="0.25">
      <c r="A11" s="290"/>
      <c r="B11" s="291"/>
      <c r="C11" s="156"/>
      <c r="D11" s="157"/>
      <c r="E11" s="285"/>
    </row>
    <row r="12" spans="1:5" x14ac:dyDescent="0.25">
      <c r="A12" s="286" t="s">
        <v>164</v>
      </c>
      <c r="B12" s="287" t="s">
        <v>37</v>
      </c>
      <c r="C12" s="288"/>
      <c r="D12" s="289"/>
      <c r="E12" s="290"/>
    </row>
    <row r="13" spans="1:5" x14ac:dyDescent="0.25">
      <c r="A13" s="290"/>
      <c r="B13" s="291" t="s">
        <v>287</v>
      </c>
      <c r="C13" s="155">
        <v>3</v>
      </c>
      <c r="D13" s="289" t="s">
        <v>38</v>
      </c>
      <c r="E13" s="290"/>
    </row>
    <row r="14" spans="1:5" x14ac:dyDescent="0.25">
      <c r="A14" s="290"/>
      <c r="B14" s="291" t="s">
        <v>288</v>
      </c>
      <c r="C14" s="292">
        <f>C13</f>
        <v>3</v>
      </c>
      <c r="D14" s="293" t="s">
        <v>38</v>
      </c>
      <c r="E14" s="285"/>
    </row>
    <row r="15" spans="1:5" x14ac:dyDescent="0.25">
      <c r="A15" s="290"/>
      <c r="B15" s="291"/>
      <c r="C15" s="156"/>
      <c r="D15" s="157"/>
      <c r="E15" s="285"/>
    </row>
    <row r="16" spans="1:5" x14ac:dyDescent="0.3">
      <c r="A16" s="294"/>
      <c r="B16" s="295" t="str">
        <f>'GERAL '!A10</f>
        <v>RUA ANTONIO ANANIAS SAMPAIO</v>
      </c>
      <c r="C16" s="437"/>
      <c r="D16" s="438"/>
      <c r="E16" s="438"/>
    </row>
    <row r="17" spans="1:9" x14ac:dyDescent="0.25">
      <c r="A17" s="296"/>
      <c r="B17" s="297" t="s">
        <v>289</v>
      </c>
      <c r="C17" s="158">
        <v>51</v>
      </c>
      <c r="D17" s="284" t="s">
        <v>174</v>
      </c>
      <c r="E17" s="285"/>
      <c r="I17" s="178"/>
    </row>
    <row r="18" spans="1:9" x14ac:dyDescent="0.25">
      <c r="A18" s="296"/>
      <c r="B18" s="297" t="s">
        <v>290</v>
      </c>
      <c r="C18" s="158">
        <v>6</v>
      </c>
      <c r="D18" s="284" t="s">
        <v>174</v>
      </c>
      <c r="E18" s="285"/>
    </row>
    <row r="19" spans="1:9" x14ac:dyDescent="0.25">
      <c r="A19" s="296"/>
      <c r="B19" s="297" t="s">
        <v>303</v>
      </c>
      <c r="C19" s="175">
        <v>49.7</v>
      </c>
      <c r="D19" s="284" t="s">
        <v>304</v>
      </c>
      <c r="E19" s="298" t="s">
        <v>325</v>
      </c>
    </row>
    <row r="20" spans="1:9" x14ac:dyDescent="0.25">
      <c r="A20" s="281"/>
      <c r="B20" s="299"/>
      <c r="C20" s="283"/>
      <c r="D20" s="300"/>
      <c r="E20" s="285"/>
    </row>
    <row r="21" spans="1:9" x14ac:dyDescent="0.25">
      <c r="A21" s="281" t="s">
        <v>32</v>
      </c>
      <c r="B21" s="282" t="s">
        <v>165</v>
      </c>
      <c r="C21" s="283"/>
      <c r="D21" s="284"/>
      <c r="E21" s="285"/>
    </row>
    <row r="22" spans="1:9" x14ac:dyDescent="0.25">
      <c r="A22" s="286" t="s">
        <v>34</v>
      </c>
      <c r="B22" s="287" t="s">
        <v>166</v>
      </c>
      <c r="C22" s="288"/>
      <c r="D22" s="289"/>
      <c r="E22" s="290"/>
      <c r="G22" s="178"/>
    </row>
    <row r="23" spans="1:9" x14ac:dyDescent="0.25">
      <c r="A23" s="290"/>
      <c r="B23" s="291" t="s">
        <v>283</v>
      </c>
      <c r="C23" s="155">
        <f>$C$17</f>
        <v>51</v>
      </c>
      <c r="D23" s="289" t="s">
        <v>174</v>
      </c>
      <c r="E23" s="290"/>
      <c r="H23" s="178"/>
    </row>
    <row r="24" spans="1:9" x14ac:dyDescent="0.25">
      <c r="A24" s="290"/>
      <c r="B24" s="291" t="s">
        <v>284</v>
      </c>
      <c r="C24" s="155">
        <f>$C$18</f>
        <v>6</v>
      </c>
      <c r="D24" s="289" t="s">
        <v>174</v>
      </c>
      <c r="E24" s="285"/>
      <c r="H24" s="177"/>
    </row>
    <row r="25" spans="1:9" x14ac:dyDescent="0.25">
      <c r="A25" s="290"/>
      <c r="B25" s="291" t="s">
        <v>286</v>
      </c>
      <c r="C25" s="292">
        <f>ROUND(C23*C24,2)</f>
        <v>306</v>
      </c>
      <c r="D25" s="293" t="s">
        <v>15</v>
      </c>
      <c r="E25" s="285"/>
    </row>
    <row r="26" spans="1:9" x14ac:dyDescent="0.25">
      <c r="A26" s="301"/>
      <c r="B26" s="302"/>
      <c r="C26" s="157"/>
      <c r="D26" s="303"/>
      <c r="E26" s="304"/>
    </row>
    <row r="27" spans="1:9" x14ac:dyDescent="0.25">
      <c r="A27" s="281" t="s">
        <v>167</v>
      </c>
      <c r="B27" s="282" t="s">
        <v>168</v>
      </c>
      <c r="C27" s="283"/>
      <c r="D27" s="284"/>
      <c r="E27" s="285"/>
    </row>
    <row r="28" spans="1:9" ht="30" customHeight="1" x14ac:dyDescent="0.3">
      <c r="A28" s="305" t="s">
        <v>169</v>
      </c>
      <c r="B28" s="436" t="s">
        <v>253</v>
      </c>
      <c r="C28" s="436"/>
      <c r="D28" s="436"/>
      <c r="E28" s="436"/>
    </row>
    <row r="29" spans="1:9" x14ac:dyDescent="0.25">
      <c r="A29" s="290"/>
      <c r="B29" s="291" t="s">
        <v>283</v>
      </c>
      <c r="C29" s="155">
        <f>$C$17</f>
        <v>51</v>
      </c>
      <c r="D29" s="289" t="s">
        <v>174</v>
      </c>
      <c r="E29" s="290"/>
    </row>
    <row r="30" spans="1:9" x14ac:dyDescent="0.25">
      <c r="A30" s="290"/>
      <c r="B30" s="291" t="s">
        <v>284</v>
      </c>
      <c r="C30" s="155">
        <f>$C$18</f>
        <v>6</v>
      </c>
      <c r="D30" s="289" t="s">
        <v>174</v>
      </c>
      <c r="E30" s="285"/>
    </row>
    <row r="31" spans="1:9" x14ac:dyDescent="0.25">
      <c r="A31" s="290"/>
      <c r="B31" s="291" t="s">
        <v>286</v>
      </c>
      <c r="C31" s="292">
        <f>ROUND(C29*C30,2)</f>
        <v>306</v>
      </c>
      <c r="D31" s="293" t="s">
        <v>15</v>
      </c>
      <c r="E31" s="285"/>
    </row>
    <row r="33" spans="1:6" x14ac:dyDescent="0.25">
      <c r="A33" s="281" t="s">
        <v>170</v>
      </c>
      <c r="B33" s="282" t="s">
        <v>171</v>
      </c>
      <c r="C33" s="283"/>
      <c r="D33" s="284"/>
      <c r="E33" s="285"/>
    </row>
    <row r="34" spans="1:6" ht="30" customHeight="1" x14ac:dyDescent="0.3">
      <c r="A34" s="305" t="s">
        <v>172</v>
      </c>
      <c r="B34" s="436" t="s">
        <v>173</v>
      </c>
      <c r="C34" s="436"/>
      <c r="D34" s="436"/>
      <c r="E34" s="436"/>
    </row>
    <row r="35" spans="1:6" x14ac:dyDescent="0.25">
      <c r="A35" s="290"/>
      <c r="B35" s="291" t="s">
        <v>283</v>
      </c>
      <c r="C35" s="155">
        <f>C23</f>
        <v>51</v>
      </c>
      <c r="D35" s="289" t="s">
        <v>174</v>
      </c>
      <c r="E35" s="290"/>
    </row>
    <row r="36" spans="1:6" x14ac:dyDescent="0.25">
      <c r="A36" s="290"/>
      <c r="B36" s="291" t="s">
        <v>243</v>
      </c>
      <c r="C36" s="162">
        <v>2</v>
      </c>
      <c r="D36" s="289" t="s">
        <v>176</v>
      </c>
      <c r="E36" s="435"/>
    </row>
    <row r="37" spans="1:6" x14ac:dyDescent="0.25">
      <c r="A37" s="290"/>
      <c r="B37" s="291" t="s">
        <v>305</v>
      </c>
      <c r="C37" s="162">
        <f>C30*2</f>
        <v>12</v>
      </c>
      <c r="D37" s="289" t="s">
        <v>174</v>
      </c>
      <c r="E37" s="435"/>
    </row>
    <row r="38" spans="1:6" x14ac:dyDescent="0.25">
      <c r="A38" s="290"/>
      <c r="B38" s="291" t="s">
        <v>291</v>
      </c>
      <c r="C38" s="292">
        <f>ROUND((C35*C36+C37),2)</f>
        <v>114</v>
      </c>
      <c r="D38" s="293" t="s">
        <v>174</v>
      </c>
      <c r="E38" s="285"/>
    </row>
    <row r="40" spans="1:6" ht="30" customHeight="1" x14ac:dyDescent="0.25">
      <c r="A40" s="305" t="s">
        <v>175</v>
      </c>
      <c r="B40" s="436" t="s">
        <v>292</v>
      </c>
      <c r="C40" s="436"/>
      <c r="D40" s="436"/>
      <c r="E40" s="436"/>
      <c r="F40" s="159"/>
    </row>
    <row r="41" spans="1:6" x14ac:dyDescent="0.25">
      <c r="A41" s="290"/>
      <c r="B41" s="291" t="s">
        <v>283</v>
      </c>
      <c r="C41" s="155">
        <f>C35</f>
        <v>51</v>
      </c>
      <c r="D41" s="289" t="s">
        <v>174</v>
      </c>
      <c r="E41" s="290"/>
    </row>
    <row r="42" spans="1:6" x14ac:dyDescent="0.25">
      <c r="A42" s="290"/>
      <c r="B42" s="291" t="s">
        <v>243</v>
      </c>
      <c r="C42" s="155">
        <v>2</v>
      </c>
      <c r="D42" s="289" t="s">
        <v>176</v>
      </c>
      <c r="E42" s="435"/>
    </row>
    <row r="43" spans="1:6" x14ac:dyDescent="0.25">
      <c r="A43" s="290"/>
      <c r="B43" s="291" t="s">
        <v>291</v>
      </c>
      <c r="C43" s="292">
        <f>ROUND(C41*C42,2)</f>
        <v>102</v>
      </c>
      <c r="D43" s="293" t="s">
        <v>174</v>
      </c>
      <c r="E43" s="435"/>
    </row>
    <row r="45" spans="1:6" x14ac:dyDescent="0.25">
      <c r="A45" s="281" t="s">
        <v>217</v>
      </c>
      <c r="B45" s="282" t="s">
        <v>215</v>
      </c>
      <c r="C45" s="283"/>
      <c r="D45" s="284"/>
      <c r="E45" s="285"/>
    </row>
    <row r="46" spans="1:6" s="160" customFormat="1" x14ac:dyDescent="0.25">
      <c r="A46" s="305" t="s">
        <v>218</v>
      </c>
      <c r="B46" s="436" t="s">
        <v>278</v>
      </c>
      <c r="C46" s="436"/>
      <c r="D46" s="436"/>
      <c r="E46" s="436"/>
      <c r="F46" s="159"/>
    </row>
    <row r="47" spans="1:6" x14ac:dyDescent="0.25">
      <c r="A47" s="290"/>
      <c r="B47" s="291" t="s">
        <v>295</v>
      </c>
      <c r="C47" s="155">
        <f>C31</f>
        <v>306</v>
      </c>
      <c r="D47" s="289" t="s">
        <v>15</v>
      </c>
      <c r="E47" s="290"/>
    </row>
    <row r="48" spans="1:6" x14ac:dyDescent="0.25">
      <c r="A48" s="290"/>
      <c r="B48" s="291" t="s">
        <v>296</v>
      </c>
      <c r="C48" s="161">
        <v>4.2000000000000003E-2</v>
      </c>
      <c r="D48" s="289" t="s">
        <v>244</v>
      </c>
      <c r="E48" s="285"/>
    </row>
    <row r="49" spans="1:6" x14ac:dyDescent="0.25">
      <c r="A49" s="290"/>
      <c r="B49" s="291" t="s">
        <v>297</v>
      </c>
      <c r="C49" s="155">
        <v>2.52</v>
      </c>
      <c r="D49" s="289" t="s">
        <v>298</v>
      </c>
      <c r="E49" s="285"/>
    </row>
    <row r="50" spans="1:6" x14ac:dyDescent="0.25">
      <c r="A50" s="290"/>
      <c r="B50" s="291" t="s">
        <v>299</v>
      </c>
      <c r="C50" s="155">
        <v>1.5</v>
      </c>
      <c r="D50" s="289" t="s">
        <v>245</v>
      </c>
      <c r="E50" s="285"/>
    </row>
    <row r="51" spans="1:6" x14ac:dyDescent="0.25">
      <c r="A51" s="290"/>
      <c r="B51" s="291" t="s">
        <v>300</v>
      </c>
      <c r="C51" s="155">
        <v>30</v>
      </c>
      <c r="D51" s="289" t="s">
        <v>246</v>
      </c>
      <c r="E51" s="285"/>
    </row>
    <row r="52" spans="1:6" x14ac:dyDescent="0.25">
      <c r="A52" s="290"/>
      <c r="B52" s="282" t="s">
        <v>307</v>
      </c>
      <c r="C52" s="292">
        <f>ROUND(C47*C48*C49*C50*C51,2)</f>
        <v>1457.42</v>
      </c>
      <c r="D52" s="293" t="s">
        <v>308</v>
      </c>
      <c r="E52" s="285"/>
    </row>
    <row r="54" spans="1:6" s="160" customFormat="1" ht="30" customHeight="1" x14ac:dyDescent="0.25">
      <c r="A54" s="305" t="s">
        <v>277</v>
      </c>
      <c r="B54" s="436" t="s">
        <v>279</v>
      </c>
      <c r="C54" s="436"/>
      <c r="D54" s="436"/>
      <c r="E54" s="436"/>
      <c r="F54" s="159"/>
    </row>
    <row r="55" spans="1:6" x14ac:dyDescent="0.25">
      <c r="A55" s="290"/>
      <c r="B55" s="291" t="s">
        <v>295</v>
      </c>
      <c r="C55" s="155">
        <f>C47</f>
        <v>306</v>
      </c>
      <c r="D55" s="289" t="s">
        <v>15</v>
      </c>
      <c r="E55" s="307"/>
    </row>
    <row r="56" spans="1:6" x14ac:dyDescent="0.25">
      <c r="A56" s="290"/>
      <c r="B56" s="291" t="s">
        <v>296</v>
      </c>
      <c r="C56" s="161">
        <v>4.2000000000000003E-2</v>
      </c>
      <c r="D56" s="289" t="s">
        <v>244</v>
      </c>
      <c r="E56" s="308"/>
    </row>
    <row r="57" spans="1:6" x14ac:dyDescent="0.25">
      <c r="A57" s="290"/>
      <c r="B57" s="291" t="s">
        <v>297</v>
      </c>
      <c r="C57" s="155">
        <v>2.52</v>
      </c>
      <c r="D57" s="289" t="s">
        <v>298</v>
      </c>
      <c r="E57" s="308"/>
    </row>
    <row r="58" spans="1:6" x14ac:dyDescent="0.25">
      <c r="A58" s="290"/>
      <c r="B58" s="291" t="s">
        <v>299</v>
      </c>
      <c r="C58" s="155">
        <v>1.5</v>
      </c>
      <c r="D58" s="289" t="s">
        <v>245</v>
      </c>
      <c r="E58" s="308"/>
    </row>
    <row r="59" spans="1:6" x14ac:dyDescent="0.25">
      <c r="A59" s="290"/>
      <c r="B59" s="291" t="s">
        <v>300</v>
      </c>
      <c r="C59" s="155">
        <f>C19-C51</f>
        <v>19.700000000000003</v>
      </c>
      <c r="D59" s="289" t="s">
        <v>246</v>
      </c>
      <c r="E59" s="308"/>
    </row>
    <row r="60" spans="1:6" ht="12.75" customHeight="1" x14ac:dyDescent="0.25">
      <c r="A60" s="290"/>
      <c r="B60" s="282" t="s">
        <v>307</v>
      </c>
      <c r="C60" s="292">
        <f>ROUND(C55*C56*C57*C58*C59,2)</f>
        <v>957.04</v>
      </c>
      <c r="D60" s="293" t="s">
        <v>308</v>
      </c>
      <c r="E60" s="308"/>
    </row>
    <row r="61" spans="1:6" x14ac:dyDescent="0.25">
      <c r="B61" s="291"/>
      <c r="C61" s="156"/>
      <c r="D61" s="309"/>
    </row>
    <row r="62" spans="1:6" x14ac:dyDescent="0.25">
      <c r="A62" s="281" t="s">
        <v>254</v>
      </c>
      <c r="B62" s="282" t="s">
        <v>293</v>
      </c>
      <c r="C62" s="283"/>
      <c r="D62" s="284"/>
      <c r="E62" s="285"/>
    </row>
    <row r="63" spans="1:6" ht="23.25" customHeight="1" x14ac:dyDescent="0.25">
      <c r="A63" s="305" t="s">
        <v>256</v>
      </c>
      <c r="B63" s="436" t="s">
        <v>259</v>
      </c>
      <c r="C63" s="436"/>
      <c r="D63" s="436"/>
      <c r="E63" s="436"/>
      <c r="F63" s="159"/>
    </row>
    <row r="64" spans="1:6" x14ac:dyDescent="0.25">
      <c r="A64" s="290"/>
      <c r="B64" s="291" t="s">
        <v>294</v>
      </c>
      <c r="C64" s="155">
        <v>0.23</v>
      </c>
      <c r="D64" s="289" t="s">
        <v>15</v>
      </c>
      <c r="E64" s="290"/>
    </row>
    <row r="65" spans="1:6" x14ac:dyDescent="0.25">
      <c r="A65" s="290"/>
      <c r="B65" s="291" t="s">
        <v>306</v>
      </c>
      <c r="C65" s="292">
        <f>C64</f>
        <v>0.23</v>
      </c>
      <c r="D65" s="293" t="s">
        <v>15</v>
      </c>
      <c r="E65" s="285"/>
    </row>
    <row r="67" spans="1:6" ht="29.25" customHeight="1" x14ac:dyDescent="0.25">
      <c r="A67" s="305" t="s">
        <v>301</v>
      </c>
      <c r="B67" s="436" t="s">
        <v>276</v>
      </c>
      <c r="C67" s="436"/>
      <c r="D67" s="436"/>
      <c r="E67" s="436"/>
      <c r="F67" s="159"/>
    </row>
    <row r="68" spans="1:6" x14ac:dyDescent="0.25">
      <c r="A68" s="290"/>
      <c r="B68" s="291" t="s">
        <v>294</v>
      </c>
      <c r="C68" s="155">
        <v>2</v>
      </c>
      <c r="D68" s="289" t="s">
        <v>176</v>
      </c>
      <c r="E68" s="290"/>
    </row>
    <row r="69" spans="1:6" x14ac:dyDescent="0.25">
      <c r="A69" s="290"/>
      <c r="B69" s="291" t="s">
        <v>306</v>
      </c>
      <c r="C69" s="292">
        <f>C68</f>
        <v>2</v>
      </c>
      <c r="D69" s="293" t="s">
        <v>176</v>
      </c>
      <c r="E69" s="285"/>
    </row>
    <row r="70" spans="1:6" ht="13.5" customHeight="1" x14ac:dyDescent="0.3"/>
    <row r="71" spans="1:6" x14ac:dyDescent="0.3">
      <c r="A71" s="294"/>
      <c r="B71" s="295" t="str">
        <f>'GERAL '!A11</f>
        <v>RUA PROJETADA 257</v>
      </c>
      <c r="C71" s="437"/>
      <c r="D71" s="438"/>
      <c r="E71" s="438"/>
    </row>
    <row r="72" spans="1:6" x14ac:dyDescent="0.25">
      <c r="A72" s="296"/>
      <c r="B72" s="297" t="s">
        <v>289</v>
      </c>
      <c r="C72" s="158">
        <v>95</v>
      </c>
      <c r="D72" s="284" t="s">
        <v>174</v>
      </c>
      <c r="E72" s="285"/>
    </row>
    <row r="73" spans="1:6" x14ac:dyDescent="0.25">
      <c r="A73" s="296"/>
      <c r="B73" s="297" t="s">
        <v>290</v>
      </c>
      <c r="C73" s="158">
        <v>6</v>
      </c>
      <c r="D73" s="284" t="s">
        <v>174</v>
      </c>
      <c r="E73" s="285"/>
    </row>
    <row r="74" spans="1:6" x14ac:dyDescent="0.25">
      <c r="A74" s="296"/>
      <c r="B74" s="297" t="s">
        <v>303</v>
      </c>
      <c r="C74" s="173">
        <f>C19</f>
        <v>49.7</v>
      </c>
      <c r="D74" s="284" t="s">
        <v>304</v>
      </c>
      <c r="E74" s="285"/>
    </row>
    <row r="75" spans="1:6" x14ac:dyDescent="0.25">
      <c r="A75" s="281"/>
      <c r="B75" s="299"/>
      <c r="C75" s="283"/>
      <c r="D75" s="300"/>
      <c r="E75" s="285"/>
    </row>
    <row r="76" spans="1:6" x14ac:dyDescent="0.25">
      <c r="A76" s="281" t="s">
        <v>32</v>
      </c>
      <c r="B76" s="282" t="s">
        <v>165</v>
      </c>
      <c r="C76" s="283"/>
      <c r="D76" s="284"/>
      <c r="E76" s="285"/>
    </row>
    <row r="77" spans="1:6" x14ac:dyDescent="0.25">
      <c r="A77" s="286" t="s">
        <v>34</v>
      </c>
      <c r="B77" s="287" t="s">
        <v>166</v>
      </c>
      <c r="C77" s="288"/>
      <c r="D77" s="289"/>
      <c r="E77" s="290"/>
    </row>
    <row r="78" spans="1:6" x14ac:dyDescent="0.25">
      <c r="A78" s="290"/>
      <c r="B78" s="291" t="s">
        <v>283</v>
      </c>
      <c r="C78" s="155">
        <f>C72</f>
        <v>95</v>
      </c>
      <c r="D78" s="289" t="s">
        <v>174</v>
      </c>
      <c r="E78" s="290"/>
    </row>
    <row r="79" spans="1:6" x14ac:dyDescent="0.25">
      <c r="A79" s="290"/>
      <c r="B79" s="291" t="s">
        <v>284</v>
      </c>
      <c r="C79" s="155">
        <f>C73</f>
        <v>6</v>
      </c>
      <c r="D79" s="289" t="s">
        <v>174</v>
      </c>
      <c r="E79" s="285"/>
    </row>
    <row r="80" spans="1:6" x14ac:dyDescent="0.25">
      <c r="A80" s="290"/>
      <c r="B80" s="291" t="s">
        <v>286</v>
      </c>
      <c r="C80" s="292">
        <f>ROUND(C78*C79,2)</f>
        <v>570</v>
      </c>
      <c r="D80" s="293" t="s">
        <v>15</v>
      </c>
      <c r="E80" s="285"/>
    </row>
    <row r="81" spans="1:5" x14ac:dyDescent="0.25">
      <c r="A81" s="301"/>
      <c r="B81" s="302"/>
      <c r="C81" s="157"/>
      <c r="D81" s="303"/>
      <c r="E81" s="304"/>
    </row>
    <row r="82" spans="1:5" x14ac:dyDescent="0.25">
      <c r="A82" s="281" t="s">
        <v>167</v>
      </c>
      <c r="B82" s="282" t="s">
        <v>168</v>
      </c>
      <c r="C82" s="283"/>
      <c r="D82" s="284"/>
      <c r="E82" s="285"/>
    </row>
    <row r="83" spans="1:5" x14ac:dyDescent="0.3">
      <c r="A83" s="305" t="s">
        <v>169</v>
      </c>
      <c r="B83" s="436" t="s">
        <v>253</v>
      </c>
      <c r="C83" s="436"/>
      <c r="D83" s="436"/>
      <c r="E83" s="436"/>
    </row>
    <row r="84" spans="1:5" x14ac:dyDescent="0.25">
      <c r="A84" s="290"/>
      <c r="B84" s="291" t="s">
        <v>283</v>
      </c>
      <c r="C84" s="155">
        <f>C72</f>
        <v>95</v>
      </c>
      <c r="D84" s="289" t="s">
        <v>174</v>
      </c>
      <c r="E84" s="290"/>
    </row>
    <row r="85" spans="1:5" x14ac:dyDescent="0.25">
      <c r="A85" s="290"/>
      <c r="B85" s="291" t="s">
        <v>284</v>
      </c>
      <c r="C85" s="155">
        <f>C73</f>
        <v>6</v>
      </c>
      <c r="D85" s="289" t="s">
        <v>174</v>
      </c>
      <c r="E85" s="285"/>
    </row>
    <row r="86" spans="1:5" x14ac:dyDescent="0.25">
      <c r="A86" s="290"/>
      <c r="B86" s="291" t="s">
        <v>286</v>
      </c>
      <c r="C86" s="292">
        <f>ROUND(C84*C85,2)</f>
        <v>570</v>
      </c>
      <c r="D86" s="293" t="s">
        <v>15</v>
      </c>
      <c r="E86" s="285"/>
    </row>
    <row r="88" spans="1:5" x14ac:dyDescent="0.25">
      <c r="A88" s="281" t="s">
        <v>170</v>
      </c>
      <c r="B88" s="282" t="s">
        <v>171</v>
      </c>
      <c r="C88" s="283"/>
      <c r="D88" s="284"/>
      <c r="E88" s="285"/>
    </row>
    <row r="89" spans="1:5" x14ac:dyDescent="0.3">
      <c r="A89" s="305" t="s">
        <v>172</v>
      </c>
      <c r="B89" s="436" t="s">
        <v>173</v>
      </c>
      <c r="C89" s="436"/>
      <c r="D89" s="436"/>
      <c r="E89" s="436"/>
    </row>
    <row r="90" spans="1:5" x14ac:dyDescent="0.25">
      <c r="A90" s="290"/>
      <c r="B90" s="291" t="s">
        <v>283</v>
      </c>
      <c r="C90" s="155">
        <f>C78</f>
        <v>95</v>
      </c>
      <c r="D90" s="289" t="s">
        <v>174</v>
      </c>
      <c r="E90" s="290"/>
    </row>
    <row r="91" spans="1:5" x14ac:dyDescent="0.25">
      <c r="A91" s="290"/>
      <c r="B91" s="291" t="s">
        <v>243</v>
      </c>
      <c r="C91" s="162">
        <v>2</v>
      </c>
      <c r="D91" s="289" t="s">
        <v>176</v>
      </c>
      <c r="E91" s="435"/>
    </row>
    <row r="92" spans="1:5" x14ac:dyDescent="0.25">
      <c r="A92" s="290"/>
      <c r="B92" s="291" t="s">
        <v>305</v>
      </c>
      <c r="C92" s="162">
        <f>6*2</f>
        <v>12</v>
      </c>
      <c r="D92" s="289" t="s">
        <v>174</v>
      </c>
      <c r="E92" s="435"/>
    </row>
    <row r="93" spans="1:5" x14ac:dyDescent="0.25">
      <c r="A93" s="290"/>
      <c r="B93" s="291" t="s">
        <v>291</v>
      </c>
      <c r="C93" s="292">
        <f>ROUND((C90*C91+C92),2)</f>
        <v>202</v>
      </c>
      <c r="D93" s="293" t="s">
        <v>174</v>
      </c>
      <c r="E93" s="285"/>
    </row>
    <row r="95" spans="1:5" x14ac:dyDescent="0.3">
      <c r="A95" s="305" t="s">
        <v>175</v>
      </c>
      <c r="B95" s="436" t="s">
        <v>292</v>
      </c>
      <c r="C95" s="436"/>
      <c r="D95" s="436"/>
      <c r="E95" s="436"/>
    </row>
    <row r="96" spans="1:5" x14ac:dyDescent="0.25">
      <c r="A96" s="290"/>
      <c r="B96" s="291" t="s">
        <v>283</v>
      </c>
      <c r="C96" s="155">
        <f>C90</f>
        <v>95</v>
      </c>
      <c r="D96" s="289" t="s">
        <v>174</v>
      </c>
      <c r="E96" s="290"/>
    </row>
    <row r="97" spans="1:5" x14ac:dyDescent="0.25">
      <c r="A97" s="290"/>
      <c r="B97" s="291" t="s">
        <v>243</v>
      </c>
      <c r="C97" s="155">
        <v>2</v>
      </c>
      <c r="D97" s="289" t="s">
        <v>176</v>
      </c>
      <c r="E97" s="435"/>
    </row>
    <row r="98" spans="1:5" x14ac:dyDescent="0.25">
      <c r="A98" s="290"/>
      <c r="B98" s="291" t="s">
        <v>291</v>
      </c>
      <c r="C98" s="292">
        <f>ROUND(C96*C97,2)</f>
        <v>190</v>
      </c>
      <c r="D98" s="293" t="s">
        <v>174</v>
      </c>
      <c r="E98" s="435"/>
    </row>
    <row r="100" spans="1:5" x14ac:dyDescent="0.25">
      <c r="A100" s="281" t="s">
        <v>217</v>
      </c>
      <c r="B100" s="282" t="s">
        <v>215</v>
      </c>
      <c r="C100" s="283"/>
      <c r="D100" s="284"/>
      <c r="E100" s="285"/>
    </row>
    <row r="101" spans="1:5" x14ac:dyDescent="0.3">
      <c r="A101" s="305" t="s">
        <v>218</v>
      </c>
      <c r="B101" s="436" t="s">
        <v>278</v>
      </c>
      <c r="C101" s="436"/>
      <c r="D101" s="436"/>
      <c r="E101" s="436"/>
    </row>
    <row r="102" spans="1:5" x14ac:dyDescent="0.25">
      <c r="A102" s="290"/>
      <c r="B102" s="291" t="s">
        <v>295</v>
      </c>
      <c r="C102" s="155">
        <f>C86</f>
        <v>570</v>
      </c>
      <c r="D102" s="289" t="s">
        <v>15</v>
      </c>
      <c r="E102" s="290"/>
    </row>
    <row r="103" spans="1:5" x14ac:dyDescent="0.25">
      <c r="A103" s="290"/>
      <c r="B103" s="291" t="s">
        <v>296</v>
      </c>
      <c r="C103" s="161">
        <v>4.2000000000000003E-2</v>
      </c>
      <c r="D103" s="289" t="s">
        <v>244</v>
      </c>
      <c r="E103" s="285"/>
    </row>
    <row r="104" spans="1:5" x14ac:dyDescent="0.25">
      <c r="A104" s="290"/>
      <c r="B104" s="291" t="s">
        <v>297</v>
      </c>
      <c r="C104" s="155">
        <v>2.52</v>
      </c>
      <c r="D104" s="289" t="s">
        <v>298</v>
      </c>
      <c r="E104" s="285"/>
    </row>
    <row r="105" spans="1:5" x14ac:dyDescent="0.25">
      <c r="A105" s="290"/>
      <c r="B105" s="291" t="s">
        <v>299</v>
      </c>
      <c r="C105" s="155">
        <v>1.5</v>
      </c>
      <c r="D105" s="289" t="s">
        <v>245</v>
      </c>
      <c r="E105" s="285"/>
    </row>
    <row r="106" spans="1:5" x14ac:dyDescent="0.25">
      <c r="A106" s="290"/>
      <c r="B106" s="291" t="s">
        <v>300</v>
      </c>
      <c r="C106" s="155">
        <v>30</v>
      </c>
      <c r="D106" s="289" t="s">
        <v>246</v>
      </c>
      <c r="E106" s="285"/>
    </row>
    <row r="107" spans="1:5" x14ac:dyDescent="0.25">
      <c r="A107" s="290"/>
      <c r="B107" s="282" t="s">
        <v>307</v>
      </c>
      <c r="C107" s="292">
        <f>ROUND(C102*C103*C104*C105*C106,2)</f>
        <v>2714.8</v>
      </c>
      <c r="D107" s="293" t="s">
        <v>308</v>
      </c>
      <c r="E107" s="285"/>
    </row>
    <row r="109" spans="1:5" x14ac:dyDescent="0.3">
      <c r="A109" s="305" t="s">
        <v>277</v>
      </c>
      <c r="B109" s="436" t="s">
        <v>279</v>
      </c>
      <c r="C109" s="436"/>
      <c r="D109" s="436"/>
      <c r="E109" s="436"/>
    </row>
    <row r="110" spans="1:5" x14ac:dyDescent="0.25">
      <c r="A110" s="290"/>
      <c r="B110" s="291" t="s">
        <v>295</v>
      </c>
      <c r="C110" s="155">
        <f>C102</f>
        <v>570</v>
      </c>
      <c r="D110" s="289" t="s">
        <v>15</v>
      </c>
      <c r="E110" s="307"/>
    </row>
    <row r="111" spans="1:5" x14ac:dyDescent="0.25">
      <c r="A111" s="290"/>
      <c r="B111" s="291" t="s">
        <v>296</v>
      </c>
      <c r="C111" s="161">
        <v>4.2000000000000003E-2</v>
      </c>
      <c r="D111" s="289" t="s">
        <v>244</v>
      </c>
      <c r="E111" s="308"/>
    </row>
    <row r="112" spans="1:5" x14ac:dyDescent="0.25">
      <c r="A112" s="290"/>
      <c r="B112" s="291" t="s">
        <v>297</v>
      </c>
      <c r="C112" s="155">
        <v>2.52</v>
      </c>
      <c r="D112" s="289" t="s">
        <v>298</v>
      </c>
      <c r="E112" s="308"/>
    </row>
    <row r="113" spans="1:5" x14ac:dyDescent="0.25">
      <c r="A113" s="290"/>
      <c r="B113" s="291" t="s">
        <v>299</v>
      </c>
      <c r="C113" s="155">
        <v>1.5</v>
      </c>
      <c r="D113" s="289" t="s">
        <v>245</v>
      </c>
      <c r="E113" s="308"/>
    </row>
    <row r="114" spans="1:5" x14ac:dyDescent="0.25">
      <c r="A114" s="290"/>
      <c r="B114" s="291" t="s">
        <v>300</v>
      </c>
      <c r="C114" s="155">
        <f>-C106+C74</f>
        <v>19.700000000000003</v>
      </c>
      <c r="D114" s="289" t="s">
        <v>246</v>
      </c>
      <c r="E114" s="308"/>
    </row>
    <row r="115" spans="1:5" x14ac:dyDescent="0.25">
      <c r="A115" s="290"/>
      <c r="B115" s="282" t="s">
        <v>307</v>
      </c>
      <c r="C115" s="292">
        <f>ROUND(C110*C111*C112*C113*C114,2)</f>
        <v>1782.72</v>
      </c>
      <c r="D115" s="293" t="s">
        <v>308</v>
      </c>
      <c r="E115" s="308"/>
    </row>
    <row r="116" spans="1:5" x14ac:dyDescent="0.25">
      <c r="B116" s="291"/>
      <c r="C116" s="156"/>
      <c r="D116" s="309"/>
    </row>
    <row r="117" spans="1:5" x14ac:dyDescent="0.25">
      <c r="A117" s="281" t="s">
        <v>254</v>
      </c>
      <c r="B117" s="282" t="s">
        <v>293</v>
      </c>
      <c r="C117" s="283"/>
      <c r="D117" s="284"/>
      <c r="E117" s="285"/>
    </row>
    <row r="118" spans="1:5" x14ac:dyDescent="0.3">
      <c r="A118" s="305" t="s">
        <v>256</v>
      </c>
      <c r="B118" s="436" t="s">
        <v>259</v>
      </c>
      <c r="C118" s="436"/>
      <c r="D118" s="436"/>
      <c r="E118" s="436"/>
    </row>
    <row r="119" spans="1:5" x14ac:dyDescent="0.25">
      <c r="A119" s="290"/>
      <c r="B119" s="291" t="s">
        <v>294</v>
      </c>
      <c r="C119" s="155">
        <v>0.23</v>
      </c>
      <c r="D119" s="289" t="s">
        <v>15</v>
      </c>
      <c r="E119" s="290"/>
    </row>
    <row r="120" spans="1:5" x14ac:dyDescent="0.25">
      <c r="A120" s="290"/>
      <c r="B120" s="291" t="s">
        <v>306</v>
      </c>
      <c r="C120" s="292">
        <f>C119</f>
        <v>0.23</v>
      </c>
      <c r="D120" s="293" t="s">
        <v>15</v>
      </c>
      <c r="E120" s="285"/>
    </row>
    <row r="122" spans="1:5" x14ac:dyDescent="0.3">
      <c r="A122" s="305" t="s">
        <v>301</v>
      </c>
      <c r="B122" s="436" t="s">
        <v>276</v>
      </c>
      <c r="C122" s="436"/>
      <c r="D122" s="436"/>
      <c r="E122" s="436"/>
    </row>
    <row r="123" spans="1:5" x14ac:dyDescent="0.25">
      <c r="A123" s="290"/>
      <c r="B123" s="291" t="s">
        <v>294</v>
      </c>
      <c r="C123" s="155">
        <v>2</v>
      </c>
      <c r="D123" s="289" t="s">
        <v>176</v>
      </c>
      <c r="E123" s="290"/>
    </row>
    <row r="124" spans="1:5" x14ac:dyDescent="0.25">
      <c r="A124" s="290"/>
      <c r="B124" s="291" t="s">
        <v>306</v>
      </c>
      <c r="C124" s="292">
        <f>C123</f>
        <v>2</v>
      </c>
      <c r="D124" s="293" t="s">
        <v>176</v>
      </c>
      <c r="E124" s="285"/>
    </row>
    <row r="126" spans="1:5" x14ac:dyDescent="0.3">
      <c r="A126" s="294"/>
      <c r="B126" s="295" t="str">
        <f>'GERAL '!A12</f>
        <v>RUA DEUSDETH ROCHA</v>
      </c>
      <c r="C126" s="437"/>
      <c r="D126" s="438"/>
      <c r="E126" s="438"/>
    </row>
    <row r="127" spans="1:5" x14ac:dyDescent="0.25">
      <c r="A127" s="296"/>
      <c r="B127" s="297" t="s">
        <v>289</v>
      </c>
      <c r="C127" s="158">
        <v>65</v>
      </c>
      <c r="D127" s="284" t="s">
        <v>174</v>
      </c>
      <c r="E127" s="285"/>
    </row>
    <row r="128" spans="1:5" x14ac:dyDescent="0.25">
      <c r="A128" s="296"/>
      <c r="B128" s="297" t="s">
        <v>290</v>
      </c>
      <c r="C128" s="158">
        <v>6</v>
      </c>
      <c r="D128" s="284" t="s">
        <v>174</v>
      </c>
      <c r="E128" s="285"/>
    </row>
    <row r="129" spans="1:5" x14ac:dyDescent="0.25">
      <c r="A129" s="296"/>
      <c r="B129" s="297" t="s">
        <v>303</v>
      </c>
      <c r="C129" s="173">
        <f>C19</f>
        <v>49.7</v>
      </c>
      <c r="D129" s="284" t="s">
        <v>304</v>
      </c>
      <c r="E129" s="285"/>
    </row>
    <row r="130" spans="1:5" x14ac:dyDescent="0.25">
      <c r="A130" s="281"/>
      <c r="B130" s="299"/>
      <c r="C130" s="283"/>
      <c r="D130" s="300"/>
      <c r="E130" s="285"/>
    </row>
    <row r="131" spans="1:5" x14ac:dyDescent="0.25">
      <c r="A131" s="281" t="s">
        <v>32</v>
      </c>
      <c r="B131" s="282" t="s">
        <v>165</v>
      </c>
      <c r="C131" s="283"/>
      <c r="D131" s="284"/>
      <c r="E131" s="285"/>
    </row>
    <row r="132" spans="1:5" x14ac:dyDescent="0.25">
      <c r="A132" s="286" t="s">
        <v>34</v>
      </c>
      <c r="B132" s="287" t="s">
        <v>166</v>
      </c>
      <c r="C132" s="288"/>
      <c r="D132" s="289"/>
      <c r="E132" s="290"/>
    </row>
    <row r="133" spans="1:5" x14ac:dyDescent="0.25">
      <c r="A133" s="290"/>
      <c r="B133" s="291" t="s">
        <v>283</v>
      </c>
      <c r="C133" s="155">
        <f>C127</f>
        <v>65</v>
      </c>
      <c r="D133" s="289" t="s">
        <v>174</v>
      </c>
      <c r="E133" s="290"/>
    </row>
    <row r="134" spans="1:5" x14ac:dyDescent="0.25">
      <c r="A134" s="290"/>
      <c r="B134" s="291" t="s">
        <v>284</v>
      </c>
      <c r="C134" s="155">
        <f>C128</f>
        <v>6</v>
      </c>
      <c r="D134" s="289" t="s">
        <v>174</v>
      </c>
      <c r="E134" s="285"/>
    </row>
    <row r="135" spans="1:5" x14ac:dyDescent="0.25">
      <c r="A135" s="290"/>
      <c r="B135" s="291" t="s">
        <v>286</v>
      </c>
      <c r="C135" s="292">
        <f>ROUND(C133*C134,2)</f>
        <v>390</v>
      </c>
      <c r="D135" s="293" t="s">
        <v>15</v>
      </c>
      <c r="E135" s="285"/>
    </row>
    <row r="136" spans="1:5" x14ac:dyDescent="0.25">
      <c r="A136" s="301"/>
      <c r="B136" s="302"/>
      <c r="C136" s="157"/>
      <c r="D136" s="303"/>
      <c r="E136" s="304"/>
    </row>
    <row r="137" spans="1:5" x14ac:dyDescent="0.25">
      <c r="A137" s="281" t="s">
        <v>167</v>
      </c>
      <c r="B137" s="282" t="s">
        <v>168</v>
      </c>
      <c r="C137" s="283"/>
      <c r="D137" s="284"/>
      <c r="E137" s="285"/>
    </row>
    <row r="138" spans="1:5" x14ac:dyDescent="0.3">
      <c r="A138" s="305" t="s">
        <v>169</v>
      </c>
      <c r="B138" s="436" t="s">
        <v>253</v>
      </c>
      <c r="C138" s="436"/>
      <c r="D138" s="436"/>
      <c r="E138" s="436"/>
    </row>
    <row r="139" spans="1:5" x14ac:dyDescent="0.25">
      <c r="A139" s="290"/>
      <c r="B139" s="291" t="s">
        <v>283</v>
      </c>
      <c r="C139" s="155">
        <f>C127</f>
        <v>65</v>
      </c>
      <c r="D139" s="289" t="s">
        <v>174</v>
      </c>
      <c r="E139" s="290"/>
    </row>
    <row r="140" spans="1:5" x14ac:dyDescent="0.25">
      <c r="A140" s="290"/>
      <c r="B140" s="291" t="s">
        <v>284</v>
      </c>
      <c r="C140" s="155">
        <f>C128</f>
        <v>6</v>
      </c>
      <c r="D140" s="289" t="s">
        <v>174</v>
      </c>
      <c r="E140" s="285"/>
    </row>
    <row r="141" spans="1:5" x14ac:dyDescent="0.25">
      <c r="A141" s="290"/>
      <c r="B141" s="291" t="s">
        <v>286</v>
      </c>
      <c r="C141" s="292">
        <f>ROUND(C139*C140,2)</f>
        <v>390</v>
      </c>
      <c r="D141" s="293" t="s">
        <v>15</v>
      </c>
      <c r="E141" s="285"/>
    </row>
    <row r="143" spans="1:5" x14ac:dyDescent="0.25">
      <c r="A143" s="281" t="s">
        <v>170</v>
      </c>
      <c r="B143" s="282" t="s">
        <v>171</v>
      </c>
      <c r="C143" s="283"/>
      <c r="D143" s="284"/>
      <c r="E143" s="285"/>
    </row>
    <row r="144" spans="1:5" x14ac:dyDescent="0.3">
      <c r="A144" s="305" t="s">
        <v>172</v>
      </c>
      <c r="B144" s="436" t="s">
        <v>173</v>
      </c>
      <c r="C144" s="436"/>
      <c r="D144" s="436"/>
      <c r="E144" s="436"/>
    </row>
    <row r="145" spans="1:5" x14ac:dyDescent="0.25">
      <c r="A145" s="290"/>
      <c r="B145" s="291" t="s">
        <v>283</v>
      </c>
      <c r="C145" s="155">
        <f>C133</f>
        <v>65</v>
      </c>
      <c r="D145" s="289" t="s">
        <v>174</v>
      </c>
      <c r="E145" s="290"/>
    </row>
    <row r="146" spans="1:5" x14ac:dyDescent="0.25">
      <c r="A146" s="290"/>
      <c r="B146" s="291" t="s">
        <v>243</v>
      </c>
      <c r="C146" s="162">
        <v>2</v>
      </c>
      <c r="D146" s="289" t="s">
        <v>176</v>
      </c>
      <c r="E146" s="435"/>
    </row>
    <row r="147" spans="1:5" x14ac:dyDescent="0.25">
      <c r="A147" s="290"/>
      <c r="B147" s="291" t="s">
        <v>305</v>
      </c>
      <c r="C147" s="162">
        <f>C140*2</f>
        <v>12</v>
      </c>
      <c r="D147" s="289" t="s">
        <v>174</v>
      </c>
      <c r="E147" s="435"/>
    </row>
    <row r="148" spans="1:5" x14ac:dyDescent="0.25">
      <c r="A148" s="290"/>
      <c r="B148" s="291" t="s">
        <v>291</v>
      </c>
      <c r="C148" s="292">
        <f>ROUND((C145*C146+C147),2)</f>
        <v>142</v>
      </c>
      <c r="D148" s="293" t="s">
        <v>174</v>
      </c>
      <c r="E148" s="285"/>
    </row>
    <row r="150" spans="1:5" x14ac:dyDescent="0.3">
      <c r="A150" s="305" t="s">
        <v>175</v>
      </c>
      <c r="B150" s="436" t="s">
        <v>292</v>
      </c>
      <c r="C150" s="436"/>
      <c r="D150" s="436"/>
      <c r="E150" s="436"/>
    </row>
    <row r="151" spans="1:5" x14ac:dyDescent="0.25">
      <c r="A151" s="290"/>
      <c r="B151" s="291" t="s">
        <v>283</v>
      </c>
      <c r="C151" s="155">
        <f>C145</f>
        <v>65</v>
      </c>
      <c r="D151" s="289" t="s">
        <v>174</v>
      </c>
      <c r="E151" s="290"/>
    </row>
    <row r="152" spans="1:5" x14ac:dyDescent="0.25">
      <c r="A152" s="290"/>
      <c r="B152" s="291" t="s">
        <v>243</v>
      </c>
      <c r="C152" s="155">
        <v>2</v>
      </c>
      <c r="D152" s="289" t="s">
        <v>176</v>
      </c>
      <c r="E152" s="435"/>
    </row>
    <row r="153" spans="1:5" x14ac:dyDescent="0.25">
      <c r="A153" s="290"/>
      <c r="B153" s="291" t="s">
        <v>291</v>
      </c>
      <c r="C153" s="292">
        <f>ROUND(C151*C152,2)</f>
        <v>130</v>
      </c>
      <c r="D153" s="293" t="s">
        <v>174</v>
      </c>
      <c r="E153" s="435"/>
    </row>
    <row r="155" spans="1:5" x14ac:dyDescent="0.25">
      <c r="A155" s="281" t="s">
        <v>217</v>
      </c>
      <c r="B155" s="282" t="s">
        <v>215</v>
      </c>
      <c r="C155" s="283"/>
      <c r="D155" s="284"/>
      <c r="E155" s="285"/>
    </row>
    <row r="156" spans="1:5" x14ac:dyDescent="0.3">
      <c r="A156" s="305" t="s">
        <v>218</v>
      </c>
      <c r="B156" s="436" t="s">
        <v>278</v>
      </c>
      <c r="C156" s="436"/>
      <c r="D156" s="436"/>
      <c r="E156" s="436"/>
    </row>
    <row r="157" spans="1:5" x14ac:dyDescent="0.25">
      <c r="A157" s="290"/>
      <c r="B157" s="291" t="s">
        <v>295</v>
      </c>
      <c r="C157" s="155">
        <f>C141</f>
        <v>390</v>
      </c>
      <c r="D157" s="289" t="s">
        <v>15</v>
      </c>
      <c r="E157" s="290"/>
    </row>
    <row r="158" spans="1:5" x14ac:dyDescent="0.25">
      <c r="A158" s="290"/>
      <c r="B158" s="291" t="s">
        <v>296</v>
      </c>
      <c r="C158" s="161">
        <v>4.2000000000000003E-2</v>
      </c>
      <c r="D158" s="289" t="s">
        <v>244</v>
      </c>
      <c r="E158" s="285"/>
    </row>
    <row r="159" spans="1:5" x14ac:dyDescent="0.25">
      <c r="A159" s="290"/>
      <c r="B159" s="291" t="s">
        <v>297</v>
      </c>
      <c r="C159" s="155">
        <v>2.52</v>
      </c>
      <c r="D159" s="289" t="s">
        <v>298</v>
      </c>
      <c r="E159" s="285"/>
    </row>
    <row r="160" spans="1:5" x14ac:dyDescent="0.25">
      <c r="A160" s="290"/>
      <c r="B160" s="291" t="s">
        <v>299</v>
      </c>
      <c r="C160" s="155">
        <v>1.5</v>
      </c>
      <c r="D160" s="289" t="s">
        <v>245</v>
      </c>
      <c r="E160" s="285"/>
    </row>
    <row r="161" spans="1:5" x14ac:dyDescent="0.25">
      <c r="A161" s="290"/>
      <c r="B161" s="291" t="s">
        <v>300</v>
      </c>
      <c r="C161" s="155">
        <v>30</v>
      </c>
      <c r="D161" s="289" t="s">
        <v>246</v>
      </c>
      <c r="E161" s="285"/>
    </row>
    <row r="162" spans="1:5" x14ac:dyDescent="0.25">
      <c r="A162" s="290"/>
      <c r="B162" s="282" t="s">
        <v>307</v>
      </c>
      <c r="C162" s="292">
        <f>ROUND(C157*C158*C159*C160*C161,2)</f>
        <v>1857.49</v>
      </c>
      <c r="D162" s="293" t="s">
        <v>308</v>
      </c>
      <c r="E162" s="285"/>
    </row>
    <row r="164" spans="1:5" x14ac:dyDescent="0.3">
      <c r="A164" s="305" t="s">
        <v>277</v>
      </c>
      <c r="B164" s="436" t="s">
        <v>279</v>
      </c>
      <c r="C164" s="436"/>
      <c r="D164" s="436"/>
      <c r="E164" s="436"/>
    </row>
    <row r="165" spans="1:5" x14ac:dyDescent="0.25">
      <c r="A165" s="290"/>
      <c r="B165" s="291" t="s">
        <v>295</v>
      </c>
      <c r="C165" s="155">
        <f>C157</f>
        <v>390</v>
      </c>
      <c r="D165" s="289" t="s">
        <v>15</v>
      </c>
      <c r="E165" s="307"/>
    </row>
    <row r="166" spans="1:5" x14ac:dyDescent="0.25">
      <c r="A166" s="290"/>
      <c r="B166" s="291" t="s">
        <v>296</v>
      </c>
      <c r="C166" s="161">
        <v>4.2000000000000003E-2</v>
      </c>
      <c r="D166" s="289" t="s">
        <v>244</v>
      </c>
      <c r="E166" s="308"/>
    </row>
    <row r="167" spans="1:5" x14ac:dyDescent="0.25">
      <c r="A167" s="290"/>
      <c r="B167" s="291" t="s">
        <v>297</v>
      </c>
      <c r="C167" s="155">
        <v>2.52</v>
      </c>
      <c r="D167" s="289" t="s">
        <v>298</v>
      </c>
      <c r="E167" s="308"/>
    </row>
    <row r="168" spans="1:5" x14ac:dyDescent="0.25">
      <c r="A168" s="290"/>
      <c r="B168" s="291" t="s">
        <v>299</v>
      </c>
      <c r="C168" s="155">
        <v>1.5</v>
      </c>
      <c r="D168" s="289" t="s">
        <v>245</v>
      </c>
      <c r="E168" s="308"/>
    </row>
    <row r="169" spans="1:5" x14ac:dyDescent="0.25">
      <c r="A169" s="290"/>
      <c r="B169" s="291" t="s">
        <v>300</v>
      </c>
      <c r="C169" s="155">
        <f>C129-C161</f>
        <v>19.700000000000003</v>
      </c>
      <c r="D169" s="289" t="s">
        <v>246</v>
      </c>
      <c r="E169" s="308"/>
    </row>
    <row r="170" spans="1:5" x14ac:dyDescent="0.25">
      <c r="A170" s="290"/>
      <c r="B170" s="282" t="s">
        <v>307</v>
      </c>
      <c r="C170" s="292">
        <f>ROUND(C165*C166*C167*C168*C169,2)</f>
        <v>1219.75</v>
      </c>
      <c r="D170" s="293" t="s">
        <v>308</v>
      </c>
      <c r="E170" s="308"/>
    </row>
    <row r="171" spans="1:5" x14ac:dyDescent="0.25">
      <c r="B171" s="291"/>
      <c r="C171" s="156"/>
      <c r="D171" s="309"/>
    </row>
    <row r="172" spans="1:5" x14ac:dyDescent="0.25">
      <c r="A172" s="281" t="s">
        <v>254</v>
      </c>
      <c r="B172" s="282" t="s">
        <v>293</v>
      </c>
      <c r="C172" s="283"/>
      <c r="D172" s="284"/>
      <c r="E172" s="285"/>
    </row>
    <row r="173" spans="1:5" x14ac:dyDescent="0.3">
      <c r="A173" s="305" t="s">
        <v>256</v>
      </c>
      <c r="B173" s="436" t="s">
        <v>259</v>
      </c>
      <c r="C173" s="436"/>
      <c r="D173" s="436"/>
      <c r="E173" s="436"/>
    </row>
    <row r="174" spans="1:5" x14ac:dyDescent="0.25">
      <c r="A174" s="290"/>
      <c r="B174" s="291" t="s">
        <v>294</v>
      </c>
      <c r="C174" s="155">
        <v>0.23</v>
      </c>
      <c r="D174" s="289" t="s">
        <v>15</v>
      </c>
      <c r="E174" s="290"/>
    </row>
    <row r="175" spans="1:5" x14ac:dyDescent="0.25">
      <c r="A175" s="290"/>
      <c r="B175" s="291" t="s">
        <v>306</v>
      </c>
      <c r="C175" s="292">
        <f>C174</f>
        <v>0.23</v>
      </c>
      <c r="D175" s="293" t="s">
        <v>15</v>
      </c>
      <c r="E175" s="285"/>
    </row>
    <row r="177" spans="1:5" x14ac:dyDescent="0.3">
      <c r="A177" s="305" t="s">
        <v>301</v>
      </c>
      <c r="B177" s="436" t="s">
        <v>276</v>
      </c>
      <c r="C177" s="436"/>
      <c r="D177" s="436"/>
      <c r="E177" s="436"/>
    </row>
    <row r="178" spans="1:5" x14ac:dyDescent="0.25">
      <c r="A178" s="290"/>
      <c r="B178" s="291" t="s">
        <v>294</v>
      </c>
      <c r="C178" s="155">
        <v>2</v>
      </c>
      <c r="D178" s="289" t="s">
        <v>176</v>
      </c>
      <c r="E178" s="290"/>
    </row>
    <row r="179" spans="1:5" x14ac:dyDescent="0.25">
      <c r="A179" s="290"/>
      <c r="B179" s="291" t="s">
        <v>306</v>
      </c>
      <c r="C179" s="292">
        <f>C178</f>
        <v>2</v>
      </c>
      <c r="D179" s="293" t="s">
        <v>176</v>
      </c>
      <c r="E179" s="285"/>
    </row>
    <row r="181" spans="1:5" x14ac:dyDescent="0.3">
      <c r="A181" s="294"/>
      <c r="B181" s="295" t="str">
        <f>'GERAL '!A13</f>
        <v xml:space="preserve">RUA FRANCISCO FORTES MARTINS </v>
      </c>
      <c r="C181" s="437"/>
      <c r="D181" s="438"/>
      <c r="E181" s="438"/>
    </row>
    <row r="182" spans="1:5" x14ac:dyDescent="0.25">
      <c r="A182" s="296"/>
      <c r="B182" s="297" t="s">
        <v>289</v>
      </c>
      <c r="C182" s="158">
        <v>48</v>
      </c>
      <c r="D182" s="284" t="s">
        <v>174</v>
      </c>
      <c r="E182" s="285"/>
    </row>
    <row r="183" spans="1:5" x14ac:dyDescent="0.25">
      <c r="A183" s="296"/>
      <c r="B183" s="297" t="s">
        <v>290</v>
      </c>
      <c r="C183" s="158">
        <v>6</v>
      </c>
      <c r="D183" s="284" t="s">
        <v>174</v>
      </c>
      <c r="E183" s="285"/>
    </row>
    <row r="184" spans="1:5" x14ac:dyDescent="0.25">
      <c r="A184" s="296"/>
      <c r="B184" s="297" t="s">
        <v>303</v>
      </c>
      <c r="C184" s="173">
        <f>C19</f>
        <v>49.7</v>
      </c>
      <c r="D184" s="284" t="s">
        <v>304</v>
      </c>
      <c r="E184" s="285"/>
    </row>
    <row r="185" spans="1:5" x14ac:dyDescent="0.25">
      <c r="A185" s="281"/>
      <c r="B185" s="299"/>
      <c r="C185" s="283"/>
      <c r="D185" s="300"/>
      <c r="E185" s="285"/>
    </row>
    <row r="186" spans="1:5" x14ac:dyDescent="0.25">
      <c r="A186" s="281" t="s">
        <v>32</v>
      </c>
      <c r="B186" s="282" t="s">
        <v>165</v>
      </c>
      <c r="C186" s="283"/>
      <c r="D186" s="284"/>
      <c r="E186" s="285"/>
    </row>
    <row r="187" spans="1:5" x14ac:dyDescent="0.25">
      <c r="A187" s="286" t="s">
        <v>34</v>
      </c>
      <c r="B187" s="287" t="s">
        <v>166</v>
      </c>
      <c r="C187" s="288"/>
      <c r="D187" s="289"/>
      <c r="E187" s="290"/>
    </row>
    <row r="188" spans="1:5" x14ac:dyDescent="0.25">
      <c r="A188" s="290"/>
      <c r="B188" s="291" t="s">
        <v>283</v>
      </c>
      <c r="C188" s="155">
        <f>C182</f>
        <v>48</v>
      </c>
      <c r="D188" s="289" t="s">
        <v>174</v>
      </c>
      <c r="E188" s="290"/>
    </row>
    <row r="189" spans="1:5" x14ac:dyDescent="0.25">
      <c r="A189" s="290"/>
      <c r="B189" s="291" t="s">
        <v>284</v>
      </c>
      <c r="C189" s="155">
        <f>C183</f>
        <v>6</v>
      </c>
      <c r="D189" s="289" t="s">
        <v>174</v>
      </c>
      <c r="E189" s="285"/>
    </row>
    <row r="190" spans="1:5" x14ac:dyDescent="0.25">
      <c r="A190" s="290"/>
      <c r="B190" s="291" t="s">
        <v>286</v>
      </c>
      <c r="C190" s="292">
        <f>ROUND(C188*C189,2)</f>
        <v>288</v>
      </c>
      <c r="D190" s="293" t="s">
        <v>15</v>
      </c>
      <c r="E190" s="285"/>
    </row>
    <row r="191" spans="1:5" x14ac:dyDescent="0.25">
      <c r="A191" s="301"/>
      <c r="B191" s="302"/>
      <c r="C191" s="157"/>
      <c r="D191" s="303"/>
      <c r="E191" s="304"/>
    </row>
    <row r="192" spans="1:5" x14ac:dyDescent="0.25">
      <c r="A192" s="281" t="s">
        <v>167</v>
      </c>
      <c r="B192" s="282" t="s">
        <v>168</v>
      </c>
      <c r="C192" s="283"/>
      <c r="D192" s="284"/>
      <c r="E192" s="285"/>
    </row>
    <row r="193" spans="1:5" x14ac:dyDescent="0.3">
      <c r="A193" s="305" t="s">
        <v>169</v>
      </c>
      <c r="B193" s="436" t="s">
        <v>253</v>
      </c>
      <c r="C193" s="436"/>
      <c r="D193" s="436"/>
      <c r="E193" s="436"/>
    </row>
    <row r="194" spans="1:5" x14ac:dyDescent="0.25">
      <c r="A194" s="290"/>
      <c r="B194" s="291" t="s">
        <v>283</v>
      </c>
      <c r="C194" s="155">
        <f>C182</f>
        <v>48</v>
      </c>
      <c r="D194" s="289" t="s">
        <v>174</v>
      </c>
      <c r="E194" s="290"/>
    </row>
    <row r="195" spans="1:5" x14ac:dyDescent="0.25">
      <c r="A195" s="290"/>
      <c r="B195" s="291" t="s">
        <v>284</v>
      </c>
      <c r="C195" s="155">
        <f>C183</f>
        <v>6</v>
      </c>
      <c r="D195" s="289" t="s">
        <v>174</v>
      </c>
      <c r="E195" s="285"/>
    </row>
    <row r="196" spans="1:5" x14ac:dyDescent="0.25">
      <c r="A196" s="290"/>
      <c r="B196" s="291" t="s">
        <v>286</v>
      </c>
      <c r="C196" s="292">
        <f>ROUND(C194*C195,2)</f>
        <v>288</v>
      </c>
      <c r="D196" s="293" t="s">
        <v>15</v>
      </c>
      <c r="E196" s="285"/>
    </row>
    <row r="198" spans="1:5" x14ac:dyDescent="0.25">
      <c r="A198" s="281" t="s">
        <v>170</v>
      </c>
      <c r="B198" s="282" t="s">
        <v>171</v>
      </c>
      <c r="C198" s="283"/>
      <c r="D198" s="284"/>
      <c r="E198" s="285"/>
    </row>
    <row r="199" spans="1:5" x14ac:dyDescent="0.3">
      <c r="A199" s="305" t="s">
        <v>172</v>
      </c>
      <c r="B199" s="436" t="s">
        <v>173</v>
      </c>
      <c r="C199" s="436"/>
      <c r="D199" s="436"/>
      <c r="E199" s="436"/>
    </row>
    <row r="200" spans="1:5" x14ac:dyDescent="0.25">
      <c r="A200" s="290"/>
      <c r="B200" s="291" t="s">
        <v>283</v>
      </c>
      <c r="C200" s="155">
        <f>C188</f>
        <v>48</v>
      </c>
      <c r="D200" s="289" t="s">
        <v>174</v>
      </c>
      <c r="E200" s="290"/>
    </row>
    <row r="201" spans="1:5" x14ac:dyDescent="0.25">
      <c r="A201" s="290"/>
      <c r="B201" s="291" t="s">
        <v>243</v>
      </c>
      <c r="C201" s="162">
        <v>2</v>
      </c>
      <c r="D201" s="289" t="s">
        <v>176</v>
      </c>
      <c r="E201" s="435"/>
    </row>
    <row r="202" spans="1:5" x14ac:dyDescent="0.25">
      <c r="A202" s="290"/>
      <c r="B202" s="291" t="s">
        <v>305</v>
      </c>
      <c r="C202" s="162">
        <f>C195*2</f>
        <v>12</v>
      </c>
      <c r="D202" s="289" t="s">
        <v>174</v>
      </c>
      <c r="E202" s="435"/>
    </row>
    <row r="203" spans="1:5" x14ac:dyDescent="0.25">
      <c r="A203" s="290"/>
      <c r="B203" s="291" t="s">
        <v>291</v>
      </c>
      <c r="C203" s="292">
        <f>ROUND((C200*C201+C202),2)</f>
        <v>108</v>
      </c>
      <c r="D203" s="293" t="s">
        <v>174</v>
      </c>
      <c r="E203" s="285"/>
    </row>
    <row r="205" spans="1:5" x14ac:dyDescent="0.3">
      <c r="A205" s="305" t="s">
        <v>175</v>
      </c>
      <c r="B205" s="436" t="s">
        <v>292</v>
      </c>
      <c r="C205" s="436"/>
      <c r="D205" s="436"/>
      <c r="E205" s="436"/>
    </row>
    <row r="206" spans="1:5" x14ac:dyDescent="0.25">
      <c r="A206" s="290"/>
      <c r="B206" s="291" t="s">
        <v>283</v>
      </c>
      <c r="C206" s="155">
        <f>C200</f>
        <v>48</v>
      </c>
      <c r="D206" s="289" t="s">
        <v>174</v>
      </c>
      <c r="E206" s="290"/>
    </row>
    <row r="207" spans="1:5" x14ac:dyDescent="0.25">
      <c r="A207" s="290"/>
      <c r="B207" s="291" t="s">
        <v>243</v>
      </c>
      <c r="C207" s="155">
        <v>2</v>
      </c>
      <c r="D207" s="289" t="s">
        <v>176</v>
      </c>
      <c r="E207" s="435"/>
    </row>
    <row r="208" spans="1:5" x14ac:dyDescent="0.25">
      <c r="A208" s="290"/>
      <c r="B208" s="291" t="s">
        <v>291</v>
      </c>
      <c r="C208" s="292">
        <f>ROUND(C206*C207,2)</f>
        <v>96</v>
      </c>
      <c r="D208" s="293" t="s">
        <v>174</v>
      </c>
      <c r="E208" s="435"/>
    </row>
    <row r="210" spans="1:5" x14ac:dyDescent="0.25">
      <c r="A210" s="281" t="s">
        <v>217</v>
      </c>
      <c r="B210" s="282" t="s">
        <v>215</v>
      </c>
      <c r="C210" s="283"/>
      <c r="D210" s="284"/>
      <c r="E210" s="285"/>
    </row>
    <row r="211" spans="1:5" x14ac:dyDescent="0.3">
      <c r="A211" s="305" t="s">
        <v>218</v>
      </c>
      <c r="B211" s="436" t="s">
        <v>278</v>
      </c>
      <c r="C211" s="436"/>
      <c r="D211" s="436"/>
      <c r="E211" s="436"/>
    </row>
    <row r="212" spans="1:5" x14ac:dyDescent="0.25">
      <c r="A212" s="290"/>
      <c r="B212" s="291" t="s">
        <v>295</v>
      </c>
      <c r="C212" s="155">
        <f>C196</f>
        <v>288</v>
      </c>
      <c r="D212" s="289" t="s">
        <v>15</v>
      </c>
      <c r="E212" s="290"/>
    </row>
    <row r="213" spans="1:5" x14ac:dyDescent="0.25">
      <c r="A213" s="290"/>
      <c r="B213" s="291" t="s">
        <v>296</v>
      </c>
      <c r="C213" s="161">
        <v>4.2000000000000003E-2</v>
      </c>
      <c r="D213" s="289" t="s">
        <v>244</v>
      </c>
      <c r="E213" s="285"/>
    </row>
    <row r="214" spans="1:5" x14ac:dyDescent="0.25">
      <c r="A214" s="290"/>
      <c r="B214" s="291" t="s">
        <v>297</v>
      </c>
      <c r="C214" s="155">
        <v>2.52</v>
      </c>
      <c r="D214" s="289" t="s">
        <v>298</v>
      </c>
      <c r="E214" s="285"/>
    </row>
    <row r="215" spans="1:5" x14ac:dyDescent="0.25">
      <c r="A215" s="290"/>
      <c r="B215" s="291" t="s">
        <v>299</v>
      </c>
      <c r="C215" s="155">
        <v>1.5</v>
      </c>
      <c r="D215" s="289" t="s">
        <v>245</v>
      </c>
      <c r="E215" s="285"/>
    </row>
    <row r="216" spans="1:5" x14ac:dyDescent="0.25">
      <c r="A216" s="290"/>
      <c r="B216" s="291" t="s">
        <v>300</v>
      </c>
      <c r="C216" s="155">
        <v>30</v>
      </c>
      <c r="D216" s="289" t="s">
        <v>246</v>
      </c>
      <c r="E216" s="285"/>
    </row>
    <row r="217" spans="1:5" x14ac:dyDescent="0.25">
      <c r="A217" s="290"/>
      <c r="B217" s="282" t="s">
        <v>307</v>
      </c>
      <c r="C217" s="292">
        <f>ROUND(C212*C213*C214*C215*C216,2)</f>
        <v>1371.69</v>
      </c>
      <c r="D217" s="293" t="s">
        <v>308</v>
      </c>
      <c r="E217" s="285"/>
    </row>
    <row r="219" spans="1:5" x14ac:dyDescent="0.3">
      <c r="A219" s="305" t="s">
        <v>277</v>
      </c>
      <c r="B219" s="436" t="s">
        <v>279</v>
      </c>
      <c r="C219" s="436"/>
      <c r="D219" s="436"/>
      <c r="E219" s="436"/>
    </row>
    <row r="220" spans="1:5" x14ac:dyDescent="0.25">
      <c r="A220" s="290"/>
      <c r="B220" s="291" t="s">
        <v>295</v>
      </c>
      <c r="C220" s="155">
        <f>C212</f>
        <v>288</v>
      </c>
      <c r="D220" s="289" t="s">
        <v>15</v>
      </c>
      <c r="E220" s="307"/>
    </row>
    <row r="221" spans="1:5" x14ac:dyDescent="0.25">
      <c r="A221" s="290"/>
      <c r="B221" s="291" t="s">
        <v>296</v>
      </c>
      <c r="C221" s="161">
        <v>4.2000000000000003E-2</v>
      </c>
      <c r="D221" s="289" t="s">
        <v>244</v>
      </c>
      <c r="E221" s="308"/>
    </row>
    <row r="222" spans="1:5" x14ac:dyDescent="0.25">
      <c r="A222" s="290"/>
      <c r="B222" s="291" t="s">
        <v>297</v>
      </c>
      <c r="C222" s="155">
        <v>2.52</v>
      </c>
      <c r="D222" s="289" t="s">
        <v>298</v>
      </c>
      <c r="E222" s="308"/>
    </row>
    <row r="223" spans="1:5" x14ac:dyDescent="0.25">
      <c r="A223" s="290"/>
      <c r="B223" s="291" t="s">
        <v>299</v>
      </c>
      <c r="C223" s="155">
        <v>1.5</v>
      </c>
      <c r="D223" s="289" t="s">
        <v>245</v>
      </c>
      <c r="E223" s="308"/>
    </row>
    <row r="224" spans="1:5" x14ac:dyDescent="0.25">
      <c r="A224" s="290"/>
      <c r="B224" s="291" t="s">
        <v>300</v>
      </c>
      <c r="C224" s="155">
        <f>C184-C216</f>
        <v>19.700000000000003</v>
      </c>
      <c r="D224" s="289" t="s">
        <v>246</v>
      </c>
      <c r="E224" s="308"/>
    </row>
    <row r="225" spans="1:5" x14ac:dyDescent="0.25">
      <c r="A225" s="290"/>
      <c r="B225" s="282" t="s">
        <v>307</v>
      </c>
      <c r="C225" s="292">
        <f>ROUND(C220*C221*C222*C223*C224,2)</f>
        <v>900.74</v>
      </c>
      <c r="D225" s="293" t="s">
        <v>308</v>
      </c>
      <c r="E225" s="308"/>
    </row>
    <row r="226" spans="1:5" x14ac:dyDescent="0.25">
      <c r="B226" s="291"/>
      <c r="C226" s="156"/>
      <c r="D226" s="309"/>
    </row>
    <row r="227" spans="1:5" x14ac:dyDescent="0.25">
      <c r="A227" s="281" t="s">
        <v>254</v>
      </c>
      <c r="B227" s="282" t="s">
        <v>293</v>
      </c>
      <c r="C227" s="283"/>
      <c r="D227" s="284"/>
      <c r="E227" s="285"/>
    </row>
    <row r="228" spans="1:5" x14ac:dyDescent="0.3">
      <c r="A228" s="305" t="s">
        <v>256</v>
      </c>
      <c r="B228" s="436" t="s">
        <v>259</v>
      </c>
      <c r="C228" s="436"/>
      <c r="D228" s="436"/>
      <c r="E228" s="436"/>
    </row>
    <row r="229" spans="1:5" x14ac:dyDescent="0.25">
      <c r="A229" s="290"/>
      <c r="B229" s="291" t="s">
        <v>294</v>
      </c>
      <c r="C229" s="155">
        <v>0.23</v>
      </c>
      <c r="D229" s="289" t="s">
        <v>15</v>
      </c>
      <c r="E229" s="290"/>
    </row>
    <row r="230" spans="1:5" x14ac:dyDescent="0.25">
      <c r="A230" s="290"/>
      <c r="B230" s="291" t="s">
        <v>306</v>
      </c>
      <c r="C230" s="292">
        <f>C229</f>
        <v>0.23</v>
      </c>
      <c r="D230" s="293" t="s">
        <v>15</v>
      </c>
      <c r="E230" s="285"/>
    </row>
    <row r="232" spans="1:5" x14ac:dyDescent="0.3">
      <c r="A232" s="305" t="s">
        <v>301</v>
      </c>
      <c r="B232" s="436" t="s">
        <v>276</v>
      </c>
      <c r="C232" s="436"/>
      <c r="D232" s="436"/>
      <c r="E232" s="436"/>
    </row>
    <row r="233" spans="1:5" x14ac:dyDescent="0.25">
      <c r="A233" s="290"/>
      <c r="B233" s="291" t="s">
        <v>294</v>
      </c>
      <c r="C233" s="155">
        <v>2</v>
      </c>
      <c r="D233" s="289" t="s">
        <v>176</v>
      </c>
      <c r="E233" s="290"/>
    </row>
    <row r="234" spans="1:5" x14ac:dyDescent="0.25">
      <c r="A234" s="290"/>
      <c r="B234" s="291" t="s">
        <v>306</v>
      </c>
      <c r="C234" s="292">
        <f>C233</f>
        <v>2</v>
      </c>
      <c r="D234" s="293" t="s">
        <v>176</v>
      </c>
      <c r="E234" s="285"/>
    </row>
    <row r="236" spans="1:5" x14ac:dyDescent="0.3">
      <c r="A236" s="294"/>
      <c r="B236" s="295" t="str">
        <f>'GERAL '!A14</f>
        <v>RUA MANOEL SENHOR</v>
      </c>
      <c r="C236" s="437"/>
      <c r="D236" s="438"/>
      <c r="E236" s="438"/>
    </row>
    <row r="237" spans="1:5" x14ac:dyDescent="0.25">
      <c r="A237" s="296"/>
      <c r="B237" s="297" t="s">
        <v>289</v>
      </c>
      <c r="C237" s="158">
        <v>25</v>
      </c>
      <c r="D237" s="284" t="s">
        <v>174</v>
      </c>
      <c r="E237" s="285"/>
    </row>
    <row r="238" spans="1:5" x14ac:dyDescent="0.25">
      <c r="A238" s="296"/>
      <c r="B238" s="297" t="s">
        <v>290</v>
      </c>
      <c r="C238" s="158">
        <v>6</v>
      </c>
      <c r="D238" s="284" t="s">
        <v>174</v>
      </c>
      <c r="E238" s="285"/>
    </row>
    <row r="239" spans="1:5" x14ac:dyDescent="0.25">
      <c r="A239" s="296"/>
      <c r="B239" s="297" t="s">
        <v>303</v>
      </c>
      <c r="C239" s="173">
        <f>C19</f>
        <v>49.7</v>
      </c>
      <c r="D239" s="284" t="s">
        <v>304</v>
      </c>
      <c r="E239" s="285"/>
    </row>
    <row r="240" spans="1:5" x14ac:dyDescent="0.25">
      <c r="A240" s="281"/>
      <c r="B240" s="299"/>
      <c r="C240" s="283"/>
      <c r="D240" s="300"/>
      <c r="E240" s="285"/>
    </row>
    <row r="241" spans="1:5" x14ac:dyDescent="0.25">
      <c r="A241" s="281" t="s">
        <v>32</v>
      </c>
      <c r="B241" s="282" t="s">
        <v>165</v>
      </c>
      <c r="C241" s="283"/>
      <c r="D241" s="284"/>
      <c r="E241" s="285"/>
    </row>
    <row r="242" spans="1:5" x14ac:dyDescent="0.25">
      <c r="A242" s="286" t="s">
        <v>34</v>
      </c>
      <c r="B242" s="287" t="s">
        <v>166</v>
      </c>
      <c r="C242" s="288"/>
      <c r="D242" s="289"/>
      <c r="E242" s="290"/>
    </row>
    <row r="243" spans="1:5" x14ac:dyDescent="0.25">
      <c r="A243" s="290"/>
      <c r="B243" s="291" t="s">
        <v>283</v>
      </c>
      <c r="C243" s="155">
        <f>C237</f>
        <v>25</v>
      </c>
      <c r="D243" s="289" t="s">
        <v>174</v>
      </c>
      <c r="E243" s="290"/>
    </row>
    <row r="244" spans="1:5" x14ac:dyDescent="0.25">
      <c r="A244" s="290"/>
      <c r="B244" s="291" t="s">
        <v>284</v>
      </c>
      <c r="C244" s="155">
        <f>C238</f>
        <v>6</v>
      </c>
      <c r="D244" s="289" t="s">
        <v>174</v>
      </c>
      <c r="E244" s="285"/>
    </row>
    <row r="245" spans="1:5" x14ac:dyDescent="0.25">
      <c r="A245" s="290"/>
      <c r="B245" s="291" t="s">
        <v>286</v>
      </c>
      <c r="C245" s="292">
        <f>ROUND(C243*C244,2)</f>
        <v>150</v>
      </c>
      <c r="D245" s="293" t="s">
        <v>15</v>
      </c>
      <c r="E245" s="285"/>
    </row>
    <row r="246" spans="1:5" x14ac:dyDescent="0.25">
      <c r="A246" s="301"/>
      <c r="B246" s="302"/>
      <c r="C246" s="157"/>
      <c r="D246" s="303"/>
      <c r="E246" s="304"/>
    </row>
    <row r="247" spans="1:5" x14ac:dyDescent="0.25">
      <c r="A247" s="281" t="s">
        <v>167</v>
      </c>
      <c r="B247" s="282" t="s">
        <v>168</v>
      </c>
      <c r="C247" s="283"/>
      <c r="D247" s="284"/>
      <c r="E247" s="285"/>
    </row>
    <row r="248" spans="1:5" x14ac:dyDescent="0.3">
      <c r="A248" s="305" t="s">
        <v>169</v>
      </c>
      <c r="B248" s="436" t="s">
        <v>253</v>
      </c>
      <c r="C248" s="436"/>
      <c r="D248" s="436"/>
      <c r="E248" s="436"/>
    </row>
    <row r="249" spans="1:5" x14ac:dyDescent="0.25">
      <c r="A249" s="290"/>
      <c r="B249" s="291" t="s">
        <v>283</v>
      </c>
      <c r="C249" s="155">
        <f>C237</f>
        <v>25</v>
      </c>
      <c r="D249" s="289" t="s">
        <v>174</v>
      </c>
      <c r="E249" s="290"/>
    </row>
    <row r="250" spans="1:5" x14ac:dyDescent="0.25">
      <c r="A250" s="290"/>
      <c r="B250" s="291" t="s">
        <v>284</v>
      </c>
      <c r="C250" s="155">
        <f>C238</f>
        <v>6</v>
      </c>
      <c r="D250" s="289" t="s">
        <v>174</v>
      </c>
      <c r="E250" s="285"/>
    </row>
    <row r="251" spans="1:5" x14ac:dyDescent="0.25">
      <c r="A251" s="290"/>
      <c r="B251" s="291" t="s">
        <v>286</v>
      </c>
      <c r="C251" s="292">
        <f>ROUND(C249*C250,2)</f>
        <v>150</v>
      </c>
      <c r="D251" s="293" t="s">
        <v>15</v>
      </c>
      <c r="E251" s="285"/>
    </row>
    <row r="253" spans="1:5" x14ac:dyDescent="0.25">
      <c r="A253" s="281" t="s">
        <v>170</v>
      </c>
      <c r="B253" s="282" t="s">
        <v>171</v>
      </c>
      <c r="C253" s="283"/>
      <c r="D253" s="284"/>
      <c r="E253" s="285"/>
    </row>
    <row r="254" spans="1:5" x14ac:dyDescent="0.3">
      <c r="A254" s="305" t="s">
        <v>172</v>
      </c>
      <c r="B254" s="436" t="s">
        <v>173</v>
      </c>
      <c r="C254" s="436"/>
      <c r="D254" s="436"/>
      <c r="E254" s="436"/>
    </row>
    <row r="255" spans="1:5" x14ac:dyDescent="0.25">
      <c r="A255" s="290"/>
      <c r="B255" s="291" t="s">
        <v>283</v>
      </c>
      <c r="C255" s="155">
        <f>C237</f>
        <v>25</v>
      </c>
      <c r="D255" s="289" t="s">
        <v>174</v>
      </c>
      <c r="E255" s="290"/>
    </row>
    <row r="256" spans="1:5" x14ac:dyDescent="0.25">
      <c r="A256" s="290"/>
      <c r="B256" s="291" t="s">
        <v>243</v>
      </c>
      <c r="C256" s="162">
        <v>2</v>
      </c>
      <c r="D256" s="289" t="s">
        <v>176</v>
      </c>
      <c r="E256" s="435"/>
    </row>
    <row r="257" spans="1:5" x14ac:dyDescent="0.25">
      <c r="A257" s="290"/>
      <c r="B257" s="291" t="s">
        <v>305</v>
      </c>
      <c r="C257" s="162">
        <f>C250*2</f>
        <v>12</v>
      </c>
      <c r="D257" s="289" t="s">
        <v>174</v>
      </c>
      <c r="E257" s="435"/>
    </row>
    <row r="258" spans="1:5" x14ac:dyDescent="0.25">
      <c r="A258" s="290"/>
      <c r="B258" s="291" t="s">
        <v>291</v>
      </c>
      <c r="C258" s="292">
        <f>ROUND((C255*C256+C257),2)</f>
        <v>62</v>
      </c>
      <c r="D258" s="293" t="s">
        <v>174</v>
      </c>
      <c r="E258" s="285"/>
    </row>
    <row r="260" spans="1:5" x14ac:dyDescent="0.3">
      <c r="A260" s="305" t="s">
        <v>175</v>
      </c>
      <c r="B260" s="436" t="s">
        <v>292</v>
      </c>
      <c r="C260" s="436"/>
      <c r="D260" s="436"/>
      <c r="E260" s="436"/>
    </row>
    <row r="261" spans="1:5" x14ac:dyDescent="0.25">
      <c r="A261" s="290"/>
      <c r="B261" s="291" t="s">
        <v>283</v>
      </c>
      <c r="C261" s="155">
        <f>C237</f>
        <v>25</v>
      </c>
      <c r="D261" s="289" t="s">
        <v>174</v>
      </c>
      <c r="E261" s="290"/>
    </row>
    <row r="262" spans="1:5" x14ac:dyDescent="0.25">
      <c r="A262" s="290"/>
      <c r="B262" s="291" t="s">
        <v>243</v>
      </c>
      <c r="C262" s="155">
        <v>2</v>
      </c>
      <c r="D262" s="289" t="s">
        <v>176</v>
      </c>
      <c r="E262" s="435"/>
    </row>
    <row r="263" spans="1:5" x14ac:dyDescent="0.25">
      <c r="A263" s="290"/>
      <c r="B263" s="291" t="s">
        <v>291</v>
      </c>
      <c r="C263" s="292">
        <f>ROUND(C261*C262,2)</f>
        <v>50</v>
      </c>
      <c r="D263" s="293" t="s">
        <v>174</v>
      </c>
      <c r="E263" s="435"/>
    </row>
    <row r="265" spans="1:5" x14ac:dyDescent="0.25">
      <c r="A265" s="281" t="s">
        <v>217</v>
      </c>
      <c r="B265" s="282" t="s">
        <v>215</v>
      </c>
      <c r="C265" s="283"/>
      <c r="D265" s="284"/>
      <c r="E265" s="285"/>
    </row>
    <row r="266" spans="1:5" x14ac:dyDescent="0.3">
      <c r="A266" s="305" t="s">
        <v>218</v>
      </c>
      <c r="B266" s="436" t="s">
        <v>278</v>
      </c>
      <c r="C266" s="436"/>
      <c r="D266" s="436"/>
      <c r="E266" s="436"/>
    </row>
    <row r="267" spans="1:5" x14ac:dyDescent="0.25">
      <c r="A267" s="290"/>
      <c r="B267" s="291" t="s">
        <v>295</v>
      </c>
      <c r="C267" s="155">
        <f>C251</f>
        <v>150</v>
      </c>
      <c r="D267" s="289" t="s">
        <v>15</v>
      </c>
      <c r="E267" s="290"/>
    </row>
    <row r="268" spans="1:5" x14ac:dyDescent="0.25">
      <c r="A268" s="290"/>
      <c r="B268" s="291" t="s">
        <v>296</v>
      </c>
      <c r="C268" s="161">
        <v>4.2000000000000003E-2</v>
      </c>
      <c r="D268" s="289" t="s">
        <v>244</v>
      </c>
      <c r="E268" s="285"/>
    </row>
    <row r="269" spans="1:5" x14ac:dyDescent="0.25">
      <c r="A269" s="290"/>
      <c r="B269" s="291" t="s">
        <v>297</v>
      </c>
      <c r="C269" s="155">
        <v>2.52</v>
      </c>
      <c r="D269" s="289" t="s">
        <v>298</v>
      </c>
      <c r="E269" s="285"/>
    </row>
    <row r="270" spans="1:5" x14ac:dyDescent="0.25">
      <c r="A270" s="290"/>
      <c r="B270" s="291" t="s">
        <v>299</v>
      </c>
      <c r="C270" s="155">
        <v>1.5</v>
      </c>
      <c r="D270" s="289" t="s">
        <v>245</v>
      </c>
      <c r="E270" s="285"/>
    </row>
    <row r="271" spans="1:5" x14ac:dyDescent="0.25">
      <c r="A271" s="290"/>
      <c r="B271" s="291" t="s">
        <v>300</v>
      </c>
      <c r="C271" s="155">
        <v>30</v>
      </c>
      <c r="D271" s="289" t="s">
        <v>246</v>
      </c>
      <c r="E271" s="285"/>
    </row>
    <row r="272" spans="1:5" x14ac:dyDescent="0.25">
      <c r="A272" s="290"/>
      <c r="B272" s="282" t="s">
        <v>307</v>
      </c>
      <c r="C272" s="292">
        <f>ROUND(C267*C268*C269*C270*C271,2)</f>
        <v>714.42</v>
      </c>
      <c r="D272" s="293" t="s">
        <v>308</v>
      </c>
      <c r="E272" s="285"/>
    </row>
    <row r="274" spans="1:5" x14ac:dyDescent="0.3">
      <c r="A274" s="305" t="s">
        <v>277</v>
      </c>
      <c r="B274" s="436" t="s">
        <v>279</v>
      </c>
      <c r="C274" s="436"/>
      <c r="D274" s="436"/>
      <c r="E274" s="436"/>
    </row>
    <row r="275" spans="1:5" x14ac:dyDescent="0.25">
      <c r="A275" s="290"/>
      <c r="B275" s="291" t="s">
        <v>295</v>
      </c>
      <c r="C275" s="155">
        <f>C267</f>
        <v>150</v>
      </c>
      <c r="D275" s="289" t="s">
        <v>15</v>
      </c>
      <c r="E275" s="307"/>
    </row>
    <row r="276" spans="1:5" x14ac:dyDescent="0.25">
      <c r="A276" s="290"/>
      <c r="B276" s="291" t="s">
        <v>296</v>
      </c>
      <c r="C276" s="161">
        <v>4.2000000000000003E-2</v>
      </c>
      <c r="D276" s="289" t="s">
        <v>244</v>
      </c>
      <c r="E276" s="308"/>
    </row>
    <row r="277" spans="1:5" x14ac:dyDescent="0.25">
      <c r="A277" s="290"/>
      <c r="B277" s="291" t="s">
        <v>297</v>
      </c>
      <c r="C277" s="155">
        <v>2.52</v>
      </c>
      <c r="D277" s="289" t="s">
        <v>298</v>
      </c>
      <c r="E277" s="308"/>
    </row>
    <row r="278" spans="1:5" x14ac:dyDescent="0.25">
      <c r="A278" s="290"/>
      <c r="B278" s="291" t="s">
        <v>299</v>
      </c>
      <c r="C278" s="155">
        <v>1.5</v>
      </c>
      <c r="D278" s="289" t="s">
        <v>245</v>
      </c>
      <c r="E278" s="308"/>
    </row>
    <row r="279" spans="1:5" x14ac:dyDescent="0.25">
      <c r="A279" s="290"/>
      <c r="B279" s="291" t="s">
        <v>300</v>
      </c>
      <c r="C279" s="155">
        <f>C239-C271</f>
        <v>19.700000000000003</v>
      </c>
      <c r="D279" s="289" t="s">
        <v>246</v>
      </c>
      <c r="E279" s="308"/>
    </row>
    <row r="280" spans="1:5" x14ac:dyDescent="0.25">
      <c r="A280" s="290"/>
      <c r="B280" s="282" t="s">
        <v>307</v>
      </c>
      <c r="C280" s="292">
        <f>ROUND(C275*C276*C277*C278*C279,2)</f>
        <v>469.14</v>
      </c>
      <c r="D280" s="293" t="s">
        <v>308</v>
      </c>
      <c r="E280" s="308"/>
    </row>
    <row r="281" spans="1:5" x14ac:dyDescent="0.25">
      <c r="B281" s="291"/>
      <c r="C281" s="156"/>
      <c r="D281" s="309"/>
    </row>
    <row r="282" spans="1:5" x14ac:dyDescent="0.25">
      <c r="A282" s="281" t="s">
        <v>254</v>
      </c>
      <c r="B282" s="282" t="s">
        <v>293</v>
      </c>
      <c r="C282" s="283"/>
      <c r="D282" s="284"/>
      <c r="E282" s="285"/>
    </row>
    <row r="283" spans="1:5" x14ac:dyDescent="0.3">
      <c r="A283" s="305" t="s">
        <v>256</v>
      </c>
      <c r="B283" s="436" t="s">
        <v>259</v>
      </c>
      <c r="C283" s="436"/>
      <c r="D283" s="436"/>
      <c r="E283" s="436"/>
    </row>
    <row r="284" spans="1:5" x14ac:dyDescent="0.25">
      <c r="A284" s="290"/>
      <c r="B284" s="291" t="s">
        <v>294</v>
      </c>
      <c r="C284" s="155">
        <v>0.23</v>
      </c>
      <c r="D284" s="289" t="s">
        <v>15</v>
      </c>
      <c r="E284" s="290"/>
    </row>
    <row r="285" spans="1:5" x14ac:dyDescent="0.25">
      <c r="A285" s="290"/>
      <c r="B285" s="291" t="s">
        <v>306</v>
      </c>
      <c r="C285" s="292">
        <f>C284</f>
        <v>0.23</v>
      </c>
      <c r="D285" s="293" t="s">
        <v>15</v>
      </c>
      <c r="E285" s="285"/>
    </row>
    <row r="287" spans="1:5" x14ac:dyDescent="0.3">
      <c r="A287" s="305" t="s">
        <v>301</v>
      </c>
      <c r="B287" s="436" t="s">
        <v>276</v>
      </c>
      <c r="C287" s="436"/>
      <c r="D287" s="436"/>
      <c r="E287" s="436"/>
    </row>
    <row r="288" spans="1:5" x14ac:dyDescent="0.25">
      <c r="A288" s="290"/>
      <c r="B288" s="291" t="s">
        <v>294</v>
      </c>
      <c r="C288" s="155">
        <v>2</v>
      </c>
      <c r="D288" s="289" t="s">
        <v>176</v>
      </c>
      <c r="E288" s="290"/>
    </row>
    <row r="289" spans="1:5" x14ac:dyDescent="0.25">
      <c r="A289" s="290"/>
      <c r="B289" s="291" t="s">
        <v>306</v>
      </c>
      <c r="C289" s="292">
        <f>C288</f>
        <v>2</v>
      </c>
      <c r="D289" s="293" t="s">
        <v>176</v>
      </c>
      <c r="E289" s="285"/>
    </row>
    <row r="291" spans="1:5" x14ac:dyDescent="0.3">
      <c r="A291" s="294"/>
      <c r="B291" s="295" t="str">
        <f>'GERAL '!A15</f>
        <v>PROJETADA 01 - COMUNIDADE GRACIOSA</v>
      </c>
      <c r="C291" s="437"/>
      <c r="D291" s="438"/>
      <c r="E291" s="438"/>
    </row>
    <row r="292" spans="1:5" x14ac:dyDescent="0.25">
      <c r="A292" s="296"/>
      <c r="B292" s="297" t="s">
        <v>289</v>
      </c>
      <c r="C292" s="158">
        <v>633</v>
      </c>
      <c r="D292" s="284" t="s">
        <v>174</v>
      </c>
      <c r="E292" s="285"/>
    </row>
    <row r="293" spans="1:5" x14ac:dyDescent="0.25">
      <c r="A293" s="296"/>
      <c r="B293" s="297" t="s">
        <v>290</v>
      </c>
      <c r="C293" s="158">
        <v>6</v>
      </c>
      <c r="D293" s="284" t="s">
        <v>174</v>
      </c>
      <c r="E293" s="285"/>
    </row>
    <row r="294" spans="1:5" x14ac:dyDescent="0.25">
      <c r="A294" s="296"/>
      <c r="B294" s="297" t="s">
        <v>303</v>
      </c>
      <c r="C294" s="173">
        <f>C19</f>
        <v>49.7</v>
      </c>
      <c r="D294" s="284" t="s">
        <v>304</v>
      </c>
      <c r="E294" s="285"/>
    </row>
    <row r="295" spans="1:5" x14ac:dyDescent="0.25">
      <c r="A295" s="281"/>
      <c r="B295" s="299"/>
      <c r="C295" s="283"/>
      <c r="D295" s="300"/>
      <c r="E295" s="285"/>
    </row>
    <row r="296" spans="1:5" x14ac:dyDescent="0.25">
      <c r="A296" s="281" t="s">
        <v>32</v>
      </c>
      <c r="B296" s="282" t="s">
        <v>165</v>
      </c>
      <c r="C296" s="283"/>
      <c r="D296" s="284"/>
      <c r="E296" s="285"/>
    </row>
    <row r="297" spans="1:5" x14ac:dyDescent="0.25">
      <c r="A297" s="286" t="s">
        <v>34</v>
      </c>
      <c r="B297" s="287" t="s">
        <v>166</v>
      </c>
      <c r="C297" s="288"/>
      <c r="D297" s="289"/>
      <c r="E297" s="290"/>
    </row>
    <row r="298" spans="1:5" x14ac:dyDescent="0.25">
      <c r="A298" s="290"/>
      <c r="B298" s="291" t="s">
        <v>283</v>
      </c>
      <c r="C298" s="155">
        <f>C292</f>
        <v>633</v>
      </c>
      <c r="D298" s="289" t="s">
        <v>174</v>
      </c>
      <c r="E298" s="290"/>
    </row>
    <row r="299" spans="1:5" x14ac:dyDescent="0.25">
      <c r="A299" s="290"/>
      <c r="B299" s="291" t="s">
        <v>284</v>
      </c>
      <c r="C299" s="155">
        <f>C293</f>
        <v>6</v>
      </c>
      <c r="D299" s="289" t="s">
        <v>174</v>
      </c>
      <c r="E299" s="285"/>
    </row>
    <row r="300" spans="1:5" x14ac:dyDescent="0.25">
      <c r="A300" s="290"/>
      <c r="B300" s="291" t="s">
        <v>286</v>
      </c>
      <c r="C300" s="292">
        <f>ROUND(C298*C299,2)</f>
        <v>3798</v>
      </c>
      <c r="D300" s="293" t="s">
        <v>15</v>
      </c>
      <c r="E300" s="285"/>
    </row>
    <row r="301" spans="1:5" x14ac:dyDescent="0.25">
      <c r="A301" s="301"/>
      <c r="B301" s="302"/>
      <c r="C301" s="157"/>
      <c r="D301" s="303"/>
      <c r="E301" s="304"/>
    </row>
    <row r="302" spans="1:5" x14ac:dyDescent="0.25">
      <c r="A302" s="281" t="s">
        <v>167</v>
      </c>
      <c r="B302" s="282" t="s">
        <v>168</v>
      </c>
      <c r="C302" s="283"/>
      <c r="D302" s="284"/>
      <c r="E302" s="285"/>
    </row>
    <row r="303" spans="1:5" x14ac:dyDescent="0.3">
      <c r="A303" s="305" t="s">
        <v>169</v>
      </c>
      <c r="B303" s="436" t="s">
        <v>253</v>
      </c>
      <c r="C303" s="436"/>
      <c r="D303" s="436"/>
      <c r="E303" s="436"/>
    </row>
    <row r="304" spans="1:5" x14ac:dyDescent="0.25">
      <c r="A304" s="290"/>
      <c r="B304" s="291" t="s">
        <v>283</v>
      </c>
      <c r="C304" s="155">
        <f>C292</f>
        <v>633</v>
      </c>
      <c r="D304" s="289" t="s">
        <v>174</v>
      </c>
      <c r="E304" s="290"/>
    </row>
    <row r="305" spans="1:5" x14ac:dyDescent="0.25">
      <c r="A305" s="290"/>
      <c r="B305" s="291" t="s">
        <v>284</v>
      </c>
      <c r="C305" s="155">
        <f>C293</f>
        <v>6</v>
      </c>
      <c r="D305" s="289" t="s">
        <v>174</v>
      </c>
      <c r="E305" s="285"/>
    </row>
    <row r="306" spans="1:5" x14ac:dyDescent="0.25">
      <c r="A306" s="290"/>
      <c r="B306" s="291" t="s">
        <v>286</v>
      </c>
      <c r="C306" s="292">
        <f>ROUND(C304*C305,2)</f>
        <v>3798</v>
      </c>
      <c r="D306" s="293" t="s">
        <v>15</v>
      </c>
      <c r="E306" s="285"/>
    </row>
    <row r="308" spans="1:5" x14ac:dyDescent="0.25">
      <c r="A308" s="281" t="s">
        <v>170</v>
      </c>
      <c r="B308" s="282" t="s">
        <v>171</v>
      </c>
      <c r="C308" s="283"/>
      <c r="D308" s="284"/>
      <c r="E308" s="285"/>
    </row>
    <row r="309" spans="1:5" x14ac:dyDescent="0.3">
      <c r="A309" s="305" t="s">
        <v>172</v>
      </c>
      <c r="B309" s="436" t="s">
        <v>173</v>
      </c>
      <c r="C309" s="436"/>
      <c r="D309" s="436"/>
      <c r="E309" s="436"/>
    </row>
    <row r="310" spans="1:5" x14ac:dyDescent="0.25">
      <c r="A310" s="290"/>
      <c r="B310" s="291" t="s">
        <v>283</v>
      </c>
      <c r="C310" s="155">
        <f>C292</f>
        <v>633</v>
      </c>
      <c r="D310" s="289" t="s">
        <v>174</v>
      </c>
      <c r="E310" s="290"/>
    </row>
    <row r="311" spans="1:5" x14ac:dyDescent="0.25">
      <c r="A311" s="290"/>
      <c r="B311" s="291" t="s">
        <v>243</v>
      </c>
      <c r="C311" s="162">
        <v>2</v>
      </c>
      <c r="D311" s="289" t="s">
        <v>176</v>
      </c>
      <c r="E311" s="435"/>
    </row>
    <row r="312" spans="1:5" x14ac:dyDescent="0.25">
      <c r="A312" s="290"/>
      <c r="B312" s="291" t="s">
        <v>305</v>
      </c>
      <c r="C312" s="162">
        <f>C305*2</f>
        <v>12</v>
      </c>
      <c r="D312" s="289" t="s">
        <v>174</v>
      </c>
      <c r="E312" s="435"/>
    </row>
    <row r="313" spans="1:5" x14ac:dyDescent="0.25">
      <c r="A313" s="290"/>
      <c r="B313" s="291" t="s">
        <v>291</v>
      </c>
      <c r="C313" s="292">
        <f>ROUND((C310*C311+C312),2)</f>
        <v>1278</v>
      </c>
      <c r="D313" s="293" t="s">
        <v>174</v>
      </c>
      <c r="E313" s="285"/>
    </row>
    <row r="315" spans="1:5" x14ac:dyDescent="0.3">
      <c r="A315" s="305" t="s">
        <v>175</v>
      </c>
      <c r="B315" s="436" t="s">
        <v>292</v>
      </c>
      <c r="C315" s="436"/>
      <c r="D315" s="436"/>
      <c r="E315" s="436"/>
    </row>
    <row r="316" spans="1:5" x14ac:dyDescent="0.25">
      <c r="A316" s="290"/>
      <c r="B316" s="291" t="s">
        <v>283</v>
      </c>
      <c r="C316" s="155">
        <f>C292</f>
        <v>633</v>
      </c>
      <c r="D316" s="289" t="s">
        <v>174</v>
      </c>
      <c r="E316" s="290"/>
    </row>
    <row r="317" spans="1:5" x14ac:dyDescent="0.25">
      <c r="A317" s="290"/>
      <c r="B317" s="291" t="s">
        <v>243</v>
      </c>
      <c r="C317" s="155">
        <v>2</v>
      </c>
      <c r="D317" s="289" t="s">
        <v>176</v>
      </c>
      <c r="E317" s="435"/>
    </row>
    <row r="318" spans="1:5" x14ac:dyDescent="0.25">
      <c r="A318" s="290"/>
      <c r="B318" s="291" t="s">
        <v>291</v>
      </c>
      <c r="C318" s="292">
        <f>ROUND(C316*C317,2)</f>
        <v>1266</v>
      </c>
      <c r="D318" s="293" t="s">
        <v>174</v>
      </c>
      <c r="E318" s="435"/>
    </row>
    <row r="320" spans="1:5" x14ac:dyDescent="0.25">
      <c r="A320" s="281" t="s">
        <v>217</v>
      </c>
      <c r="B320" s="282" t="s">
        <v>215</v>
      </c>
      <c r="C320" s="283"/>
      <c r="D320" s="284"/>
      <c r="E320" s="285"/>
    </row>
    <row r="321" spans="1:5" x14ac:dyDescent="0.3">
      <c r="A321" s="305" t="s">
        <v>218</v>
      </c>
      <c r="B321" s="436" t="s">
        <v>278</v>
      </c>
      <c r="C321" s="436"/>
      <c r="D321" s="436"/>
      <c r="E321" s="436"/>
    </row>
    <row r="322" spans="1:5" x14ac:dyDescent="0.25">
      <c r="A322" s="290"/>
      <c r="B322" s="291" t="s">
        <v>295</v>
      </c>
      <c r="C322" s="155">
        <f>C306</f>
        <v>3798</v>
      </c>
      <c r="D322" s="289" t="s">
        <v>15</v>
      </c>
      <c r="E322" s="290"/>
    </row>
    <row r="323" spans="1:5" x14ac:dyDescent="0.25">
      <c r="A323" s="290"/>
      <c r="B323" s="291" t="s">
        <v>296</v>
      </c>
      <c r="C323" s="161">
        <v>4.2000000000000003E-2</v>
      </c>
      <c r="D323" s="289" t="s">
        <v>244</v>
      </c>
      <c r="E323" s="285"/>
    </row>
    <row r="324" spans="1:5" x14ac:dyDescent="0.25">
      <c r="A324" s="290"/>
      <c r="B324" s="291" t="s">
        <v>297</v>
      </c>
      <c r="C324" s="155">
        <v>2.52</v>
      </c>
      <c r="D324" s="289" t="s">
        <v>298</v>
      </c>
      <c r="E324" s="285"/>
    </row>
    <row r="325" spans="1:5" x14ac:dyDescent="0.25">
      <c r="A325" s="290"/>
      <c r="B325" s="291" t="s">
        <v>299</v>
      </c>
      <c r="C325" s="155">
        <v>1.5</v>
      </c>
      <c r="D325" s="289" t="s">
        <v>245</v>
      </c>
      <c r="E325" s="285"/>
    </row>
    <row r="326" spans="1:5" x14ac:dyDescent="0.25">
      <c r="A326" s="290"/>
      <c r="B326" s="291" t="s">
        <v>300</v>
      </c>
      <c r="C326" s="155">
        <v>30</v>
      </c>
      <c r="D326" s="289" t="s">
        <v>246</v>
      </c>
      <c r="E326" s="285"/>
    </row>
    <row r="327" spans="1:5" x14ac:dyDescent="0.25">
      <c r="A327" s="290"/>
      <c r="B327" s="282" t="s">
        <v>307</v>
      </c>
      <c r="C327" s="292">
        <f>ROUND(C322*C323*C324*C325*C326,2)</f>
        <v>18089.11</v>
      </c>
      <c r="D327" s="293" t="s">
        <v>308</v>
      </c>
      <c r="E327" s="285"/>
    </row>
    <row r="329" spans="1:5" x14ac:dyDescent="0.3">
      <c r="A329" s="305" t="s">
        <v>277</v>
      </c>
      <c r="B329" s="436" t="s">
        <v>279</v>
      </c>
      <c r="C329" s="436"/>
      <c r="D329" s="436"/>
      <c r="E329" s="436"/>
    </row>
    <row r="330" spans="1:5" x14ac:dyDescent="0.25">
      <c r="A330" s="290"/>
      <c r="B330" s="291" t="s">
        <v>295</v>
      </c>
      <c r="C330" s="155">
        <f>C322</f>
        <v>3798</v>
      </c>
      <c r="D330" s="289" t="s">
        <v>15</v>
      </c>
      <c r="E330" s="307"/>
    </row>
    <row r="331" spans="1:5" x14ac:dyDescent="0.25">
      <c r="A331" s="290"/>
      <c r="B331" s="291" t="s">
        <v>296</v>
      </c>
      <c r="C331" s="161">
        <v>4.2000000000000003E-2</v>
      </c>
      <c r="D331" s="289" t="s">
        <v>244</v>
      </c>
      <c r="E331" s="308"/>
    </row>
    <row r="332" spans="1:5" x14ac:dyDescent="0.25">
      <c r="A332" s="290"/>
      <c r="B332" s="291" t="s">
        <v>297</v>
      </c>
      <c r="C332" s="155">
        <v>2.52</v>
      </c>
      <c r="D332" s="289" t="s">
        <v>298</v>
      </c>
      <c r="E332" s="308"/>
    </row>
    <row r="333" spans="1:5" x14ac:dyDescent="0.25">
      <c r="A333" s="290"/>
      <c r="B333" s="291" t="s">
        <v>299</v>
      </c>
      <c r="C333" s="155">
        <v>1.5</v>
      </c>
      <c r="D333" s="289" t="s">
        <v>245</v>
      </c>
      <c r="E333" s="308"/>
    </row>
    <row r="334" spans="1:5" x14ac:dyDescent="0.25">
      <c r="A334" s="290"/>
      <c r="B334" s="291" t="s">
        <v>300</v>
      </c>
      <c r="C334" s="155">
        <f>C294-C326</f>
        <v>19.700000000000003</v>
      </c>
      <c r="D334" s="289" t="s">
        <v>246</v>
      </c>
      <c r="E334" s="308"/>
    </row>
    <row r="335" spans="1:5" x14ac:dyDescent="0.25">
      <c r="A335" s="290"/>
      <c r="B335" s="282" t="s">
        <v>307</v>
      </c>
      <c r="C335" s="292">
        <f>ROUND(C330*C331*C332*C333*C334,2)</f>
        <v>11878.52</v>
      </c>
      <c r="D335" s="293" t="s">
        <v>308</v>
      </c>
      <c r="E335" s="308"/>
    </row>
    <row r="336" spans="1:5" x14ac:dyDescent="0.25">
      <c r="B336" s="291"/>
      <c r="C336" s="156"/>
      <c r="D336" s="309"/>
    </row>
    <row r="337" spans="1:5" x14ac:dyDescent="0.25">
      <c r="A337" s="281" t="s">
        <v>254</v>
      </c>
      <c r="B337" s="282" t="s">
        <v>293</v>
      </c>
      <c r="C337" s="283"/>
      <c r="D337" s="284"/>
      <c r="E337" s="285"/>
    </row>
    <row r="338" spans="1:5" x14ac:dyDescent="0.3">
      <c r="A338" s="305" t="s">
        <v>256</v>
      </c>
      <c r="B338" s="436" t="s">
        <v>259</v>
      </c>
      <c r="C338" s="436"/>
      <c r="D338" s="436"/>
      <c r="E338" s="436"/>
    </row>
    <row r="339" spans="1:5" x14ac:dyDescent="0.25">
      <c r="A339" s="290"/>
      <c r="B339" s="291" t="s">
        <v>294</v>
      </c>
      <c r="C339" s="155">
        <v>0.23</v>
      </c>
      <c r="D339" s="289" t="s">
        <v>15</v>
      </c>
      <c r="E339" s="290"/>
    </row>
    <row r="340" spans="1:5" x14ac:dyDescent="0.25">
      <c r="A340" s="290"/>
      <c r="B340" s="291" t="s">
        <v>306</v>
      </c>
      <c r="C340" s="292">
        <f>C339</f>
        <v>0.23</v>
      </c>
      <c r="D340" s="293" t="s">
        <v>15</v>
      </c>
      <c r="E340" s="285"/>
    </row>
    <row r="342" spans="1:5" x14ac:dyDescent="0.3">
      <c r="A342" s="305" t="s">
        <v>301</v>
      </c>
      <c r="B342" s="436" t="s">
        <v>276</v>
      </c>
      <c r="C342" s="436"/>
      <c r="D342" s="436"/>
      <c r="E342" s="436"/>
    </row>
    <row r="343" spans="1:5" x14ac:dyDescent="0.25">
      <c r="A343" s="290"/>
      <c r="B343" s="291" t="s">
        <v>294</v>
      </c>
      <c r="C343" s="155">
        <v>2</v>
      </c>
      <c r="D343" s="289" t="s">
        <v>176</v>
      </c>
      <c r="E343" s="290"/>
    </row>
    <row r="344" spans="1:5" x14ac:dyDescent="0.25">
      <c r="A344" s="290"/>
      <c r="B344" s="291" t="s">
        <v>306</v>
      </c>
      <c r="C344" s="292">
        <f>C343</f>
        <v>2</v>
      </c>
      <c r="D344" s="293" t="s">
        <v>176</v>
      </c>
      <c r="E344" s="285"/>
    </row>
    <row r="346" spans="1:5" x14ac:dyDescent="0.3">
      <c r="A346" s="294"/>
      <c r="B346" s="295" t="str">
        <f>'GERAL '!A16</f>
        <v>PROJETADA 01 - COMUNIDADE LAGOA DO PIRIPIRI</v>
      </c>
      <c r="C346" s="437"/>
      <c r="D346" s="438"/>
      <c r="E346" s="438"/>
    </row>
    <row r="347" spans="1:5" x14ac:dyDescent="0.25">
      <c r="A347" s="296"/>
      <c r="B347" s="297" t="s">
        <v>289</v>
      </c>
      <c r="C347" s="158">
        <v>130</v>
      </c>
      <c r="D347" s="284" t="s">
        <v>174</v>
      </c>
      <c r="E347" s="285"/>
    </row>
    <row r="348" spans="1:5" x14ac:dyDescent="0.25">
      <c r="A348" s="296"/>
      <c r="B348" s="297" t="s">
        <v>290</v>
      </c>
      <c r="C348" s="158">
        <v>6</v>
      </c>
      <c r="D348" s="284" t="s">
        <v>174</v>
      </c>
      <c r="E348" s="285"/>
    </row>
    <row r="349" spans="1:5" x14ac:dyDescent="0.25">
      <c r="A349" s="296"/>
      <c r="B349" s="297" t="s">
        <v>303</v>
      </c>
      <c r="C349" s="173">
        <f>C19</f>
        <v>49.7</v>
      </c>
      <c r="D349" s="284" t="s">
        <v>304</v>
      </c>
      <c r="E349" s="285"/>
    </row>
    <row r="350" spans="1:5" x14ac:dyDescent="0.25">
      <c r="A350" s="281"/>
      <c r="B350" s="299"/>
      <c r="C350" s="283"/>
      <c r="D350" s="300"/>
      <c r="E350" s="285"/>
    </row>
    <row r="351" spans="1:5" x14ac:dyDescent="0.25">
      <c r="A351" s="281" t="s">
        <v>32</v>
      </c>
      <c r="B351" s="282" t="s">
        <v>165</v>
      </c>
      <c r="C351" s="283"/>
      <c r="D351" s="284"/>
      <c r="E351" s="285"/>
    </row>
    <row r="352" spans="1:5" x14ac:dyDescent="0.25">
      <c r="A352" s="286" t="s">
        <v>34</v>
      </c>
      <c r="B352" s="287" t="s">
        <v>166</v>
      </c>
      <c r="C352" s="288"/>
      <c r="D352" s="289"/>
      <c r="E352" s="290"/>
    </row>
    <row r="353" spans="1:5" x14ac:dyDescent="0.25">
      <c r="A353" s="290"/>
      <c r="B353" s="291" t="s">
        <v>283</v>
      </c>
      <c r="C353" s="155">
        <f>C347</f>
        <v>130</v>
      </c>
      <c r="D353" s="289" t="s">
        <v>174</v>
      </c>
      <c r="E353" s="290"/>
    </row>
    <row r="354" spans="1:5" x14ac:dyDescent="0.25">
      <c r="A354" s="290"/>
      <c r="B354" s="291" t="s">
        <v>284</v>
      </c>
      <c r="C354" s="155">
        <f>C348</f>
        <v>6</v>
      </c>
      <c r="D354" s="289" t="s">
        <v>174</v>
      </c>
      <c r="E354" s="285"/>
    </row>
    <row r="355" spans="1:5" x14ac:dyDescent="0.25">
      <c r="A355" s="290"/>
      <c r="B355" s="291" t="s">
        <v>286</v>
      </c>
      <c r="C355" s="292">
        <f>ROUND(C347*C348,2)</f>
        <v>780</v>
      </c>
      <c r="D355" s="293" t="s">
        <v>15</v>
      </c>
      <c r="E355" s="285"/>
    </row>
    <row r="356" spans="1:5" x14ac:dyDescent="0.25">
      <c r="A356" s="301"/>
      <c r="B356" s="302"/>
      <c r="C356" s="157"/>
      <c r="D356" s="303"/>
      <c r="E356" s="304"/>
    </row>
    <row r="357" spans="1:5" x14ac:dyDescent="0.25">
      <c r="A357" s="281" t="s">
        <v>167</v>
      </c>
      <c r="B357" s="282" t="s">
        <v>168</v>
      </c>
      <c r="C357" s="283"/>
      <c r="D357" s="284"/>
      <c r="E357" s="285"/>
    </row>
    <row r="358" spans="1:5" x14ac:dyDescent="0.3">
      <c r="A358" s="305" t="s">
        <v>169</v>
      </c>
      <c r="B358" s="436" t="s">
        <v>253</v>
      </c>
      <c r="C358" s="436"/>
      <c r="D358" s="436"/>
      <c r="E358" s="436"/>
    </row>
    <row r="359" spans="1:5" x14ac:dyDescent="0.25">
      <c r="A359" s="290"/>
      <c r="B359" s="291" t="s">
        <v>283</v>
      </c>
      <c r="C359" s="155">
        <f>C347</f>
        <v>130</v>
      </c>
      <c r="D359" s="289" t="s">
        <v>174</v>
      </c>
      <c r="E359" s="290"/>
    </row>
    <row r="360" spans="1:5" x14ac:dyDescent="0.25">
      <c r="A360" s="290"/>
      <c r="B360" s="291" t="s">
        <v>284</v>
      </c>
      <c r="C360" s="155">
        <f>C348</f>
        <v>6</v>
      </c>
      <c r="D360" s="289" t="s">
        <v>174</v>
      </c>
      <c r="E360" s="285"/>
    </row>
    <row r="361" spans="1:5" x14ac:dyDescent="0.25">
      <c r="A361" s="290"/>
      <c r="B361" s="291" t="s">
        <v>286</v>
      </c>
      <c r="C361" s="292">
        <f>ROUND(C359*C360,2)</f>
        <v>780</v>
      </c>
      <c r="D361" s="293" t="s">
        <v>15</v>
      </c>
      <c r="E361" s="285"/>
    </row>
    <row r="363" spans="1:5" x14ac:dyDescent="0.25">
      <c r="A363" s="281" t="s">
        <v>170</v>
      </c>
      <c r="B363" s="282" t="s">
        <v>171</v>
      </c>
      <c r="C363" s="283"/>
      <c r="D363" s="284"/>
      <c r="E363" s="285"/>
    </row>
    <row r="364" spans="1:5" x14ac:dyDescent="0.3">
      <c r="A364" s="305" t="s">
        <v>172</v>
      </c>
      <c r="B364" s="436" t="s">
        <v>173</v>
      </c>
      <c r="C364" s="436"/>
      <c r="D364" s="436"/>
      <c r="E364" s="436"/>
    </row>
    <row r="365" spans="1:5" x14ac:dyDescent="0.25">
      <c r="A365" s="290"/>
      <c r="B365" s="291" t="s">
        <v>283</v>
      </c>
      <c r="C365" s="155">
        <f>C347</f>
        <v>130</v>
      </c>
      <c r="D365" s="289" t="s">
        <v>174</v>
      </c>
      <c r="E365" s="290"/>
    </row>
    <row r="366" spans="1:5" x14ac:dyDescent="0.25">
      <c r="A366" s="290"/>
      <c r="B366" s="291" t="s">
        <v>243</v>
      </c>
      <c r="C366" s="162">
        <v>2</v>
      </c>
      <c r="D366" s="289" t="s">
        <v>176</v>
      </c>
      <c r="E366" s="435"/>
    </row>
    <row r="367" spans="1:5" x14ac:dyDescent="0.25">
      <c r="A367" s="290"/>
      <c r="B367" s="291" t="s">
        <v>305</v>
      </c>
      <c r="C367" s="162">
        <f>C360*2</f>
        <v>12</v>
      </c>
      <c r="D367" s="289" t="s">
        <v>174</v>
      </c>
      <c r="E367" s="435"/>
    </row>
    <row r="368" spans="1:5" x14ac:dyDescent="0.25">
      <c r="A368" s="290"/>
      <c r="B368" s="291" t="s">
        <v>291</v>
      </c>
      <c r="C368" s="292">
        <f>ROUND((C365*C366+C367),2)</f>
        <v>272</v>
      </c>
      <c r="D368" s="293" t="s">
        <v>174</v>
      </c>
      <c r="E368" s="285"/>
    </row>
    <row r="370" spans="1:5" x14ac:dyDescent="0.3">
      <c r="A370" s="305" t="s">
        <v>175</v>
      </c>
      <c r="B370" s="436" t="s">
        <v>292</v>
      </c>
      <c r="C370" s="436"/>
      <c r="D370" s="436"/>
      <c r="E370" s="436"/>
    </row>
    <row r="371" spans="1:5" x14ac:dyDescent="0.25">
      <c r="A371" s="290"/>
      <c r="B371" s="291" t="s">
        <v>283</v>
      </c>
      <c r="C371" s="155">
        <f>C347</f>
        <v>130</v>
      </c>
      <c r="D371" s="289" t="s">
        <v>174</v>
      </c>
      <c r="E371" s="290"/>
    </row>
    <row r="372" spans="1:5" x14ac:dyDescent="0.25">
      <c r="A372" s="290"/>
      <c r="B372" s="291" t="s">
        <v>243</v>
      </c>
      <c r="C372" s="155">
        <v>2</v>
      </c>
      <c r="D372" s="289" t="s">
        <v>176</v>
      </c>
      <c r="E372" s="435"/>
    </row>
    <row r="373" spans="1:5" x14ac:dyDescent="0.25">
      <c r="A373" s="290"/>
      <c r="B373" s="291" t="s">
        <v>291</v>
      </c>
      <c r="C373" s="292">
        <f>ROUND(C371*C372,2)</f>
        <v>260</v>
      </c>
      <c r="D373" s="293" t="s">
        <v>174</v>
      </c>
      <c r="E373" s="435"/>
    </row>
    <row r="375" spans="1:5" x14ac:dyDescent="0.25">
      <c r="A375" s="281" t="s">
        <v>217</v>
      </c>
      <c r="B375" s="282" t="s">
        <v>215</v>
      </c>
      <c r="C375" s="283"/>
      <c r="D375" s="284"/>
      <c r="E375" s="285"/>
    </row>
    <row r="376" spans="1:5" x14ac:dyDescent="0.3">
      <c r="A376" s="305" t="s">
        <v>218</v>
      </c>
      <c r="B376" s="436" t="s">
        <v>278</v>
      </c>
      <c r="C376" s="436"/>
      <c r="D376" s="436"/>
      <c r="E376" s="436"/>
    </row>
    <row r="377" spans="1:5" x14ac:dyDescent="0.25">
      <c r="A377" s="290"/>
      <c r="B377" s="291" t="s">
        <v>295</v>
      </c>
      <c r="C377" s="155">
        <f>C361</f>
        <v>780</v>
      </c>
      <c r="D377" s="289" t="s">
        <v>15</v>
      </c>
      <c r="E377" s="290"/>
    </row>
    <row r="378" spans="1:5" x14ac:dyDescent="0.25">
      <c r="A378" s="290"/>
      <c r="B378" s="291" t="s">
        <v>296</v>
      </c>
      <c r="C378" s="161">
        <v>4.2000000000000003E-2</v>
      </c>
      <c r="D378" s="289" t="s">
        <v>244</v>
      </c>
      <c r="E378" s="285"/>
    </row>
    <row r="379" spans="1:5" x14ac:dyDescent="0.25">
      <c r="A379" s="290"/>
      <c r="B379" s="291" t="s">
        <v>297</v>
      </c>
      <c r="C379" s="155">
        <v>2.52</v>
      </c>
      <c r="D379" s="289" t="s">
        <v>298</v>
      </c>
      <c r="E379" s="285"/>
    </row>
    <row r="380" spans="1:5" x14ac:dyDescent="0.25">
      <c r="A380" s="290"/>
      <c r="B380" s="291" t="s">
        <v>299</v>
      </c>
      <c r="C380" s="155">
        <v>1.5</v>
      </c>
      <c r="D380" s="289" t="s">
        <v>245</v>
      </c>
      <c r="E380" s="285"/>
    </row>
    <row r="381" spans="1:5" x14ac:dyDescent="0.25">
      <c r="A381" s="290"/>
      <c r="B381" s="291" t="s">
        <v>300</v>
      </c>
      <c r="C381" s="155">
        <v>30</v>
      </c>
      <c r="D381" s="289" t="s">
        <v>246</v>
      </c>
      <c r="E381" s="285"/>
    </row>
    <row r="382" spans="1:5" x14ac:dyDescent="0.25">
      <c r="A382" s="290"/>
      <c r="B382" s="282" t="s">
        <v>307</v>
      </c>
      <c r="C382" s="292">
        <f>ROUND(C377*C378*C379*C380*C381,2)</f>
        <v>3714.98</v>
      </c>
      <c r="D382" s="293" t="s">
        <v>308</v>
      </c>
      <c r="E382" s="285"/>
    </row>
    <row r="384" spans="1:5" x14ac:dyDescent="0.3">
      <c r="A384" s="305" t="s">
        <v>277</v>
      </c>
      <c r="B384" s="436" t="s">
        <v>279</v>
      </c>
      <c r="C384" s="436"/>
      <c r="D384" s="436"/>
      <c r="E384" s="436"/>
    </row>
    <row r="385" spans="1:5" x14ac:dyDescent="0.25">
      <c r="A385" s="290"/>
      <c r="B385" s="291" t="s">
        <v>295</v>
      </c>
      <c r="C385" s="155">
        <f>C377</f>
        <v>780</v>
      </c>
      <c r="D385" s="289" t="s">
        <v>15</v>
      </c>
      <c r="E385" s="307"/>
    </row>
    <row r="386" spans="1:5" x14ac:dyDescent="0.25">
      <c r="A386" s="290"/>
      <c r="B386" s="291" t="s">
        <v>296</v>
      </c>
      <c r="C386" s="161">
        <v>4.2000000000000003E-2</v>
      </c>
      <c r="D386" s="289" t="s">
        <v>244</v>
      </c>
      <c r="E386" s="308"/>
    </row>
    <row r="387" spans="1:5" x14ac:dyDescent="0.25">
      <c r="A387" s="290"/>
      <c r="B387" s="291" t="s">
        <v>297</v>
      </c>
      <c r="C387" s="155">
        <v>2.52</v>
      </c>
      <c r="D387" s="289" t="s">
        <v>298</v>
      </c>
      <c r="E387" s="308"/>
    </row>
    <row r="388" spans="1:5" x14ac:dyDescent="0.25">
      <c r="A388" s="290"/>
      <c r="B388" s="291" t="s">
        <v>299</v>
      </c>
      <c r="C388" s="155">
        <v>1.5</v>
      </c>
      <c r="D388" s="289" t="s">
        <v>245</v>
      </c>
      <c r="E388" s="308"/>
    </row>
    <row r="389" spans="1:5" x14ac:dyDescent="0.25">
      <c r="A389" s="290"/>
      <c r="B389" s="291" t="s">
        <v>300</v>
      </c>
      <c r="C389" s="155">
        <f>C349-C381</f>
        <v>19.700000000000003</v>
      </c>
      <c r="D389" s="289" t="s">
        <v>246</v>
      </c>
      <c r="E389" s="308"/>
    </row>
    <row r="390" spans="1:5" x14ac:dyDescent="0.25">
      <c r="A390" s="290"/>
      <c r="B390" s="282" t="s">
        <v>307</v>
      </c>
      <c r="C390" s="292">
        <f>ROUND(C385*C386*C387*C388*C389,2)</f>
        <v>2439.5100000000002</v>
      </c>
      <c r="D390" s="293" t="s">
        <v>308</v>
      </c>
      <c r="E390" s="308"/>
    </row>
    <row r="391" spans="1:5" x14ac:dyDescent="0.25">
      <c r="B391" s="291"/>
      <c r="C391" s="156"/>
      <c r="D391" s="309"/>
    </row>
    <row r="392" spans="1:5" x14ac:dyDescent="0.25">
      <c r="A392" s="281" t="s">
        <v>254</v>
      </c>
      <c r="B392" s="282" t="s">
        <v>293</v>
      </c>
      <c r="C392" s="283"/>
      <c r="D392" s="284"/>
      <c r="E392" s="285"/>
    </row>
    <row r="393" spans="1:5" x14ac:dyDescent="0.3">
      <c r="A393" s="305" t="s">
        <v>256</v>
      </c>
      <c r="B393" s="436" t="s">
        <v>259</v>
      </c>
      <c r="C393" s="436"/>
      <c r="D393" s="436"/>
      <c r="E393" s="436"/>
    </row>
    <row r="394" spans="1:5" x14ac:dyDescent="0.25">
      <c r="A394" s="290"/>
      <c r="B394" s="291" t="s">
        <v>294</v>
      </c>
      <c r="C394" s="155">
        <v>0.23</v>
      </c>
      <c r="D394" s="289" t="s">
        <v>15</v>
      </c>
      <c r="E394" s="290"/>
    </row>
    <row r="395" spans="1:5" x14ac:dyDescent="0.25">
      <c r="A395" s="290"/>
      <c r="B395" s="291" t="s">
        <v>306</v>
      </c>
      <c r="C395" s="292">
        <f>C394</f>
        <v>0.23</v>
      </c>
      <c r="D395" s="293" t="s">
        <v>15</v>
      </c>
      <c r="E395" s="285"/>
    </row>
    <row r="397" spans="1:5" x14ac:dyDescent="0.3">
      <c r="A397" s="305" t="s">
        <v>301</v>
      </c>
      <c r="B397" s="436" t="s">
        <v>276</v>
      </c>
      <c r="C397" s="436"/>
      <c r="D397" s="436"/>
      <c r="E397" s="436"/>
    </row>
    <row r="398" spans="1:5" x14ac:dyDescent="0.25">
      <c r="A398" s="290"/>
      <c r="B398" s="291" t="s">
        <v>294</v>
      </c>
      <c r="C398" s="155">
        <v>2</v>
      </c>
      <c r="D398" s="289" t="s">
        <v>176</v>
      </c>
      <c r="E398" s="290"/>
    </row>
    <row r="399" spans="1:5" x14ac:dyDescent="0.25">
      <c r="A399" s="290"/>
      <c r="B399" s="291" t="s">
        <v>306</v>
      </c>
      <c r="C399" s="292">
        <f>C398</f>
        <v>2</v>
      </c>
      <c r="D399" s="293" t="s">
        <v>176</v>
      </c>
      <c r="E399" s="285"/>
    </row>
    <row r="401" spans="1:5" x14ac:dyDescent="0.3">
      <c r="A401" s="294"/>
      <c r="B401" s="295" t="str">
        <f>'GERAL '!A17</f>
        <v>RUA PROJETADA 01 - COMUNIDADE ALIVIO</v>
      </c>
      <c r="C401" s="437"/>
      <c r="D401" s="438"/>
      <c r="E401" s="438"/>
    </row>
    <row r="402" spans="1:5" x14ac:dyDescent="0.25">
      <c r="A402" s="296"/>
      <c r="B402" s="297" t="s">
        <v>289</v>
      </c>
      <c r="C402" s="158">
        <v>290</v>
      </c>
      <c r="D402" s="284" t="s">
        <v>174</v>
      </c>
      <c r="E402" s="285"/>
    </row>
    <row r="403" spans="1:5" x14ac:dyDescent="0.25">
      <c r="A403" s="296"/>
      <c r="B403" s="297" t="s">
        <v>290</v>
      </c>
      <c r="C403" s="158">
        <v>6</v>
      </c>
      <c r="D403" s="284" t="s">
        <v>174</v>
      </c>
      <c r="E403" s="285"/>
    </row>
    <row r="404" spans="1:5" x14ac:dyDescent="0.25">
      <c r="A404" s="296"/>
      <c r="B404" s="297" t="s">
        <v>303</v>
      </c>
      <c r="C404" s="173">
        <f>C19</f>
        <v>49.7</v>
      </c>
      <c r="D404" s="284" t="s">
        <v>304</v>
      </c>
      <c r="E404" s="285"/>
    </row>
    <row r="405" spans="1:5" x14ac:dyDescent="0.25">
      <c r="A405" s="281"/>
      <c r="B405" s="299"/>
      <c r="C405" s="283"/>
      <c r="D405" s="300"/>
      <c r="E405" s="285"/>
    </row>
    <row r="406" spans="1:5" x14ac:dyDescent="0.25">
      <c r="A406" s="281" t="s">
        <v>32</v>
      </c>
      <c r="B406" s="282" t="s">
        <v>165</v>
      </c>
      <c r="C406" s="283"/>
      <c r="D406" s="284"/>
      <c r="E406" s="285"/>
    </row>
    <row r="407" spans="1:5" x14ac:dyDescent="0.25">
      <c r="A407" s="286" t="s">
        <v>34</v>
      </c>
      <c r="B407" s="287" t="s">
        <v>166</v>
      </c>
      <c r="C407" s="288"/>
      <c r="D407" s="289"/>
      <c r="E407" s="290"/>
    </row>
    <row r="408" spans="1:5" x14ac:dyDescent="0.25">
      <c r="A408" s="290"/>
      <c r="B408" s="291" t="s">
        <v>283</v>
      </c>
      <c r="C408" s="155">
        <f>C402</f>
        <v>290</v>
      </c>
      <c r="D408" s="289" t="s">
        <v>174</v>
      </c>
      <c r="E408" s="290"/>
    </row>
    <row r="409" spans="1:5" x14ac:dyDescent="0.25">
      <c r="A409" s="290"/>
      <c r="B409" s="291" t="s">
        <v>284</v>
      </c>
      <c r="C409" s="155">
        <f>C403</f>
        <v>6</v>
      </c>
      <c r="D409" s="289" t="s">
        <v>174</v>
      </c>
      <c r="E409" s="285"/>
    </row>
    <row r="410" spans="1:5" x14ac:dyDescent="0.25">
      <c r="A410" s="290"/>
      <c r="B410" s="291" t="s">
        <v>286</v>
      </c>
      <c r="C410" s="292">
        <f>ROUND(C408*C409,2)</f>
        <v>1740</v>
      </c>
      <c r="D410" s="293" t="s">
        <v>15</v>
      </c>
      <c r="E410" s="285"/>
    </row>
    <row r="411" spans="1:5" x14ac:dyDescent="0.25">
      <c r="A411" s="301"/>
      <c r="B411" s="302"/>
      <c r="C411" s="157"/>
      <c r="D411" s="303"/>
      <c r="E411" s="304"/>
    </row>
    <row r="412" spans="1:5" x14ac:dyDescent="0.25">
      <c r="A412" s="281" t="s">
        <v>167</v>
      </c>
      <c r="B412" s="282" t="s">
        <v>168</v>
      </c>
      <c r="C412" s="283"/>
      <c r="D412" s="284"/>
      <c r="E412" s="285"/>
    </row>
    <row r="413" spans="1:5" x14ac:dyDescent="0.3">
      <c r="A413" s="305" t="s">
        <v>169</v>
      </c>
      <c r="B413" s="436" t="s">
        <v>253</v>
      </c>
      <c r="C413" s="436"/>
      <c r="D413" s="436"/>
      <c r="E413" s="436"/>
    </row>
    <row r="414" spans="1:5" x14ac:dyDescent="0.25">
      <c r="A414" s="290"/>
      <c r="B414" s="291" t="s">
        <v>283</v>
      </c>
      <c r="C414" s="155">
        <f>C402</f>
        <v>290</v>
      </c>
      <c r="D414" s="289" t="s">
        <v>174</v>
      </c>
      <c r="E414" s="290"/>
    </row>
    <row r="415" spans="1:5" x14ac:dyDescent="0.25">
      <c r="A415" s="290"/>
      <c r="B415" s="291" t="s">
        <v>284</v>
      </c>
      <c r="C415" s="155">
        <f>C403</f>
        <v>6</v>
      </c>
      <c r="D415" s="289" t="s">
        <v>174</v>
      </c>
      <c r="E415" s="285"/>
    </row>
    <row r="416" spans="1:5" x14ac:dyDescent="0.25">
      <c r="A416" s="290"/>
      <c r="B416" s="291" t="s">
        <v>286</v>
      </c>
      <c r="C416" s="292">
        <f>ROUND(C414*C415,2)</f>
        <v>1740</v>
      </c>
      <c r="D416" s="293" t="s">
        <v>15</v>
      </c>
      <c r="E416" s="285"/>
    </row>
    <row r="418" spans="1:5" x14ac:dyDescent="0.25">
      <c r="A418" s="281" t="s">
        <v>170</v>
      </c>
      <c r="B418" s="282" t="s">
        <v>171</v>
      </c>
      <c r="C418" s="283"/>
      <c r="D418" s="284"/>
      <c r="E418" s="285"/>
    </row>
    <row r="419" spans="1:5" x14ac:dyDescent="0.3">
      <c r="A419" s="305" t="s">
        <v>172</v>
      </c>
      <c r="B419" s="436" t="s">
        <v>173</v>
      </c>
      <c r="C419" s="436"/>
      <c r="D419" s="436"/>
      <c r="E419" s="436"/>
    </row>
    <row r="420" spans="1:5" x14ac:dyDescent="0.25">
      <c r="A420" s="290"/>
      <c r="B420" s="291" t="s">
        <v>283</v>
      </c>
      <c r="C420" s="155">
        <f>C402</f>
        <v>290</v>
      </c>
      <c r="D420" s="289" t="s">
        <v>174</v>
      </c>
      <c r="E420" s="290"/>
    </row>
    <row r="421" spans="1:5" x14ac:dyDescent="0.25">
      <c r="A421" s="290"/>
      <c r="B421" s="291" t="s">
        <v>243</v>
      </c>
      <c r="C421" s="162">
        <v>2</v>
      </c>
      <c r="D421" s="289" t="s">
        <v>176</v>
      </c>
      <c r="E421" s="435"/>
    </row>
    <row r="422" spans="1:5" x14ac:dyDescent="0.25">
      <c r="A422" s="290"/>
      <c r="B422" s="291" t="s">
        <v>305</v>
      </c>
      <c r="C422" s="162">
        <f>C415*2</f>
        <v>12</v>
      </c>
      <c r="D422" s="289" t="s">
        <v>174</v>
      </c>
      <c r="E422" s="435"/>
    </row>
    <row r="423" spans="1:5" x14ac:dyDescent="0.25">
      <c r="A423" s="290"/>
      <c r="B423" s="291" t="s">
        <v>291</v>
      </c>
      <c r="C423" s="292">
        <f>ROUND((C420*C421+C422),2)</f>
        <v>592</v>
      </c>
      <c r="D423" s="293" t="s">
        <v>174</v>
      </c>
      <c r="E423" s="285"/>
    </row>
    <row r="425" spans="1:5" x14ac:dyDescent="0.3">
      <c r="A425" s="305" t="s">
        <v>175</v>
      </c>
      <c r="B425" s="436" t="s">
        <v>292</v>
      </c>
      <c r="C425" s="436"/>
      <c r="D425" s="436"/>
      <c r="E425" s="436"/>
    </row>
    <row r="426" spans="1:5" x14ac:dyDescent="0.25">
      <c r="A426" s="290"/>
      <c r="B426" s="291" t="s">
        <v>283</v>
      </c>
      <c r="C426" s="155">
        <f>C402</f>
        <v>290</v>
      </c>
      <c r="D426" s="289" t="s">
        <v>174</v>
      </c>
      <c r="E426" s="290"/>
    </row>
    <row r="427" spans="1:5" x14ac:dyDescent="0.25">
      <c r="A427" s="290"/>
      <c r="B427" s="291" t="s">
        <v>243</v>
      </c>
      <c r="C427" s="155">
        <v>2</v>
      </c>
      <c r="D427" s="289" t="s">
        <v>176</v>
      </c>
      <c r="E427" s="435"/>
    </row>
    <row r="428" spans="1:5" x14ac:dyDescent="0.25">
      <c r="A428" s="290"/>
      <c r="B428" s="291" t="s">
        <v>291</v>
      </c>
      <c r="C428" s="292">
        <f>ROUND(C426*C427,2)</f>
        <v>580</v>
      </c>
      <c r="D428" s="293" t="s">
        <v>174</v>
      </c>
      <c r="E428" s="435"/>
    </row>
    <row r="430" spans="1:5" x14ac:dyDescent="0.25">
      <c r="A430" s="281" t="s">
        <v>217</v>
      </c>
      <c r="B430" s="282" t="s">
        <v>215</v>
      </c>
      <c r="C430" s="283"/>
      <c r="D430" s="284"/>
      <c r="E430" s="285"/>
    </row>
    <row r="431" spans="1:5" x14ac:dyDescent="0.3">
      <c r="A431" s="305" t="s">
        <v>218</v>
      </c>
      <c r="B431" s="436" t="s">
        <v>278</v>
      </c>
      <c r="C431" s="436"/>
      <c r="D431" s="436"/>
      <c r="E431" s="436"/>
    </row>
    <row r="432" spans="1:5" x14ac:dyDescent="0.25">
      <c r="A432" s="290"/>
      <c r="B432" s="291" t="s">
        <v>295</v>
      </c>
      <c r="C432" s="155">
        <f>C416</f>
        <v>1740</v>
      </c>
      <c r="D432" s="289" t="s">
        <v>15</v>
      </c>
      <c r="E432" s="290"/>
    </row>
    <row r="433" spans="1:5" x14ac:dyDescent="0.25">
      <c r="A433" s="290"/>
      <c r="B433" s="291" t="s">
        <v>296</v>
      </c>
      <c r="C433" s="161">
        <v>4.2000000000000003E-2</v>
      </c>
      <c r="D433" s="289" t="s">
        <v>244</v>
      </c>
      <c r="E433" s="285"/>
    </row>
    <row r="434" spans="1:5" x14ac:dyDescent="0.25">
      <c r="A434" s="290"/>
      <c r="B434" s="291" t="s">
        <v>297</v>
      </c>
      <c r="C434" s="155">
        <v>2.52</v>
      </c>
      <c r="D434" s="289" t="s">
        <v>298</v>
      </c>
      <c r="E434" s="285"/>
    </row>
    <row r="435" spans="1:5" x14ac:dyDescent="0.25">
      <c r="A435" s="290"/>
      <c r="B435" s="291" t="s">
        <v>299</v>
      </c>
      <c r="C435" s="155">
        <v>1.5</v>
      </c>
      <c r="D435" s="289" t="s">
        <v>245</v>
      </c>
      <c r="E435" s="285"/>
    </row>
    <row r="436" spans="1:5" x14ac:dyDescent="0.25">
      <c r="A436" s="290"/>
      <c r="B436" s="291" t="s">
        <v>300</v>
      </c>
      <c r="C436" s="155">
        <v>30</v>
      </c>
      <c r="D436" s="289" t="s">
        <v>246</v>
      </c>
      <c r="E436" s="285"/>
    </row>
    <row r="437" spans="1:5" x14ac:dyDescent="0.25">
      <c r="A437" s="290"/>
      <c r="B437" s="282" t="s">
        <v>307</v>
      </c>
      <c r="C437" s="292">
        <f>ROUND(C432*C433*C434*C435*C436,2)</f>
        <v>8287.27</v>
      </c>
      <c r="D437" s="293" t="s">
        <v>308</v>
      </c>
      <c r="E437" s="285"/>
    </row>
    <row r="439" spans="1:5" x14ac:dyDescent="0.3">
      <c r="A439" s="305" t="s">
        <v>277</v>
      </c>
      <c r="B439" s="436" t="s">
        <v>279</v>
      </c>
      <c r="C439" s="436"/>
      <c r="D439" s="436"/>
      <c r="E439" s="436"/>
    </row>
    <row r="440" spans="1:5" x14ac:dyDescent="0.25">
      <c r="A440" s="290"/>
      <c r="B440" s="291" t="s">
        <v>295</v>
      </c>
      <c r="C440" s="155">
        <f>C432</f>
        <v>1740</v>
      </c>
      <c r="D440" s="289" t="s">
        <v>15</v>
      </c>
      <c r="E440" s="307"/>
    </row>
    <row r="441" spans="1:5" x14ac:dyDescent="0.25">
      <c r="A441" s="290"/>
      <c r="B441" s="291" t="s">
        <v>296</v>
      </c>
      <c r="C441" s="161">
        <v>4.2000000000000003E-2</v>
      </c>
      <c r="D441" s="289" t="s">
        <v>244</v>
      </c>
      <c r="E441" s="308"/>
    </row>
    <row r="442" spans="1:5" x14ac:dyDescent="0.25">
      <c r="A442" s="290"/>
      <c r="B442" s="291" t="s">
        <v>297</v>
      </c>
      <c r="C442" s="155">
        <v>2.52</v>
      </c>
      <c r="D442" s="289" t="s">
        <v>298</v>
      </c>
      <c r="E442" s="308"/>
    </row>
    <row r="443" spans="1:5" x14ac:dyDescent="0.25">
      <c r="A443" s="290"/>
      <c r="B443" s="291" t="s">
        <v>299</v>
      </c>
      <c r="C443" s="155">
        <v>1.5</v>
      </c>
      <c r="D443" s="289" t="s">
        <v>245</v>
      </c>
      <c r="E443" s="308"/>
    </row>
    <row r="444" spans="1:5" x14ac:dyDescent="0.25">
      <c r="A444" s="290"/>
      <c r="B444" s="291" t="s">
        <v>300</v>
      </c>
      <c r="C444" s="155">
        <f>C404-C436</f>
        <v>19.700000000000003</v>
      </c>
      <c r="D444" s="289" t="s">
        <v>246</v>
      </c>
      <c r="E444" s="308"/>
    </row>
    <row r="445" spans="1:5" x14ac:dyDescent="0.25">
      <c r="A445" s="290"/>
      <c r="B445" s="282" t="s">
        <v>307</v>
      </c>
      <c r="C445" s="292">
        <f>ROUND(C440*C441*C442*C443*C444,2)</f>
        <v>5441.98</v>
      </c>
      <c r="D445" s="293" t="s">
        <v>308</v>
      </c>
      <c r="E445" s="308"/>
    </row>
    <row r="446" spans="1:5" x14ac:dyDescent="0.25">
      <c r="B446" s="291"/>
      <c r="C446" s="156"/>
      <c r="D446" s="309"/>
    </row>
    <row r="447" spans="1:5" x14ac:dyDescent="0.25">
      <c r="A447" s="281" t="s">
        <v>254</v>
      </c>
      <c r="B447" s="282" t="s">
        <v>293</v>
      </c>
      <c r="C447" s="283"/>
      <c r="D447" s="284"/>
      <c r="E447" s="285"/>
    </row>
    <row r="448" spans="1:5" x14ac:dyDescent="0.3">
      <c r="A448" s="305" t="s">
        <v>256</v>
      </c>
      <c r="B448" s="436" t="s">
        <v>259</v>
      </c>
      <c r="C448" s="436"/>
      <c r="D448" s="436"/>
      <c r="E448" s="436"/>
    </row>
    <row r="449" spans="1:5" x14ac:dyDescent="0.25">
      <c r="A449" s="290"/>
      <c r="B449" s="291" t="s">
        <v>294</v>
      </c>
      <c r="C449" s="155">
        <v>0.23</v>
      </c>
      <c r="D449" s="289" t="s">
        <v>15</v>
      </c>
      <c r="E449" s="290"/>
    </row>
    <row r="450" spans="1:5" x14ac:dyDescent="0.25">
      <c r="A450" s="290"/>
      <c r="B450" s="291" t="s">
        <v>306</v>
      </c>
      <c r="C450" s="292">
        <f>C449</f>
        <v>0.23</v>
      </c>
      <c r="D450" s="293" t="s">
        <v>15</v>
      </c>
      <c r="E450" s="285"/>
    </row>
    <row r="452" spans="1:5" x14ac:dyDescent="0.3">
      <c r="A452" s="305" t="s">
        <v>301</v>
      </c>
      <c r="B452" s="436" t="s">
        <v>276</v>
      </c>
      <c r="C452" s="436"/>
      <c r="D452" s="436"/>
      <c r="E452" s="436"/>
    </row>
    <row r="453" spans="1:5" x14ac:dyDescent="0.25">
      <c r="A453" s="290"/>
      <c r="B453" s="291" t="s">
        <v>294</v>
      </c>
      <c r="C453" s="155">
        <v>2</v>
      </c>
      <c r="D453" s="289" t="s">
        <v>176</v>
      </c>
      <c r="E453" s="290"/>
    </row>
    <row r="454" spans="1:5" x14ac:dyDescent="0.25">
      <c r="A454" s="290"/>
      <c r="B454" s="291" t="s">
        <v>306</v>
      </c>
      <c r="C454" s="292">
        <f>C453</f>
        <v>2</v>
      </c>
      <c r="D454" s="293" t="s">
        <v>176</v>
      </c>
      <c r="E454" s="285"/>
    </row>
    <row r="456" spans="1:5" x14ac:dyDescent="0.3">
      <c r="A456" s="294"/>
      <c r="B456" s="295" t="str">
        <f>'GERAL '!A18</f>
        <v>RUA PROJETADA 08</v>
      </c>
      <c r="C456" s="437"/>
      <c r="D456" s="438"/>
      <c r="E456" s="438"/>
    </row>
    <row r="457" spans="1:5" x14ac:dyDescent="0.25">
      <c r="A457" s="296"/>
      <c r="B457" s="297" t="s">
        <v>289</v>
      </c>
      <c r="C457" s="158">
        <v>107</v>
      </c>
      <c r="D457" s="284" t="s">
        <v>174</v>
      </c>
      <c r="E457" s="285"/>
    </row>
    <row r="458" spans="1:5" x14ac:dyDescent="0.25">
      <c r="A458" s="296"/>
      <c r="B458" s="297" t="s">
        <v>290</v>
      </c>
      <c r="C458" s="158">
        <v>6</v>
      </c>
      <c r="D458" s="284" t="s">
        <v>174</v>
      </c>
      <c r="E458" s="285"/>
    </row>
    <row r="459" spans="1:5" x14ac:dyDescent="0.25">
      <c r="A459" s="296"/>
      <c r="B459" s="297" t="s">
        <v>303</v>
      </c>
      <c r="C459" s="173">
        <f>C19</f>
        <v>49.7</v>
      </c>
      <c r="D459" s="284" t="s">
        <v>304</v>
      </c>
      <c r="E459" s="285"/>
    </row>
    <row r="460" spans="1:5" x14ac:dyDescent="0.25">
      <c r="A460" s="281"/>
      <c r="B460" s="299"/>
      <c r="C460" s="283"/>
      <c r="D460" s="300"/>
      <c r="E460" s="285"/>
    </row>
    <row r="461" spans="1:5" x14ac:dyDescent="0.25">
      <c r="A461" s="281" t="s">
        <v>32</v>
      </c>
      <c r="B461" s="282" t="s">
        <v>165</v>
      </c>
      <c r="C461" s="283"/>
      <c r="D461" s="284"/>
      <c r="E461" s="285"/>
    </row>
    <row r="462" spans="1:5" x14ac:dyDescent="0.25">
      <c r="A462" s="286" t="s">
        <v>34</v>
      </c>
      <c r="B462" s="287" t="s">
        <v>166</v>
      </c>
      <c r="C462" s="288"/>
      <c r="D462" s="289"/>
      <c r="E462" s="290"/>
    </row>
    <row r="463" spans="1:5" x14ac:dyDescent="0.25">
      <c r="A463" s="290"/>
      <c r="B463" s="291" t="s">
        <v>283</v>
      </c>
      <c r="C463" s="155">
        <f>C457</f>
        <v>107</v>
      </c>
      <c r="D463" s="289" t="s">
        <v>174</v>
      </c>
      <c r="E463" s="290"/>
    </row>
    <row r="464" spans="1:5" x14ac:dyDescent="0.25">
      <c r="A464" s="290"/>
      <c r="B464" s="291" t="s">
        <v>284</v>
      </c>
      <c r="C464" s="155">
        <f>C458</f>
        <v>6</v>
      </c>
      <c r="D464" s="289" t="s">
        <v>174</v>
      </c>
      <c r="E464" s="285"/>
    </row>
    <row r="465" spans="1:5" x14ac:dyDescent="0.25">
      <c r="A465" s="290"/>
      <c r="B465" s="291" t="s">
        <v>286</v>
      </c>
      <c r="C465" s="292">
        <f>ROUND(C463*C464,2)</f>
        <v>642</v>
      </c>
      <c r="D465" s="293" t="s">
        <v>15</v>
      </c>
      <c r="E465" s="285"/>
    </row>
    <row r="466" spans="1:5" x14ac:dyDescent="0.25">
      <c r="A466" s="301"/>
      <c r="B466" s="302"/>
      <c r="C466" s="157"/>
      <c r="D466" s="303"/>
      <c r="E466" s="304"/>
    </row>
    <row r="467" spans="1:5" x14ac:dyDescent="0.25">
      <c r="A467" s="281" t="s">
        <v>167</v>
      </c>
      <c r="B467" s="282" t="s">
        <v>168</v>
      </c>
      <c r="C467" s="283"/>
      <c r="D467" s="284"/>
      <c r="E467" s="285"/>
    </row>
    <row r="468" spans="1:5" x14ac:dyDescent="0.3">
      <c r="A468" s="305" t="s">
        <v>169</v>
      </c>
      <c r="B468" s="436" t="s">
        <v>253</v>
      </c>
      <c r="C468" s="436"/>
      <c r="D468" s="436"/>
      <c r="E468" s="436"/>
    </row>
    <row r="469" spans="1:5" x14ac:dyDescent="0.25">
      <c r="A469" s="290"/>
      <c r="B469" s="291" t="s">
        <v>283</v>
      </c>
      <c r="C469" s="155">
        <f>C457</f>
        <v>107</v>
      </c>
      <c r="D469" s="289" t="s">
        <v>174</v>
      </c>
      <c r="E469" s="290"/>
    </row>
    <row r="470" spans="1:5" x14ac:dyDescent="0.25">
      <c r="A470" s="290"/>
      <c r="B470" s="291" t="s">
        <v>284</v>
      </c>
      <c r="C470" s="155">
        <f>C458</f>
        <v>6</v>
      </c>
      <c r="D470" s="289" t="s">
        <v>174</v>
      </c>
      <c r="E470" s="285"/>
    </row>
    <row r="471" spans="1:5" x14ac:dyDescent="0.25">
      <c r="A471" s="290"/>
      <c r="B471" s="291" t="s">
        <v>286</v>
      </c>
      <c r="C471" s="292">
        <f>ROUND(C469*C470,2)</f>
        <v>642</v>
      </c>
      <c r="D471" s="293" t="s">
        <v>15</v>
      </c>
      <c r="E471" s="285"/>
    </row>
    <row r="473" spans="1:5" x14ac:dyDescent="0.25">
      <c r="A473" s="281" t="s">
        <v>170</v>
      </c>
      <c r="B473" s="282" t="s">
        <v>171</v>
      </c>
      <c r="C473" s="283"/>
      <c r="D473" s="284"/>
      <c r="E473" s="285"/>
    </row>
    <row r="474" spans="1:5" x14ac:dyDescent="0.3">
      <c r="A474" s="305" t="s">
        <v>172</v>
      </c>
      <c r="B474" s="436" t="s">
        <v>173</v>
      </c>
      <c r="C474" s="436"/>
      <c r="D474" s="436"/>
      <c r="E474" s="436"/>
    </row>
    <row r="475" spans="1:5" x14ac:dyDescent="0.25">
      <c r="A475" s="290"/>
      <c r="B475" s="291" t="s">
        <v>283</v>
      </c>
      <c r="C475" s="155">
        <f>C457</f>
        <v>107</v>
      </c>
      <c r="D475" s="289" t="s">
        <v>174</v>
      </c>
      <c r="E475" s="290"/>
    </row>
    <row r="476" spans="1:5" x14ac:dyDescent="0.25">
      <c r="A476" s="290"/>
      <c r="B476" s="291" t="s">
        <v>243</v>
      </c>
      <c r="C476" s="162">
        <v>2</v>
      </c>
      <c r="D476" s="289" t="s">
        <v>176</v>
      </c>
      <c r="E476" s="435"/>
    </row>
    <row r="477" spans="1:5" x14ac:dyDescent="0.25">
      <c r="A477" s="290"/>
      <c r="B477" s="291" t="s">
        <v>305</v>
      </c>
      <c r="C477" s="162">
        <f>C470*2</f>
        <v>12</v>
      </c>
      <c r="D477" s="289" t="s">
        <v>174</v>
      </c>
      <c r="E477" s="435"/>
    </row>
    <row r="478" spans="1:5" x14ac:dyDescent="0.25">
      <c r="A478" s="290"/>
      <c r="B478" s="291" t="s">
        <v>291</v>
      </c>
      <c r="C478" s="292">
        <f>ROUND((C475*C476+C477),2)</f>
        <v>226</v>
      </c>
      <c r="D478" s="293" t="s">
        <v>174</v>
      </c>
      <c r="E478" s="285"/>
    </row>
    <row r="480" spans="1:5" x14ac:dyDescent="0.3">
      <c r="A480" s="305" t="s">
        <v>175</v>
      </c>
      <c r="B480" s="436" t="s">
        <v>292</v>
      </c>
      <c r="C480" s="436"/>
      <c r="D480" s="436"/>
      <c r="E480" s="436"/>
    </row>
    <row r="481" spans="1:5" x14ac:dyDescent="0.25">
      <c r="A481" s="290"/>
      <c r="B481" s="291" t="s">
        <v>283</v>
      </c>
      <c r="C481" s="155">
        <f>C457</f>
        <v>107</v>
      </c>
      <c r="D481" s="289" t="s">
        <v>174</v>
      </c>
      <c r="E481" s="290"/>
    </row>
    <row r="482" spans="1:5" x14ac:dyDescent="0.25">
      <c r="A482" s="290"/>
      <c r="B482" s="291" t="s">
        <v>243</v>
      </c>
      <c r="C482" s="155">
        <v>2</v>
      </c>
      <c r="D482" s="289" t="s">
        <v>176</v>
      </c>
      <c r="E482" s="435"/>
    </row>
    <row r="483" spans="1:5" x14ac:dyDescent="0.25">
      <c r="A483" s="290"/>
      <c r="B483" s="291" t="s">
        <v>291</v>
      </c>
      <c r="C483" s="292">
        <f>ROUND(C481*C482,2)</f>
        <v>214</v>
      </c>
      <c r="D483" s="293" t="s">
        <v>174</v>
      </c>
      <c r="E483" s="435"/>
    </row>
    <row r="485" spans="1:5" x14ac:dyDescent="0.25">
      <c r="A485" s="281" t="s">
        <v>217</v>
      </c>
      <c r="B485" s="282" t="s">
        <v>215</v>
      </c>
      <c r="C485" s="283"/>
      <c r="D485" s="284"/>
      <c r="E485" s="285"/>
    </row>
    <row r="486" spans="1:5" x14ac:dyDescent="0.3">
      <c r="A486" s="305" t="s">
        <v>218</v>
      </c>
      <c r="B486" s="436" t="s">
        <v>278</v>
      </c>
      <c r="C486" s="436"/>
      <c r="D486" s="436"/>
      <c r="E486" s="436"/>
    </row>
    <row r="487" spans="1:5" x14ac:dyDescent="0.25">
      <c r="A487" s="290"/>
      <c r="B487" s="291" t="s">
        <v>295</v>
      </c>
      <c r="C487" s="155">
        <f>C471</f>
        <v>642</v>
      </c>
      <c r="D487" s="289" t="s">
        <v>15</v>
      </c>
      <c r="E487" s="290"/>
    </row>
    <row r="488" spans="1:5" x14ac:dyDescent="0.25">
      <c r="A488" s="290"/>
      <c r="B488" s="291" t="s">
        <v>296</v>
      </c>
      <c r="C488" s="161">
        <v>4.2000000000000003E-2</v>
      </c>
      <c r="D488" s="289" t="s">
        <v>244</v>
      </c>
      <c r="E488" s="285"/>
    </row>
    <row r="489" spans="1:5" x14ac:dyDescent="0.25">
      <c r="A489" s="290"/>
      <c r="B489" s="291" t="s">
        <v>297</v>
      </c>
      <c r="C489" s="155">
        <v>2.52</v>
      </c>
      <c r="D489" s="289" t="s">
        <v>298</v>
      </c>
      <c r="E489" s="285"/>
    </row>
    <row r="490" spans="1:5" x14ac:dyDescent="0.25">
      <c r="A490" s="290"/>
      <c r="B490" s="291" t="s">
        <v>299</v>
      </c>
      <c r="C490" s="155">
        <v>1.5</v>
      </c>
      <c r="D490" s="289" t="s">
        <v>245</v>
      </c>
      <c r="E490" s="285"/>
    </row>
    <row r="491" spans="1:5" x14ac:dyDescent="0.25">
      <c r="A491" s="290"/>
      <c r="B491" s="291" t="s">
        <v>300</v>
      </c>
      <c r="C491" s="155">
        <v>30</v>
      </c>
      <c r="D491" s="289" t="s">
        <v>246</v>
      </c>
      <c r="E491" s="285"/>
    </row>
    <row r="492" spans="1:5" x14ac:dyDescent="0.25">
      <c r="A492" s="290"/>
      <c r="B492" s="282" t="s">
        <v>307</v>
      </c>
      <c r="C492" s="292">
        <f>ROUND(C487*C488*C489*C490*C491,2)</f>
        <v>3057.72</v>
      </c>
      <c r="D492" s="293" t="s">
        <v>308</v>
      </c>
      <c r="E492" s="285"/>
    </row>
    <row r="494" spans="1:5" x14ac:dyDescent="0.3">
      <c r="A494" s="305" t="s">
        <v>277</v>
      </c>
      <c r="B494" s="436" t="s">
        <v>279</v>
      </c>
      <c r="C494" s="436"/>
      <c r="D494" s="436"/>
      <c r="E494" s="436"/>
    </row>
    <row r="495" spans="1:5" x14ac:dyDescent="0.25">
      <c r="A495" s="290"/>
      <c r="B495" s="291" t="s">
        <v>295</v>
      </c>
      <c r="C495" s="155">
        <f>C487</f>
        <v>642</v>
      </c>
      <c r="D495" s="289" t="s">
        <v>15</v>
      </c>
      <c r="E495" s="307"/>
    </row>
    <row r="496" spans="1:5" x14ac:dyDescent="0.25">
      <c r="A496" s="290"/>
      <c r="B496" s="291" t="s">
        <v>296</v>
      </c>
      <c r="C496" s="161">
        <v>4.2000000000000003E-2</v>
      </c>
      <c r="D496" s="289" t="s">
        <v>244</v>
      </c>
      <c r="E496" s="308"/>
    </row>
    <row r="497" spans="1:5" x14ac:dyDescent="0.25">
      <c r="A497" s="290"/>
      <c r="B497" s="291" t="s">
        <v>297</v>
      </c>
      <c r="C497" s="155">
        <v>2.52</v>
      </c>
      <c r="D497" s="289" t="s">
        <v>298</v>
      </c>
      <c r="E497" s="308"/>
    </row>
    <row r="498" spans="1:5" x14ac:dyDescent="0.25">
      <c r="A498" s="290"/>
      <c r="B498" s="291" t="s">
        <v>299</v>
      </c>
      <c r="C498" s="155">
        <v>1.5</v>
      </c>
      <c r="D498" s="289" t="s">
        <v>245</v>
      </c>
      <c r="E498" s="308"/>
    </row>
    <row r="499" spans="1:5" x14ac:dyDescent="0.25">
      <c r="A499" s="290"/>
      <c r="B499" s="291" t="s">
        <v>300</v>
      </c>
      <c r="C499" s="155">
        <f>C459-C491</f>
        <v>19.700000000000003</v>
      </c>
      <c r="D499" s="289" t="s">
        <v>246</v>
      </c>
      <c r="E499" s="308"/>
    </row>
    <row r="500" spans="1:5" x14ac:dyDescent="0.25">
      <c r="A500" s="290"/>
      <c r="B500" s="282" t="s">
        <v>307</v>
      </c>
      <c r="C500" s="292">
        <f>ROUND(C495*C496*C497*C498*C499,2)</f>
        <v>2007.9</v>
      </c>
      <c r="D500" s="293" t="s">
        <v>308</v>
      </c>
      <c r="E500" s="308"/>
    </row>
    <row r="501" spans="1:5" x14ac:dyDescent="0.25">
      <c r="B501" s="291"/>
      <c r="C501" s="156"/>
      <c r="D501" s="309"/>
    </row>
    <row r="502" spans="1:5" x14ac:dyDescent="0.25">
      <c r="A502" s="281" t="s">
        <v>254</v>
      </c>
      <c r="B502" s="282" t="s">
        <v>293</v>
      </c>
      <c r="C502" s="283"/>
      <c r="D502" s="284"/>
      <c r="E502" s="285"/>
    </row>
    <row r="503" spans="1:5" x14ac:dyDescent="0.3">
      <c r="A503" s="305" t="s">
        <v>256</v>
      </c>
      <c r="B503" s="436" t="s">
        <v>259</v>
      </c>
      <c r="C503" s="436"/>
      <c r="D503" s="436"/>
      <c r="E503" s="436"/>
    </row>
    <row r="504" spans="1:5" x14ac:dyDescent="0.25">
      <c r="A504" s="290"/>
      <c r="B504" s="291" t="s">
        <v>294</v>
      </c>
      <c r="C504" s="155">
        <v>0.23</v>
      </c>
      <c r="D504" s="289" t="s">
        <v>15</v>
      </c>
      <c r="E504" s="290"/>
    </row>
    <row r="505" spans="1:5" x14ac:dyDescent="0.25">
      <c r="A505" s="290"/>
      <c r="B505" s="291" t="s">
        <v>306</v>
      </c>
      <c r="C505" s="292">
        <f>C504</f>
        <v>0.23</v>
      </c>
      <c r="D505" s="293" t="s">
        <v>15</v>
      </c>
      <c r="E505" s="285"/>
    </row>
    <row r="507" spans="1:5" x14ac:dyDescent="0.3">
      <c r="A507" s="305" t="s">
        <v>301</v>
      </c>
      <c r="B507" s="436" t="s">
        <v>276</v>
      </c>
      <c r="C507" s="436"/>
      <c r="D507" s="436"/>
      <c r="E507" s="436"/>
    </row>
    <row r="508" spans="1:5" x14ac:dyDescent="0.25">
      <c r="A508" s="290"/>
      <c r="B508" s="291" t="s">
        <v>294</v>
      </c>
      <c r="C508" s="155">
        <v>2</v>
      </c>
      <c r="D508" s="289" t="s">
        <v>176</v>
      </c>
      <c r="E508" s="290"/>
    </row>
    <row r="509" spans="1:5" x14ac:dyDescent="0.25">
      <c r="A509" s="290"/>
      <c r="B509" s="291" t="s">
        <v>306</v>
      </c>
      <c r="C509" s="292">
        <f>C508</f>
        <v>2</v>
      </c>
      <c r="D509" s="293" t="s">
        <v>176</v>
      </c>
      <c r="E509" s="285"/>
    </row>
    <row r="511" spans="1:5" x14ac:dyDescent="0.3">
      <c r="A511" s="294"/>
      <c r="B511" s="295" t="str">
        <f>'GERAL '!A19</f>
        <v>RUA PROJETADA 09</v>
      </c>
      <c r="C511" s="437"/>
      <c r="D511" s="438"/>
      <c r="E511" s="438"/>
    </row>
    <row r="512" spans="1:5" x14ac:dyDescent="0.25">
      <c r="A512" s="296"/>
      <c r="B512" s="297" t="s">
        <v>289</v>
      </c>
      <c r="C512" s="158">
        <v>137</v>
      </c>
      <c r="D512" s="284" t="s">
        <v>174</v>
      </c>
      <c r="E512" s="285"/>
    </row>
    <row r="513" spans="1:5" x14ac:dyDescent="0.25">
      <c r="A513" s="296"/>
      <c r="B513" s="297" t="s">
        <v>290</v>
      </c>
      <c r="C513" s="158">
        <v>6</v>
      </c>
      <c r="D513" s="284" t="s">
        <v>174</v>
      </c>
      <c r="E513" s="285"/>
    </row>
    <row r="514" spans="1:5" x14ac:dyDescent="0.25">
      <c r="A514" s="296"/>
      <c r="B514" s="297" t="s">
        <v>303</v>
      </c>
      <c r="C514" s="173">
        <f>C19</f>
        <v>49.7</v>
      </c>
      <c r="D514" s="284" t="s">
        <v>304</v>
      </c>
      <c r="E514" s="285"/>
    </row>
    <row r="515" spans="1:5" x14ac:dyDescent="0.25">
      <c r="A515" s="281"/>
      <c r="B515" s="299"/>
      <c r="C515" s="283"/>
      <c r="D515" s="300"/>
      <c r="E515" s="285"/>
    </row>
    <row r="516" spans="1:5" x14ac:dyDescent="0.25">
      <c r="A516" s="281" t="s">
        <v>32</v>
      </c>
      <c r="B516" s="282" t="s">
        <v>165</v>
      </c>
      <c r="C516" s="283"/>
      <c r="D516" s="284"/>
      <c r="E516" s="285"/>
    </row>
    <row r="517" spans="1:5" x14ac:dyDescent="0.25">
      <c r="A517" s="286" t="s">
        <v>34</v>
      </c>
      <c r="B517" s="287" t="s">
        <v>166</v>
      </c>
      <c r="C517" s="288"/>
      <c r="D517" s="289"/>
      <c r="E517" s="290"/>
    </row>
    <row r="518" spans="1:5" x14ac:dyDescent="0.25">
      <c r="A518" s="290"/>
      <c r="B518" s="291" t="s">
        <v>283</v>
      </c>
      <c r="C518" s="155">
        <f>C512</f>
        <v>137</v>
      </c>
      <c r="D518" s="289" t="s">
        <v>174</v>
      </c>
      <c r="E518" s="290"/>
    </row>
    <row r="519" spans="1:5" x14ac:dyDescent="0.25">
      <c r="A519" s="290"/>
      <c r="B519" s="291" t="s">
        <v>284</v>
      </c>
      <c r="C519" s="155">
        <f>C513</f>
        <v>6</v>
      </c>
      <c r="D519" s="289" t="s">
        <v>174</v>
      </c>
      <c r="E519" s="285"/>
    </row>
    <row r="520" spans="1:5" x14ac:dyDescent="0.25">
      <c r="A520" s="290"/>
      <c r="B520" s="291" t="s">
        <v>286</v>
      </c>
      <c r="C520" s="292">
        <f>ROUND(C518*C519,2)</f>
        <v>822</v>
      </c>
      <c r="D520" s="293" t="s">
        <v>15</v>
      </c>
      <c r="E520" s="285"/>
    </row>
    <row r="521" spans="1:5" x14ac:dyDescent="0.25">
      <c r="A521" s="301"/>
      <c r="B521" s="302"/>
      <c r="C521" s="157"/>
      <c r="D521" s="303"/>
      <c r="E521" s="304"/>
    </row>
    <row r="522" spans="1:5" x14ac:dyDescent="0.25">
      <c r="A522" s="281" t="s">
        <v>167</v>
      </c>
      <c r="B522" s="282" t="s">
        <v>168</v>
      </c>
      <c r="C522" s="283"/>
      <c r="D522" s="284"/>
      <c r="E522" s="285"/>
    </row>
    <row r="523" spans="1:5" x14ac:dyDescent="0.3">
      <c r="A523" s="305" t="s">
        <v>169</v>
      </c>
      <c r="B523" s="436" t="s">
        <v>253</v>
      </c>
      <c r="C523" s="436"/>
      <c r="D523" s="436"/>
      <c r="E523" s="436"/>
    </row>
    <row r="524" spans="1:5" x14ac:dyDescent="0.25">
      <c r="A524" s="290"/>
      <c r="B524" s="291" t="s">
        <v>283</v>
      </c>
      <c r="C524" s="155">
        <f>C512</f>
        <v>137</v>
      </c>
      <c r="D524" s="289" t="s">
        <v>174</v>
      </c>
      <c r="E524" s="290"/>
    </row>
    <row r="525" spans="1:5" x14ac:dyDescent="0.25">
      <c r="A525" s="290"/>
      <c r="B525" s="291" t="s">
        <v>284</v>
      </c>
      <c r="C525" s="155">
        <f>C513</f>
        <v>6</v>
      </c>
      <c r="D525" s="289" t="s">
        <v>174</v>
      </c>
      <c r="E525" s="285"/>
    </row>
    <row r="526" spans="1:5" x14ac:dyDescent="0.25">
      <c r="A526" s="290"/>
      <c r="B526" s="291" t="s">
        <v>286</v>
      </c>
      <c r="C526" s="292">
        <f>ROUND(C524*C525,2)</f>
        <v>822</v>
      </c>
      <c r="D526" s="293" t="s">
        <v>15</v>
      </c>
      <c r="E526" s="285"/>
    </row>
    <row r="528" spans="1:5" x14ac:dyDescent="0.25">
      <c r="A528" s="281" t="s">
        <v>170</v>
      </c>
      <c r="B528" s="282" t="s">
        <v>171</v>
      </c>
      <c r="C528" s="283"/>
      <c r="D528" s="284"/>
      <c r="E528" s="285"/>
    </row>
    <row r="529" spans="1:5" x14ac:dyDescent="0.3">
      <c r="A529" s="305" t="s">
        <v>172</v>
      </c>
      <c r="B529" s="436" t="s">
        <v>173</v>
      </c>
      <c r="C529" s="436"/>
      <c r="D529" s="436"/>
      <c r="E529" s="436"/>
    </row>
    <row r="530" spans="1:5" x14ac:dyDescent="0.25">
      <c r="A530" s="290"/>
      <c r="B530" s="291" t="s">
        <v>283</v>
      </c>
      <c r="C530" s="155">
        <f>C512</f>
        <v>137</v>
      </c>
      <c r="D530" s="289" t="s">
        <v>174</v>
      </c>
      <c r="E530" s="290"/>
    </row>
    <row r="531" spans="1:5" x14ac:dyDescent="0.25">
      <c r="A531" s="290"/>
      <c r="B531" s="291" t="s">
        <v>243</v>
      </c>
      <c r="C531" s="162">
        <v>2</v>
      </c>
      <c r="D531" s="289" t="s">
        <v>176</v>
      </c>
      <c r="E531" s="435"/>
    </row>
    <row r="532" spans="1:5" x14ac:dyDescent="0.25">
      <c r="A532" s="290"/>
      <c r="B532" s="291" t="s">
        <v>305</v>
      </c>
      <c r="C532" s="162">
        <f>C525*2</f>
        <v>12</v>
      </c>
      <c r="D532" s="289" t="s">
        <v>174</v>
      </c>
      <c r="E532" s="435"/>
    </row>
    <row r="533" spans="1:5" x14ac:dyDescent="0.25">
      <c r="A533" s="290"/>
      <c r="B533" s="291" t="s">
        <v>291</v>
      </c>
      <c r="C533" s="292">
        <f>ROUND((C530*C531+C532),2)</f>
        <v>286</v>
      </c>
      <c r="D533" s="293" t="s">
        <v>174</v>
      </c>
      <c r="E533" s="285"/>
    </row>
    <row r="535" spans="1:5" x14ac:dyDescent="0.3">
      <c r="A535" s="305" t="s">
        <v>175</v>
      </c>
      <c r="B535" s="436" t="s">
        <v>292</v>
      </c>
      <c r="C535" s="436"/>
      <c r="D535" s="436"/>
      <c r="E535" s="436"/>
    </row>
    <row r="536" spans="1:5" x14ac:dyDescent="0.25">
      <c r="A536" s="290"/>
      <c r="B536" s="291" t="s">
        <v>283</v>
      </c>
      <c r="C536" s="155">
        <f>C512</f>
        <v>137</v>
      </c>
      <c r="D536" s="289" t="s">
        <v>174</v>
      </c>
      <c r="E536" s="290"/>
    </row>
    <row r="537" spans="1:5" x14ac:dyDescent="0.25">
      <c r="A537" s="290"/>
      <c r="B537" s="291" t="s">
        <v>243</v>
      </c>
      <c r="C537" s="155">
        <v>2</v>
      </c>
      <c r="D537" s="289" t="s">
        <v>176</v>
      </c>
      <c r="E537" s="435"/>
    </row>
    <row r="538" spans="1:5" x14ac:dyDescent="0.25">
      <c r="A538" s="290"/>
      <c r="B538" s="291" t="s">
        <v>291</v>
      </c>
      <c r="C538" s="292">
        <f>ROUND(C536*C537,2)</f>
        <v>274</v>
      </c>
      <c r="D538" s="293" t="s">
        <v>174</v>
      </c>
      <c r="E538" s="435"/>
    </row>
    <row r="540" spans="1:5" x14ac:dyDescent="0.25">
      <c r="A540" s="281" t="s">
        <v>217</v>
      </c>
      <c r="B540" s="282" t="s">
        <v>215</v>
      </c>
      <c r="C540" s="283"/>
      <c r="D540" s="284"/>
      <c r="E540" s="285"/>
    </row>
    <row r="541" spans="1:5" x14ac:dyDescent="0.3">
      <c r="A541" s="305" t="s">
        <v>218</v>
      </c>
      <c r="B541" s="436" t="s">
        <v>278</v>
      </c>
      <c r="C541" s="436"/>
      <c r="D541" s="436"/>
      <c r="E541" s="436"/>
    </row>
    <row r="542" spans="1:5" x14ac:dyDescent="0.25">
      <c r="A542" s="290"/>
      <c r="B542" s="291" t="s">
        <v>295</v>
      </c>
      <c r="C542" s="155">
        <f>C526</f>
        <v>822</v>
      </c>
      <c r="D542" s="289" t="s">
        <v>15</v>
      </c>
      <c r="E542" s="290"/>
    </row>
    <row r="543" spans="1:5" x14ac:dyDescent="0.25">
      <c r="A543" s="290"/>
      <c r="B543" s="291" t="s">
        <v>296</v>
      </c>
      <c r="C543" s="161">
        <v>4.2000000000000003E-2</v>
      </c>
      <c r="D543" s="289" t="s">
        <v>244</v>
      </c>
      <c r="E543" s="285"/>
    </row>
    <row r="544" spans="1:5" x14ac:dyDescent="0.25">
      <c r="A544" s="290"/>
      <c r="B544" s="291" t="s">
        <v>297</v>
      </c>
      <c r="C544" s="155">
        <v>2.52</v>
      </c>
      <c r="D544" s="289" t="s">
        <v>298</v>
      </c>
      <c r="E544" s="285"/>
    </row>
    <row r="545" spans="1:5" x14ac:dyDescent="0.25">
      <c r="A545" s="290"/>
      <c r="B545" s="291" t="s">
        <v>299</v>
      </c>
      <c r="C545" s="155">
        <v>1.5</v>
      </c>
      <c r="D545" s="289" t="s">
        <v>245</v>
      </c>
      <c r="E545" s="285"/>
    </row>
    <row r="546" spans="1:5" x14ac:dyDescent="0.25">
      <c r="A546" s="290"/>
      <c r="B546" s="291" t="s">
        <v>300</v>
      </c>
      <c r="C546" s="155">
        <v>30</v>
      </c>
      <c r="D546" s="289" t="s">
        <v>246</v>
      </c>
      <c r="E546" s="285"/>
    </row>
    <row r="547" spans="1:5" x14ac:dyDescent="0.25">
      <c r="A547" s="290"/>
      <c r="B547" s="282" t="s">
        <v>307</v>
      </c>
      <c r="C547" s="292">
        <f>ROUND(C542*C543*C544*C545*C546,2)</f>
        <v>3915.02</v>
      </c>
      <c r="D547" s="293" t="s">
        <v>308</v>
      </c>
      <c r="E547" s="285"/>
    </row>
    <row r="549" spans="1:5" x14ac:dyDescent="0.3">
      <c r="A549" s="305" t="s">
        <v>277</v>
      </c>
      <c r="B549" s="436" t="s">
        <v>279</v>
      </c>
      <c r="C549" s="436"/>
      <c r="D549" s="436"/>
      <c r="E549" s="436"/>
    </row>
    <row r="550" spans="1:5" x14ac:dyDescent="0.25">
      <c r="A550" s="290"/>
      <c r="B550" s="291" t="s">
        <v>295</v>
      </c>
      <c r="C550" s="155">
        <f>C542</f>
        <v>822</v>
      </c>
      <c r="D550" s="289" t="s">
        <v>15</v>
      </c>
      <c r="E550" s="307"/>
    </row>
    <row r="551" spans="1:5" x14ac:dyDescent="0.25">
      <c r="A551" s="290"/>
      <c r="B551" s="291" t="s">
        <v>296</v>
      </c>
      <c r="C551" s="161">
        <v>4.2000000000000003E-2</v>
      </c>
      <c r="D551" s="289" t="s">
        <v>244</v>
      </c>
      <c r="E551" s="308"/>
    </row>
    <row r="552" spans="1:5" x14ac:dyDescent="0.25">
      <c r="A552" s="290"/>
      <c r="B552" s="291" t="s">
        <v>297</v>
      </c>
      <c r="C552" s="155">
        <v>2.52</v>
      </c>
      <c r="D552" s="289" t="s">
        <v>298</v>
      </c>
      <c r="E552" s="308"/>
    </row>
    <row r="553" spans="1:5" x14ac:dyDescent="0.25">
      <c r="A553" s="290"/>
      <c r="B553" s="291" t="s">
        <v>299</v>
      </c>
      <c r="C553" s="155">
        <v>1.5</v>
      </c>
      <c r="D553" s="289" t="s">
        <v>245</v>
      </c>
      <c r="E553" s="308"/>
    </row>
    <row r="554" spans="1:5" x14ac:dyDescent="0.25">
      <c r="A554" s="290"/>
      <c r="B554" s="291" t="s">
        <v>300</v>
      </c>
      <c r="C554" s="155">
        <f>C514-C546</f>
        <v>19.700000000000003</v>
      </c>
      <c r="D554" s="289" t="s">
        <v>246</v>
      </c>
      <c r="E554" s="308"/>
    </row>
    <row r="555" spans="1:5" x14ac:dyDescent="0.25">
      <c r="A555" s="290"/>
      <c r="B555" s="282" t="s">
        <v>307</v>
      </c>
      <c r="C555" s="292">
        <f>ROUND(C550*C551*C552*C553*C554,2)</f>
        <v>2570.86</v>
      </c>
      <c r="D555" s="293" t="s">
        <v>308</v>
      </c>
      <c r="E555" s="308"/>
    </row>
    <row r="556" spans="1:5" x14ac:dyDescent="0.25">
      <c r="B556" s="291"/>
      <c r="C556" s="156"/>
      <c r="D556" s="309"/>
    </row>
    <row r="557" spans="1:5" x14ac:dyDescent="0.25">
      <c r="A557" s="281" t="s">
        <v>254</v>
      </c>
      <c r="B557" s="282" t="s">
        <v>293</v>
      </c>
      <c r="C557" s="283"/>
      <c r="D557" s="284"/>
      <c r="E557" s="285"/>
    </row>
    <row r="558" spans="1:5" x14ac:dyDescent="0.3">
      <c r="A558" s="305" t="s">
        <v>256</v>
      </c>
      <c r="B558" s="436" t="s">
        <v>259</v>
      </c>
      <c r="C558" s="436"/>
      <c r="D558" s="436"/>
      <c r="E558" s="436"/>
    </row>
    <row r="559" spans="1:5" x14ac:dyDescent="0.25">
      <c r="A559" s="290"/>
      <c r="B559" s="291" t="s">
        <v>294</v>
      </c>
      <c r="C559" s="155">
        <v>0.23</v>
      </c>
      <c r="D559" s="289" t="s">
        <v>15</v>
      </c>
      <c r="E559" s="290"/>
    </row>
    <row r="560" spans="1:5" x14ac:dyDescent="0.25">
      <c r="A560" s="290"/>
      <c r="B560" s="291" t="s">
        <v>306</v>
      </c>
      <c r="C560" s="292">
        <f>C559</f>
        <v>0.23</v>
      </c>
      <c r="D560" s="293" t="s">
        <v>15</v>
      </c>
      <c r="E560" s="285"/>
    </row>
    <row r="562" spans="1:5" x14ac:dyDescent="0.3">
      <c r="A562" s="305" t="s">
        <v>301</v>
      </c>
      <c r="B562" s="436" t="s">
        <v>276</v>
      </c>
      <c r="C562" s="436"/>
      <c r="D562" s="436"/>
      <c r="E562" s="436"/>
    </row>
    <row r="563" spans="1:5" x14ac:dyDescent="0.25">
      <c r="A563" s="290"/>
      <c r="B563" s="291" t="s">
        <v>294</v>
      </c>
      <c r="C563" s="155">
        <v>2</v>
      </c>
      <c r="D563" s="289" t="s">
        <v>176</v>
      </c>
      <c r="E563" s="290"/>
    </row>
    <row r="564" spans="1:5" x14ac:dyDescent="0.25">
      <c r="A564" s="290"/>
      <c r="B564" s="291" t="s">
        <v>306</v>
      </c>
      <c r="C564" s="292">
        <f>C563</f>
        <v>2</v>
      </c>
      <c r="D564" s="293" t="s">
        <v>176</v>
      </c>
      <c r="E564" s="285"/>
    </row>
    <row r="566" spans="1:5" x14ac:dyDescent="0.3">
      <c r="A566" s="294"/>
      <c r="B566" s="295" t="str">
        <f>'GERAL '!A20</f>
        <v xml:space="preserve">RUA COQUEIRO VERDE </v>
      </c>
      <c r="C566" s="437"/>
      <c r="D566" s="438"/>
      <c r="E566" s="438"/>
    </row>
    <row r="567" spans="1:5" x14ac:dyDescent="0.25">
      <c r="A567" s="296"/>
      <c r="B567" s="297" t="s">
        <v>289</v>
      </c>
      <c r="C567" s="158">
        <v>170</v>
      </c>
      <c r="D567" s="284" t="s">
        <v>174</v>
      </c>
      <c r="E567" s="285"/>
    </row>
    <row r="568" spans="1:5" x14ac:dyDescent="0.25">
      <c r="A568" s="296"/>
      <c r="B568" s="297" t="s">
        <v>290</v>
      </c>
      <c r="C568" s="158">
        <v>6</v>
      </c>
      <c r="D568" s="284" t="s">
        <v>174</v>
      </c>
      <c r="E568" s="285"/>
    </row>
    <row r="569" spans="1:5" x14ac:dyDescent="0.25">
      <c r="A569" s="296"/>
      <c r="B569" s="297" t="s">
        <v>303</v>
      </c>
      <c r="C569" s="173">
        <f>C19</f>
        <v>49.7</v>
      </c>
      <c r="D569" s="284" t="s">
        <v>304</v>
      </c>
      <c r="E569" s="285"/>
    </row>
    <row r="570" spans="1:5" x14ac:dyDescent="0.25">
      <c r="A570" s="281"/>
      <c r="B570" s="299"/>
      <c r="C570" s="283"/>
      <c r="D570" s="300"/>
      <c r="E570" s="285"/>
    </row>
    <row r="571" spans="1:5" x14ac:dyDescent="0.25">
      <c r="A571" s="281" t="s">
        <v>32</v>
      </c>
      <c r="B571" s="282" t="s">
        <v>165</v>
      </c>
      <c r="C571" s="283"/>
      <c r="D571" s="284"/>
      <c r="E571" s="285"/>
    </row>
    <row r="572" spans="1:5" x14ac:dyDescent="0.25">
      <c r="A572" s="286" t="s">
        <v>34</v>
      </c>
      <c r="B572" s="287" t="s">
        <v>166</v>
      </c>
      <c r="C572" s="288"/>
      <c r="D572" s="289"/>
      <c r="E572" s="290"/>
    </row>
    <row r="573" spans="1:5" x14ac:dyDescent="0.25">
      <c r="A573" s="290"/>
      <c r="B573" s="291" t="s">
        <v>283</v>
      </c>
      <c r="C573" s="155">
        <f>C567</f>
        <v>170</v>
      </c>
      <c r="D573" s="289" t="s">
        <v>174</v>
      </c>
      <c r="E573" s="290"/>
    </row>
    <row r="574" spans="1:5" x14ac:dyDescent="0.25">
      <c r="A574" s="290"/>
      <c r="B574" s="291" t="s">
        <v>284</v>
      </c>
      <c r="C574" s="155">
        <f>C568</f>
        <v>6</v>
      </c>
      <c r="D574" s="289" t="s">
        <v>174</v>
      </c>
      <c r="E574" s="285"/>
    </row>
    <row r="575" spans="1:5" x14ac:dyDescent="0.25">
      <c r="A575" s="290"/>
      <c r="B575" s="291" t="s">
        <v>286</v>
      </c>
      <c r="C575" s="292">
        <f>ROUND(C573*C574,2)</f>
        <v>1020</v>
      </c>
      <c r="D575" s="293" t="s">
        <v>15</v>
      </c>
      <c r="E575" s="285"/>
    </row>
    <row r="576" spans="1:5" x14ac:dyDescent="0.25">
      <c r="A576" s="301"/>
      <c r="B576" s="302"/>
      <c r="C576" s="157"/>
      <c r="D576" s="303"/>
      <c r="E576" s="304"/>
    </row>
    <row r="577" spans="1:5" x14ac:dyDescent="0.25">
      <c r="A577" s="281" t="s">
        <v>167</v>
      </c>
      <c r="B577" s="282" t="s">
        <v>168</v>
      </c>
      <c r="C577" s="283"/>
      <c r="D577" s="284"/>
      <c r="E577" s="285"/>
    </row>
    <row r="578" spans="1:5" x14ac:dyDescent="0.3">
      <c r="A578" s="305" t="s">
        <v>169</v>
      </c>
      <c r="B578" s="436" t="s">
        <v>253</v>
      </c>
      <c r="C578" s="436"/>
      <c r="D578" s="436"/>
      <c r="E578" s="436"/>
    </row>
    <row r="579" spans="1:5" x14ac:dyDescent="0.25">
      <c r="A579" s="290"/>
      <c r="B579" s="291" t="s">
        <v>283</v>
      </c>
      <c r="C579" s="155">
        <f>C567</f>
        <v>170</v>
      </c>
      <c r="D579" s="289" t="s">
        <v>174</v>
      </c>
      <c r="E579" s="290"/>
    </row>
    <row r="580" spans="1:5" x14ac:dyDescent="0.25">
      <c r="A580" s="290"/>
      <c r="B580" s="291" t="s">
        <v>284</v>
      </c>
      <c r="C580" s="155">
        <f>C568</f>
        <v>6</v>
      </c>
      <c r="D580" s="289" t="s">
        <v>174</v>
      </c>
      <c r="E580" s="285"/>
    </row>
    <row r="581" spans="1:5" x14ac:dyDescent="0.25">
      <c r="A581" s="290"/>
      <c r="B581" s="291" t="s">
        <v>286</v>
      </c>
      <c r="C581" s="292">
        <f>ROUND(C579*C580,2)</f>
        <v>1020</v>
      </c>
      <c r="D581" s="293" t="s">
        <v>15</v>
      </c>
      <c r="E581" s="285"/>
    </row>
    <row r="583" spans="1:5" x14ac:dyDescent="0.25">
      <c r="A583" s="281" t="s">
        <v>170</v>
      </c>
      <c r="B583" s="282" t="s">
        <v>171</v>
      </c>
      <c r="C583" s="283"/>
      <c r="D583" s="284"/>
      <c r="E583" s="285"/>
    </row>
    <row r="584" spans="1:5" x14ac:dyDescent="0.3">
      <c r="A584" s="305" t="s">
        <v>172</v>
      </c>
      <c r="B584" s="436" t="s">
        <v>173</v>
      </c>
      <c r="C584" s="436"/>
      <c r="D584" s="436"/>
      <c r="E584" s="436"/>
    </row>
    <row r="585" spans="1:5" x14ac:dyDescent="0.25">
      <c r="A585" s="290"/>
      <c r="B585" s="291" t="s">
        <v>283</v>
      </c>
      <c r="C585" s="155">
        <f>C567</f>
        <v>170</v>
      </c>
      <c r="D585" s="289" t="s">
        <v>174</v>
      </c>
      <c r="E585" s="290"/>
    </row>
    <row r="586" spans="1:5" x14ac:dyDescent="0.25">
      <c r="A586" s="290"/>
      <c r="B586" s="291" t="s">
        <v>243</v>
      </c>
      <c r="C586" s="162">
        <v>2</v>
      </c>
      <c r="D586" s="289" t="s">
        <v>176</v>
      </c>
      <c r="E586" s="435"/>
    </row>
    <row r="587" spans="1:5" x14ac:dyDescent="0.25">
      <c r="A587" s="290"/>
      <c r="B587" s="291" t="s">
        <v>305</v>
      </c>
      <c r="C587" s="162">
        <f>C580*2</f>
        <v>12</v>
      </c>
      <c r="D587" s="289" t="s">
        <v>174</v>
      </c>
      <c r="E587" s="435"/>
    </row>
    <row r="588" spans="1:5" x14ac:dyDescent="0.25">
      <c r="A588" s="290"/>
      <c r="B588" s="291" t="s">
        <v>291</v>
      </c>
      <c r="C588" s="292">
        <f>ROUND((C585*C586+C587),2)</f>
        <v>352</v>
      </c>
      <c r="D588" s="293" t="s">
        <v>174</v>
      </c>
      <c r="E588" s="285"/>
    </row>
    <row r="590" spans="1:5" x14ac:dyDescent="0.3">
      <c r="A590" s="305" t="s">
        <v>175</v>
      </c>
      <c r="B590" s="436" t="s">
        <v>292</v>
      </c>
      <c r="C590" s="436"/>
      <c r="D590" s="436"/>
      <c r="E590" s="436"/>
    </row>
    <row r="591" spans="1:5" x14ac:dyDescent="0.25">
      <c r="A591" s="290"/>
      <c r="B591" s="291" t="s">
        <v>283</v>
      </c>
      <c r="C591" s="155">
        <f>C567</f>
        <v>170</v>
      </c>
      <c r="D591" s="289" t="s">
        <v>174</v>
      </c>
      <c r="E591" s="290"/>
    </row>
    <row r="592" spans="1:5" x14ac:dyDescent="0.25">
      <c r="A592" s="290"/>
      <c r="B592" s="291" t="s">
        <v>243</v>
      </c>
      <c r="C592" s="155">
        <v>2</v>
      </c>
      <c r="D592" s="289" t="s">
        <v>176</v>
      </c>
      <c r="E592" s="435"/>
    </row>
    <row r="593" spans="1:5" x14ac:dyDescent="0.25">
      <c r="A593" s="290"/>
      <c r="B593" s="291" t="s">
        <v>291</v>
      </c>
      <c r="C593" s="292">
        <f>ROUND(C591*C592,2)</f>
        <v>340</v>
      </c>
      <c r="D593" s="293" t="s">
        <v>174</v>
      </c>
      <c r="E593" s="435"/>
    </row>
    <row r="595" spans="1:5" x14ac:dyDescent="0.25">
      <c r="A595" s="281" t="s">
        <v>217</v>
      </c>
      <c r="B595" s="282" t="s">
        <v>215</v>
      </c>
      <c r="C595" s="283"/>
      <c r="D595" s="284"/>
      <c r="E595" s="285"/>
    </row>
    <row r="596" spans="1:5" x14ac:dyDescent="0.3">
      <c r="A596" s="305" t="s">
        <v>218</v>
      </c>
      <c r="B596" s="436" t="s">
        <v>278</v>
      </c>
      <c r="C596" s="436"/>
      <c r="D596" s="436"/>
      <c r="E596" s="436"/>
    </row>
    <row r="597" spans="1:5" x14ac:dyDescent="0.25">
      <c r="A597" s="290"/>
      <c r="B597" s="291" t="s">
        <v>295</v>
      </c>
      <c r="C597" s="155">
        <f>C581</f>
        <v>1020</v>
      </c>
      <c r="D597" s="289" t="s">
        <v>15</v>
      </c>
      <c r="E597" s="290"/>
    </row>
    <row r="598" spans="1:5" x14ac:dyDescent="0.25">
      <c r="A598" s="290"/>
      <c r="B598" s="291" t="s">
        <v>296</v>
      </c>
      <c r="C598" s="161">
        <v>4.2000000000000003E-2</v>
      </c>
      <c r="D598" s="289" t="s">
        <v>244</v>
      </c>
      <c r="E598" s="285"/>
    </row>
    <row r="599" spans="1:5" x14ac:dyDescent="0.25">
      <c r="A599" s="290"/>
      <c r="B599" s="291" t="s">
        <v>297</v>
      </c>
      <c r="C599" s="155">
        <v>2.52</v>
      </c>
      <c r="D599" s="289" t="s">
        <v>298</v>
      </c>
      <c r="E599" s="285"/>
    </row>
    <row r="600" spans="1:5" x14ac:dyDescent="0.25">
      <c r="A600" s="290"/>
      <c r="B600" s="291" t="s">
        <v>299</v>
      </c>
      <c r="C600" s="155">
        <v>1.5</v>
      </c>
      <c r="D600" s="289" t="s">
        <v>245</v>
      </c>
      <c r="E600" s="285"/>
    </row>
    <row r="601" spans="1:5" x14ac:dyDescent="0.25">
      <c r="A601" s="290"/>
      <c r="B601" s="291" t="s">
        <v>300</v>
      </c>
      <c r="C601" s="155">
        <v>30</v>
      </c>
      <c r="D601" s="289" t="s">
        <v>246</v>
      </c>
      <c r="E601" s="285"/>
    </row>
    <row r="602" spans="1:5" x14ac:dyDescent="0.25">
      <c r="A602" s="290"/>
      <c r="B602" s="282" t="s">
        <v>307</v>
      </c>
      <c r="C602" s="292">
        <f>ROUND(C597*C598*C599*C600*C601,2)</f>
        <v>4858.0600000000004</v>
      </c>
      <c r="D602" s="293" t="s">
        <v>308</v>
      </c>
      <c r="E602" s="285"/>
    </row>
    <row r="604" spans="1:5" x14ac:dyDescent="0.3">
      <c r="A604" s="305" t="s">
        <v>277</v>
      </c>
      <c r="B604" s="436" t="s">
        <v>279</v>
      </c>
      <c r="C604" s="436"/>
      <c r="D604" s="436"/>
      <c r="E604" s="436"/>
    </row>
    <row r="605" spans="1:5" x14ac:dyDescent="0.25">
      <c r="A605" s="290"/>
      <c r="B605" s="291" t="s">
        <v>295</v>
      </c>
      <c r="C605" s="155">
        <f>C597</f>
        <v>1020</v>
      </c>
      <c r="D605" s="289" t="s">
        <v>15</v>
      </c>
      <c r="E605" s="307"/>
    </row>
    <row r="606" spans="1:5" x14ac:dyDescent="0.25">
      <c r="A606" s="290"/>
      <c r="B606" s="291" t="s">
        <v>296</v>
      </c>
      <c r="C606" s="161">
        <v>4.2000000000000003E-2</v>
      </c>
      <c r="D606" s="289" t="s">
        <v>244</v>
      </c>
      <c r="E606" s="308"/>
    </row>
    <row r="607" spans="1:5" x14ac:dyDescent="0.25">
      <c r="A607" s="290"/>
      <c r="B607" s="291" t="s">
        <v>297</v>
      </c>
      <c r="C607" s="155">
        <v>2.52</v>
      </c>
      <c r="D607" s="289" t="s">
        <v>298</v>
      </c>
      <c r="E607" s="308"/>
    </row>
    <row r="608" spans="1:5" x14ac:dyDescent="0.25">
      <c r="A608" s="290"/>
      <c r="B608" s="291" t="s">
        <v>299</v>
      </c>
      <c r="C608" s="155">
        <v>1.5</v>
      </c>
      <c r="D608" s="289" t="s">
        <v>245</v>
      </c>
      <c r="E608" s="308"/>
    </row>
    <row r="609" spans="1:5" x14ac:dyDescent="0.25">
      <c r="A609" s="290"/>
      <c r="B609" s="291" t="s">
        <v>300</v>
      </c>
      <c r="C609" s="155">
        <f>C569-C601</f>
        <v>19.700000000000003</v>
      </c>
      <c r="D609" s="289" t="s">
        <v>246</v>
      </c>
      <c r="E609" s="308"/>
    </row>
    <row r="610" spans="1:5" x14ac:dyDescent="0.25">
      <c r="A610" s="290"/>
      <c r="B610" s="282" t="s">
        <v>307</v>
      </c>
      <c r="C610" s="292">
        <f>ROUND(C605*C606*C607*C608*C609,2)</f>
        <v>3190.12</v>
      </c>
      <c r="D610" s="293" t="s">
        <v>308</v>
      </c>
      <c r="E610" s="308"/>
    </row>
    <row r="611" spans="1:5" x14ac:dyDescent="0.25">
      <c r="B611" s="291"/>
      <c r="C611" s="156"/>
      <c r="D611" s="309"/>
    </row>
    <row r="612" spans="1:5" x14ac:dyDescent="0.25">
      <c r="A612" s="281" t="s">
        <v>254</v>
      </c>
      <c r="B612" s="282" t="s">
        <v>293</v>
      </c>
      <c r="C612" s="283"/>
      <c r="D612" s="284"/>
      <c r="E612" s="285"/>
    </row>
    <row r="613" spans="1:5" x14ac:dyDescent="0.3">
      <c r="A613" s="305" t="s">
        <v>256</v>
      </c>
      <c r="B613" s="436" t="s">
        <v>259</v>
      </c>
      <c r="C613" s="436"/>
      <c r="D613" s="436"/>
      <c r="E613" s="436"/>
    </row>
    <row r="614" spans="1:5" x14ac:dyDescent="0.25">
      <c r="A614" s="290"/>
      <c r="B614" s="291" t="s">
        <v>294</v>
      </c>
      <c r="C614" s="155">
        <v>0.23</v>
      </c>
      <c r="D614" s="289" t="s">
        <v>15</v>
      </c>
      <c r="E614" s="290"/>
    </row>
    <row r="615" spans="1:5" x14ac:dyDescent="0.25">
      <c r="A615" s="290"/>
      <c r="B615" s="291" t="s">
        <v>306</v>
      </c>
      <c r="C615" s="292">
        <f>C614</f>
        <v>0.23</v>
      </c>
      <c r="D615" s="293" t="s">
        <v>15</v>
      </c>
      <c r="E615" s="285"/>
    </row>
    <row r="617" spans="1:5" x14ac:dyDescent="0.3">
      <c r="A617" s="305" t="s">
        <v>301</v>
      </c>
      <c r="B617" s="436" t="s">
        <v>276</v>
      </c>
      <c r="C617" s="436"/>
      <c r="D617" s="436"/>
      <c r="E617" s="436"/>
    </row>
    <row r="618" spans="1:5" x14ac:dyDescent="0.25">
      <c r="A618" s="290"/>
      <c r="B618" s="291" t="s">
        <v>294</v>
      </c>
      <c r="C618" s="155">
        <v>2</v>
      </c>
      <c r="D618" s="289" t="s">
        <v>176</v>
      </c>
      <c r="E618" s="290"/>
    </row>
    <row r="619" spans="1:5" x14ac:dyDescent="0.25">
      <c r="A619" s="290"/>
      <c r="B619" s="291" t="s">
        <v>306</v>
      </c>
      <c r="C619" s="292">
        <f>C618</f>
        <v>2</v>
      </c>
      <c r="D619" s="293" t="s">
        <v>176</v>
      </c>
      <c r="E619" s="285"/>
    </row>
    <row r="620" spans="1:5" x14ac:dyDescent="0.3">
      <c r="A620" s="294"/>
      <c r="B620" s="295" t="str">
        <f>'GERAL '!A21</f>
        <v>RUA PROJETADA (LAGOA FUNDA)</v>
      </c>
      <c r="C620" s="437"/>
      <c r="D620" s="438"/>
      <c r="E620" s="438"/>
    </row>
    <row r="621" spans="1:5" x14ac:dyDescent="0.25">
      <c r="A621" s="296"/>
      <c r="B621" s="297" t="s">
        <v>289</v>
      </c>
      <c r="C621" s="158">
        <v>20</v>
      </c>
      <c r="D621" s="284" t="s">
        <v>174</v>
      </c>
      <c r="E621" s="285"/>
    </row>
    <row r="622" spans="1:5" x14ac:dyDescent="0.25">
      <c r="A622" s="296"/>
      <c r="B622" s="297" t="s">
        <v>290</v>
      </c>
      <c r="C622" s="158">
        <v>6</v>
      </c>
      <c r="D622" s="284" t="s">
        <v>174</v>
      </c>
      <c r="E622" s="285"/>
    </row>
    <row r="623" spans="1:5" x14ac:dyDescent="0.25">
      <c r="A623" s="296"/>
      <c r="B623" s="297" t="s">
        <v>303</v>
      </c>
      <c r="C623" s="173">
        <f>C19</f>
        <v>49.7</v>
      </c>
      <c r="D623" s="284" t="s">
        <v>304</v>
      </c>
      <c r="E623" s="285"/>
    </row>
    <row r="624" spans="1:5" x14ac:dyDescent="0.25">
      <c r="A624" s="281"/>
      <c r="B624" s="299"/>
      <c r="C624" s="283"/>
      <c r="D624" s="300"/>
      <c r="E624" s="285"/>
    </row>
    <row r="625" spans="1:5" x14ac:dyDescent="0.25">
      <c r="A625" s="281" t="s">
        <v>32</v>
      </c>
      <c r="B625" s="282" t="s">
        <v>165</v>
      </c>
      <c r="C625" s="283"/>
      <c r="D625" s="284"/>
      <c r="E625" s="285"/>
    </row>
    <row r="626" spans="1:5" x14ac:dyDescent="0.25">
      <c r="A626" s="286" t="s">
        <v>34</v>
      </c>
      <c r="B626" s="287" t="s">
        <v>166</v>
      </c>
      <c r="C626" s="288"/>
      <c r="D626" s="289"/>
      <c r="E626" s="290"/>
    </row>
    <row r="627" spans="1:5" x14ac:dyDescent="0.25">
      <c r="A627" s="290"/>
      <c r="B627" s="291" t="s">
        <v>283</v>
      </c>
      <c r="C627" s="155">
        <f>C621</f>
        <v>20</v>
      </c>
      <c r="D627" s="289" t="s">
        <v>174</v>
      </c>
      <c r="E627" s="290"/>
    </row>
    <row r="628" spans="1:5" x14ac:dyDescent="0.25">
      <c r="A628" s="290"/>
      <c r="B628" s="291" t="s">
        <v>284</v>
      </c>
      <c r="C628" s="155">
        <f>C622</f>
        <v>6</v>
      </c>
      <c r="D628" s="289" t="s">
        <v>174</v>
      </c>
      <c r="E628" s="285"/>
    </row>
    <row r="629" spans="1:5" x14ac:dyDescent="0.25">
      <c r="A629" s="290"/>
      <c r="B629" s="291" t="s">
        <v>286</v>
      </c>
      <c r="C629" s="292">
        <f>ROUND(C627*C628,2)</f>
        <v>120</v>
      </c>
      <c r="D629" s="293" t="s">
        <v>15</v>
      </c>
      <c r="E629" s="285"/>
    </row>
    <row r="630" spans="1:5" x14ac:dyDescent="0.25">
      <c r="A630" s="301"/>
      <c r="B630" s="302"/>
      <c r="C630" s="157"/>
      <c r="D630" s="303"/>
      <c r="E630" s="304"/>
    </row>
    <row r="631" spans="1:5" x14ac:dyDescent="0.25">
      <c r="A631" s="281" t="s">
        <v>167</v>
      </c>
      <c r="B631" s="282" t="s">
        <v>168</v>
      </c>
      <c r="C631" s="283"/>
      <c r="D631" s="284"/>
      <c r="E631" s="285"/>
    </row>
    <row r="632" spans="1:5" x14ac:dyDescent="0.3">
      <c r="A632" s="305" t="s">
        <v>169</v>
      </c>
      <c r="B632" s="436" t="s">
        <v>253</v>
      </c>
      <c r="C632" s="436"/>
      <c r="D632" s="436"/>
      <c r="E632" s="436"/>
    </row>
    <row r="633" spans="1:5" x14ac:dyDescent="0.25">
      <c r="A633" s="290"/>
      <c r="B633" s="291" t="s">
        <v>283</v>
      </c>
      <c r="C633" s="155">
        <f>C621</f>
        <v>20</v>
      </c>
      <c r="D633" s="289" t="s">
        <v>174</v>
      </c>
      <c r="E633" s="290"/>
    </row>
    <row r="634" spans="1:5" x14ac:dyDescent="0.25">
      <c r="A634" s="290"/>
      <c r="B634" s="291" t="s">
        <v>284</v>
      </c>
      <c r="C634" s="155">
        <f>C622</f>
        <v>6</v>
      </c>
      <c r="D634" s="289" t="s">
        <v>174</v>
      </c>
      <c r="E634" s="285"/>
    </row>
    <row r="635" spans="1:5" x14ac:dyDescent="0.25">
      <c r="A635" s="290"/>
      <c r="B635" s="291" t="s">
        <v>286</v>
      </c>
      <c r="C635" s="292">
        <f>ROUND(C633*C634,2)</f>
        <v>120</v>
      </c>
      <c r="D635" s="293" t="s">
        <v>15</v>
      </c>
      <c r="E635" s="285"/>
    </row>
    <row r="637" spans="1:5" x14ac:dyDescent="0.25">
      <c r="A637" s="281" t="s">
        <v>170</v>
      </c>
      <c r="B637" s="282" t="s">
        <v>171</v>
      </c>
      <c r="C637" s="283"/>
      <c r="D637" s="284"/>
      <c r="E637" s="285"/>
    </row>
    <row r="638" spans="1:5" x14ac:dyDescent="0.3">
      <c r="A638" s="305" t="s">
        <v>172</v>
      </c>
      <c r="B638" s="436" t="s">
        <v>173</v>
      </c>
      <c r="C638" s="436"/>
      <c r="D638" s="436"/>
      <c r="E638" s="436"/>
    </row>
    <row r="639" spans="1:5" x14ac:dyDescent="0.25">
      <c r="A639" s="290"/>
      <c r="B639" s="291" t="s">
        <v>283</v>
      </c>
      <c r="C639" s="155">
        <f>C621</f>
        <v>20</v>
      </c>
      <c r="D639" s="289" t="s">
        <v>174</v>
      </c>
      <c r="E639" s="290"/>
    </row>
    <row r="640" spans="1:5" x14ac:dyDescent="0.25">
      <c r="A640" s="290"/>
      <c r="B640" s="291" t="s">
        <v>243</v>
      </c>
      <c r="C640" s="162">
        <v>2</v>
      </c>
      <c r="D640" s="289" t="s">
        <v>176</v>
      </c>
      <c r="E640" s="435"/>
    </row>
    <row r="641" spans="1:5" x14ac:dyDescent="0.25">
      <c r="A641" s="290"/>
      <c r="B641" s="291" t="s">
        <v>305</v>
      </c>
      <c r="C641" s="162">
        <f>C634*2</f>
        <v>12</v>
      </c>
      <c r="D641" s="289" t="s">
        <v>174</v>
      </c>
      <c r="E641" s="435"/>
    </row>
    <row r="642" spans="1:5" x14ac:dyDescent="0.25">
      <c r="A642" s="290"/>
      <c r="B642" s="291" t="s">
        <v>291</v>
      </c>
      <c r="C642" s="292">
        <f>ROUND((C639*C640+C641),2)</f>
        <v>52</v>
      </c>
      <c r="D642" s="293" t="s">
        <v>174</v>
      </c>
      <c r="E642" s="285"/>
    </row>
    <row r="644" spans="1:5" x14ac:dyDescent="0.3">
      <c r="A644" s="305" t="s">
        <v>175</v>
      </c>
      <c r="B644" s="436" t="s">
        <v>292</v>
      </c>
      <c r="C644" s="436"/>
      <c r="D644" s="436"/>
      <c r="E644" s="436"/>
    </row>
    <row r="645" spans="1:5" x14ac:dyDescent="0.25">
      <c r="A645" s="290"/>
      <c r="B645" s="291" t="s">
        <v>283</v>
      </c>
      <c r="C645" s="155">
        <f>C621</f>
        <v>20</v>
      </c>
      <c r="D645" s="289" t="s">
        <v>174</v>
      </c>
      <c r="E645" s="290"/>
    </row>
    <row r="646" spans="1:5" x14ac:dyDescent="0.25">
      <c r="A646" s="290"/>
      <c r="B646" s="291" t="s">
        <v>243</v>
      </c>
      <c r="C646" s="155">
        <v>2</v>
      </c>
      <c r="D646" s="289" t="s">
        <v>176</v>
      </c>
      <c r="E646" s="435"/>
    </row>
    <row r="647" spans="1:5" x14ac:dyDescent="0.25">
      <c r="A647" s="290"/>
      <c r="B647" s="291" t="s">
        <v>291</v>
      </c>
      <c r="C647" s="292">
        <f>ROUND(C645*C646,2)</f>
        <v>40</v>
      </c>
      <c r="D647" s="293" t="s">
        <v>174</v>
      </c>
      <c r="E647" s="435"/>
    </row>
    <row r="649" spans="1:5" x14ac:dyDescent="0.25">
      <c r="A649" s="281" t="s">
        <v>217</v>
      </c>
      <c r="B649" s="282" t="s">
        <v>215</v>
      </c>
      <c r="C649" s="283"/>
      <c r="D649" s="284"/>
      <c r="E649" s="285"/>
    </row>
    <row r="650" spans="1:5" x14ac:dyDescent="0.3">
      <c r="A650" s="305" t="s">
        <v>218</v>
      </c>
      <c r="B650" s="436" t="s">
        <v>278</v>
      </c>
      <c r="C650" s="436"/>
      <c r="D650" s="436"/>
      <c r="E650" s="436"/>
    </row>
    <row r="651" spans="1:5" x14ac:dyDescent="0.25">
      <c r="A651" s="290"/>
      <c r="B651" s="291" t="s">
        <v>295</v>
      </c>
      <c r="C651" s="155">
        <f>C635</f>
        <v>120</v>
      </c>
      <c r="D651" s="289" t="s">
        <v>15</v>
      </c>
      <c r="E651" s="290"/>
    </row>
    <row r="652" spans="1:5" x14ac:dyDescent="0.25">
      <c r="A652" s="290"/>
      <c r="B652" s="291" t="s">
        <v>296</v>
      </c>
      <c r="C652" s="161">
        <v>4.2000000000000003E-2</v>
      </c>
      <c r="D652" s="289" t="s">
        <v>244</v>
      </c>
      <c r="E652" s="285"/>
    </row>
    <row r="653" spans="1:5" x14ac:dyDescent="0.25">
      <c r="A653" s="290"/>
      <c r="B653" s="291" t="s">
        <v>297</v>
      </c>
      <c r="C653" s="155">
        <v>2.52</v>
      </c>
      <c r="D653" s="289" t="s">
        <v>298</v>
      </c>
      <c r="E653" s="285"/>
    </row>
    <row r="654" spans="1:5" x14ac:dyDescent="0.25">
      <c r="A654" s="290"/>
      <c r="B654" s="291" t="s">
        <v>299</v>
      </c>
      <c r="C654" s="155">
        <v>1.5</v>
      </c>
      <c r="D654" s="289" t="s">
        <v>245</v>
      </c>
      <c r="E654" s="285"/>
    </row>
    <row r="655" spans="1:5" x14ac:dyDescent="0.25">
      <c r="A655" s="290"/>
      <c r="B655" s="291" t="s">
        <v>300</v>
      </c>
      <c r="C655" s="155">
        <v>30</v>
      </c>
      <c r="D655" s="289" t="s">
        <v>246</v>
      </c>
      <c r="E655" s="285"/>
    </row>
    <row r="656" spans="1:5" x14ac:dyDescent="0.25">
      <c r="A656" s="290"/>
      <c r="B656" s="282" t="s">
        <v>307</v>
      </c>
      <c r="C656" s="292">
        <f>ROUND(C651*C652*C653*C654*C655,2)</f>
        <v>571.54</v>
      </c>
      <c r="D656" s="293" t="s">
        <v>308</v>
      </c>
      <c r="E656" s="285"/>
    </row>
    <row r="658" spans="1:5" x14ac:dyDescent="0.3">
      <c r="A658" s="305" t="s">
        <v>277</v>
      </c>
      <c r="B658" s="436" t="s">
        <v>279</v>
      </c>
      <c r="C658" s="436"/>
      <c r="D658" s="436"/>
      <c r="E658" s="436"/>
    </row>
    <row r="659" spans="1:5" x14ac:dyDescent="0.25">
      <c r="A659" s="290"/>
      <c r="B659" s="291" t="s">
        <v>295</v>
      </c>
      <c r="C659" s="155">
        <f>C651</f>
        <v>120</v>
      </c>
      <c r="D659" s="289" t="s">
        <v>15</v>
      </c>
      <c r="E659" s="307"/>
    </row>
    <row r="660" spans="1:5" x14ac:dyDescent="0.25">
      <c r="A660" s="290"/>
      <c r="B660" s="291" t="s">
        <v>296</v>
      </c>
      <c r="C660" s="161">
        <v>4.2000000000000003E-2</v>
      </c>
      <c r="D660" s="289" t="s">
        <v>244</v>
      </c>
      <c r="E660" s="308"/>
    </row>
    <row r="661" spans="1:5" x14ac:dyDescent="0.25">
      <c r="A661" s="290"/>
      <c r="B661" s="291" t="s">
        <v>297</v>
      </c>
      <c r="C661" s="155">
        <v>2.52</v>
      </c>
      <c r="D661" s="289" t="s">
        <v>298</v>
      </c>
      <c r="E661" s="308"/>
    </row>
    <row r="662" spans="1:5" x14ac:dyDescent="0.25">
      <c r="A662" s="290"/>
      <c r="B662" s="291" t="s">
        <v>299</v>
      </c>
      <c r="C662" s="155">
        <v>1.5</v>
      </c>
      <c r="D662" s="289" t="s">
        <v>245</v>
      </c>
      <c r="E662" s="308"/>
    </row>
    <row r="663" spans="1:5" x14ac:dyDescent="0.25">
      <c r="A663" s="290"/>
      <c r="B663" s="291" t="s">
        <v>300</v>
      </c>
      <c r="C663" s="155">
        <f>C623-C655</f>
        <v>19.700000000000003</v>
      </c>
      <c r="D663" s="289" t="s">
        <v>246</v>
      </c>
      <c r="E663" s="308"/>
    </row>
    <row r="664" spans="1:5" x14ac:dyDescent="0.25">
      <c r="A664" s="290"/>
      <c r="B664" s="282" t="s">
        <v>307</v>
      </c>
      <c r="C664" s="292">
        <f>ROUND(C659*C660*C661*C662*C663,2)</f>
        <v>375.31</v>
      </c>
      <c r="D664" s="293" t="s">
        <v>308</v>
      </c>
      <c r="E664" s="308"/>
    </row>
    <row r="665" spans="1:5" x14ac:dyDescent="0.25">
      <c r="B665" s="291"/>
      <c r="C665" s="156"/>
      <c r="D665" s="309"/>
    </row>
    <row r="666" spans="1:5" x14ac:dyDescent="0.25">
      <c r="A666" s="281" t="s">
        <v>254</v>
      </c>
      <c r="B666" s="282" t="s">
        <v>293</v>
      </c>
      <c r="C666" s="283"/>
      <c r="D666" s="284"/>
      <c r="E666" s="285"/>
    </row>
    <row r="667" spans="1:5" x14ac:dyDescent="0.3">
      <c r="A667" s="305" t="s">
        <v>256</v>
      </c>
      <c r="B667" s="436" t="s">
        <v>259</v>
      </c>
      <c r="C667" s="436"/>
      <c r="D667" s="436"/>
      <c r="E667" s="436"/>
    </row>
    <row r="668" spans="1:5" x14ac:dyDescent="0.25">
      <c r="A668" s="290"/>
      <c r="B668" s="291" t="s">
        <v>294</v>
      </c>
      <c r="C668" s="155">
        <v>0.23</v>
      </c>
      <c r="D668" s="289" t="s">
        <v>15</v>
      </c>
      <c r="E668" s="290"/>
    </row>
    <row r="669" spans="1:5" x14ac:dyDescent="0.25">
      <c r="A669" s="290"/>
      <c r="B669" s="291" t="s">
        <v>306</v>
      </c>
      <c r="C669" s="292">
        <f>C668</f>
        <v>0.23</v>
      </c>
      <c r="D669" s="293" t="s">
        <v>15</v>
      </c>
      <c r="E669" s="285"/>
    </row>
    <row r="671" spans="1:5" x14ac:dyDescent="0.3">
      <c r="A671" s="305" t="s">
        <v>301</v>
      </c>
      <c r="B671" s="436" t="s">
        <v>276</v>
      </c>
      <c r="C671" s="436"/>
      <c r="D671" s="436"/>
      <c r="E671" s="436"/>
    </row>
    <row r="672" spans="1:5" x14ac:dyDescent="0.25">
      <c r="A672" s="290"/>
      <c r="B672" s="291" t="s">
        <v>294</v>
      </c>
      <c r="C672" s="155">
        <v>2</v>
      </c>
      <c r="D672" s="289" t="s">
        <v>176</v>
      </c>
      <c r="E672" s="290"/>
    </row>
    <row r="673" spans="1:5" x14ac:dyDescent="0.25">
      <c r="A673" s="290"/>
      <c r="B673" s="291" t="s">
        <v>306</v>
      </c>
      <c r="C673" s="292">
        <f>C672</f>
        <v>2</v>
      </c>
      <c r="D673" s="293" t="s">
        <v>176</v>
      </c>
      <c r="E673" s="285"/>
    </row>
    <row r="675" spans="1:5" x14ac:dyDescent="0.3">
      <c r="A675" s="294"/>
      <c r="B675" s="295" t="str">
        <f>'GERAL '!A22</f>
        <v xml:space="preserve">RUA PACAJÚ </v>
      </c>
      <c r="C675" s="437"/>
      <c r="D675" s="438"/>
      <c r="E675" s="438"/>
    </row>
    <row r="676" spans="1:5" x14ac:dyDescent="0.25">
      <c r="A676" s="296"/>
      <c r="B676" s="297" t="s">
        <v>289</v>
      </c>
      <c r="C676" s="158">
        <v>231</v>
      </c>
      <c r="D676" s="284" t="s">
        <v>174</v>
      </c>
      <c r="E676" s="285"/>
    </row>
    <row r="677" spans="1:5" x14ac:dyDescent="0.25">
      <c r="A677" s="296"/>
      <c r="B677" s="297" t="s">
        <v>290</v>
      </c>
      <c r="C677" s="158">
        <v>7</v>
      </c>
      <c r="D677" s="284" t="s">
        <v>174</v>
      </c>
      <c r="E677" s="285"/>
    </row>
    <row r="678" spans="1:5" x14ac:dyDescent="0.25">
      <c r="A678" s="296"/>
      <c r="B678" s="297" t="s">
        <v>303</v>
      </c>
      <c r="C678" s="173">
        <f>C19</f>
        <v>49.7</v>
      </c>
      <c r="D678" s="284" t="s">
        <v>304</v>
      </c>
      <c r="E678" s="285"/>
    </row>
    <row r="679" spans="1:5" x14ac:dyDescent="0.25">
      <c r="A679" s="281"/>
      <c r="B679" s="299"/>
      <c r="C679" s="283"/>
      <c r="D679" s="300"/>
      <c r="E679" s="285"/>
    </row>
    <row r="680" spans="1:5" x14ac:dyDescent="0.25">
      <c r="A680" s="281" t="s">
        <v>32</v>
      </c>
      <c r="B680" s="282" t="s">
        <v>165</v>
      </c>
      <c r="C680" s="283"/>
      <c r="D680" s="284"/>
      <c r="E680" s="285"/>
    </row>
    <row r="681" spans="1:5" x14ac:dyDescent="0.25">
      <c r="A681" s="286" t="s">
        <v>34</v>
      </c>
      <c r="B681" s="287" t="s">
        <v>166</v>
      </c>
      <c r="C681" s="288"/>
      <c r="D681" s="289"/>
      <c r="E681" s="290"/>
    </row>
    <row r="682" spans="1:5" x14ac:dyDescent="0.25">
      <c r="A682" s="290"/>
      <c r="B682" s="291" t="s">
        <v>283</v>
      </c>
      <c r="C682" s="155">
        <f>C676</f>
        <v>231</v>
      </c>
      <c r="D682" s="289" t="s">
        <v>174</v>
      </c>
      <c r="E682" s="290"/>
    </row>
    <row r="683" spans="1:5" x14ac:dyDescent="0.25">
      <c r="A683" s="290"/>
      <c r="B683" s="291" t="s">
        <v>284</v>
      </c>
      <c r="C683" s="155">
        <f>C677</f>
        <v>7</v>
      </c>
      <c r="D683" s="289" t="s">
        <v>174</v>
      </c>
      <c r="E683" s="285"/>
    </row>
    <row r="684" spans="1:5" x14ac:dyDescent="0.25">
      <c r="A684" s="290"/>
      <c r="B684" s="291" t="s">
        <v>286</v>
      </c>
      <c r="C684" s="292">
        <f>ROUND(C682*C683,2)</f>
        <v>1617</v>
      </c>
      <c r="D684" s="293" t="s">
        <v>15</v>
      </c>
      <c r="E684" s="285"/>
    </row>
    <row r="685" spans="1:5" x14ac:dyDescent="0.25">
      <c r="A685" s="301"/>
      <c r="B685" s="302"/>
      <c r="C685" s="157"/>
      <c r="D685" s="303"/>
      <c r="E685" s="304"/>
    </row>
    <row r="686" spans="1:5" x14ac:dyDescent="0.25">
      <c r="A686" s="281" t="s">
        <v>167</v>
      </c>
      <c r="B686" s="282" t="s">
        <v>168</v>
      </c>
      <c r="C686" s="283"/>
      <c r="D686" s="284"/>
      <c r="E686" s="285"/>
    </row>
    <row r="687" spans="1:5" x14ac:dyDescent="0.3">
      <c r="A687" s="305" t="s">
        <v>169</v>
      </c>
      <c r="B687" s="436" t="s">
        <v>253</v>
      </c>
      <c r="C687" s="436"/>
      <c r="D687" s="436"/>
      <c r="E687" s="436"/>
    </row>
    <row r="688" spans="1:5" x14ac:dyDescent="0.25">
      <c r="A688" s="290"/>
      <c r="B688" s="291" t="s">
        <v>283</v>
      </c>
      <c r="C688" s="155">
        <f>C676</f>
        <v>231</v>
      </c>
      <c r="D688" s="289" t="s">
        <v>174</v>
      </c>
      <c r="E688" s="290"/>
    </row>
    <row r="689" spans="1:5" x14ac:dyDescent="0.25">
      <c r="A689" s="290"/>
      <c r="B689" s="291" t="s">
        <v>284</v>
      </c>
      <c r="C689" s="155">
        <f>C677</f>
        <v>7</v>
      </c>
      <c r="D689" s="289" t="s">
        <v>174</v>
      </c>
      <c r="E689" s="285"/>
    </row>
    <row r="690" spans="1:5" x14ac:dyDescent="0.25">
      <c r="A690" s="290"/>
      <c r="B690" s="291" t="s">
        <v>286</v>
      </c>
      <c r="C690" s="292">
        <f>ROUND(C688*C689,2)</f>
        <v>1617</v>
      </c>
      <c r="D690" s="293" t="s">
        <v>15</v>
      </c>
      <c r="E690" s="285"/>
    </row>
    <row r="692" spans="1:5" x14ac:dyDescent="0.25">
      <c r="A692" s="281" t="s">
        <v>170</v>
      </c>
      <c r="B692" s="282" t="s">
        <v>171</v>
      </c>
      <c r="C692" s="283"/>
      <c r="D692" s="284"/>
      <c r="E692" s="285"/>
    </row>
    <row r="693" spans="1:5" x14ac:dyDescent="0.3">
      <c r="A693" s="305" t="s">
        <v>172</v>
      </c>
      <c r="B693" s="436" t="s">
        <v>173</v>
      </c>
      <c r="C693" s="436"/>
      <c r="D693" s="436"/>
      <c r="E693" s="436"/>
    </row>
    <row r="694" spans="1:5" x14ac:dyDescent="0.25">
      <c r="A694" s="290"/>
      <c r="B694" s="291" t="s">
        <v>283</v>
      </c>
      <c r="C694" s="155">
        <f>C676</f>
        <v>231</v>
      </c>
      <c r="D694" s="289" t="s">
        <v>174</v>
      </c>
      <c r="E694" s="290"/>
    </row>
    <row r="695" spans="1:5" x14ac:dyDescent="0.25">
      <c r="A695" s="290"/>
      <c r="B695" s="291" t="s">
        <v>243</v>
      </c>
      <c r="C695" s="162">
        <v>2</v>
      </c>
      <c r="D695" s="289" t="s">
        <v>176</v>
      </c>
      <c r="E695" s="435"/>
    </row>
    <row r="696" spans="1:5" x14ac:dyDescent="0.25">
      <c r="A696" s="290"/>
      <c r="B696" s="291" t="s">
        <v>305</v>
      </c>
      <c r="C696" s="162">
        <f>C689*2</f>
        <v>14</v>
      </c>
      <c r="D696" s="289" t="s">
        <v>174</v>
      </c>
      <c r="E696" s="435"/>
    </row>
    <row r="697" spans="1:5" x14ac:dyDescent="0.25">
      <c r="A697" s="290"/>
      <c r="B697" s="291" t="s">
        <v>291</v>
      </c>
      <c r="C697" s="292">
        <f>ROUND((C694*C695+C696),2)</f>
        <v>476</v>
      </c>
      <c r="D697" s="293" t="s">
        <v>174</v>
      </c>
      <c r="E697" s="285"/>
    </row>
    <row r="699" spans="1:5" x14ac:dyDescent="0.3">
      <c r="A699" s="305" t="s">
        <v>175</v>
      </c>
      <c r="B699" s="436" t="s">
        <v>292</v>
      </c>
      <c r="C699" s="436"/>
      <c r="D699" s="436"/>
      <c r="E699" s="436"/>
    </row>
    <row r="700" spans="1:5" x14ac:dyDescent="0.25">
      <c r="A700" s="290"/>
      <c r="B700" s="291" t="s">
        <v>283</v>
      </c>
      <c r="C700" s="155">
        <f>C676</f>
        <v>231</v>
      </c>
      <c r="D700" s="289" t="s">
        <v>174</v>
      </c>
      <c r="E700" s="290"/>
    </row>
    <row r="701" spans="1:5" x14ac:dyDescent="0.25">
      <c r="A701" s="290"/>
      <c r="B701" s="291" t="s">
        <v>243</v>
      </c>
      <c r="C701" s="155">
        <v>2</v>
      </c>
      <c r="D701" s="289" t="s">
        <v>176</v>
      </c>
      <c r="E701" s="435"/>
    </row>
    <row r="702" spans="1:5" x14ac:dyDescent="0.25">
      <c r="A702" s="290"/>
      <c r="B702" s="291" t="s">
        <v>291</v>
      </c>
      <c r="C702" s="292">
        <f>ROUND(C700*C701,2)</f>
        <v>462</v>
      </c>
      <c r="D702" s="293" t="s">
        <v>174</v>
      </c>
      <c r="E702" s="435"/>
    </row>
    <row r="704" spans="1:5" x14ac:dyDescent="0.25">
      <c r="A704" s="281" t="s">
        <v>217</v>
      </c>
      <c r="B704" s="282" t="s">
        <v>215</v>
      </c>
      <c r="C704" s="283"/>
      <c r="D704" s="284"/>
      <c r="E704" s="285"/>
    </row>
    <row r="705" spans="1:5" x14ac:dyDescent="0.3">
      <c r="A705" s="305" t="s">
        <v>218</v>
      </c>
      <c r="B705" s="436" t="s">
        <v>278</v>
      </c>
      <c r="C705" s="436"/>
      <c r="D705" s="436"/>
      <c r="E705" s="436"/>
    </row>
    <row r="706" spans="1:5" x14ac:dyDescent="0.25">
      <c r="A706" s="290"/>
      <c r="B706" s="291" t="s">
        <v>295</v>
      </c>
      <c r="C706" s="155">
        <f>C690</f>
        <v>1617</v>
      </c>
      <c r="D706" s="289" t="s">
        <v>15</v>
      </c>
      <c r="E706" s="290"/>
    </row>
    <row r="707" spans="1:5" x14ac:dyDescent="0.25">
      <c r="A707" s="290"/>
      <c r="B707" s="291" t="s">
        <v>296</v>
      </c>
      <c r="C707" s="161">
        <v>4.2000000000000003E-2</v>
      </c>
      <c r="D707" s="289" t="s">
        <v>244</v>
      </c>
      <c r="E707" s="285"/>
    </row>
    <row r="708" spans="1:5" x14ac:dyDescent="0.25">
      <c r="A708" s="290"/>
      <c r="B708" s="291" t="s">
        <v>297</v>
      </c>
      <c r="C708" s="155">
        <v>2.52</v>
      </c>
      <c r="D708" s="289" t="s">
        <v>298</v>
      </c>
      <c r="E708" s="285"/>
    </row>
    <row r="709" spans="1:5" x14ac:dyDescent="0.25">
      <c r="A709" s="290"/>
      <c r="B709" s="291" t="s">
        <v>299</v>
      </c>
      <c r="C709" s="155">
        <v>1.5</v>
      </c>
      <c r="D709" s="289" t="s">
        <v>245</v>
      </c>
      <c r="E709" s="285"/>
    </row>
    <row r="710" spans="1:5" x14ac:dyDescent="0.25">
      <c r="A710" s="290"/>
      <c r="B710" s="291" t="s">
        <v>300</v>
      </c>
      <c r="C710" s="155">
        <v>30</v>
      </c>
      <c r="D710" s="289" t="s">
        <v>246</v>
      </c>
      <c r="E710" s="285"/>
    </row>
    <row r="711" spans="1:5" x14ac:dyDescent="0.25">
      <c r="A711" s="290"/>
      <c r="B711" s="282" t="s">
        <v>307</v>
      </c>
      <c r="C711" s="292">
        <f>ROUND(C706*C707*C708*C709*C710,2)</f>
        <v>7701.45</v>
      </c>
      <c r="D711" s="293" t="s">
        <v>308</v>
      </c>
      <c r="E711" s="285"/>
    </row>
    <row r="713" spans="1:5" x14ac:dyDescent="0.3">
      <c r="A713" s="305" t="s">
        <v>277</v>
      </c>
      <c r="B713" s="436" t="s">
        <v>279</v>
      </c>
      <c r="C713" s="436"/>
      <c r="D713" s="436"/>
      <c r="E713" s="436"/>
    </row>
    <row r="714" spans="1:5" x14ac:dyDescent="0.25">
      <c r="A714" s="290"/>
      <c r="B714" s="291" t="s">
        <v>295</v>
      </c>
      <c r="C714" s="155">
        <f>C706</f>
        <v>1617</v>
      </c>
      <c r="D714" s="289" t="s">
        <v>15</v>
      </c>
      <c r="E714" s="307"/>
    </row>
    <row r="715" spans="1:5" x14ac:dyDescent="0.25">
      <c r="A715" s="290"/>
      <c r="B715" s="291" t="s">
        <v>296</v>
      </c>
      <c r="C715" s="161">
        <v>4.2000000000000003E-2</v>
      </c>
      <c r="D715" s="289" t="s">
        <v>244</v>
      </c>
      <c r="E715" s="308"/>
    </row>
    <row r="716" spans="1:5" x14ac:dyDescent="0.25">
      <c r="A716" s="290"/>
      <c r="B716" s="291" t="s">
        <v>297</v>
      </c>
      <c r="C716" s="155">
        <v>2.52</v>
      </c>
      <c r="D716" s="289" t="s">
        <v>298</v>
      </c>
      <c r="E716" s="308"/>
    </row>
    <row r="717" spans="1:5" x14ac:dyDescent="0.25">
      <c r="A717" s="290"/>
      <c r="B717" s="291" t="s">
        <v>299</v>
      </c>
      <c r="C717" s="155">
        <v>1.5</v>
      </c>
      <c r="D717" s="289" t="s">
        <v>245</v>
      </c>
      <c r="E717" s="308"/>
    </row>
    <row r="718" spans="1:5" x14ac:dyDescent="0.25">
      <c r="A718" s="290"/>
      <c r="B718" s="291" t="s">
        <v>300</v>
      </c>
      <c r="C718" s="155">
        <f>C678-C710</f>
        <v>19.700000000000003</v>
      </c>
      <c r="D718" s="289" t="s">
        <v>246</v>
      </c>
      <c r="E718" s="308"/>
    </row>
    <row r="719" spans="1:5" x14ac:dyDescent="0.25">
      <c r="A719" s="290"/>
      <c r="B719" s="282" t="s">
        <v>307</v>
      </c>
      <c r="C719" s="292">
        <f>ROUND(C714*C715*C716*C717*C718,2)</f>
        <v>5057.28</v>
      </c>
      <c r="D719" s="293" t="s">
        <v>308</v>
      </c>
      <c r="E719" s="308"/>
    </row>
    <row r="720" spans="1:5" x14ac:dyDescent="0.25">
      <c r="B720" s="291"/>
      <c r="C720" s="156"/>
      <c r="D720" s="309"/>
    </row>
    <row r="721" spans="1:5" x14ac:dyDescent="0.25">
      <c r="A721" s="281" t="s">
        <v>254</v>
      </c>
      <c r="B721" s="282" t="s">
        <v>293</v>
      </c>
      <c r="C721" s="283"/>
      <c r="D721" s="284"/>
      <c r="E721" s="285"/>
    </row>
    <row r="722" spans="1:5" x14ac:dyDescent="0.3">
      <c r="A722" s="305" t="s">
        <v>256</v>
      </c>
      <c r="B722" s="436" t="s">
        <v>259</v>
      </c>
      <c r="C722" s="436"/>
      <c r="D722" s="436"/>
      <c r="E722" s="436"/>
    </row>
    <row r="723" spans="1:5" x14ac:dyDescent="0.25">
      <c r="A723" s="290"/>
      <c r="B723" s="291" t="s">
        <v>294</v>
      </c>
      <c r="C723" s="155">
        <v>0.23</v>
      </c>
      <c r="D723" s="289" t="s">
        <v>15</v>
      </c>
      <c r="E723" s="290"/>
    </row>
    <row r="724" spans="1:5" x14ac:dyDescent="0.25">
      <c r="A724" s="290"/>
      <c r="B724" s="291" t="s">
        <v>306</v>
      </c>
      <c r="C724" s="292">
        <f>C723</f>
        <v>0.23</v>
      </c>
      <c r="D724" s="293" t="s">
        <v>15</v>
      </c>
      <c r="E724" s="285"/>
    </row>
    <row r="726" spans="1:5" x14ac:dyDescent="0.3">
      <c r="A726" s="305" t="s">
        <v>301</v>
      </c>
      <c r="B726" s="436" t="s">
        <v>276</v>
      </c>
      <c r="C726" s="436"/>
      <c r="D726" s="436"/>
      <c r="E726" s="436"/>
    </row>
    <row r="727" spans="1:5" x14ac:dyDescent="0.25">
      <c r="A727" s="290"/>
      <c r="B727" s="291" t="s">
        <v>294</v>
      </c>
      <c r="C727" s="155">
        <v>2</v>
      </c>
      <c r="D727" s="289" t="s">
        <v>176</v>
      </c>
      <c r="E727" s="290"/>
    </row>
    <row r="728" spans="1:5" x14ac:dyDescent="0.25">
      <c r="A728" s="290"/>
      <c r="B728" s="291" t="s">
        <v>306</v>
      </c>
      <c r="C728" s="292">
        <f>C727</f>
        <v>2</v>
      </c>
      <c r="D728" s="293" t="s">
        <v>176</v>
      </c>
      <c r="E728" s="285"/>
    </row>
    <row r="730" spans="1:5" x14ac:dyDescent="0.3">
      <c r="A730" s="294"/>
      <c r="B730" s="295" t="str">
        <f>'GERAL '!A23</f>
        <v>RUA 07 DE ABRIL</v>
      </c>
      <c r="C730" s="437"/>
      <c r="D730" s="438"/>
      <c r="E730" s="438"/>
    </row>
    <row r="731" spans="1:5" x14ac:dyDescent="0.25">
      <c r="A731" s="296"/>
      <c r="B731" s="297" t="s">
        <v>289</v>
      </c>
      <c r="C731" s="158">
        <v>126</v>
      </c>
      <c r="D731" s="284" t="s">
        <v>174</v>
      </c>
      <c r="E731" s="285"/>
    </row>
    <row r="732" spans="1:5" x14ac:dyDescent="0.25">
      <c r="A732" s="296"/>
      <c r="B732" s="297" t="s">
        <v>290</v>
      </c>
      <c r="C732" s="158">
        <v>6</v>
      </c>
      <c r="D732" s="284" t="s">
        <v>174</v>
      </c>
      <c r="E732" s="285"/>
    </row>
    <row r="733" spans="1:5" x14ac:dyDescent="0.25">
      <c r="A733" s="296"/>
      <c r="B733" s="297" t="s">
        <v>303</v>
      </c>
      <c r="C733" s="173">
        <f>C19</f>
        <v>49.7</v>
      </c>
      <c r="D733" s="284" t="s">
        <v>304</v>
      </c>
      <c r="E733" s="285"/>
    </row>
    <row r="734" spans="1:5" x14ac:dyDescent="0.25">
      <c r="A734" s="281"/>
      <c r="B734" s="299"/>
      <c r="C734" s="283"/>
      <c r="D734" s="300"/>
      <c r="E734" s="285"/>
    </row>
    <row r="735" spans="1:5" x14ac:dyDescent="0.25">
      <c r="A735" s="281" t="s">
        <v>32</v>
      </c>
      <c r="B735" s="282" t="s">
        <v>165</v>
      </c>
      <c r="C735" s="283"/>
      <c r="D735" s="284"/>
      <c r="E735" s="285"/>
    </row>
    <row r="736" spans="1:5" x14ac:dyDescent="0.25">
      <c r="A736" s="286" t="s">
        <v>34</v>
      </c>
      <c r="B736" s="287" t="s">
        <v>166</v>
      </c>
      <c r="C736" s="288"/>
      <c r="D736" s="289"/>
      <c r="E736" s="290"/>
    </row>
    <row r="737" spans="1:5" x14ac:dyDescent="0.25">
      <c r="A737" s="290"/>
      <c r="B737" s="291" t="s">
        <v>283</v>
      </c>
      <c r="C737" s="155">
        <f>C731</f>
        <v>126</v>
      </c>
      <c r="D737" s="289" t="s">
        <v>174</v>
      </c>
      <c r="E737" s="290"/>
    </row>
    <row r="738" spans="1:5" x14ac:dyDescent="0.25">
      <c r="A738" s="290"/>
      <c r="B738" s="291" t="s">
        <v>284</v>
      </c>
      <c r="C738" s="155">
        <f>C732</f>
        <v>6</v>
      </c>
      <c r="D738" s="289" t="s">
        <v>174</v>
      </c>
      <c r="E738" s="285"/>
    </row>
    <row r="739" spans="1:5" x14ac:dyDescent="0.25">
      <c r="A739" s="290"/>
      <c r="B739" s="291" t="s">
        <v>286</v>
      </c>
      <c r="C739" s="292">
        <f>ROUND(C737*C738,2)</f>
        <v>756</v>
      </c>
      <c r="D739" s="293" t="s">
        <v>15</v>
      </c>
      <c r="E739" s="285"/>
    </row>
    <row r="740" spans="1:5" x14ac:dyDescent="0.25">
      <c r="A740" s="301"/>
      <c r="B740" s="302"/>
      <c r="C740" s="157"/>
      <c r="D740" s="303"/>
      <c r="E740" s="304"/>
    </row>
    <row r="741" spans="1:5" x14ac:dyDescent="0.25">
      <c r="A741" s="281" t="s">
        <v>167</v>
      </c>
      <c r="B741" s="282" t="s">
        <v>168</v>
      </c>
      <c r="C741" s="283"/>
      <c r="D741" s="284"/>
      <c r="E741" s="285"/>
    </row>
    <row r="742" spans="1:5" x14ac:dyDescent="0.3">
      <c r="A742" s="305" t="s">
        <v>169</v>
      </c>
      <c r="B742" s="436" t="s">
        <v>253</v>
      </c>
      <c r="C742" s="436"/>
      <c r="D742" s="436"/>
      <c r="E742" s="436"/>
    </row>
    <row r="743" spans="1:5" x14ac:dyDescent="0.25">
      <c r="A743" s="290"/>
      <c r="B743" s="291" t="s">
        <v>283</v>
      </c>
      <c r="C743" s="155">
        <f>C731</f>
        <v>126</v>
      </c>
      <c r="D743" s="289" t="s">
        <v>174</v>
      </c>
      <c r="E743" s="290"/>
    </row>
    <row r="744" spans="1:5" x14ac:dyDescent="0.25">
      <c r="A744" s="290"/>
      <c r="B744" s="291" t="s">
        <v>284</v>
      </c>
      <c r="C744" s="155">
        <f>C732</f>
        <v>6</v>
      </c>
      <c r="D744" s="289" t="s">
        <v>174</v>
      </c>
      <c r="E744" s="285"/>
    </row>
    <row r="745" spans="1:5" x14ac:dyDescent="0.25">
      <c r="A745" s="290"/>
      <c r="B745" s="291" t="s">
        <v>286</v>
      </c>
      <c r="C745" s="292">
        <f>ROUND(C743*C744,2)</f>
        <v>756</v>
      </c>
      <c r="D745" s="293" t="s">
        <v>15</v>
      </c>
      <c r="E745" s="285"/>
    </row>
    <row r="747" spans="1:5" x14ac:dyDescent="0.25">
      <c r="A747" s="281" t="s">
        <v>170</v>
      </c>
      <c r="B747" s="282" t="s">
        <v>171</v>
      </c>
      <c r="C747" s="283"/>
      <c r="D747" s="284"/>
      <c r="E747" s="285"/>
    </row>
    <row r="748" spans="1:5" x14ac:dyDescent="0.3">
      <c r="A748" s="305" t="s">
        <v>172</v>
      </c>
      <c r="B748" s="436" t="s">
        <v>173</v>
      </c>
      <c r="C748" s="436"/>
      <c r="D748" s="436"/>
      <c r="E748" s="436"/>
    </row>
    <row r="749" spans="1:5" x14ac:dyDescent="0.25">
      <c r="A749" s="290"/>
      <c r="B749" s="291" t="s">
        <v>283</v>
      </c>
      <c r="C749" s="155">
        <f>C731</f>
        <v>126</v>
      </c>
      <c r="D749" s="289" t="s">
        <v>174</v>
      </c>
      <c r="E749" s="290"/>
    </row>
    <row r="750" spans="1:5" x14ac:dyDescent="0.25">
      <c r="A750" s="290"/>
      <c r="B750" s="291" t="s">
        <v>243</v>
      </c>
      <c r="C750" s="162">
        <v>2</v>
      </c>
      <c r="D750" s="289" t="s">
        <v>176</v>
      </c>
      <c r="E750" s="435"/>
    </row>
    <row r="751" spans="1:5" x14ac:dyDescent="0.25">
      <c r="A751" s="290"/>
      <c r="B751" s="291" t="s">
        <v>305</v>
      </c>
      <c r="C751" s="162">
        <f>C744*2</f>
        <v>12</v>
      </c>
      <c r="D751" s="289" t="s">
        <v>174</v>
      </c>
      <c r="E751" s="435"/>
    </row>
    <row r="752" spans="1:5" x14ac:dyDescent="0.25">
      <c r="A752" s="290"/>
      <c r="B752" s="291" t="s">
        <v>291</v>
      </c>
      <c r="C752" s="292">
        <f>ROUND((C749*C750+C751),2)</f>
        <v>264</v>
      </c>
      <c r="D752" s="293" t="s">
        <v>174</v>
      </c>
      <c r="E752" s="285"/>
    </row>
    <row r="754" spans="1:5" x14ac:dyDescent="0.3">
      <c r="A754" s="305" t="s">
        <v>175</v>
      </c>
      <c r="B754" s="436" t="s">
        <v>292</v>
      </c>
      <c r="C754" s="436"/>
      <c r="D754" s="436"/>
      <c r="E754" s="436"/>
    </row>
    <row r="755" spans="1:5" x14ac:dyDescent="0.25">
      <c r="A755" s="290"/>
      <c r="B755" s="291" t="s">
        <v>283</v>
      </c>
      <c r="C755" s="155">
        <f>C731</f>
        <v>126</v>
      </c>
      <c r="D755" s="289" t="s">
        <v>174</v>
      </c>
      <c r="E755" s="290"/>
    </row>
    <row r="756" spans="1:5" x14ac:dyDescent="0.25">
      <c r="A756" s="290"/>
      <c r="B756" s="291" t="s">
        <v>243</v>
      </c>
      <c r="C756" s="155">
        <v>2</v>
      </c>
      <c r="D756" s="289" t="s">
        <v>176</v>
      </c>
      <c r="E756" s="435"/>
    </row>
    <row r="757" spans="1:5" x14ac:dyDescent="0.25">
      <c r="A757" s="290"/>
      <c r="B757" s="291" t="s">
        <v>291</v>
      </c>
      <c r="C757" s="292">
        <f>ROUND(C755*C756,2)</f>
        <v>252</v>
      </c>
      <c r="D757" s="293" t="s">
        <v>174</v>
      </c>
      <c r="E757" s="435"/>
    </row>
    <row r="759" spans="1:5" x14ac:dyDescent="0.25">
      <c r="A759" s="281" t="s">
        <v>217</v>
      </c>
      <c r="B759" s="282" t="s">
        <v>215</v>
      </c>
      <c r="C759" s="283"/>
      <c r="D759" s="284"/>
      <c r="E759" s="285"/>
    </row>
    <row r="760" spans="1:5" x14ac:dyDescent="0.3">
      <c r="A760" s="305" t="s">
        <v>218</v>
      </c>
      <c r="B760" s="436" t="s">
        <v>278</v>
      </c>
      <c r="C760" s="436"/>
      <c r="D760" s="436"/>
      <c r="E760" s="436"/>
    </row>
    <row r="761" spans="1:5" x14ac:dyDescent="0.25">
      <c r="A761" s="290"/>
      <c r="B761" s="291" t="s">
        <v>295</v>
      </c>
      <c r="C761" s="155">
        <f>C745</f>
        <v>756</v>
      </c>
      <c r="D761" s="289" t="s">
        <v>15</v>
      </c>
      <c r="E761" s="290"/>
    </row>
    <row r="762" spans="1:5" x14ac:dyDescent="0.25">
      <c r="A762" s="290"/>
      <c r="B762" s="291" t="s">
        <v>296</v>
      </c>
      <c r="C762" s="161">
        <v>4.2000000000000003E-2</v>
      </c>
      <c r="D762" s="289" t="s">
        <v>244</v>
      </c>
      <c r="E762" s="285"/>
    </row>
    <row r="763" spans="1:5" x14ac:dyDescent="0.25">
      <c r="A763" s="290"/>
      <c r="B763" s="291" t="s">
        <v>297</v>
      </c>
      <c r="C763" s="155">
        <v>2.52</v>
      </c>
      <c r="D763" s="289" t="s">
        <v>298</v>
      </c>
      <c r="E763" s="285"/>
    </row>
    <row r="764" spans="1:5" x14ac:dyDescent="0.25">
      <c r="A764" s="290"/>
      <c r="B764" s="291" t="s">
        <v>299</v>
      </c>
      <c r="C764" s="155">
        <v>1.5</v>
      </c>
      <c r="D764" s="289" t="s">
        <v>245</v>
      </c>
      <c r="E764" s="285"/>
    </row>
    <row r="765" spans="1:5" x14ac:dyDescent="0.25">
      <c r="A765" s="290"/>
      <c r="B765" s="291" t="s">
        <v>300</v>
      </c>
      <c r="C765" s="155">
        <v>30</v>
      </c>
      <c r="D765" s="289" t="s">
        <v>246</v>
      </c>
      <c r="E765" s="285"/>
    </row>
    <row r="766" spans="1:5" x14ac:dyDescent="0.25">
      <c r="A766" s="290"/>
      <c r="B766" s="282" t="s">
        <v>307</v>
      </c>
      <c r="C766" s="292">
        <f>ROUND(C761*C762*C763*C764*C765,2)</f>
        <v>3600.68</v>
      </c>
      <c r="D766" s="293" t="s">
        <v>308</v>
      </c>
      <c r="E766" s="285"/>
    </row>
    <row r="768" spans="1:5" x14ac:dyDescent="0.3">
      <c r="A768" s="305" t="s">
        <v>277</v>
      </c>
      <c r="B768" s="436" t="s">
        <v>279</v>
      </c>
      <c r="C768" s="436"/>
      <c r="D768" s="436"/>
      <c r="E768" s="436"/>
    </row>
    <row r="769" spans="1:5" x14ac:dyDescent="0.25">
      <c r="A769" s="290"/>
      <c r="B769" s="291" t="s">
        <v>295</v>
      </c>
      <c r="C769" s="155">
        <f>C761</f>
        <v>756</v>
      </c>
      <c r="D769" s="289" t="s">
        <v>15</v>
      </c>
      <c r="E769" s="307"/>
    </row>
    <row r="770" spans="1:5" x14ac:dyDescent="0.25">
      <c r="A770" s="290"/>
      <c r="B770" s="291" t="s">
        <v>296</v>
      </c>
      <c r="C770" s="161">
        <v>4.2000000000000003E-2</v>
      </c>
      <c r="D770" s="289" t="s">
        <v>244</v>
      </c>
      <c r="E770" s="308"/>
    </row>
    <row r="771" spans="1:5" x14ac:dyDescent="0.25">
      <c r="A771" s="290"/>
      <c r="B771" s="291" t="s">
        <v>297</v>
      </c>
      <c r="C771" s="155">
        <v>2.52</v>
      </c>
      <c r="D771" s="289" t="s">
        <v>298</v>
      </c>
      <c r="E771" s="308"/>
    </row>
    <row r="772" spans="1:5" x14ac:dyDescent="0.25">
      <c r="A772" s="290"/>
      <c r="B772" s="291" t="s">
        <v>299</v>
      </c>
      <c r="C772" s="155">
        <v>1.5</v>
      </c>
      <c r="D772" s="289" t="s">
        <v>245</v>
      </c>
      <c r="E772" s="308"/>
    </row>
    <row r="773" spans="1:5" x14ac:dyDescent="0.25">
      <c r="A773" s="290"/>
      <c r="B773" s="291" t="s">
        <v>300</v>
      </c>
      <c r="C773" s="155">
        <f>C733-C765</f>
        <v>19.700000000000003</v>
      </c>
      <c r="D773" s="289" t="s">
        <v>246</v>
      </c>
      <c r="E773" s="308"/>
    </row>
    <row r="774" spans="1:5" x14ac:dyDescent="0.25">
      <c r="A774" s="290"/>
      <c r="B774" s="282" t="s">
        <v>307</v>
      </c>
      <c r="C774" s="292">
        <f>ROUND(C769*C770*C771*C772*C773,2)</f>
        <v>2364.44</v>
      </c>
      <c r="D774" s="293" t="s">
        <v>308</v>
      </c>
      <c r="E774" s="308"/>
    </row>
    <row r="775" spans="1:5" x14ac:dyDescent="0.25">
      <c r="B775" s="291"/>
      <c r="C775" s="156"/>
      <c r="D775" s="309"/>
    </row>
    <row r="776" spans="1:5" x14ac:dyDescent="0.25">
      <c r="A776" s="281" t="s">
        <v>254</v>
      </c>
      <c r="B776" s="282" t="s">
        <v>293</v>
      </c>
      <c r="C776" s="283"/>
      <c r="D776" s="284"/>
      <c r="E776" s="285"/>
    </row>
    <row r="777" spans="1:5" x14ac:dyDescent="0.3">
      <c r="A777" s="305" t="s">
        <v>256</v>
      </c>
      <c r="B777" s="436" t="s">
        <v>259</v>
      </c>
      <c r="C777" s="436"/>
      <c r="D777" s="436"/>
      <c r="E777" s="436"/>
    </row>
    <row r="778" spans="1:5" x14ac:dyDescent="0.25">
      <c r="A778" s="290"/>
      <c r="B778" s="291" t="s">
        <v>294</v>
      </c>
      <c r="C778" s="155">
        <v>0.23</v>
      </c>
      <c r="D778" s="289" t="s">
        <v>15</v>
      </c>
      <c r="E778" s="290"/>
    </row>
    <row r="779" spans="1:5" x14ac:dyDescent="0.25">
      <c r="A779" s="290"/>
      <c r="B779" s="291" t="s">
        <v>306</v>
      </c>
      <c r="C779" s="292">
        <f>C778</f>
        <v>0.23</v>
      </c>
      <c r="D779" s="293" t="s">
        <v>15</v>
      </c>
      <c r="E779" s="285"/>
    </row>
    <row r="781" spans="1:5" x14ac:dyDescent="0.3">
      <c r="A781" s="305" t="s">
        <v>301</v>
      </c>
      <c r="B781" s="436" t="s">
        <v>276</v>
      </c>
      <c r="C781" s="436"/>
      <c r="D781" s="436"/>
      <c r="E781" s="436"/>
    </row>
    <row r="782" spans="1:5" x14ac:dyDescent="0.25">
      <c r="A782" s="290"/>
      <c r="B782" s="291" t="s">
        <v>294</v>
      </c>
      <c r="C782" s="155">
        <v>2</v>
      </c>
      <c r="D782" s="289" t="s">
        <v>176</v>
      </c>
      <c r="E782" s="290"/>
    </row>
    <row r="783" spans="1:5" x14ac:dyDescent="0.25">
      <c r="A783" s="290"/>
      <c r="B783" s="291" t="s">
        <v>306</v>
      </c>
      <c r="C783" s="292">
        <f>C782</f>
        <v>2</v>
      </c>
      <c r="D783" s="293" t="s">
        <v>176</v>
      </c>
      <c r="E783" s="285"/>
    </row>
  </sheetData>
  <mergeCells count="142">
    <mergeCell ref="B705:E705"/>
    <mergeCell ref="B713:E713"/>
    <mergeCell ref="B722:E722"/>
    <mergeCell ref="B726:E726"/>
    <mergeCell ref="B658:E658"/>
    <mergeCell ref="B667:E667"/>
    <mergeCell ref="B671:E671"/>
    <mergeCell ref="C675:E675"/>
    <mergeCell ref="B687:E687"/>
    <mergeCell ref="B693:E693"/>
    <mergeCell ref="E695:E696"/>
    <mergeCell ref="B699:E699"/>
    <mergeCell ref="E701:E702"/>
    <mergeCell ref="B613:E613"/>
    <mergeCell ref="B617:E617"/>
    <mergeCell ref="C620:E620"/>
    <mergeCell ref="B632:E632"/>
    <mergeCell ref="B638:E638"/>
    <mergeCell ref="E640:E641"/>
    <mergeCell ref="B644:E644"/>
    <mergeCell ref="E646:E647"/>
    <mergeCell ref="B650:E650"/>
    <mergeCell ref="B562:E562"/>
    <mergeCell ref="C566:E566"/>
    <mergeCell ref="B578:E578"/>
    <mergeCell ref="B584:E584"/>
    <mergeCell ref="E586:E587"/>
    <mergeCell ref="B590:E590"/>
    <mergeCell ref="E592:E593"/>
    <mergeCell ref="B596:E596"/>
    <mergeCell ref="B604:E604"/>
    <mergeCell ref="C511:E511"/>
    <mergeCell ref="B523:E523"/>
    <mergeCell ref="B529:E529"/>
    <mergeCell ref="E531:E532"/>
    <mergeCell ref="B535:E535"/>
    <mergeCell ref="E537:E538"/>
    <mergeCell ref="B541:E541"/>
    <mergeCell ref="B549:E549"/>
    <mergeCell ref="B558:E558"/>
    <mergeCell ref="A3:E3"/>
    <mergeCell ref="B46:E46"/>
    <mergeCell ref="B54:E54"/>
    <mergeCell ref="B67:E67"/>
    <mergeCell ref="A4:E4"/>
    <mergeCell ref="C16:E16"/>
    <mergeCell ref="B28:E28"/>
    <mergeCell ref="B34:E34"/>
    <mergeCell ref="B40:E40"/>
    <mergeCell ref="B63:E63"/>
    <mergeCell ref="E36:E37"/>
    <mergeCell ref="E42:E43"/>
    <mergeCell ref="E97:E98"/>
    <mergeCell ref="B101:E101"/>
    <mergeCell ref="B109:E109"/>
    <mergeCell ref="B118:E118"/>
    <mergeCell ref="B122:E122"/>
    <mergeCell ref="C71:E71"/>
    <mergeCell ref="B83:E83"/>
    <mergeCell ref="B89:E89"/>
    <mergeCell ref="E91:E92"/>
    <mergeCell ref="B95:E95"/>
    <mergeCell ref="E152:E153"/>
    <mergeCell ref="B156:E156"/>
    <mergeCell ref="B164:E164"/>
    <mergeCell ref="B173:E173"/>
    <mergeCell ref="B177:E177"/>
    <mergeCell ref="C126:E126"/>
    <mergeCell ref="B138:E138"/>
    <mergeCell ref="B144:E144"/>
    <mergeCell ref="E146:E147"/>
    <mergeCell ref="B150:E150"/>
    <mergeCell ref="E207:E208"/>
    <mergeCell ref="B211:E211"/>
    <mergeCell ref="B219:E219"/>
    <mergeCell ref="B228:E228"/>
    <mergeCell ref="B232:E232"/>
    <mergeCell ref="C181:E181"/>
    <mergeCell ref="B193:E193"/>
    <mergeCell ref="B199:E199"/>
    <mergeCell ref="E201:E202"/>
    <mergeCell ref="B205:E205"/>
    <mergeCell ref="E262:E263"/>
    <mergeCell ref="B266:E266"/>
    <mergeCell ref="B274:E274"/>
    <mergeCell ref="B283:E283"/>
    <mergeCell ref="B287:E287"/>
    <mergeCell ref="C236:E236"/>
    <mergeCell ref="B248:E248"/>
    <mergeCell ref="B254:E254"/>
    <mergeCell ref="E256:E257"/>
    <mergeCell ref="B260:E260"/>
    <mergeCell ref="E317:E318"/>
    <mergeCell ref="B321:E321"/>
    <mergeCell ref="B329:E329"/>
    <mergeCell ref="B338:E338"/>
    <mergeCell ref="B342:E342"/>
    <mergeCell ref="C291:E291"/>
    <mergeCell ref="B303:E303"/>
    <mergeCell ref="B309:E309"/>
    <mergeCell ref="E311:E312"/>
    <mergeCell ref="B315:E315"/>
    <mergeCell ref="E372:E373"/>
    <mergeCell ref="B376:E376"/>
    <mergeCell ref="B384:E384"/>
    <mergeCell ref="B393:E393"/>
    <mergeCell ref="B397:E397"/>
    <mergeCell ref="C346:E346"/>
    <mergeCell ref="B358:E358"/>
    <mergeCell ref="B364:E364"/>
    <mergeCell ref="E366:E367"/>
    <mergeCell ref="B370:E370"/>
    <mergeCell ref="E427:E428"/>
    <mergeCell ref="B431:E431"/>
    <mergeCell ref="B439:E439"/>
    <mergeCell ref="B448:E448"/>
    <mergeCell ref="B452:E452"/>
    <mergeCell ref="C401:E401"/>
    <mergeCell ref="B413:E413"/>
    <mergeCell ref="B419:E419"/>
    <mergeCell ref="E421:E422"/>
    <mergeCell ref="B425:E425"/>
    <mergeCell ref="E482:E483"/>
    <mergeCell ref="B486:E486"/>
    <mergeCell ref="B494:E494"/>
    <mergeCell ref="B503:E503"/>
    <mergeCell ref="B507:E507"/>
    <mergeCell ref="C456:E456"/>
    <mergeCell ref="B468:E468"/>
    <mergeCell ref="B474:E474"/>
    <mergeCell ref="E476:E477"/>
    <mergeCell ref="B480:E480"/>
    <mergeCell ref="E756:E757"/>
    <mergeCell ref="B760:E760"/>
    <mergeCell ref="B768:E768"/>
    <mergeCell ref="B777:E777"/>
    <mergeCell ref="B781:E781"/>
    <mergeCell ref="C730:E730"/>
    <mergeCell ref="B742:E742"/>
    <mergeCell ref="B748:E748"/>
    <mergeCell ref="E750:E751"/>
    <mergeCell ref="B754:E754"/>
  </mergeCells>
  <pageMargins left="0.70866141732283472" right="0.70866141732283472" top="1.3779527559055118" bottom="1.1811023622047245" header="0.31496062992125984" footer="0.31496062992125984"/>
  <pageSetup paperSize="9" scale="65" fitToHeight="0" orientation="portrait" r:id="rId1"/>
  <headerFooter>
    <oddHeader>&amp;C&amp;G</oddHeader>
  </headerFooter>
  <rowBreaks count="13" manualBreakCount="13">
    <brk id="70" max="4" man="1"/>
    <brk id="125" max="4" man="1"/>
    <brk id="180" max="4" man="1"/>
    <brk id="235" max="4" man="1"/>
    <brk id="290" max="4" man="1"/>
    <brk id="345" max="4" man="1"/>
    <brk id="400" max="4" man="1"/>
    <brk id="455" max="4" man="1"/>
    <brk id="510" max="4" man="1"/>
    <brk id="565" max="4" man="1"/>
    <brk id="619" max="4" man="1"/>
    <brk id="674" max="4" man="1"/>
    <brk id="729" max="4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K74"/>
  <sheetViews>
    <sheetView topLeftCell="A43" workbookViewId="0">
      <selection activeCell="D26" sqref="D26"/>
    </sheetView>
  </sheetViews>
  <sheetFormatPr defaultRowHeight="14.4" x14ac:dyDescent="0.3"/>
  <cols>
    <col min="1" max="1" width="15.6640625" style="100" customWidth="1"/>
    <col min="2" max="2" width="36.33203125" style="100" bestFit="1" customWidth="1"/>
    <col min="3" max="3" width="7.109375" style="101" bestFit="1" customWidth="1"/>
    <col min="4" max="4" width="13.44140625" style="102" bestFit="1" customWidth="1"/>
    <col min="5" max="5" width="15.6640625" style="101" customWidth="1"/>
    <col min="6" max="6" width="19.33203125" style="101" customWidth="1"/>
    <col min="7" max="7" width="13.5546875" style="102" bestFit="1" customWidth="1"/>
    <col min="8" max="8" width="9.109375" style="102"/>
    <col min="9" max="11" width="0" hidden="1" customWidth="1"/>
  </cols>
  <sheetData>
    <row r="1" spans="1:11" x14ac:dyDescent="0.3">
      <c r="A1" s="442" t="s">
        <v>247</v>
      </c>
      <c r="B1" s="443"/>
      <c r="C1" s="443"/>
      <c r="D1" s="443"/>
      <c r="E1" s="443"/>
      <c r="F1" s="443"/>
      <c r="G1" s="443"/>
      <c r="H1" s="443"/>
    </row>
    <row r="2" spans="1:11" x14ac:dyDescent="0.3">
      <c r="A2" s="444" t="s">
        <v>249</v>
      </c>
      <c r="B2" s="444"/>
      <c r="C2" s="444"/>
      <c r="D2" s="444"/>
      <c r="E2" s="444"/>
      <c r="F2" s="444"/>
      <c r="G2" s="444"/>
      <c r="H2" s="444"/>
    </row>
    <row r="3" spans="1:11" x14ac:dyDescent="0.3">
      <c r="A3" s="444" t="s">
        <v>214</v>
      </c>
      <c r="B3" s="444"/>
      <c r="C3" s="444"/>
      <c r="D3" s="444"/>
      <c r="E3" s="444"/>
      <c r="F3" s="444"/>
      <c r="G3" s="444"/>
      <c r="H3" s="444"/>
    </row>
    <row r="5" spans="1:11" x14ac:dyDescent="0.3">
      <c r="A5" s="445" t="s">
        <v>40</v>
      </c>
      <c r="B5" s="446"/>
      <c r="C5" s="446"/>
      <c r="D5" s="446"/>
      <c r="E5" s="446"/>
      <c r="F5" s="446"/>
      <c r="G5" s="446"/>
      <c r="H5" s="447"/>
    </row>
    <row r="6" spans="1:11" x14ac:dyDescent="0.3">
      <c r="A6" s="123"/>
      <c r="B6" s="448"/>
      <c r="C6" s="448"/>
      <c r="D6" s="448"/>
      <c r="E6" s="448"/>
      <c r="F6" s="124"/>
      <c r="G6" s="124"/>
      <c r="H6" s="125"/>
    </row>
    <row r="7" spans="1:11" x14ac:dyDescent="0.3">
      <c r="A7" s="126"/>
      <c r="B7" s="127"/>
      <c r="C7" s="127"/>
      <c r="D7" s="127"/>
      <c r="E7" s="127"/>
      <c r="F7" s="127"/>
      <c r="G7" s="127"/>
      <c r="H7" s="128"/>
      <c r="I7" s="31"/>
      <c r="J7" s="32"/>
      <c r="K7" s="32"/>
    </row>
    <row r="8" spans="1:11" x14ac:dyDescent="0.3">
      <c r="A8" s="449" t="s">
        <v>41</v>
      </c>
      <c r="B8" s="450"/>
      <c r="C8" s="33"/>
      <c r="D8" s="33"/>
      <c r="E8" s="33"/>
      <c r="F8" s="33"/>
      <c r="G8" s="33"/>
      <c r="H8" s="34"/>
      <c r="I8" s="31"/>
      <c r="J8" s="32"/>
      <c r="K8" s="32"/>
    </row>
    <row r="9" spans="1:11" x14ac:dyDescent="0.3">
      <c r="A9" s="117"/>
      <c r="B9" s="35"/>
      <c r="C9" s="33"/>
      <c r="D9" s="33"/>
      <c r="E9" s="33"/>
      <c r="F9" s="33"/>
      <c r="G9" s="33"/>
      <c r="H9" s="34"/>
      <c r="I9" s="31"/>
      <c r="J9" s="32"/>
      <c r="K9" s="32"/>
    </row>
    <row r="10" spans="1:11" x14ac:dyDescent="0.3">
      <c r="A10" s="36"/>
      <c r="B10" s="37" t="s">
        <v>10</v>
      </c>
      <c r="C10" s="38"/>
      <c r="D10" s="39">
        <f>IF(C10="x",1,0)</f>
        <v>0</v>
      </c>
      <c r="E10" s="40"/>
      <c r="F10" s="41"/>
      <c r="G10" s="42"/>
      <c r="H10" s="43">
        <f>IF(F10="x",1,0)</f>
        <v>0</v>
      </c>
      <c r="I10" s="31"/>
      <c r="J10" s="32"/>
      <c r="K10" s="32"/>
    </row>
    <row r="11" spans="1:11" x14ac:dyDescent="0.3">
      <c r="A11" s="36"/>
      <c r="B11" s="37" t="s">
        <v>9</v>
      </c>
      <c r="C11" s="38" t="s">
        <v>42</v>
      </c>
      <c r="D11" s="39">
        <f>IF(C11="x",1,0)</f>
        <v>1</v>
      </c>
      <c r="E11" s="44"/>
      <c r="F11" s="41"/>
      <c r="G11" s="42"/>
      <c r="H11" s="43">
        <f>IF(F11="x",1,0)</f>
        <v>0</v>
      </c>
      <c r="I11" s="31"/>
      <c r="J11" s="32"/>
      <c r="K11" s="32"/>
    </row>
    <row r="12" spans="1:11" ht="15" thickBot="1" x14ac:dyDescent="0.35">
      <c r="A12" s="45"/>
      <c r="B12" s="451" t="str">
        <f>IF(D12&gt;1,"SELECIONE SOMENTE UM TIPO DE BDI",IF(D12=0,"SELECIONE UM TIPO DE BDI",""))</f>
        <v/>
      </c>
      <c r="C12" s="451"/>
      <c r="D12" s="46">
        <f>SUM(D10:D11)</f>
        <v>1</v>
      </c>
      <c r="E12" s="452"/>
      <c r="F12" s="452"/>
      <c r="G12" s="452"/>
      <c r="H12" s="47">
        <f>SUM(H10:H11)</f>
        <v>0</v>
      </c>
      <c r="I12" s="31"/>
      <c r="J12" s="32"/>
      <c r="K12" s="32"/>
    </row>
    <row r="13" spans="1:11" ht="15" thickBot="1" x14ac:dyDescent="0.35">
      <c r="A13" s="33"/>
      <c r="B13" s="33"/>
      <c r="C13" s="33"/>
      <c r="D13" s="33"/>
      <c r="E13" s="33"/>
      <c r="F13" s="33"/>
      <c r="G13" s="49"/>
      <c r="H13" s="49"/>
      <c r="I13" s="31"/>
      <c r="J13" s="32"/>
      <c r="K13" s="32"/>
    </row>
    <row r="14" spans="1:11" x14ac:dyDescent="0.3">
      <c r="A14" s="453" t="s">
        <v>43</v>
      </c>
      <c r="B14" s="454"/>
      <c r="C14" s="119"/>
      <c r="D14" s="119"/>
      <c r="E14" s="119"/>
      <c r="F14" s="119"/>
      <c r="G14" s="48"/>
      <c r="H14" s="129"/>
      <c r="I14" s="31">
        <f>IF(H22&lt;&gt;0,VLOOKUP("x",G16:I21,3,FALSE),0)</f>
        <v>2</v>
      </c>
      <c r="J14" s="32"/>
      <c r="K14" s="32"/>
    </row>
    <row r="15" spans="1:11" x14ac:dyDescent="0.3">
      <c r="A15" s="117"/>
      <c r="B15" s="35"/>
      <c r="C15" s="33"/>
      <c r="D15" s="33"/>
      <c r="E15" s="33"/>
      <c r="F15" s="33"/>
      <c r="G15" s="49"/>
      <c r="H15" s="130"/>
      <c r="I15" s="31"/>
      <c r="J15" s="32"/>
      <c r="K15" s="32"/>
    </row>
    <row r="16" spans="1:11" x14ac:dyDescent="0.3">
      <c r="A16" s="50"/>
      <c r="B16" s="33"/>
      <c r="C16" s="33"/>
      <c r="D16" s="33"/>
      <c r="E16" s="33"/>
      <c r="F16" s="51" t="s">
        <v>44</v>
      </c>
      <c r="G16" s="38"/>
      <c r="H16" s="43">
        <f t="shared" ref="H16:H21" si="0">IF(G16="x",1,0)</f>
        <v>0</v>
      </c>
      <c r="I16" s="31">
        <v>1</v>
      </c>
      <c r="J16" s="32"/>
      <c r="K16" s="32"/>
    </row>
    <row r="17" spans="1:11" x14ac:dyDescent="0.3">
      <c r="A17" s="50"/>
      <c r="B17" s="33"/>
      <c r="C17" s="33"/>
      <c r="D17" s="33"/>
      <c r="E17" s="33"/>
      <c r="F17" s="51" t="s">
        <v>45</v>
      </c>
      <c r="G17" s="38" t="s">
        <v>42</v>
      </c>
      <c r="H17" s="43">
        <f t="shared" si="0"/>
        <v>1</v>
      </c>
      <c r="I17" s="31">
        <v>2</v>
      </c>
      <c r="J17" s="32"/>
      <c r="K17" s="32"/>
    </row>
    <row r="18" spans="1:11" x14ac:dyDescent="0.3">
      <c r="A18" s="50"/>
      <c r="B18" s="33"/>
      <c r="C18" s="33"/>
      <c r="D18" s="33"/>
      <c r="E18" s="33"/>
      <c r="F18" s="51" t="s">
        <v>46</v>
      </c>
      <c r="G18" s="38"/>
      <c r="H18" s="43">
        <f t="shared" si="0"/>
        <v>0</v>
      </c>
      <c r="I18" s="31">
        <v>3</v>
      </c>
      <c r="J18" s="32"/>
      <c r="K18" s="32"/>
    </row>
    <row r="19" spans="1:11" x14ac:dyDescent="0.3">
      <c r="A19" s="50"/>
      <c r="B19" s="33"/>
      <c r="C19" s="33"/>
      <c r="D19" s="33"/>
      <c r="E19" s="33"/>
      <c r="F19" s="51" t="s">
        <v>47</v>
      </c>
      <c r="G19" s="38"/>
      <c r="H19" s="43">
        <f t="shared" si="0"/>
        <v>0</v>
      </c>
      <c r="I19" s="31">
        <v>4</v>
      </c>
      <c r="J19" s="32"/>
      <c r="K19" s="32"/>
    </row>
    <row r="20" spans="1:11" x14ac:dyDescent="0.3">
      <c r="A20" s="50"/>
      <c r="B20" s="33"/>
      <c r="C20" s="33"/>
      <c r="D20" s="33"/>
      <c r="E20" s="33"/>
      <c r="F20" s="51" t="s">
        <v>48</v>
      </c>
      <c r="G20" s="38"/>
      <c r="H20" s="43">
        <f t="shared" si="0"/>
        <v>0</v>
      </c>
      <c r="I20" s="31">
        <v>5</v>
      </c>
      <c r="J20" s="32"/>
      <c r="K20" s="32"/>
    </row>
    <row r="21" spans="1:11" x14ac:dyDescent="0.3">
      <c r="A21" s="50"/>
      <c r="B21" s="455" t="str">
        <f>IF(AND(C10="x",G21="x"),"NÃO HÁ DESONERAÇÃO PARA FORNECIMENTO DE MATERIAIS","")</f>
        <v/>
      </c>
      <c r="C21" s="455"/>
      <c r="D21" s="455"/>
      <c r="E21" s="33"/>
      <c r="F21" s="51" t="s">
        <v>49</v>
      </c>
      <c r="G21" s="38"/>
      <c r="H21" s="43">
        <f t="shared" si="0"/>
        <v>0</v>
      </c>
      <c r="I21" s="31">
        <v>6</v>
      </c>
      <c r="J21" s="32"/>
      <c r="K21" s="32"/>
    </row>
    <row r="22" spans="1:11" ht="15" thickBot="1" x14ac:dyDescent="0.35">
      <c r="A22" s="45"/>
      <c r="B22" s="441" t="str">
        <f>IF(H22&gt;1,"SELECIONE SOMENTE UM TIPO DE SERVIÇO",IF(H22=0,"SELECIONE UM TIPO DE SERVIÇO",""))</f>
        <v/>
      </c>
      <c r="C22" s="441"/>
      <c r="D22" s="116"/>
      <c r="E22" s="116"/>
      <c r="F22" s="52"/>
      <c r="G22" s="53"/>
      <c r="H22" s="47">
        <f>SUM(H16:H21)</f>
        <v>1</v>
      </c>
      <c r="I22" s="31"/>
      <c r="J22" s="32"/>
      <c r="K22" s="32"/>
    </row>
    <row r="23" spans="1:11" ht="15" thickBot="1" x14ac:dyDescent="0.35">
      <c r="A23" s="33"/>
      <c r="B23" s="33"/>
      <c r="C23" s="33"/>
      <c r="D23" s="33"/>
      <c r="E23" s="118"/>
      <c r="F23" s="118"/>
      <c r="G23" s="42"/>
      <c r="H23" s="42"/>
      <c r="I23" s="31"/>
      <c r="J23" s="32"/>
      <c r="K23" s="32"/>
    </row>
    <row r="24" spans="1:11" x14ac:dyDescent="0.3">
      <c r="A24" s="453" t="s">
        <v>50</v>
      </c>
      <c r="B24" s="454"/>
      <c r="C24" s="119"/>
      <c r="D24" s="119"/>
      <c r="E24" s="462"/>
      <c r="F24" s="462"/>
      <c r="G24" s="55" t="s">
        <v>21</v>
      </c>
      <c r="H24" s="56"/>
      <c r="I24" s="31"/>
      <c r="J24" s="32"/>
      <c r="K24" s="32"/>
    </row>
    <row r="25" spans="1:11" x14ac:dyDescent="0.3">
      <c r="A25" s="57"/>
      <c r="B25" s="118"/>
      <c r="C25" s="118"/>
      <c r="D25" s="118"/>
      <c r="E25" s="118"/>
      <c r="F25" s="118"/>
      <c r="G25" s="42"/>
      <c r="H25" s="58"/>
      <c r="I25" s="31"/>
      <c r="J25" s="32" t="s">
        <v>51</v>
      </c>
      <c r="K25" s="32" t="s">
        <v>52</v>
      </c>
    </row>
    <row r="26" spans="1:11" x14ac:dyDescent="0.3">
      <c r="A26" s="57"/>
      <c r="B26" s="59" t="s">
        <v>53</v>
      </c>
      <c r="C26" s="60"/>
      <c r="D26" s="60" t="str">
        <f>IF(AND(G26&gt;=J26,G26&lt;=K26),"","FORA DO LIMITE")</f>
        <v/>
      </c>
      <c r="E26" s="60"/>
      <c r="F26" s="61" t="s">
        <v>54</v>
      </c>
      <c r="G26" s="62">
        <v>3.7999999999999999E-2</v>
      </c>
      <c r="H26" s="58"/>
      <c r="I26" s="31"/>
      <c r="J26" s="32">
        <f>VLOOKUP($I$13,[7]Referências!A13:D19,2,FALSE)</f>
        <v>0</v>
      </c>
      <c r="K26" s="32">
        <f>VLOOKUP($I$13,[7]Referências!A13:D19,4,FALSE)</f>
        <v>1</v>
      </c>
    </row>
    <row r="27" spans="1:11" x14ac:dyDescent="0.3">
      <c r="A27" s="57"/>
      <c r="B27" s="63"/>
      <c r="C27" s="118"/>
      <c r="D27" s="118"/>
      <c r="E27" s="118"/>
      <c r="F27" s="51"/>
      <c r="G27" s="64"/>
      <c r="H27" s="58"/>
      <c r="I27" s="31"/>
      <c r="J27" s="32"/>
      <c r="K27" s="32"/>
    </row>
    <row r="28" spans="1:11" x14ac:dyDescent="0.3">
      <c r="A28" s="57"/>
      <c r="B28" s="59" t="s">
        <v>55</v>
      </c>
      <c r="C28" s="60"/>
      <c r="D28" s="60" t="str">
        <f>IF(AND(G28&gt;=J28,G28&lt;=K28),"","FORA DO LIMITE")</f>
        <v/>
      </c>
      <c r="E28" s="60"/>
      <c r="F28" s="61" t="s">
        <v>56</v>
      </c>
      <c r="G28" s="65">
        <v>1.0200000000000001E-2</v>
      </c>
      <c r="H28" s="66"/>
      <c r="I28" s="31"/>
      <c r="J28" s="32">
        <f>VLOOKUP($I$13,[7]Referências!A40:D46,2,FALSE)</f>
        <v>0</v>
      </c>
      <c r="K28" s="32">
        <f>VLOOKUP($I$13,[7]Referências!A40:D46,4,FALSE)</f>
        <v>1</v>
      </c>
    </row>
    <row r="29" spans="1:11" x14ac:dyDescent="0.3">
      <c r="A29" s="57"/>
      <c r="B29" s="63"/>
      <c r="C29" s="118"/>
      <c r="D29" s="118"/>
      <c r="E29" s="118"/>
      <c r="F29" s="51"/>
      <c r="G29" s="67"/>
      <c r="H29" s="66"/>
      <c r="I29" s="31"/>
      <c r="J29" s="32"/>
      <c r="K29" s="32"/>
    </row>
    <row r="30" spans="1:11" x14ac:dyDescent="0.3">
      <c r="A30" s="57"/>
      <c r="B30" s="68" t="s">
        <v>57</v>
      </c>
      <c r="C30" s="69"/>
      <c r="D30" s="69"/>
      <c r="E30" s="69"/>
      <c r="F30" s="70"/>
      <c r="G30" s="71"/>
      <c r="H30" s="72"/>
      <c r="I30" s="31"/>
      <c r="J30" s="32"/>
      <c r="K30" s="32"/>
    </row>
    <row r="31" spans="1:11" x14ac:dyDescent="0.3">
      <c r="A31" s="57"/>
      <c r="B31" s="120"/>
      <c r="C31" s="118"/>
      <c r="D31" s="118" t="str">
        <f>IF(AND(G31&gt;=J31,G31&lt;=K31),"","FORA DO LIMITE")</f>
        <v/>
      </c>
      <c r="E31" s="118"/>
      <c r="F31" s="51" t="s">
        <v>58</v>
      </c>
      <c r="G31" s="73">
        <v>3.2000000000000002E-3</v>
      </c>
      <c r="H31" s="74"/>
      <c r="I31" s="31"/>
      <c r="J31" s="32">
        <f>VLOOKUP($I$13,[7]Referências!A22:D28,2,FALSE)</f>
        <v>0</v>
      </c>
      <c r="K31" s="32">
        <f>VLOOKUP($I$13,[7]Referências!A22:D28,4,FALSE)</f>
        <v>1</v>
      </c>
    </row>
    <row r="32" spans="1:11" x14ac:dyDescent="0.3">
      <c r="A32" s="57"/>
      <c r="B32" s="75"/>
      <c r="C32" s="76"/>
      <c r="D32" s="76" t="str">
        <f>IF(AND(G32&gt;=J32,G32&lt;=K32),"","FORA DO LIMITE")</f>
        <v/>
      </c>
      <c r="E32" s="76"/>
      <c r="F32" s="77" t="s">
        <v>59</v>
      </c>
      <c r="G32" s="78">
        <v>7.1999999999999998E-3</v>
      </c>
      <c r="H32" s="58"/>
      <c r="I32" s="31"/>
      <c r="J32" s="32">
        <f>VLOOKUP($I$13,[7]Referências!A31:D37,2,FALSE)</f>
        <v>0</v>
      </c>
      <c r="K32" s="32">
        <f>VLOOKUP($I$13,[7]Referências!A31:D37,4,FALSE)</f>
        <v>1</v>
      </c>
    </row>
    <row r="33" spans="1:11" x14ac:dyDescent="0.3">
      <c r="A33" s="57"/>
      <c r="B33" s="118"/>
      <c r="C33" s="118"/>
      <c r="D33" s="118"/>
      <c r="E33" s="118"/>
      <c r="F33" s="51"/>
      <c r="G33" s="67"/>
      <c r="H33" s="74"/>
      <c r="I33" s="31"/>
      <c r="J33" s="32"/>
      <c r="K33" s="32"/>
    </row>
    <row r="34" spans="1:11" x14ac:dyDescent="0.3">
      <c r="A34" s="57"/>
      <c r="B34" s="37" t="s">
        <v>60</v>
      </c>
      <c r="C34" s="60"/>
      <c r="D34" s="60" t="str">
        <f>IF(AND(G34&gt;=J34,G34&lt;=K34),"","FORA DO LIMITE")</f>
        <v/>
      </c>
      <c r="E34" s="60"/>
      <c r="F34" s="61" t="s">
        <v>61</v>
      </c>
      <c r="G34" s="65">
        <v>7.4999999999999997E-2</v>
      </c>
      <c r="H34" s="74"/>
      <c r="I34" s="31"/>
      <c r="J34" s="32">
        <f>VLOOKUP($I$13,[7]Referências!A49:D55,2,FALSE)</f>
        <v>0</v>
      </c>
      <c r="K34" s="32">
        <f>VLOOKUP($I$13,[7]Referências!A49:D55,4,FALSE)</f>
        <v>1</v>
      </c>
    </row>
    <row r="35" spans="1:11" x14ac:dyDescent="0.3">
      <c r="A35" s="57"/>
      <c r="B35" s="118"/>
      <c r="C35" s="118"/>
      <c r="D35" s="118"/>
      <c r="E35" s="118"/>
      <c r="F35" s="51"/>
      <c r="G35" s="67"/>
      <c r="H35" s="74"/>
      <c r="I35" s="31"/>
      <c r="J35" s="32"/>
      <c r="K35" s="32"/>
    </row>
    <row r="36" spans="1:11" x14ac:dyDescent="0.3">
      <c r="A36" s="57"/>
      <c r="B36" s="68" t="s">
        <v>62</v>
      </c>
      <c r="C36" s="69"/>
      <c r="D36" s="69"/>
      <c r="E36" s="69"/>
      <c r="F36" s="70"/>
      <c r="G36" s="71"/>
      <c r="H36" s="74"/>
      <c r="I36" s="31"/>
      <c r="J36" s="32"/>
      <c r="K36" s="32"/>
    </row>
    <row r="37" spans="1:11" x14ac:dyDescent="0.3">
      <c r="A37" s="57"/>
      <c r="B37" s="79"/>
      <c r="C37" s="118"/>
      <c r="D37" s="118"/>
      <c r="E37" s="118"/>
      <c r="F37" s="51" t="str">
        <f>IF(AND(C10="X",C10&lt;&gt;C11,I14&lt;&gt;6,F11&lt;&gt;"X"),"INSS =","")</f>
        <v/>
      </c>
      <c r="G37" s="80" t="str">
        <f>IF(AND(C10="x",I14&lt;&gt;6,B12&lt;&gt;"SELECIONE SOMENTE UM TIPO DE BDI"),K37,"")</f>
        <v/>
      </c>
      <c r="H37" s="81"/>
      <c r="I37" s="31"/>
      <c r="J37" s="32">
        <v>0</v>
      </c>
      <c r="K37" s="32">
        <v>4.4999999999999998E-2</v>
      </c>
    </row>
    <row r="38" spans="1:11" x14ac:dyDescent="0.3">
      <c r="A38" s="57"/>
      <c r="B38" s="463" t="str">
        <f>IF(AND(G38&lt;&gt;"",I14=6),"APAGUE O PERCENTUAL DESTA LINHA","")</f>
        <v/>
      </c>
      <c r="C38" s="455"/>
      <c r="D38" s="118" t="str">
        <f>IF(B38="APAGUE O PERCENTUAL DESTA LINHA","",IF(AND(G38&gt;=J38,G38&lt;=K38),"","FORA DO LIMITE"))</f>
        <v/>
      </c>
      <c r="E38" s="118"/>
      <c r="F38" s="51" t="str">
        <f>IF(I14=6,"","ISSQN =")</f>
        <v>ISSQN =</v>
      </c>
      <c r="G38" s="73">
        <v>0.03</v>
      </c>
      <c r="H38" s="81"/>
      <c r="I38" s="31"/>
      <c r="J38" s="32">
        <v>1.2E-2</v>
      </c>
      <c r="K38" s="32">
        <v>0.03</v>
      </c>
    </row>
    <row r="39" spans="1:11" x14ac:dyDescent="0.3">
      <c r="A39" s="57"/>
      <c r="B39" s="120"/>
      <c r="C39" s="118"/>
      <c r="D39" s="118" t="str">
        <f>IF(AND(G39&gt;=J39,G39&lt;=K39),"","FORA DO LIMITE")</f>
        <v/>
      </c>
      <c r="E39" s="118"/>
      <c r="F39" s="51" t="s">
        <v>63</v>
      </c>
      <c r="G39" s="82">
        <v>6.4999999999999997E-3</v>
      </c>
      <c r="H39" s="81"/>
      <c r="I39" s="31"/>
      <c r="J39" s="32">
        <v>6.4999999999999997E-3</v>
      </c>
      <c r="K39" s="32">
        <v>6.4999999999999997E-3</v>
      </c>
    </row>
    <row r="40" spans="1:11" x14ac:dyDescent="0.3">
      <c r="A40" s="57"/>
      <c r="B40" s="120"/>
      <c r="C40" s="118"/>
      <c r="D40" s="118" t="str">
        <f>IF(AND(G40&gt;=J40,G40&lt;=K40),"","FORA DO LIMITE")</f>
        <v/>
      </c>
      <c r="E40" s="118"/>
      <c r="F40" s="51" t="s">
        <v>64</v>
      </c>
      <c r="G40" s="82">
        <v>0.03</v>
      </c>
      <c r="H40" s="81"/>
      <c r="I40" s="31"/>
      <c r="J40" s="32">
        <v>0.03</v>
      </c>
      <c r="K40" s="32">
        <v>0.03</v>
      </c>
    </row>
    <row r="41" spans="1:11" x14ac:dyDescent="0.3">
      <c r="A41" s="57"/>
      <c r="B41" s="75"/>
      <c r="C41" s="76"/>
      <c r="D41" s="76"/>
      <c r="E41" s="76"/>
      <c r="F41" s="77" t="s">
        <v>65</v>
      </c>
      <c r="G41" s="83">
        <f>SUM(G37:G40)</f>
        <v>6.6500000000000004E-2</v>
      </c>
      <c r="H41" s="74"/>
      <c r="I41" s="31"/>
      <c r="J41" s="32"/>
      <c r="K41" s="32"/>
    </row>
    <row r="42" spans="1:11" ht="15" thickBot="1" x14ac:dyDescent="0.35">
      <c r="A42" s="84"/>
      <c r="B42" s="52"/>
      <c r="C42" s="52"/>
      <c r="D42" s="52"/>
      <c r="E42" s="52"/>
      <c r="F42" s="85"/>
      <c r="G42" s="86"/>
      <c r="H42" s="87"/>
      <c r="I42" s="31"/>
      <c r="J42" s="32"/>
      <c r="K42" s="32"/>
    </row>
    <row r="43" spans="1:11" ht="15" thickBot="1" x14ac:dyDescent="0.35">
      <c r="A43" s="118"/>
      <c r="B43" s="118"/>
      <c r="C43" s="118"/>
      <c r="D43" s="118"/>
      <c r="E43" s="118"/>
      <c r="F43" s="131"/>
      <c r="G43" s="132"/>
      <c r="H43" s="133"/>
      <c r="I43" s="31"/>
      <c r="J43" s="32"/>
      <c r="K43" s="32"/>
    </row>
    <row r="44" spans="1:11" x14ac:dyDescent="0.3">
      <c r="A44" s="453" t="s">
        <v>66</v>
      </c>
      <c r="B44" s="454"/>
      <c r="C44" s="119"/>
      <c r="D44" s="119"/>
      <c r="E44" s="119"/>
      <c r="F44" s="119"/>
      <c r="G44" s="55"/>
      <c r="H44" s="56"/>
      <c r="I44" s="31"/>
      <c r="J44" s="32" t="s">
        <v>67</v>
      </c>
      <c r="K44" s="32"/>
    </row>
    <row r="45" spans="1:11" x14ac:dyDescent="0.3">
      <c r="A45" s="57"/>
      <c r="B45" s="118"/>
      <c r="C45" s="118"/>
      <c r="D45" s="118"/>
      <c r="E45" s="118"/>
      <c r="F45" s="118"/>
      <c r="G45" s="42"/>
      <c r="H45" s="58"/>
      <c r="I45" s="31"/>
      <c r="J45" s="88">
        <v>1</v>
      </c>
      <c r="K45" s="32" t="str">
        <f>IF(OR(B12="SELECIONE UM TIPO DE BDI",B12="SELECIONE SOMENTE UM TIPO DE BDI"),"VER TIPO DE BDI","OK")</f>
        <v>OK</v>
      </c>
    </row>
    <row r="46" spans="1:11" x14ac:dyDescent="0.3">
      <c r="A46" s="57"/>
      <c r="B46" s="118"/>
      <c r="C46" s="118"/>
      <c r="D46" s="118"/>
      <c r="E46" s="118"/>
      <c r="F46" s="118"/>
      <c r="G46" s="42"/>
      <c r="H46" s="58"/>
      <c r="I46" s="31"/>
      <c r="J46" s="88">
        <v>2</v>
      </c>
      <c r="K46" s="32" t="str">
        <f>IF(OR(B22="SELECIONE SOMENTE UM TIPO DE SERVIÇO",B22="SELECIONE UM TIPO DE SERVIÇO",B21="NÃO HÁ DESONERAÇÃO PARA FORNECIMENTO DE MATERIAIS"),"VER TIPO DE SERVIÇO","OK")</f>
        <v>OK</v>
      </c>
    </row>
    <row r="47" spans="1:11" x14ac:dyDescent="0.3">
      <c r="A47" s="57"/>
      <c r="B47" s="118"/>
      <c r="C47" s="118"/>
      <c r="D47" s="118"/>
      <c r="E47" s="118"/>
      <c r="F47" s="118"/>
      <c r="G47" s="42"/>
      <c r="H47" s="58"/>
      <c r="I47" s="31"/>
      <c r="J47" s="88">
        <v>3</v>
      </c>
      <c r="K47" s="32" t="str">
        <f>IF(OR(B23="SELECIONE SOMENTE UM TIPO DE SERVIÇO",B23="SELECIONE UM TIPO DE SERVIÇO",B22="NÃO HÁ DESONERAÇÃO PARA FORNECIMENTO DE MATERIAIS"),"VER TIPO DE SERVIÇO","OK")</f>
        <v>OK</v>
      </c>
    </row>
    <row r="48" spans="1:11" x14ac:dyDescent="0.3">
      <c r="A48" s="57"/>
      <c r="B48" s="118"/>
      <c r="C48" s="118"/>
      <c r="D48" s="118"/>
      <c r="E48" s="118"/>
      <c r="F48" s="118"/>
      <c r="G48" s="42"/>
      <c r="H48" s="58"/>
      <c r="I48" s="31"/>
      <c r="J48" s="88">
        <v>4</v>
      </c>
      <c r="K48" s="32" t="str">
        <f>IF(OR(B24="SELECIONE SOMENTE UM TIPO DE SERVIÇO",B24="SELECIONE UM TIPO DE SERVIÇO",B23="NÃO HÁ DESONERAÇÃO PARA FORNECIMENTO DE MATERIAIS"),"VER TIPO DE SERVIÇO","OK")</f>
        <v>OK</v>
      </c>
    </row>
    <row r="49" spans="1:11" x14ac:dyDescent="0.3">
      <c r="A49" s="57"/>
      <c r="B49" s="118"/>
      <c r="C49" s="118"/>
      <c r="D49" s="118"/>
      <c r="E49" s="118"/>
      <c r="F49" s="118"/>
      <c r="G49" s="42"/>
      <c r="H49" s="58"/>
      <c r="I49" s="31"/>
      <c r="J49" s="88"/>
      <c r="K49" s="32"/>
    </row>
    <row r="50" spans="1:11" x14ac:dyDescent="0.3">
      <c r="A50" s="57"/>
      <c r="B50" s="118"/>
      <c r="C50" s="118"/>
      <c r="D50" s="118"/>
      <c r="E50" s="118"/>
      <c r="F50" s="118"/>
      <c r="G50" s="42"/>
      <c r="H50" s="58"/>
      <c r="I50" s="31"/>
      <c r="J50" s="32"/>
      <c r="K50" s="32"/>
    </row>
    <row r="51" spans="1:11" x14ac:dyDescent="0.3">
      <c r="A51" s="57"/>
      <c r="B51" s="118"/>
      <c r="C51" s="118"/>
      <c r="D51" s="118"/>
      <c r="E51" s="118"/>
      <c r="F51" s="118"/>
      <c r="G51" s="42"/>
      <c r="H51" s="58"/>
      <c r="I51" s="31"/>
      <c r="J51" s="32"/>
      <c r="K51" s="32"/>
    </row>
    <row r="52" spans="1:11" x14ac:dyDescent="0.3">
      <c r="A52" s="57" t="s">
        <v>68</v>
      </c>
      <c r="B52" s="40" t="s">
        <v>69</v>
      </c>
      <c r="C52" s="118"/>
      <c r="D52" s="118"/>
      <c r="E52" s="118"/>
      <c r="F52" s="118"/>
      <c r="G52" s="42"/>
      <c r="H52" s="58"/>
      <c r="I52" s="31"/>
      <c r="J52" s="32"/>
      <c r="K52" s="32"/>
    </row>
    <row r="53" spans="1:11" x14ac:dyDescent="0.3">
      <c r="A53" s="57" t="s">
        <v>70</v>
      </c>
      <c r="B53" s="40" t="s">
        <v>71</v>
      </c>
      <c r="C53" s="118"/>
      <c r="D53" s="118"/>
      <c r="E53" s="118"/>
      <c r="F53" s="118"/>
      <c r="G53" s="42"/>
      <c r="H53" s="58"/>
      <c r="I53" s="31"/>
      <c r="J53" s="32"/>
      <c r="K53" s="32"/>
    </row>
    <row r="54" spans="1:11" x14ac:dyDescent="0.3">
      <c r="A54" s="57" t="s">
        <v>72</v>
      </c>
      <c r="B54" s="40" t="s">
        <v>73</v>
      </c>
      <c r="C54" s="118"/>
      <c r="D54" s="118"/>
      <c r="E54" s="118"/>
      <c r="F54" s="118"/>
      <c r="G54" s="42"/>
      <c r="H54" s="58"/>
      <c r="I54" s="31"/>
      <c r="J54" s="32"/>
      <c r="K54" s="32"/>
    </row>
    <row r="55" spans="1:11" x14ac:dyDescent="0.3">
      <c r="A55" s="57" t="s">
        <v>56</v>
      </c>
      <c r="B55" s="40" t="s">
        <v>74</v>
      </c>
      <c r="C55" s="118"/>
      <c r="D55" s="118"/>
      <c r="E55" s="118"/>
      <c r="F55" s="118"/>
      <c r="G55" s="42"/>
      <c r="H55" s="58"/>
      <c r="I55" s="31"/>
      <c r="J55" s="32"/>
      <c r="K55" s="32"/>
    </row>
    <row r="56" spans="1:11" x14ac:dyDescent="0.3">
      <c r="A56" s="57" t="s">
        <v>61</v>
      </c>
      <c r="B56" s="40" t="s">
        <v>75</v>
      </c>
      <c r="C56" s="118"/>
      <c r="D56" s="118"/>
      <c r="E56" s="118"/>
      <c r="F56" s="118"/>
      <c r="G56" s="42"/>
      <c r="H56" s="58"/>
      <c r="I56" s="31"/>
      <c r="J56" s="32"/>
      <c r="K56" s="32"/>
    </row>
    <row r="57" spans="1:11" x14ac:dyDescent="0.3">
      <c r="A57" s="57" t="s">
        <v>76</v>
      </c>
      <c r="B57" s="40" t="s">
        <v>77</v>
      </c>
      <c r="C57" s="118"/>
      <c r="D57" s="118"/>
      <c r="E57" s="118"/>
      <c r="F57" s="118"/>
      <c r="G57" s="42"/>
      <c r="H57" s="58"/>
      <c r="I57" s="31"/>
      <c r="J57" s="32"/>
      <c r="K57" s="32"/>
    </row>
    <row r="58" spans="1:11" ht="15" thickBot="1" x14ac:dyDescent="0.35">
      <c r="A58" s="84"/>
      <c r="B58" s="89"/>
      <c r="C58" s="52"/>
      <c r="D58" s="52"/>
      <c r="E58" s="52"/>
      <c r="F58" s="52"/>
      <c r="G58" s="90"/>
      <c r="H58" s="91"/>
      <c r="I58" s="31"/>
      <c r="J58" s="32"/>
      <c r="K58" s="32"/>
    </row>
    <row r="59" spans="1:11" ht="15" thickBot="1" x14ac:dyDescent="0.35">
      <c r="A59" s="118"/>
      <c r="B59" s="40"/>
      <c r="C59" s="118"/>
      <c r="D59" s="118"/>
      <c r="E59" s="118"/>
      <c r="F59" s="118"/>
      <c r="G59" s="42"/>
      <c r="H59" s="42"/>
      <c r="I59" s="31"/>
      <c r="J59" s="32"/>
      <c r="K59" s="32"/>
    </row>
    <row r="60" spans="1:11" x14ac:dyDescent="0.3">
      <c r="A60" s="453" t="s">
        <v>78</v>
      </c>
      <c r="B60" s="454"/>
      <c r="C60" s="92"/>
      <c r="D60" s="92"/>
      <c r="E60" s="454" t="s">
        <v>79</v>
      </c>
      <c r="F60" s="454"/>
      <c r="G60" s="55"/>
      <c r="H60" s="56"/>
      <c r="I60" s="93">
        <f>SUM(1+G26,G31,G32)</f>
        <v>1.0484000000000002</v>
      </c>
      <c r="J60" s="32"/>
      <c r="K60" s="32"/>
    </row>
    <row r="61" spans="1:11" x14ac:dyDescent="0.3">
      <c r="A61" s="117"/>
      <c r="B61" s="35"/>
      <c r="C61" s="118"/>
      <c r="D61" s="118"/>
      <c r="E61" s="118"/>
      <c r="F61" s="118"/>
      <c r="G61" s="42"/>
      <c r="H61" s="58"/>
      <c r="I61" s="31">
        <f>1+G28</f>
        <v>1.0102</v>
      </c>
      <c r="J61" s="32"/>
      <c r="K61" s="32"/>
    </row>
    <row r="62" spans="1:11" x14ac:dyDescent="0.3">
      <c r="A62" s="57"/>
      <c r="B62" s="94" t="s">
        <v>80</v>
      </c>
      <c r="C62" s="95">
        <v>0.19600000000000001</v>
      </c>
      <c r="D62" s="63" t="str">
        <f>IF(AND(C62&gt;I65,C11="X"),"BDI ABAIXO","")</f>
        <v/>
      </c>
      <c r="E62" s="94" t="s">
        <v>80</v>
      </c>
      <c r="F62" s="95">
        <v>0.25600000000000001</v>
      </c>
      <c r="G62" s="63" t="str">
        <f>IF(AND(F62&gt;I65,C10="X"),"BDI ABAIXO","")</f>
        <v/>
      </c>
      <c r="H62" s="58"/>
      <c r="I62" s="31">
        <f>1+G34</f>
        <v>1.075</v>
      </c>
      <c r="J62" s="32"/>
      <c r="K62" s="32"/>
    </row>
    <row r="63" spans="1:11" x14ac:dyDescent="0.3">
      <c r="A63" s="57"/>
      <c r="B63" s="94" t="s">
        <v>81</v>
      </c>
      <c r="C63" s="95">
        <v>0.24229999999999999</v>
      </c>
      <c r="D63" s="63" t="str">
        <f>IF(AND(C63&lt;I66,C11="X"),"BDI ACIMA","")</f>
        <v/>
      </c>
      <c r="E63" s="94" t="s">
        <v>81</v>
      </c>
      <c r="F63" s="95">
        <v>0.30520000000000003</v>
      </c>
      <c r="G63" s="63" t="str">
        <f>IF(AND(F63&lt;I65,C10="X"),"BDI ACIMA","")</f>
        <v/>
      </c>
      <c r="H63" s="58"/>
      <c r="I63" s="31">
        <f>1-G41</f>
        <v>0.9335</v>
      </c>
      <c r="J63" s="32"/>
      <c r="K63" s="32"/>
    </row>
    <row r="64" spans="1:11" ht="15" thickBot="1" x14ac:dyDescent="0.35">
      <c r="A64" s="84"/>
      <c r="B64" s="89"/>
      <c r="C64" s="52"/>
      <c r="D64" s="96"/>
      <c r="E64" s="52"/>
      <c r="F64" s="96"/>
      <c r="G64" s="90"/>
      <c r="H64" s="91"/>
      <c r="I64" s="31">
        <f>I60*I61*I62/I63</f>
        <v>1.2196311794322443</v>
      </c>
      <c r="J64" s="32"/>
      <c r="K64" s="32"/>
    </row>
    <row r="65" spans="1:11" ht="15" thickBot="1" x14ac:dyDescent="0.35">
      <c r="A65" s="118"/>
      <c r="B65" s="118"/>
      <c r="C65" s="118"/>
      <c r="D65" s="118"/>
      <c r="E65" s="118"/>
      <c r="F65" s="118"/>
      <c r="G65" s="42"/>
      <c r="H65" s="42"/>
      <c r="I65" s="31">
        <f>ROUND(I64-1,4)</f>
        <v>0.21959999999999999</v>
      </c>
      <c r="J65" s="32"/>
      <c r="K65" s="32"/>
    </row>
    <row r="66" spans="1:11" ht="15" thickBot="1" x14ac:dyDescent="0.35">
      <c r="A66" s="118"/>
      <c r="B66" s="118"/>
      <c r="C66" s="118"/>
      <c r="D66" s="134"/>
      <c r="E66" s="456" t="s">
        <v>82</v>
      </c>
      <c r="F66" s="457"/>
      <c r="G66" s="135">
        <f>IF(AND(K45="OK",K46="OK",K47="OK",K48="OK"),I65,IF(K45="VER TIPO DE BDI","VER TIPO DE BDI",IF(K46="VER TIPO DE SERVIÇO","VER TIPO DE SERVIÇO",IF(K47="VER PERCENTUAIS","VER PERCENTUAIS",IF(K48="BDI FORA DO LIMITE","BDI FORA DO LIMITE","VÁRIOS ERROS")))))</f>
        <v>0.21959999999999999</v>
      </c>
      <c r="H66" s="136" t="str">
        <f>IF(AND(M66&gt;=P66,M66&lt;=Q66),"","FORA DO LIMITE")</f>
        <v/>
      </c>
      <c r="I66" s="97">
        <f>G72</f>
        <v>0.21959999999999999</v>
      </c>
      <c r="J66" s="32"/>
      <c r="K66" s="32"/>
    </row>
    <row r="67" spans="1:11" x14ac:dyDescent="0.3">
      <c r="A67" s="118"/>
      <c r="B67" s="118"/>
      <c r="C67" s="118"/>
      <c r="D67" s="118"/>
      <c r="E67" s="33"/>
      <c r="F67" s="33"/>
      <c r="G67" s="137"/>
      <c r="H67" s="137"/>
      <c r="I67" s="98"/>
      <c r="J67" s="32"/>
      <c r="K67" s="32"/>
    </row>
    <row r="68" spans="1:11" x14ac:dyDescent="0.3">
      <c r="A68" s="33"/>
      <c r="B68" s="35" t="s">
        <v>83</v>
      </c>
      <c r="C68" s="33"/>
      <c r="D68" s="33"/>
      <c r="E68" s="118"/>
      <c r="F68" s="118"/>
      <c r="G68" s="118"/>
      <c r="H68" s="118"/>
      <c r="I68" s="98"/>
      <c r="J68" s="32"/>
      <c r="K68" s="32"/>
    </row>
    <row r="69" spans="1:11" x14ac:dyDescent="0.3">
      <c r="A69" s="40"/>
      <c r="B69" s="7" t="s">
        <v>84</v>
      </c>
      <c r="C69" s="7"/>
      <c r="D69" s="7"/>
      <c r="E69" s="118"/>
      <c r="F69" s="118"/>
      <c r="G69" s="458"/>
      <c r="H69" s="458"/>
      <c r="I69" s="31"/>
      <c r="J69" s="32"/>
      <c r="K69" s="32"/>
    </row>
    <row r="70" spans="1:11" x14ac:dyDescent="0.3">
      <c r="A70" s="118"/>
      <c r="B70" s="7" t="s">
        <v>85</v>
      </c>
      <c r="C70" s="138"/>
      <c r="D70" s="118"/>
      <c r="E70" s="118"/>
      <c r="F70" s="118"/>
      <c r="G70" s="459"/>
      <c r="H70" s="459"/>
      <c r="I70" s="31"/>
      <c r="J70" s="32"/>
      <c r="K70" s="32"/>
    </row>
    <row r="71" spans="1:11" x14ac:dyDescent="0.3">
      <c r="A71" s="118"/>
      <c r="B71" s="7" t="s">
        <v>86</v>
      </c>
      <c r="C71" s="118"/>
      <c r="D71" s="118"/>
      <c r="E71" s="118"/>
      <c r="F71" s="139"/>
      <c r="G71" s="42"/>
      <c r="H71" s="42"/>
      <c r="I71" s="31"/>
      <c r="J71" s="32"/>
      <c r="K71" s="32"/>
    </row>
    <row r="72" spans="1:11" x14ac:dyDescent="0.3">
      <c r="A72" s="118"/>
      <c r="B72" s="118"/>
      <c r="C72" s="118"/>
      <c r="D72" s="118"/>
      <c r="E72" s="118"/>
      <c r="F72" s="99" t="s">
        <v>87</v>
      </c>
      <c r="G72" s="460">
        <f>I65</f>
        <v>0.21959999999999999</v>
      </c>
      <c r="H72" s="461"/>
      <c r="I72" s="31"/>
      <c r="J72" s="32"/>
      <c r="K72" s="32"/>
    </row>
    <row r="73" spans="1:11" x14ac:dyDescent="0.3">
      <c r="A73" s="140"/>
      <c r="B73" s="140"/>
      <c r="C73" s="141"/>
      <c r="D73" s="142"/>
      <c r="E73" s="141"/>
      <c r="F73" s="141"/>
      <c r="G73" s="142"/>
      <c r="H73" s="142"/>
    </row>
    <row r="74" spans="1:11" x14ac:dyDescent="0.3">
      <c r="A74" s="140"/>
      <c r="B74" s="140"/>
      <c r="C74" s="141"/>
      <c r="D74" s="142"/>
      <c r="E74" s="141"/>
      <c r="F74" s="141"/>
      <c r="G74" s="142"/>
      <c r="H74" s="142"/>
    </row>
  </sheetData>
  <mergeCells count="21">
    <mergeCell ref="E66:F66"/>
    <mergeCell ref="G69:H69"/>
    <mergeCell ref="G70:H70"/>
    <mergeCell ref="G72:H72"/>
    <mergeCell ref="A24:B24"/>
    <mergeCell ref="E24:F24"/>
    <mergeCell ref="B38:C38"/>
    <mergeCell ref="A44:B44"/>
    <mergeCell ref="A60:B60"/>
    <mergeCell ref="E60:F60"/>
    <mergeCell ref="B22:C22"/>
    <mergeCell ref="A1:H1"/>
    <mergeCell ref="A2:H2"/>
    <mergeCell ref="A3:H3"/>
    <mergeCell ref="A5:H5"/>
    <mergeCell ref="B6:E6"/>
    <mergeCell ref="A8:B8"/>
    <mergeCell ref="B12:C12"/>
    <mergeCell ref="E12:G12"/>
    <mergeCell ref="A14:B14"/>
    <mergeCell ref="B21:D21"/>
  </mergeCells>
  <conditionalFormatting sqref="B12">
    <cfRule type="cellIs" dxfId="46" priority="19" operator="equal">
      <formula>"SELECIONE SOMENTE UM TIPO DE BDI"</formula>
    </cfRule>
  </conditionalFormatting>
  <conditionalFormatting sqref="B21">
    <cfRule type="cellIs" dxfId="45" priority="6" operator="equal">
      <formula>"NÃO HÁ DESONERAÇÃO PARA FORNECIMENTO DE MATERIAIS"</formula>
    </cfRule>
  </conditionalFormatting>
  <conditionalFormatting sqref="B22">
    <cfRule type="cellIs" dxfId="44" priority="25" operator="equal">
      <formula>"SELECIONE SOMENTE UM TIPO DE SERVIÇO"</formula>
    </cfRule>
  </conditionalFormatting>
  <conditionalFormatting sqref="B12:C12 E12:G12">
    <cfRule type="cellIs" dxfId="43" priority="9" operator="equal">
      <formula>"SELECIONE UM TIPO DE BDI"</formula>
    </cfRule>
  </conditionalFormatting>
  <conditionalFormatting sqref="B22:C22">
    <cfRule type="cellIs" dxfId="42" priority="8" operator="equal">
      <formula>"SELECIONE UM TIPO DE SERVIÇO"</formula>
    </cfRule>
  </conditionalFormatting>
  <conditionalFormatting sqref="B38:C38">
    <cfRule type="cellIs" dxfId="41" priority="18" operator="equal">
      <formula>"APAGUE O PERCENTUAL DESTA LINHA"</formula>
    </cfRule>
  </conditionalFormatting>
  <conditionalFormatting sqref="C10:C11 G16:G21 G26 G28 G31:G32 G34">
    <cfRule type="cellIs" dxfId="40" priority="16" operator="equal">
      <formula>0</formula>
    </cfRule>
  </conditionalFormatting>
  <conditionalFormatting sqref="D26 D38:D40">
    <cfRule type="cellIs" dxfId="39" priority="24" operator="equal">
      <formula>"FORA DO LIMITE"</formula>
    </cfRule>
  </conditionalFormatting>
  <conditionalFormatting sqref="D28">
    <cfRule type="cellIs" dxfId="38" priority="23" operator="equal">
      <formula>"FORA DO LIMITE"</formula>
    </cfRule>
  </conditionalFormatting>
  <conditionalFormatting sqref="D31:D32">
    <cfRule type="cellIs" dxfId="37" priority="21" operator="equal">
      <formula>"FORA DO LIMITE"</formula>
    </cfRule>
  </conditionalFormatting>
  <conditionalFormatting sqref="D34">
    <cfRule type="cellIs" dxfId="36" priority="20" operator="equal">
      <formula>"FORA DO LIMITE"</formula>
    </cfRule>
  </conditionalFormatting>
  <conditionalFormatting sqref="D62">
    <cfRule type="cellIs" dxfId="35" priority="5" operator="equal">
      <formula>"BDI ABAIXO"</formula>
    </cfRule>
  </conditionalFormatting>
  <conditionalFormatting sqref="D63">
    <cfRule type="cellIs" dxfId="34" priority="4" operator="equal">
      <formula>"BDI ACIMA"</formula>
    </cfRule>
  </conditionalFormatting>
  <conditionalFormatting sqref="E12">
    <cfRule type="cellIs" dxfId="33" priority="12" operator="equal">
      <formula>"SELECIONE SOMENTE UM TIPO DE BDI"</formula>
    </cfRule>
  </conditionalFormatting>
  <conditionalFormatting sqref="E12:G12">
    <cfRule type="cellIs" dxfId="32" priority="7" operator="equal">
      <formula>"SOMENTE HÁ DESONERAÇÃO PARA OBRAS"</formula>
    </cfRule>
    <cfRule type="cellIs" dxfId="31" priority="11" operator="equal">
      <formula>"NÃO HÁ PROJETO PARA FORNECIMENTO"</formula>
    </cfRule>
  </conditionalFormatting>
  <conditionalFormatting sqref="G38:G40">
    <cfRule type="cellIs" dxfId="30" priority="10" operator="equal">
      <formula>0</formula>
    </cfRule>
  </conditionalFormatting>
  <conditionalFormatting sqref="G62">
    <cfRule type="cellIs" dxfId="29" priority="3" operator="equal">
      <formula>"BDI ABAIXO"</formula>
    </cfRule>
  </conditionalFormatting>
  <conditionalFormatting sqref="G63">
    <cfRule type="cellIs" dxfId="28" priority="2" operator="equal">
      <formula>"BDI ACIMA"</formula>
    </cfRule>
  </conditionalFormatting>
  <conditionalFormatting sqref="G66:H67">
    <cfRule type="cellIs" dxfId="27" priority="1" operator="equal">
      <formula>"VER PERCENTUAIS"</formula>
    </cfRule>
    <cfRule type="cellIs" dxfId="26" priority="13" operator="equal">
      <formula>"VÁRIOS ERROS"</formula>
    </cfRule>
    <cfRule type="cellIs" dxfId="25" priority="14" operator="equal">
      <formula>"BDI FORA DO LIMITE"</formula>
    </cfRule>
    <cfRule type="cellIs" dxfId="24" priority="15" operator="equal">
      <formula>"VER TIPO DE BDI"</formula>
    </cfRule>
    <cfRule type="cellIs" dxfId="23" priority="17" operator="equal">
      <formula>"VER TIPO DE SERVIÇO"</formula>
    </cfRule>
  </conditionalFormatting>
  <dataValidations disablePrompts="1" count="3">
    <dataValidation type="list" allowBlank="1" showInputMessage="1" showErrorMessage="1" promptTitle="Alerta" prompt="Digite somente 'X'" sqref="G16:G21 C10:C11" xr:uid="{00000000-0002-0000-0700-000000000000}">
      <formula1>"x,X"</formula1>
    </dataValidation>
    <dataValidation type="decimal" allowBlank="1" showInputMessage="1" showErrorMessage="1" sqref="G38:G41 G26:G36" xr:uid="{00000000-0002-0000-0700-000001000000}">
      <formula1>0</formula1>
      <formula2>100</formula2>
    </dataValidation>
    <dataValidation allowBlank="1" promptTitle="Alerta" prompt="Digite somente 'X'" sqref="F10:F11" xr:uid="{00000000-0002-0000-0700-000002000000}"/>
  </dataValidations>
  <pageMargins left="0.51181102362204722" right="0.51181102362204722" top="1.7716535433070868" bottom="1.1811023622047245" header="0.51181102362204722" footer="0.51181102362204722"/>
  <pageSetup paperSize="9" scale="70" fitToHeight="0" orientation="portrait" r:id="rId1"/>
  <headerFooter>
    <oddHeader>&amp;C&amp;G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  <pageSetUpPr fitToPage="1"/>
  </sheetPr>
  <dimension ref="A2:F39"/>
  <sheetViews>
    <sheetView workbookViewId="0">
      <selection activeCell="D26" sqref="D26"/>
    </sheetView>
  </sheetViews>
  <sheetFormatPr defaultRowHeight="14.4" x14ac:dyDescent="0.3"/>
  <cols>
    <col min="1" max="1" width="15.6640625" style="100" customWidth="1"/>
    <col min="2" max="2" width="35.33203125" style="102" bestFit="1" customWidth="1"/>
    <col min="3" max="3" width="9.33203125" style="101" customWidth="1"/>
    <col min="4" max="4" width="12.33203125" style="102" customWidth="1"/>
    <col min="5" max="5" width="10.44140625" style="101" customWidth="1"/>
    <col min="6" max="6" width="11.44140625" style="101" customWidth="1"/>
  </cols>
  <sheetData>
    <row r="2" spans="1:6" x14ac:dyDescent="0.3">
      <c r="A2" s="464" t="s">
        <v>88</v>
      </c>
      <c r="B2" s="464"/>
      <c r="C2" s="464"/>
      <c r="D2" s="464"/>
      <c r="E2" s="464"/>
      <c r="F2" s="464"/>
    </row>
    <row r="3" spans="1:6" x14ac:dyDescent="0.3">
      <c r="A3" s="416" t="s">
        <v>89</v>
      </c>
      <c r="B3" s="465" t="s">
        <v>90</v>
      </c>
      <c r="C3" s="464" t="s">
        <v>91</v>
      </c>
      <c r="D3" s="464"/>
      <c r="E3" s="464" t="s">
        <v>92</v>
      </c>
      <c r="F3" s="464"/>
    </row>
    <row r="4" spans="1:6" ht="20.399999999999999" x14ac:dyDescent="0.3">
      <c r="A4" s="416"/>
      <c r="B4" s="465"/>
      <c r="C4" s="103" t="s">
        <v>93</v>
      </c>
      <c r="D4" s="103" t="s">
        <v>94</v>
      </c>
      <c r="E4" s="103" t="s">
        <v>93</v>
      </c>
      <c r="F4" s="103" t="s">
        <v>94</v>
      </c>
    </row>
    <row r="5" spans="1:6" x14ac:dyDescent="0.3">
      <c r="A5" s="464" t="s">
        <v>95</v>
      </c>
      <c r="B5" s="464"/>
      <c r="C5" s="464"/>
      <c r="D5" s="464"/>
      <c r="E5" s="464"/>
      <c r="F5" s="464"/>
    </row>
    <row r="6" spans="1:6" x14ac:dyDescent="0.3">
      <c r="A6" s="103" t="s">
        <v>96</v>
      </c>
      <c r="B6" s="104" t="s">
        <v>97</v>
      </c>
      <c r="C6" s="105">
        <v>0.05</v>
      </c>
      <c r="D6" s="105">
        <v>0.05</v>
      </c>
      <c r="E6" s="105">
        <v>0.2</v>
      </c>
      <c r="F6" s="105">
        <v>0.2</v>
      </c>
    </row>
    <row r="7" spans="1:6" x14ac:dyDescent="0.3">
      <c r="A7" s="103" t="s">
        <v>98</v>
      </c>
      <c r="B7" s="104" t="s">
        <v>99</v>
      </c>
      <c r="C7" s="105">
        <v>1.4999999999999999E-2</v>
      </c>
      <c r="D7" s="105">
        <v>1.4999999999999999E-2</v>
      </c>
      <c r="E7" s="105">
        <v>1.4999999999999999E-2</v>
      </c>
      <c r="F7" s="105">
        <v>1.4999999999999999E-2</v>
      </c>
    </row>
    <row r="8" spans="1:6" x14ac:dyDescent="0.3">
      <c r="A8" s="103" t="s">
        <v>100</v>
      </c>
      <c r="B8" s="104" t="s">
        <v>101</v>
      </c>
      <c r="C8" s="105">
        <v>0.01</v>
      </c>
      <c r="D8" s="105">
        <v>0.01</v>
      </c>
      <c r="E8" s="105">
        <v>0.01</v>
      </c>
      <c r="F8" s="105">
        <v>0.01</v>
      </c>
    </row>
    <row r="9" spans="1:6" x14ac:dyDescent="0.3">
      <c r="A9" s="103" t="s">
        <v>102</v>
      </c>
      <c r="B9" s="104" t="s">
        <v>103</v>
      </c>
      <c r="C9" s="105">
        <v>2E-3</v>
      </c>
      <c r="D9" s="105">
        <v>2E-3</v>
      </c>
      <c r="E9" s="105">
        <v>2E-3</v>
      </c>
      <c r="F9" s="105">
        <v>2E-3</v>
      </c>
    </row>
    <row r="10" spans="1:6" x14ac:dyDescent="0.3">
      <c r="A10" s="103" t="s">
        <v>104</v>
      </c>
      <c r="B10" s="104" t="s">
        <v>105</v>
      </c>
      <c r="C10" s="105">
        <v>6.0000000000000001E-3</v>
      </c>
      <c r="D10" s="105">
        <v>6.0000000000000001E-3</v>
      </c>
      <c r="E10" s="105">
        <v>6.0000000000000001E-3</v>
      </c>
      <c r="F10" s="105">
        <v>6.0000000000000001E-3</v>
      </c>
    </row>
    <row r="11" spans="1:6" x14ac:dyDescent="0.3">
      <c r="A11" s="103" t="s">
        <v>106</v>
      </c>
      <c r="B11" s="104" t="s">
        <v>107</v>
      </c>
      <c r="C11" s="105">
        <v>2.5000000000000001E-2</v>
      </c>
      <c r="D11" s="105">
        <v>2.5000000000000001E-2</v>
      </c>
      <c r="E11" s="105">
        <v>2.5000000000000001E-2</v>
      </c>
      <c r="F11" s="105">
        <v>2.5000000000000001E-2</v>
      </c>
    </row>
    <row r="12" spans="1:6" x14ac:dyDescent="0.3">
      <c r="A12" s="103" t="s">
        <v>108</v>
      </c>
      <c r="B12" s="104" t="s">
        <v>109</v>
      </c>
      <c r="C12" s="105">
        <v>0.03</v>
      </c>
      <c r="D12" s="105">
        <v>0.03</v>
      </c>
      <c r="E12" s="105">
        <v>0.03</v>
      </c>
      <c r="F12" s="105">
        <v>0.03</v>
      </c>
    </row>
    <row r="13" spans="1:6" x14ac:dyDescent="0.3">
      <c r="A13" s="103" t="s">
        <v>110</v>
      </c>
      <c r="B13" s="104" t="s">
        <v>111</v>
      </c>
      <c r="C13" s="105">
        <v>0.08</v>
      </c>
      <c r="D13" s="105">
        <v>0.08</v>
      </c>
      <c r="E13" s="105">
        <v>0.08</v>
      </c>
      <c r="F13" s="105">
        <v>0.08</v>
      </c>
    </row>
    <row r="14" spans="1:6" x14ac:dyDescent="0.3">
      <c r="A14" s="103" t="s">
        <v>112</v>
      </c>
      <c r="B14" s="104" t="s">
        <v>113</v>
      </c>
      <c r="C14" s="105">
        <v>0</v>
      </c>
      <c r="D14" s="105">
        <v>0</v>
      </c>
      <c r="E14" s="105">
        <v>0</v>
      </c>
      <c r="F14" s="105">
        <v>0</v>
      </c>
    </row>
    <row r="15" spans="1:6" x14ac:dyDescent="0.3">
      <c r="A15" s="106" t="s">
        <v>114</v>
      </c>
      <c r="B15" s="107" t="s">
        <v>115</v>
      </c>
      <c r="C15" s="108">
        <f>SUM(C6:C14)</f>
        <v>0.21800000000000003</v>
      </c>
      <c r="D15" s="108">
        <f>SUM(D6:D14)</f>
        <v>0.21800000000000003</v>
      </c>
      <c r="E15" s="108">
        <f>SUM(E6:E14)</f>
        <v>0.36800000000000005</v>
      </c>
      <c r="F15" s="108">
        <f>SUM(F6:F14)</f>
        <v>0.36800000000000005</v>
      </c>
    </row>
    <row r="16" spans="1:6" x14ac:dyDescent="0.3">
      <c r="A16" s="464" t="s">
        <v>116</v>
      </c>
      <c r="B16" s="464"/>
      <c r="C16" s="464"/>
      <c r="D16" s="464"/>
      <c r="E16" s="464"/>
      <c r="F16" s="464"/>
    </row>
    <row r="17" spans="1:6" x14ac:dyDescent="0.3">
      <c r="A17" s="103" t="s">
        <v>117</v>
      </c>
      <c r="B17" s="104" t="s">
        <v>118</v>
      </c>
      <c r="C17" s="105">
        <v>0.1782</v>
      </c>
      <c r="D17" s="103" t="s">
        <v>119</v>
      </c>
      <c r="E17" s="105">
        <v>0.1782</v>
      </c>
      <c r="F17" s="103" t="s">
        <v>119</v>
      </c>
    </row>
    <row r="18" spans="1:6" x14ac:dyDescent="0.3">
      <c r="A18" s="103" t="s">
        <v>120</v>
      </c>
      <c r="B18" s="104" t="s">
        <v>121</v>
      </c>
      <c r="C18" s="105">
        <v>3.95E-2</v>
      </c>
      <c r="D18" s="103" t="s">
        <v>119</v>
      </c>
      <c r="E18" s="105">
        <v>3.95E-2</v>
      </c>
      <c r="F18" s="103" t="s">
        <v>119</v>
      </c>
    </row>
    <row r="19" spans="1:6" x14ac:dyDescent="0.3">
      <c r="A19" s="103" t="s">
        <v>122</v>
      </c>
      <c r="B19" s="104" t="s">
        <v>123</v>
      </c>
      <c r="C19" s="105">
        <v>8.6E-3</v>
      </c>
      <c r="D19" s="105">
        <v>6.4999999999999997E-3</v>
      </c>
      <c r="E19" s="105">
        <v>8.6E-3</v>
      </c>
      <c r="F19" s="105">
        <v>6.4999999999999997E-3</v>
      </c>
    </row>
    <row r="20" spans="1:6" x14ac:dyDescent="0.3">
      <c r="A20" s="103" t="s">
        <v>124</v>
      </c>
      <c r="B20" s="104" t="s">
        <v>125</v>
      </c>
      <c r="C20" s="105">
        <v>0.1096</v>
      </c>
      <c r="D20" s="105">
        <v>8.3299999999999999E-2</v>
      </c>
      <c r="E20" s="105">
        <v>0.1096</v>
      </c>
      <c r="F20" s="105">
        <v>8.3299999999999999E-2</v>
      </c>
    </row>
    <row r="21" spans="1:6" x14ac:dyDescent="0.3">
      <c r="A21" s="103" t="s">
        <v>126</v>
      </c>
      <c r="B21" s="104" t="s">
        <v>127</v>
      </c>
      <c r="C21" s="105">
        <v>6.9999999999999999E-4</v>
      </c>
      <c r="D21" s="105">
        <v>5.0000000000000001E-4</v>
      </c>
      <c r="E21" s="105">
        <v>6.9999999999999999E-4</v>
      </c>
      <c r="F21" s="105">
        <v>5.0000000000000001E-4</v>
      </c>
    </row>
    <row r="22" spans="1:6" x14ac:dyDescent="0.3">
      <c r="A22" s="103" t="s">
        <v>128</v>
      </c>
      <c r="B22" s="104" t="s">
        <v>129</v>
      </c>
      <c r="C22" s="105">
        <v>7.3000000000000001E-3</v>
      </c>
      <c r="D22" s="105">
        <v>5.5999999999999999E-3</v>
      </c>
      <c r="E22" s="105">
        <v>7.3000000000000001E-3</v>
      </c>
      <c r="F22" s="105">
        <v>5.5999999999999999E-3</v>
      </c>
    </row>
    <row r="23" spans="1:6" x14ac:dyDescent="0.3">
      <c r="A23" s="103" t="s">
        <v>130</v>
      </c>
      <c r="B23" s="104" t="s">
        <v>131</v>
      </c>
      <c r="C23" s="105">
        <v>1.17E-2</v>
      </c>
      <c r="D23" s="103" t="s">
        <v>119</v>
      </c>
      <c r="E23" s="105">
        <v>1.17E-2</v>
      </c>
      <c r="F23" s="103" t="s">
        <v>119</v>
      </c>
    </row>
    <row r="24" spans="1:6" x14ac:dyDescent="0.3">
      <c r="A24" s="103" t="s">
        <v>132</v>
      </c>
      <c r="B24" s="104" t="s">
        <v>133</v>
      </c>
      <c r="C24" s="105">
        <v>1E-3</v>
      </c>
      <c r="D24" s="105">
        <v>6.9999999999999999E-4</v>
      </c>
      <c r="E24" s="105">
        <v>1E-3</v>
      </c>
      <c r="F24" s="105">
        <v>6.9999999999999999E-4</v>
      </c>
    </row>
    <row r="25" spans="1:6" x14ac:dyDescent="0.3">
      <c r="A25" s="103" t="s">
        <v>134</v>
      </c>
      <c r="B25" s="104" t="s">
        <v>135</v>
      </c>
      <c r="C25" s="105">
        <v>0.1171</v>
      </c>
      <c r="D25" s="105">
        <v>8.8999999999999996E-2</v>
      </c>
      <c r="E25" s="105">
        <v>0.1171</v>
      </c>
      <c r="F25" s="105">
        <v>8.8999999999999996E-2</v>
      </c>
    </row>
    <row r="26" spans="1:6" x14ac:dyDescent="0.3">
      <c r="A26" s="103" t="s">
        <v>136</v>
      </c>
      <c r="B26" s="104" t="s">
        <v>137</v>
      </c>
      <c r="C26" s="105">
        <v>2.9999999999999997E-4</v>
      </c>
      <c r="D26" s="105">
        <v>2.9999999999999997E-4</v>
      </c>
      <c r="E26" s="105">
        <v>2.9999999999999997E-4</v>
      </c>
      <c r="F26" s="105">
        <v>2.9999999999999997E-4</v>
      </c>
    </row>
    <row r="27" spans="1:6" x14ac:dyDescent="0.3">
      <c r="A27" s="106" t="s">
        <v>138</v>
      </c>
      <c r="B27" s="107" t="s">
        <v>115</v>
      </c>
      <c r="C27" s="108">
        <f>SUM(C17:C26)</f>
        <v>0.47399999999999992</v>
      </c>
      <c r="D27" s="108">
        <f>SUM(D17:D26)</f>
        <v>0.18589999999999998</v>
      </c>
      <c r="E27" s="108">
        <f>SUM(E17:E26)</f>
        <v>0.47399999999999992</v>
      </c>
      <c r="F27" s="108">
        <f>SUM(F17:F26)</f>
        <v>0.18589999999999998</v>
      </c>
    </row>
    <row r="28" spans="1:6" x14ac:dyDescent="0.3">
      <c r="A28" s="464" t="s">
        <v>139</v>
      </c>
      <c r="B28" s="464"/>
      <c r="C28" s="464"/>
      <c r="D28" s="464"/>
      <c r="E28" s="464"/>
      <c r="F28" s="464"/>
    </row>
    <row r="29" spans="1:6" x14ac:dyDescent="0.3">
      <c r="A29" s="103" t="s">
        <v>140</v>
      </c>
      <c r="B29" s="104" t="s">
        <v>141</v>
      </c>
      <c r="C29" s="105">
        <v>5.2999999999999999E-2</v>
      </c>
      <c r="D29" s="105">
        <v>4.0300000000000002E-2</v>
      </c>
      <c r="E29" s="105">
        <v>5.2999999999999999E-2</v>
      </c>
      <c r="F29" s="105">
        <v>4.0300000000000002E-2</v>
      </c>
    </row>
    <row r="30" spans="1:6" x14ac:dyDescent="0.3">
      <c r="A30" s="103" t="s">
        <v>142</v>
      </c>
      <c r="B30" s="104" t="s">
        <v>143</v>
      </c>
      <c r="C30" s="105">
        <v>1.1999999999999999E-3</v>
      </c>
      <c r="D30" s="105">
        <v>8.9999999999999998E-4</v>
      </c>
      <c r="E30" s="105">
        <v>1.1999999999999999E-3</v>
      </c>
      <c r="F30" s="105">
        <v>8.9999999999999998E-4</v>
      </c>
    </row>
    <row r="31" spans="1:6" x14ac:dyDescent="0.3">
      <c r="A31" s="103" t="s">
        <v>144</v>
      </c>
      <c r="B31" s="104" t="s">
        <v>145</v>
      </c>
      <c r="C31" s="105">
        <v>2.46E-2</v>
      </c>
      <c r="D31" s="105">
        <v>1.8700000000000001E-2</v>
      </c>
      <c r="E31" s="105">
        <v>2.46E-2</v>
      </c>
      <c r="F31" s="105">
        <v>1.8700000000000001E-2</v>
      </c>
    </row>
    <row r="32" spans="1:6" x14ac:dyDescent="0.3">
      <c r="A32" s="103" t="s">
        <v>146</v>
      </c>
      <c r="B32" s="104" t="s">
        <v>147</v>
      </c>
      <c r="C32" s="105">
        <v>2.8899999999999999E-2</v>
      </c>
      <c r="D32" s="105">
        <v>2.1999999999999999E-2</v>
      </c>
      <c r="E32" s="105">
        <v>2.8899999999999999E-2</v>
      </c>
      <c r="F32" s="105">
        <v>2.1999999999999999E-2</v>
      </c>
    </row>
    <row r="33" spans="1:6" x14ac:dyDescent="0.3">
      <c r="A33" s="103" t="s">
        <v>148</v>
      </c>
      <c r="B33" s="104" t="s">
        <v>149</v>
      </c>
      <c r="C33" s="105">
        <v>4.4999999999999997E-3</v>
      </c>
      <c r="D33" s="105">
        <v>3.3999999999999998E-3</v>
      </c>
      <c r="E33" s="105">
        <v>4.4999999999999997E-3</v>
      </c>
      <c r="F33" s="105">
        <v>3.3999999999999998E-3</v>
      </c>
    </row>
    <row r="34" spans="1:6" x14ac:dyDescent="0.3">
      <c r="A34" s="106" t="s">
        <v>150</v>
      </c>
      <c r="B34" s="107" t="s">
        <v>115</v>
      </c>
      <c r="C34" s="108">
        <f>SUM(C29:C33)</f>
        <v>0.11219999999999999</v>
      </c>
      <c r="D34" s="108">
        <f>SUM(D29:D33)</f>
        <v>8.5300000000000001E-2</v>
      </c>
      <c r="E34" s="108">
        <f>SUM(E29:E33)</f>
        <v>0.11219999999999999</v>
      </c>
      <c r="F34" s="108">
        <f>SUM(F29:F33)</f>
        <v>8.5300000000000001E-2</v>
      </c>
    </row>
    <row r="35" spans="1:6" x14ac:dyDescent="0.3">
      <c r="A35" s="464" t="s">
        <v>151</v>
      </c>
      <c r="B35" s="464"/>
      <c r="C35" s="464"/>
      <c r="D35" s="464"/>
      <c r="E35" s="464"/>
      <c r="F35" s="464"/>
    </row>
    <row r="36" spans="1:6" x14ac:dyDescent="0.3">
      <c r="A36" s="103" t="s">
        <v>152</v>
      </c>
      <c r="B36" s="104" t="s">
        <v>153</v>
      </c>
      <c r="C36" s="105">
        <v>9.7900000000000001E-2</v>
      </c>
      <c r="D36" s="105">
        <v>3.6400000000000002E-2</v>
      </c>
      <c r="E36" s="105">
        <v>0.1744</v>
      </c>
      <c r="F36" s="105">
        <v>6.8400000000000002E-2</v>
      </c>
    </row>
    <row r="37" spans="1:6" ht="30.6" x14ac:dyDescent="0.3">
      <c r="A37" s="103" t="s">
        <v>154</v>
      </c>
      <c r="B37" s="104" t="s">
        <v>155</v>
      </c>
      <c r="C37" s="105">
        <v>4.4999999999999997E-3</v>
      </c>
      <c r="D37" s="105">
        <v>3.3999999999999998E-3</v>
      </c>
      <c r="E37" s="105">
        <v>4.7000000000000002E-3</v>
      </c>
      <c r="F37" s="105">
        <v>3.5999999999999999E-3</v>
      </c>
    </row>
    <row r="38" spans="1:6" x14ac:dyDescent="0.3">
      <c r="A38" s="106" t="s">
        <v>156</v>
      </c>
      <c r="B38" s="107" t="s">
        <v>115</v>
      </c>
      <c r="C38" s="108">
        <f>SUM(C36:C37)</f>
        <v>0.1024</v>
      </c>
      <c r="D38" s="108">
        <f>SUM(D36:D37)</f>
        <v>3.9800000000000002E-2</v>
      </c>
      <c r="E38" s="108">
        <f>SUM(E36:E37)</f>
        <v>0.17910000000000001</v>
      </c>
      <c r="F38" s="108">
        <f>SUM(F36:F37)</f>
        <v>7.2000000000000008E-2</v>
      </c>
    </row>
    <row r="39" spans="1:6" x14ac:dyDescent="0.3">
      <c r="A39" s="416" t="s">
        <v>157</v>
      </c>
      <c r="B39" s="416"/>
      <c r="C39" s="108">
        <f>SUM(C38,C34,C27,C15)</f>
        <v>0.90659999999999985</v>
      </c>
      <c r="D39" s="108">
        <f>SUM(D38,D34,D27,D15)</f>
        <v>0.52899999999999991</v>
      </c>
      <c r="E39" s="108">
        <f>SUM(E38,E34,E27,E15)</f>
        <v>1.1333</v>
      </c>
      <c r="F39" s="108">
        <f>SUM(F38,F34,F27,F15)</f>
        <v>0.71120000000000005</v>
      </c>
    </row>
  </sheetData>
  <mergeCells count="10">
    <mergeCell ref="A5:F5"/>
    <mergeCell ref="A16:F16"/>
    <mergeCell ref="A28:F28"/>
    <mergeCell ref="A35:F35"/>
    <mergeCell ref="A39:B39"/>
    <mergeCell ref="A2:F2"/>
    <mergeCell ref="A3:A4"/>
    <mergeCell ref="B3:B4"/>
    <mergeCell ref="C3:D3"/>
    <mergeCell ref="E3:F3"/>
  </mergeCells>
  <pageMargins left="0.51181102362204722" right="0.51181102362204722" top="1.7716535433070868" bottom="1.1811023622047245" header="0.51181102362204722" footer="0.51181102362204722"/>
  <pageSetup paperSize="9" scale="97" fitToHeight="0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8</vt:i4>
      </vt:variant>
    </vt:vector>
  </HeadingPairs>
  <TitlesOfParts>
    <vt:vector size="21" baseType="lpstr">
      <vt:lpstr>QCI </vt:lpstr>
      <vt:lpstr>GERAL </vt:lpstr>
      <vt:lpstr>RESUMO SD </vt:lpstr>
      <vt:lpstr>ORÇAMENTO SD</vt:lpstr>
      <vt:lpstr>COMPOSIÇÕES UNITÁRIAS SD (2)</vt:lpstr>
      <vt:lpstr>CRONOGRAMA SD</vt:lpstr>
      <vt:lpstr>MC</vt:lpstr>
      <vt:lpstr>BDI SD</vt:lpstr>
      <vt:lpstr>ENCARGOS</vt:lpstr>
      <vt:lpstr>RESUMO CD  </vt:lpstr>
      <vt:lpstr>ORÇAMENTO CD (2)</vt:lpstr>
      <vt:lpstr>COMPOSIÇÕES UNITÁRIAS CD </vt:lpstr>
      <vt:lpstr>BDI CD</vt:lpstr>
      <vt:lpstr>'CRONOGRAMA SD'!Area_de_impressao</vt:lpstr>
      <vt:lpstr>'GERAL '!Area_de_impressao</vt:lpstr>
      <vt:lpstr>MC!Area_de_impressao</vt:lpstr>
      <vt:lpstr>'ORÇAMENTO CD (2)'!Area_de_impressao</vt:lpstr>
      <vt:lpstr>'ORÇAMENTO SD'!Area_de_impressao</vt:lpstr>
      <vt:lpstr>'QCI '!Area_de_impressao</vt:lpstr>
      <vt:lpstr>'RESUMO CD  '!Area_de_impressao</vt:lpstr>
      <vt:lpstr>'RESUMO SD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2026-03-04T13:29:02Z</dcterms:modified>
</cp:coreProperties>
</file>