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d.docs.live.net/fb097b4fbaa07013/Documentos/SADA/PERFURAÇÃO DE POÇOS NOVO PAC/NOVAS PROPOSTAS (JUNTAS)/1-PROPOSTA PARNAGUÁ E ANÍSIO DE ABREU/PROJETO COMPLETO/ORÇAMENTO/APÓS PEDIDO DO SAUL/"/>
    </mc:Choice>
  </mc:AlternateContent>
  <xr:revisionPtr revIDLastSave="328" documentId="13_ncr:1_{CC66C212-45F7-4841-9F73-78D9F14D77F5}" xr6:coauthVersionLast="47" xr6:coauthVersionMax="47" xr10:uidLastSave="{567E291C-F53F-466F-891D-4B74BFBF1028}"/>
  <bookViews>
    <workbookView xWindow="-108" yWindow="-108" windowWidth="23256" windowHeight="12456" tabRatio="967" firstSheet="1" activeTab="1" xr2:uid="{AA622639-4AC8-40A1-8E2C-C8AEF6985B88}"/>
  </bookViews>
  <sheets>
    <sheet name="DADOS" sheetId="1" state="hidden" r:id="rId1"/>
    <sheet name="RESUMO" sheetId="2" r:id="rId2"/>
    <sheet name="ORCAMENTO" sheetId="4" r:id="rId3"/>
    <sheet name="CO" sheetId="5" state="hidden" r:id="rId4"/>
    <sheet name="CFF" sheetId="3" r:id="rId5"/>
    <sheet name="MEMORIA" sheetId="6" r:id="rId6"/>
    <sheet name="CPU" sheetId="7" r:id="rId7"/>
    <sheet name="CPUAUX1" sheetId="8" r:id="rId8"/>
    <sheet name="CPUAUX2" sheetId="9" r:id="rId9"/>
    <sheet name="CPUAUX3" sheetId="10" r:id="rId10"/>
    <sheet name="CPUAUX4" sheetId="11" r:id="rId11"/>
    <sheet name="CPUAUX5" sheetId="12" r:id="rId12"/>
    <sheet name="BDI" sheetId="13" r:id="rId13"/>
    <sheet name="LSINAPI" sheetId="14" r:id="rId14"/>
    <sheet name="ABC_S" sheetId="15" r:id="rId15"/>
    <sheet name="ABC_I" sheetId="16" r:id="rId16"/>
    <sheet name="COMPRAS" sheetId="17" state="hidden" r:id="rId17"/>
    <sheet name="CONTRATOS" sheetId="18" state="hidden" r:id="rId18"/>
    <sheet name="S" sheetId="19" state="hidden" r:id="rId19"/>
    <sheet name="I" sheetId="20" state="hidden" r:id="rId20"/>
  </sheets>
  <definedNames>
    <definedName name="_xlnm._FilterDatabase" localSheetId="16" hidden="1">COMPRAS!$A$6:$F$144</definedName>
    <definedName name="_xlnm._FilterDatabase" localSheetId="17" hidden="1">CONTRATOS!$A$6:$F$63</definedName>
    <definedName name="_xlnm.Print_Area" localSheetId="15">ABC_I!$A$1:$I$207</definedName>
    <definedName name="_xlnm.Print_Area" localSheetId="14">ABC_S!$A$1:$I$59</definedName>
    <definedName name="_xlnm.Print_Area" localSheetId="12">BDI!$A$1:$F$46</definedName>
    <definedName name="_xlnm.Print_Area" localSheetId="4">CFF!$A$1:$Q$155</definedName>
    <definedName name="_xlnm.Print_Area" localSheetId="3">CO!$A$1:$AB$480</definedName>
    <definedName name="_xlnm.Print_Area" localSheetId="16">COMPRAS!$A$1:$F$145</definedName>
    <definedName name="_xlnm.Print_Area" localSheetId="17">CONTRATOS!$A$1:$F$64</definedName>
    <definedName name="_xlnm.Print_Area" localSheetId="6">CPU!$A$1:$J$557</definedName>
    <definedName name="_xlnm.Print_Area" localSheetId="7">CPUAUX1!$A$1:$J$595</definedName>
    <definedName name="_xlnm.Print_Area" localSheetId="8">CPUAUX2!$A$1:$J$437</definedName>
    <definedName name="_xlnm.Print_Area" localSheetId="9">CPUAUX3!$A$1:$J$262</definedName>
    <definedName name="_xlnm.Print_Area" localSheetId="10">CPUAUX4!$A$1:$J$132</definedName>
    <definedName name="_xlnm.Print_Area" localSheetId="11">CPUAUX5!$A$1:$J$42</definedName>
    <definedName name="_xlnm.Print_Area" localSheetId="0">DADOS!$A$1:$F$47</definedName>
    <definedName name="_xlnm.Print_Area" localSheetId="19">I!$A$1:$G$202</definedName>
    <definedName name="_xlnm.Print_Area" localSheetId="13">LSINAPI!$A$1:$F$46</definedName>
    <definedName name="_xlnm.Print_Area" localSheetId="5">MEMORIA!$A$1:$N$888</definedName>
    <definedName name="_xlnm.Print_Area" localSheetId="2">ORCAMENTO!$A$1:$I$478</definedName>
    <definedName name="_xlnm.Print_Area" localSheetId="1">RESUMO!$A$1:$F$152</definedName>
    <definedName name="_xlnm.Print_Area" localSheetId="18">S!$A$1:$G$187</definedName>
    <definedName name="BDI">DADOS!$B$7</definedName>
    <definedName name="CIDADE">DADOS!$A$1</definedName>
    <definedName name="ETAPA">COMPRAS!$B$5</definedName>
    <definedName name="FOLHA">DADOS!$E$5</definedName>
    <definedName name="FONTE">DADOS!$B$5</definedName>
    <definedName name="icf">DADOS!$F$9</definedName>
    <definedName name="LEI">DADOS!$B$9</definedName>
    <definedName name="OBRA">DADOS!$A$2</definedName>
    <definedName name="pcf">DADOS!$F$8</definedName>
    <definedName name="_xlnm.Print_Titles" localSheetId="15">ABC_I!$1:$6</definedName>
    <definedName name="_xlnm.Print_Titles" localSheetId="14">ABC_S!$1:$6</definedName>
    <definedName name="_xlnm.Print_Titles" localSheetId="12">BDI!$1:$6</definedName>
    <definedName name="_xlnm.Print_Titles" localSheetId="4">CFF!$1:$7</definedName>
    <definedName name="_xlnm.Print_Titles" localSheetId="3">CO!$A:$A,CO!$1:$7</definedName>
    <definedName name="_xlnm.Print_Titles" localSheetId="16">COMPRAS!$1:$6</definedName>
    <definedName name="_xlnm.Print_Titles" localSheetId="17">CONTRATOS!$1:$6</definedName>
    <definedName name="_xlnm.Print_Titles" localSheetId="6">CPU!$1:$5</definedName>
    <definedName name="_xlnm.Print_Titles" localSheetId="7">CPUAUX1!$1:$5</definedName>
    <definedName name="_xlnm.Print_Titles" localSheetId="8">CPUAUX2!$1:$5</definedName>
    <definedName name="_xlnm.Print_Titles" localSheetId="9">CPUAUX3!$1:$5</definedName>
    <definedName name="_xlnm.Print_Titles" localSheetId="10">CPUAUX4!$1:$5</definedName>
    <definedName name="_xlnm.Print_Titles" localSheetId="11">CPUAUX5!$1:$5</definedName>
    <definedName name="_xlnm.Print_Titles" localSheetId="19">I!$1:$6</definedName>
    <definedName name="_xlnm.Print_Titles" localSheetId="13">LSINAPI!$1:$6</definedName>
    <definedName name="_xlnm.Print_Titles" localSheetId="5">MEMORIA!$1:$6</definedName>
    <definedName name="_xlnm.Print_Titles" localSheetId="2">ORCAMENTO!$1:$6</definedName>
    <definedName name="_xlnm.Print_Titles" localSheetId="1">RESUMO!$1:$6</definedName>
    <definedName name="_xlnm.Print_Titles" localSheetId="18">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93" i="6" l="1"/>
  <c r="H589" i="6"/>
  <c r="H301" i="6"/>
  <c r="H297" i="6"/>
  <c r="E201" i="20"/>
  <c r="E200" i="20"/>
  <c r="E199" i="20"/>
  <c r="E198" i="20"/>
  <c r="E197" i="20"/>
  <c r="E196" i="20"/>
  <c r="E195" i="20"/>
  <c r="E194" i="20"/>
  <c r="E193" i="20"/>
  <c r="E192" i="20"/>
  <c r="E191" i="20"/>
  <c r="E190" i="20"/>
  <c r="E189" i="20"/>
  <c r="E188" i="20"/>
  <c r="E187" i="20"/>
  <c r="E186" i="20"/>
  <c r="E185" i="20"/>
  <c r="E184" i="20"/>
  <c r="E183" i="20"/>
  <c r="E182" i="20"/>
  <c r="E181" i="20"/>
  <c r="E180" i="20"/>
  <c r="E179" i="20"/>
  <c r="E178" i="20"/>
  <c r="E177" i="20"/>
  <c r="E176" i="20"/>
  <c r="E175" i="20"/>
  <c r="E174" i="20"/>
  <c r="E173" i="20"/>
  <c r="E172" i="20"/>
  <c r="E171" i="20"/>
  <c r="E170" i="20"/>
  <c r="E169" i="20"/>
  <c r="E168" i="20"/>
  <c r="E167" i="20"/>
  <c r="E166" i="20"/>
  <c r="E165" i="20"/>
  <c r="E164" i="20"/>
  <c r="E163" i="20"/>
  <c r="E162" i="20"/>
  <c r="E161" i="20"/>
  <c r="E160" i="20"/>
  <c r="E159" i="20"/>
  <c r="E158" i="20"/>
  <c r="E157" i="20"/>
  <c r="E156" i="20"/>
  <c r="E155" i="20"/>
  <c r="E154" i="20"/>
  <c r="E153" i="20"/>
  <c r="E152" i="20"/>
  <c r="E151" i="20"/>
  <c r="E150" i="20"/>
  <c r="E149" i="20"/>
  <c r="E148" i="20"/>
  <c r="E147" i="20"/>
  <c r="E146" i="20"/>
  <c r="E145" i="20"/>
  <c r="E144" i="20"/>
  <c r="E143" i="20"/>
  <c r="E142" i="20"/>
  <c r="E141" i="20"/>
  <c r="E140" i="20"/>
  <c r="E139" i="20"/>
  <c r="E138" i="20"/>
  <c r="E137" i="20"/>
  <c r="E136" i="20"/>
  <c r="E135" i="20"/>
  <c r="E134" i="20"/>
  <c r="E133" i="20"/>
  <c r="E132" i="20"/>
  <c r="E131" i="20"/>
  <c r="E130" i="20"/>
  <c r="E129" i="20"/>
  <c r="E128" i="20"/>
  <c r="E127" i="20"/>
  <c r="E126" i="20"/>
  <c r="E125" i="20"/>
  <c r="E124" i="20"/>
  <c r="E123" i="20"/>
  <c r="E122" i="20"/>
  <c r="E121" i="20"/>
  <c r="E120" i="20"/>
  <c r="E119" i="20"/>
  <c r="E118" i="20"/>
  <c r="E117" i="20"/>
  <c r="E116" i="20"/>
  <c r="E115" i="20"/>
  <c r="E114" i="20"/>
  <c r="E113" i="20"/>
  <c r="E112" i="20"/>
  <c r="E111" i="20"/>
  <c r="E110" i="20"/>
  <c r="E109" i="20"/>
  <c r="E108" i="20"/>
  <c r="E107" i="20"/>
  <c r="E106" i="20"/>
  <c r="E105" i="20"/>
  <c r="E104" i="20"/>
  <c r="E103" i="20"/>
  <c r="E102" i="20"/>
  <c r="E101" i="20"/>
  <c r="E100" i="20"/>
  <c r="E99" i="20"/>
  <c r="E98" i="20"/>
  <c r="E97" i="20"/>
  <c r="E96" i="20"/>
  <c r="E95" i="20"/>
  <c r="E94" i="20"/>
  <c r="E93" i="20"/>
  <c r="E92" i="20"/>
  <c r="E91" i="20"/>
  <c r="E90" i="20"/>
  <c r="E89" i="20"/>
  <c r="E88" i="20"/>
  <c r="E87" i="20"/>
  <c r="E86" i="20"/>
  <c r="E85" i="20"/>
  <c r="E84" i="20"/>
  <c r="E83" i="20"/>
  <c r="E82" i="20"/>
  <c r="E81" i="20"/>
  <c r="E80" i="20"/>
  <c r="E79" i="20"/>
  <c r="E78" i="20"/>
  <c r="E77" i="20"/>
  <c r="E76" i="20"/>
  <c r="E75" i="20"/>
  <c r="E74" i="20"/>
  <c r="E73" i="20"/>
  <c r="E72" i="20"/>
  <c r="E71" i="20"/>
  <c r="E70" i="20"/>
  <c r="E69" i="20"/>
  <c r="E68" i="20"/>
  <c r="E67" i="20"/>
  <c r="E66" i="20"/>
  <c r="E65" i="20"/>
  <c r="E64" i="20"/>
  <c r="E63" i="20"/>
  <c r="E62" i="20"/>
  <c r="E61" i="20"/>
  <c r="E60" i="20"/>
  <c r="E59" i="20"/>
  <c r="E58" i="20"/>
  <c r="E57" i="20"/>
  <c r="E56" i="20"/>
  <c r="E55" i="20"/>
  <c r="E54" i="20"/>
  <c r="E53" i="20"/>
  <c r="E52" i="20"/>
  <c r="E51" i="20"/>
  <c r="E50" i="20"/>
  <c r="E49" i="20"/>
  <c r="E48" i="20"/>
  <c r="E47" i="20"/>
  <c r="E46" i="20"/>
  <c r="E45" i="20"/>
  <c r="E44" i="20"/>
  <c r="E43" i="20"/>
  <c r="E42" i="20"/>
  <c r="E41" i="20"/>
  <c r="E40" i="20"/>
  <c r="E39" i="20"/>
  <c r="E38" i="20"/>
  <c r="E37" i="20"/>
  <c r="E36" i="20"/>
  <c r="E35" i="20"/>
  <c r="E34" i="20"/>
  <c r="E33" i="20"/>
  <c r="E32" i="20"/>
  <c r="E31" i="20"/>
  <c r="E30" i="20"/>
  <c r="E29" i="20"/>
  <c r="E28" i="20"/>
  <c r="E27" i="20"/>
  <c r="E26" i="20"/>
  <c r="E25" i="20"/>
  <c r="E24" i="20"/>
  <c r="E23" i="20"/>
  <c r="E22" i="20"/>
  <c r="E21" i="20"/>
  <c r="E20" i="20"/>
  <c r="E19" i="20"/>
  <c r="E18" i="20"/>
  <c r="E17" i="20"/>
  <c r="E16" i="20"/>
  <c r="E15" i="20"/>
  <c r="E14" i="20"/>
  <c r="E13" i="20"/>
  <c r="E12" i="20"/>
  <c r="E11" i="20"/>
  <c r="E10" i="20"/>
  <c r="E9" i="20"/>
  <c r="E8" i="20"/>
  <c r="E7" i="20"/>
  <c r="B5" i="20"/>
  <c r="A2" i="20"/>
  <c r="G125" i="9" s="1"/>
  <c r="I125" i="9" s="1"/>
  <c r="I126" i="9" s="1"/>
  <c r="G124" i="9" s="1"/>
  <c r="A1" i="20"/>
  <c r="C50" i="11" s="1"/>
  <c r="E186" i="19"/>
  <c r="E185" i="19"/>
  <c r="E184" i="19"/>
  <c r="E183" i="19"/>
  <c r="E182" i="19"/>
  <c r="E181" i="19"/>
  <c r="E180" i="19"/>
  <c r="E179" i="19"/>
  <c r="E178" i="19"/>
  <c r="E177" i="19"/>
  <c r="E176" i="19"/>
  <c r="E175" i="19"/>
  <c r="E174" i="19"/>
  <c r="E173" i="19"/>
  <c r="E172" i="19"/>
  <c r="E171" i="19"/>
  <c r="E170" i="19"/>
  <c r="E169" i="19"/>
  <c r="E168" i="19"/>
  <c r="E167" i="19"/>
  <c r="E166" i="19"/>
  <c r="E165" i="19"/>
  <c r="E164" i="19"/>
  <c r="E163" i="19"/>
  <c r="E162" i="19"/>
  <c r="E161" i="19"/>
  <c r="E160" i="19"/>
  <c r="E159" i="19"/>
  <c r="E158" i="19"/>
  <c r="E157" i="19"/>
  <c r="E156" i="19"/>
  <c r="E155" i="19"/>
  <c r="E154" i="19"/>
  <c r="E153" i="19"/>
  <c r="E152" i="19"/>
  <c r="E151" i="19"/>
  <c r="E150" i="19"/>
  <c r="E149" i="19"/>
  <c r="E148" i="19"/>
  <c r="E147" i="19"/>
  <c r="E146" i="19"/>
  <c r="E145" i="19"/>
  <c r="E144" i="19"/>
  <c r="E143" i="19"/>
  <c r="E142" i="19"/>
  <c r="E141" i="19"/>
  <c r="E140" i="19"/>
  <c r="E139" i="19"/>
  <c r="E138" i="19"/>
  <c r="E137" i="19"/>
  <c r="E136" i="19"/>
  <c r="E135" i="19"/>
  <c r="E134" i="19"/>
  <c r="E133" i="19"/>
  <c r="E132" i="19"/>
  <c r="E131" i="19"/>
  <c r="E130" i="19"/>
  <c r="E129" i="19"/>
  <c r="E128" i="19"/>
  <c r="E127" i="19"/>
  <c r="E126" i="19"/>
  <c r="E125" i="19"/>
  <c r="E124" i="19"/>
  <c r="E123" i="19"/>
  <c r="E122" i="19"/>
  <c r="E121" i="19"/>
  <c r="E120" i="19"/>
  <c r="E119" i="19"/>
  <c r="E118" i="19"/>
  <c r="E117" i="19"/>
  <c r="E116" i="19"/>
  <c r="E115" i="19"/>
  <c r="E114" i="19"/>
  <c r="E113" i="19"/>
  <c r="E112" i="19"/>
  <c r="E111" i="19"/>
  <c r="E110" i="19"/>
  <c r="E109" i="19"/>
  <c r="E108" i="19"/>
  <c r="E107" i="19"/>
  <c r="E106" i="19"/>
  <c r="E105" i="19"/>
  <c r="E104" i="19"/>
  <c r="E103" i="19"/>
  <c r="E102" i="19"/>
  <c r="E101" i="19"/>
  <c r="E100" i="19"/>
  <c r="E99" i="19"/>
  <c r="E98" i="19"/>
  <c r="E97" i="19"/>
  <c r="E96" i="19"/>
  <c r="E95" i="19"/>
  <c r="E94" i="19"/>
  <c r="E93" i="19"/>
  <c r="E92" i="19"/>
  <c r="E91" i="19"/>
  <c r="E90" i="19"/>
  <c r="E89" i="19"/>
  <c r="E88" i="19"/>
  <c r="E87" i="19"/>
  <c r="E86" i="19"/>
  <c r="E85" i="19"/>
  <c r="E84" i="19"/>
  <c r="E83" i="19"/>
  <c r="E82" i="19"/>
  <c r="E81" i="19"/>
  <c r="E80" i="19"/>
  <c r="E79" i="19"/>
  <c r="E78" i="19"/>
  <c r="E77" i="19"/>
  <c r="E76" i="19"/>
  <c r="E75" i="19"/>
  <c r="E74" i="19"/>
  <c r="E73" i="19"/>
  <c r="E72" i="19"/>
  <c r="E71" i="19"/>
  <c r="E70" i="19"/>
  <c r="E69" i="19"/>
  <c r="E68" i="19"/>
  <c r="E67" i="19"/>
  <c r="E66" i="19"/>
  <c r="E65" i="19"/>
  <c r="E64" i="19"/>
  <c r="E63" i="19"/>
  <c r="E62" i="19"/>
  <c r="E61" i="19"/>
  <c r="E60" i="19"/>
  <c r="E59" i="19"/>
  <c r="E58" i="19"/>
  <c r="E57" i="19"/>
  <c r="E56" i="19"/>
  <c r="E55" i="19"/>
  <c r="E54" i="19"/>
  <c r="E53" i="19"/>
  <c r="E52" i="19"/>
  <c r="E51" i="19"/>
  <c r="E50" i="19"/>
  <c r="E49" i="19"/>
  <c r="E48" i="19"/>
  <c r="E47" i="19"/>
  <c r="E46" i="19"/>
  <c r="E45" i="19"/>
  <c r="E44" i="19"/>
  <c r="E43" i="19"/>
  <c r="E42" i="19"/>
  <c r="E41" i="19"/>
  <c r="E40" i="19"/>
  <c r="E39" i="19"/>
  <c r="E38" i="19"/>
  <c r="E37" i="19"/>
  <c r="E36" i="19"/>
  <c r="E35" i="19"/>
  <c r="E34" i="19"/>
  <c r="E33" i="19"/>
  <c r="E32" i="19"/>
  <c r="E31" i="19"/>
  <c r="E30" i="19"/>
  <c r="E29" i="19"/>
  <c r="E28" i="19"/>
  <c r="E27" i="19"/>
  <c r="E26" i="19"/>
  <c r="E25" i="19"/>
  <c r="E24" i="19"/>
  <c r="E23" i="19"/>
  <c r="E22" i="19"/>
  <c r="E21" i="19"/>
  <c r="E20" i="19"/>
  <c r="E19" i="19"/>
  <c r="E18" i="19"/>
  <c r="E17" i="19"/>
  <c r="E16" i="19"/>
  <c r="E15" i="19"/>
  <c r="E14" i="19"/>
  <c r="E13" i="19"/>
  <c r="E12" i="19"/>
  <c r="E11" i="19"/>
  <c r="E10" i="19"/>
  <c r="E9" i="19"/>
  <c r="E8" i="19"/>
  <c r="E7" i="19"/>
  <c r="G5" i="19"/>
  <c r="B5" i="19"/>
  <c r="A2" i="19"/>
  <c r="A1" i="19"/>
  <c r="D376" i="7" s="1"/>
  <c r="A2" i="18"/>
  <c r="A1" i="18"/>
  <c r="B5" i="17"/>
  <c r="B5" i="18" s="1"/>
  <c r="A2" i="17"/>
  <c r="A1" i="17"/>
  <c r="G164" i="16"/>
  <c r="E125" i="16"/>
  <c r="G119" i="16"/>
  <c r="B5" i="16"/>
  <c r="A2" i="16"/>
  <c r="A1" i="16"/>
  <c r="B5" i="15"/>
  <c r="A2" i="15"/>
  <c r="A1" i="15"/>
  <c r="B5" i="14"/>
  <c r="A2" i="14"/>
  <c r="A1" i="14"/>
  <c r="F18" i="13"/>
  <c r="B5" i="13"/>
  <c r="A2" i="13"/>
  <c r="A1" i="13"/>
  <c r="B5" i="12"/>
  <c r="A2" i="12"/>
  <c r="A1" i="12"/>
  <c r="B5" i="11"/>
  <c r="A2" i="11"/>
  <c r="A1" i="11"/>
  <c r="F222" i="10"/>
  <c r="F221" i="10"/>
  <c r="G172" i="10"/>
  <c r="I172" i="10" s="1"/>
  <c r="B5" i="10"/>
  <c r="A2" i="10"/>
  <c r="A1" i="10"/>
  <c r="F363" i="9"/>
  <c r="F362" i="9"/>
  <c r="F354" i="9"/>
  <c r="F338" i="9"/>
  <c r="F332" i="9"/>
  <c r="F326" i="9"/>
  <c r="F325" i="9"/>
  <c r="F319" i="9"/>
  <c r="F318" i="9"/>
  <c r="F312" i="9"/>
  <c r="F311" i="9"/>
  <c r="F305" i="9"/>
  <c r="F304" i="9"/>
  <c r="F298" i="9"/>
  <c r="F297" i="9"/>
  <c r="F288" i="9"/>
  <c r="F287" i="9"/>
  <c r="F277" i="9"/>
  <c r="F276" i="9"/>
  <c r="F265" i="9"/>
  <c r="F264" i="9"/>
  <c r="B5" i="9"/>
  <c r="A2" i="9"/>
  <c r="A1" i="9"/>
  <c r="F557" i="8"/>
  <c r="F556" i="8"/>
  <c r="F539" i="8"/>
  <c r="F538" i="8"/>
  <c r="F529" i="8"/>
  <c r="F525" i="8"/>
  <c r="F507" i="8"/>
  <c r="F506" i="8"/>
  <c r="F484" i="8"/>
  <c r="F477" i="8"/>
  <c r="F470" i="8"/>
  <c r="F449" i="8"/>
  <c r="F448" i="8"/>
  <c r="F439" i="8"/>
  <c r="F438" i="8"/>
  <c r="F430" i="8"/>
  <c r="F429" i="8"/>
  <c r="F421" i="8"/>
  <c r="F420" i="8"/>
  <c r="F412" i="8"/>
  <c r="F411" i="8"/>
  <c r="F403" i="8"/>
  <c r="F402" i="8"/>
  <c r="F394" i="8"/>
  <c r="F393" i="8"/>
  <c r="E387" i="8"/>
  <c r="F385" i="8"/>
  <c r="F384" i="8"/>
  <c r="F376" i="8"/>
  <c r="F375" i="8"/>
  <c r="F367" i="8"/>
  <c r="F366" i="8"/>
  <c r="F358" i="8"/>
  <c r="F357" i="8"/>
  <c r="F349" i="8"/>
  <c r="F348" i="8"/>
  <c r="F340" i="8"/>
  <c r="F339" i="8"/>
  <c r="D333" i="8"/>
  <c r="F330" i="8"/>
  <c r="F329" i="8"/>
  <c r="F319" i="8"/>
  <c r="F317" i="8"/>
  <c r="F316" i="8"/>
  <c r="F309" i="8"/>
  <c r="F308" i="8"/>
  <c r="F307" i="8"/>
  <c r="F297" i="8"/>
  <c r="F296" i="8"/>
  <c r="F288" i="8"/>
  <c r="F287" i="8"/>
  <c r="D280" i="8"/>
  <c r="C280" i="8"/>
  <c r="F279" i="8"/>
  <c r="F278" i="8"/>
  <c r="F268" i="8"/>
  <c r="F261" i="8"/>
  <c r="F253" i="8"/>
  <c r="F252" i="8"/>
  <c r="F202" i="8"/>
  <c r="G180" i="8"/>
  <c r="I180" i="8" s="1"/>
  <c r="C171" i="8"/>
  <c r="E138" i="8"/>
  <c r="F115" i="8"/>
  <c r="F114" i="8"/>
  <c r="F106" i="8"/>
  <c r="F105" i="8"/>
  <c r="F96" i="8"/>
  <c r="E41" i="8"/>
  <c r="D39" i="8"/>
  <c r="B5" i="8"/>
  <c r="A2" i="8"/>
  <c r="A1" i="8"/>
  <c r="A553" i="7"/>
  <c r="F538" i="7"/>
  <c r="F537" i="7"/>
  <c r="A532" i="7"/>
  <c r="F527" i="7"/>
  <c r="F526" i="7"/>
  <c r="A521" i="7"/>
  <c r="F509" i="7"/>
  <c r="F491" i="7"/>
  <c r="F490" i="7"/>
  <c r="F481" i="7"/>
  <c r="F480" i="7"/>
  <c r="F465" i="7"/>
  <c r="F457" i="7"/>
  <c r="F456" i="7"/>
  <c r="A451" i="7"/>
  <c r="F449" i="7"/>
  <c r="F448" i="7"/>
  <c r="F427" i="7"/>
  <c r="F426" i="7"/>
  <c r="F416" i="7"/>
  <c r="F409" i="7"/>
  <c r="F401" i="7"/>
  <c r="F400" i="7"/>
  <c r="F387" i="7"/>
  <c r="F386" i="7"/>
  <c r="F377" i="7"/>
  <c r="F376" i="7"/>
  <c r="F368" i="7"/>
  <c r="F367" i="7"/>
  <c r="F355" i="7"/>
  <c r="F354" i="7"/>
  <c r="F353" i="7"/>
  <c r="F342" i="7"/>
  <c r="F341" i="7"/>
  <c r="F334" i="7"/>
  <c r="F333" i="7"/>
  <c r="F320" i="7"/>
  <c r="F319" i="7"/>
  <c r="F310" i="7"/>
  <c r="F309" i="7"/>
  <c r="F297" i="7"/>
  <c r="F296" i="7"/>
  <c r="F265" i="7"/>
  <c r="F264" i="7"/>
  <c r="A257" i="7"/>
  <c r="F251" i="7"/>
  <c r="F250" i="7"/>
  <c r="F242" i="7"/>
  <c r="F241" i="7"/>
  <c r="F233" i="7"/>
  <c r="F232" i="7"/>
  <c r="F224" i="7"/>
  <c r="F212" i="7"/>
  <c r="F211" i="7"/>
  <c r="F201" i="7"/>
  <c r="A196" i="7"/>
  <c r="F185" i="7"/>
  <c r="F184" i="7"/>
  <c r="F164" i="7"/>
  <c r="F163" i="7"/>
  <c r="F153" i="7"/>
  <c r="F152" i="7"/>
  <c r="F144" i="7"/>
  <c r="F135" i="7"/>
  <c r="F134" i="7"/>
  <c r="F120" i="7"/>
  <c r="A92" i="7"/>
  <c r="F78" i="7"/>
  <c r="F77" i="7"/>
  <c r="F69" i="7"/>
  <c r="F68" i="7"/>
  <c r="F47" i="7"/>
  <c r="F46" i="7"/>
  <c r="F45" i="7"/>
  <c r="F44" i="7"/>
  <c r="F30" i="7"/>
  <c r="F29" i="7"/>
  <c r="F28" i="7"/>
  <c r="F18" i="7"/>
  <c r="A12" i="7"/>
  <c r="B5" i="7"/>
  <c r="A2" i="7"/>
  <c r="A1" i="7"/>
  <c r="B5" i="6"/>
  <c r="A2" i="6"/>
  <c r="B432" i="5" s="1"/>
  <c r="A1" i="6"/>
  <c r="B453" i="5" s="1"/>
  <c r="B474" i="5"/>
  <c r="B439" i="5"/>
  <c r="B335" i="5"/>
  <c r="F299" i="5"/>
  <c r="Q299" i="5" s="1"/>
  <c r="B299" i="5"/>
  <c r="B298" i="5"/>
  <c r="B268" i="5"/>
  <c r="B196" i="5"/>
  <c r="B155" i="5"/>
  <c r="B145" i="5"/>
  <c r="B45" i="5"/>
  <c r="B17" i="5"/>
  <c r="B14" i="5"/>
  <c r="B11" i="5"/>
  <c r="I5" i="5"/>
  <c r="B5" i="5"/>
  <c r="A2" i="5"/>
  <c r="A1" i="5"/>
  <c r="B443" i="4"/>
  <c r="B405" i="4"/>
  <c r="B402" i="4"/>
  <c r="B318" i="4"/>
  <c r="F313" i="4"/>
  <c r="B287" i="4"/>
  <c r="B286" i="4"/>
  <c r="B283" i="4"/>
  <c r="B193" i="4"/>
  <c r="B192" i="4"/>
  <c r="B167" i="4"/>
  <c r="B166" i="4"/>
  <c r="B82" i="4"/>
  <c r="F80" i="4"/>
  <c r="B55" i="4"/>
  <c r="B54" i="4"/>
  <c r="B52" i="4"/>
  <c r="B5" i="4"/>
  <c r="A2" i="4"/>
  <c r="A1" i="4"/>
  <c r="Q5" i="3"/>
  <c r="B5" i="3"/>
  <c r="A2" i="3"/>
  <c r="A1" i="3"/>
  <c r="B5" i="2"/>
  <c r="A2" i="2"/>
  <c r="A1" i="2"/>
  <c r="F41" i="14"/>
  <c r="E41" i="14"/>
  <c r="D41" i="14"/>
  <c r="C41" i="14"/>
  <c r="F37" i="14"/>
  <c r="E37" i="14"/>
  <c r="D37" i="14"/>
  <c r="C37" i="14"/>
  <c r="F30" i="14"/>
  <c r="F43" i="14" s="1"/>
  <c r="E30" i="14"/>
  <c r="D30" i="14"/>
  <c r="C30" i="14"/>
  <c r="F18" i="14"/>
  <c r="E18" i="14"/>
  <c r="D18" i="14"/>
  <c r="D43" i="14" s="1"/>
  <c r="C18" i="14"/>
  <c r="F15" i="13"/>
  <c r="B15" i="13"/>
  <c r="F12" i="13"/>
  <c r="F19" i="13" s="1"/>
  <c r="B7" i="1" s="1"/>
  <c r="I5" i="4" s="1"/>
  <c r="A39" i="12"/>
  <c r="M38" i="12"/>
  <c r="A34" i="12"/>
  <c r="M33" i="12"/>
  <c r="A29" i="12"/>
  <c r="M28" i="12"/>
  <c r="A24" i="12"/>
  <c r="M23" i="12"/>
  <c r="A19" i="12"/>
  <c r="M18" i="12"/>
  <c r="A14" i="12"/>
  <c r="M13" i="12"/>
  <c r="A9" i="12"/>
  <c r="M8" i="12"/>
  <c r="A129" i="11"/>
  <c r="M128" i="11"/>
  <c r="A124" i="11"/>
  <c r="M123" i="11"/>
  <c r="A119" i="11"/>
  <c r="M118" i="11"/>
  <c r="A114" i="11"/>
  <c r="M113" i="11"/>
  <c r="A109" i="11"/>
  <c r="M108" i="11"/>
  <c r="A104" i="11"/>
  <c r="M103" i="11"/>
  <c r="M102" i="11"/>
  <c r="M101" i="11"/>
  <c r="M100" i="11"/>
  <c r="M99" i="11"/>
  <c r="M98" i="11"/>
  <c r="M97" i="11"/>
  <c r="M96" i="11"/>
  <c r="A92" i="11"/>
  <c r="M91" i="11"/>
  <c r="M90" i="11"/>
  <c r="M89" i="11"/>
  <c r="M88" i="11"/>
  <c r="M87" i="11"/>
  <c r="M86" i="11"/>
  <c r="M85" i="11"/>
  <c r="M84" i="11"/>
  <c r="A80" i="11"/>
  <c r="M79" i="11"/>
  <c r="M78" i="11"/>
  <c r="M77" i="11"/>
  <c r="M76" i="11"/>
  <c r="A72" i="11"/>
  <c r="M71" i="11"/>
  <c r="M70" i="11"/>
  <c r="A66" i="11"/>
  <c r="M65" i="11"/>
  <c r="A61" i="11"/>
  <c r="M60" i="11"/>
  <c r="A56" i="11"/>
  <c r="M55" i="11"/>
  <c r="A51" i="11"/>
  <c r="M50" i="11"/>
  <c r="A46" i="11"/>
  <c r="M45" i="11"/>
  <c r="A41" i="11"/>
  <c r="M40" i="11"/>
  <c r="A36" i="11"/>
  <c r="M35" i="11"/>
  <c r="A31" i="11"/>
  <c r="M30" i="11"/>
  <c r="M29" i="11"/>
  <c r="M28" i="11"/>
  <c r="M27" i="11"/>
  <c r="M26" i="11"/>
  <c r="M25" i="11"/>
  <c r="M24" i="11"/>
  <c r="M23" i="11"/>
  <c r="A19" i="11"/>
  <c r="M18" i="11"/>
  <c r="A14" i="11"/>
  <c r="M13" i="11"/>
  <c r="A9" i="11"/>
  <c r="M8" i="11"/>
  <c r="A259" i="10"/>
  <c r="M258" i="10"/>
  <c r="A254" i="10"/>
  <c r="M253" i="10"/>
  <c r="A249" i="10"/>
  <c r="M248" i="10"/>
  <c r="M247" i="10"/>
  <c r="M246" i="10"/>
  <c r="M245" i="10"/>
  <c r="M244" i="10"/>
  <c r="M243" i="10"/>
  <c r="M242" i="10"/>
  <c r="M241" i="10"/>
  <c r="A237" i="10"/>
  <c r="M236" i="10"/>
  <c r="M235" i="10"/>
  <c r="M234" i="10"/>
  <c r="M233" i="10"/>
  <c r="A229" i="10"/>
  <c r="M228" i="10"/>
  <c r="M227" i="10"/>
  <c r="A223" i="10"/>
  <c r="M222" i="10"/>
  <c r="M221" i="10"/>
  <c r="M220" i="10"/>
  <c r="M219" i="10"/>
  <c r="M218" i="10"/>
  <c r="M217" i="10"/>
  <c r="M216" i="10"/>
  <c r="A212" i="10"/>
  <c r="M211" i="10"/>
  <c r="M210" i="10"/>
  <c r="M209" i="10"/>
  <c r="M208" i="10"/>
  <c r="M207" i="10"/>
  <c r="M206" i="10"/>
  <c r="M205" i="10"/>
  <c r="M204" i="10"/>
  <c r="A200" i="10"/>
  <c r="M199" i="10"/>
  <c r="M198" i="10"/>
  <c r="M197" i="10"/>
  <c r="M196" i="10"/>
  <c r="M195" i="10"/>
  <c r="M194" i="10"/>
  <c r="M193" i="10"/>
  <c r="M192" i="10"/>
  <c r="A188" i="10"/>
  <c r="M187" i="10"/>
  <c r="M186" i="10"/>
  <c r="M185" i="10"/>
  <c r="M184" i="10"/>
  <c r="M183" i="10"/>
  <c r="M182" i="10"/>
  <c r="M181" i="10"/>
  <c r="M180" i="10"/>
  <c r="A176" i="10"/>
  <c r="M175" i="10"/>
  <c r="M174" i="10"/>
  <c r="M173" i="10"/>
  <c r="M172" i="10"/>
  <c r="M171" i="10"/>
  <c r="M170" i="10"/>
  <c r="M169" i="10"/>
  <c r="M168" i="10"/>
  <c r="A164" i="10"/>
  <c r="M163" i="10"/>
  <c r="M162" i="10"/>
  <c r="M161" i="10"/>
  <c r="M160" i="10"/>
  <c r="M159" i="10"/>
  <c r="M158" i="10"/>
  <c r="M157" i="10"/>
  <c r="M156" i="10"/>
  <c r="A152" i="10"/>
  <c r="M151" i="10"/>
  <c r="M150" i="10"/>
  <c r="M149" i="10"/>
  <c r="M148" i="10"/>
  <c r="M147" i="10"/>
  <c r="A143" i="10"/>
  <c r="M142" i="10"/>
  <c r="M141" i="10"/>
  <c r="M140" i="10"/>
  <c r="A136" i="10"/>
  <c r="M135" i="10"/>
  <c r="A131" i="10"/>
  <c r="M130" i="10"/>
  <c r="A126" i="10"/>
  <c r="M125" i="10"/>
  <c r="A121" i="10"/>
  <c r="M120" i="10"/>
  <c r="A116" i="10"/>
  <c r="M115" i="10"/>
  <c r="A111" i="10"/>
  <c r="M110" i="10"/>
  <c r="A106" i="10"/>
  <c r="M105" i="10"/>
  <c r="A101" i="10"/>
  <c r="M100" i="10"/>
  <c r="A96" i="10"/>
  <c r="M95" i="10"/>
  <c r="A91" i="10"/>
  <c r="M90" i="10"/>
  <c r="M89" i="10"/>
  <c r="M88" i="10"/>
  <c r="M87" i="10"/>
  <c r="M86" i="10"/>
  <c r="M85" i="10"/>
  <c r="M84" i="10"/>
  <c r="M83" i="10"/>
  <c r="A79" i="10"/>
  <c r="M78" i="10"/>
  <c r="A74" i="10"/>
  <c r="M73" i="10"/>
  <c r="A69" i="10"/>
  <c r="M68" i="10"/>
  <c r="A64" i="10"/>
  <c r="M63" i="10"/>
  <c r="A59" i="10"/>
  <c r="M58" i="10"/>
  <c r="A54" i="10"/>
  <c r="M53" i="10"/>
  <c r="A49" i="10"/>
  <c r="M48" i="10"/>
  <c r="A44" i="10"/>
  <c r="M43" i="10"/>
  <c r="A39" i="10"/>
  <c r="M38" i="10"/>
  <c r="A34" i="10"/>
  <c r="M33" i="10"/>
  <c r="A29" i="10"/>
  <c r="M28" i="10"/>
  <c r="A24" i="10"/>
  <c r="M23" i="10"/>
  <c r="A19" i="10"/>
  <c r="M18" i="10"/>
  <c r="A14" i="10"/>
  <c r="M13" i="10"/>
  <c r="A9" i="10"/>
  <c r="M8" i="10"/>
  <c r="A434" i="9"/>
  <c r="M433" i="9"/>
  <c r="A429" i="9"/>
  <c r="M428" i="9"/>
  <c r="A424" i="9"/>
  <c r="M423" i="9"/>
  <c r="A419" i="9"/>
  <c r="M418" i="9"/>
  <c r="A414" i="9"/>
  <c r="M413" i="9"/>
  <c r="A409" i="9"/>
  <c r="M408" i="9"/>
  <c r="A404" i="9"/>
  <c r="M403" i="9"/>
  <c r="A399" i="9"/>
  <c r="M398" i="9"/>
  <c r="A394" i="9"/>
  <c r="M393" i="9"/>
  <c r="M392" i="9"/>
  <c r="M391" i="9"/>
  <c r="M390" i="9"/>
  <c r="M389" i="9"/>
  <c r="M388" i="9"/>
  <c r="M387" i="9"/>
  <c r="M386" i="9"/>
  <c r="A382" i="9"/>
  <c r="M381" i="9"/>
  <c r="M380" i="9"/>
  <c r="M379" i="9"/>
  <c r="M378" i="9"/>
  <c r="M377" i="9"/>
  <c r="M376" i="9"/>
  <c r="M375" i="9"/>
  <c r="M374" i="9"/>
  <c r="A370" i="9"/>
  <c r="M369" i="9"/>
  <c r="A365" i="9"/>
  <c r="M364" i="9"/>
  <c r="M363" i="9"/>
  <c r="M362" i="9"/>
  <c r="M361" i="9"/>
  <c r="M360" i="9"/>
  <c r="M359" i="9"/>
  <c r="A355" i="9"/>
  <c r="M354" i="9"/>
  <c r="A350" i="9"/>
  <c r="M349" i="9"/>
  <c r="A345" i="9"/>
  <c r="M344" i="9"/>
  <c r="A340" i="9"/>
  <c r="M339" i="9"/>
  <c r="M338" i="9"/>
  <c r="A334" i="9"/>
  <c r="M333" i="9"/>
  <c r="M332" i="9"/>
  <c r="A328" i="9"/>
  <c r="M327" i="9"/>
  <c r="M326" i="9"/>
  <c r="M325" i="9"/>
  <c r="A321" i="9"/>
  <c r="M320" i="9"/>
  <c r="M319" i="9"/>
  <c r="M318" i="9"/>
  <c r="A314" i="9"/>
  <c r="M313" i="9"/>
  <c r="M312" i="9"/>
  <c r="M311" i="9"/>
  <c r="A307" i="9"/>
  <c r="M306" i="9"/>
  <c r="M305" i="9"/>
  <c r="M304" i="9"/>
  <c r="A300" i="9"/>
  <c r="M299" i="9"/>
  <c r="M298" i="9"/>
  <c r="M297" i="9"/>
  <c r="A293" i="9"/>
  <c r="M292" i="9"/>
  <c r="M291" i="9"/>
  <c r="M290" i="9"/>
  <c r="M289" i="9"/>
  <c r="M288" i="9"/>
  <c r="M287" i="9"/>
  <c r="M286" i="9"/>
  <c r="M285" i="9"/>
  <c r="A281" i="9"/>
  <c r="M280" i="9"/>
  <c r="M279" i="9"/>
  <c r="M278" i="9"/>
  <c r="M277" i="9"/>
  <c r="M276" i="9"/>
  <c r="M275" i="9"/>
  <c r="M274" i="9"/>
  <c r="A270" i="9"/>
  <c r="M269" i="9"/>
  <c r="M268" i="9"/>
  <c r="M267" i="9"/>
  <c r="M266" i="9"/>
  <c r="M265" i="9"/>
  <c r="M264" i="9"/>
  <c r="M263" i="9"/>
  <c r="M262" i="9"/>
  <c r="A258" i="9"/>
  <c r="M257" i="9"/>
  <c r="M256" i="9"/>
  <c r="M255" i="9"/>
  <c r="M254" i="9"/>
  <c r="M253" i="9"/>
  <c r="M252" i="9"/>
  <c r="M251" i="9"/>
  <c r="M250" i="9"/>
  <c r="A246" i="9"/>
  <c r="M245" i="9"/>
  <c r="M244" i="9"/>
  <c r="M243" i="9"/>
  <c r="M242" i="9"/>
  <c r="A238" i="9"/>
  <c r="M237" i="9"/>
  <c r="M236" i="9"/>
  <c r="A232" i="9"/>
  <c r="M231" i="9"/>
  <c r="M230" i="9"/>
  <c r="M229" i="9"/>
  <c r="M228" i="9"/>
  <c r="M227" i="9"/>
  <c r="M226" i="9"/>
  <c r="M225" i="9"/>
  <c r="M224" i="9"/>
  <c r="A220" i="9"/>
  <c r="M219" i="9"/>
  <c r="M218" i="9"/>
  <c r="M217" i="9"/>
  <c r="M216" i="9"/>
  <c r="M215" i="9"/>
  <c r="M214" i="9"/>
  <c r="M213" i="9"/>
  <c r="M212" i="9"/>
  <c r="A208" i="9"/>
  <c r="M207" i="9"/>
  <c r="M206" i="9"/>
  <c r="M205" i="9"/>
  <c r="M204" i="9"/>
  <c r="M203" i="9"/>
  <c r="A199" i="9"/>
  <c r="M198" i="9"/>
  <c r="M197" i="9"/>
  <c r="M196" i="9"/>
  <c r="A192" i="9"/>
  <c r="M191" i="9"/>
  <c r="M190" i="9"/>
  <c r="M189" i="9"/>
  <c r="M188" i="9"/>
  <c r="A184" i="9"/>
  <c r="M183" i="9"/>
  <c r="M182" i="9"/>
  <c r="A178" i="9"/>
  <c r="M177" i="9"/>
  <c r="A173" i="9"/>
  <c r="M172" i="9"/>
  <c r="A168" i="9"/>
  <c r="M167" i="9"/>
  <c r="A163" i="9"/>
  <c r="M162" i="9"/>
  <c r="A158" i="9"/>
  <c r="M157" i="9"/>
  <c r="M156" i="9"/>
  <c r="M155" i="9"/>
  <c r="M154" i="9"/>
  <c r="M153" i="9"/>
  <c r="M152" i="9"/>
  <c r="M151" i="9"/>
  <c r="M150" i="9"/>
  <c r="A146" i="9"/>
  <c r="M145" i="9"/>
  <c r="A141" i="9"/>
  <c r="M140" i="9"/>
  <c r="A136" i="9"/>
  <c r="M135" i="9"/>
  <c r="A131" i="9"/>
  <c r="M130" i="9"/>
  <c r="A126" i="9"/>
  <c r="M125" i="9"/>
  <c r="A121" i="9"/>
  <c r="M120" i="9"/>
  <c r="A116" i="9"/>
  <c r="M115" i="9"/>
  <c r="A111" i="9"/>
  <c r="M110" i="9"/>
  <c r="A106" i="9"/>
  <c r="M105" i="9"/>
  <c r="M104" i="9"/>
  <c r="M103" i="9"/>
  <c r="M102" i="9"/>
  <c r="M101" i="9"/>
  <c r="M100" i="9"/>
  <c r="M99" i="9"/>
  <c r="M98" i="9"/>
  <c r="A94" i="9"/>
  <c r="M93" i="9"/>
  <c r="M92" i="9"/>
  <c r="M91" i="9"/>
  <c r="M90" i="9"/>
  <c r="M89" i="9"/>
  <c r="M88" i="9"/>
  <c r="M87" i="9"/>
  <c r="M86" i="9"/>
  <c r="A82" i="9"/>
  <c r="M81" i="9"/>
  <c r="M80" i="9"/>
  <c r="M79" i="9"/>
  <c r="M78" i="9"/>
  <c r="M77" i="9"/>
  <c r="M76" i="9"/>
  <c r="M75" i="9"/>
  <c r="M74" i="9"/>
  <c r="A70" i="9"/>
  <c r="M69" i="9"/>
  <c r="M68" i="9"/>
  <c r="M67" i="9"/>
  <c r="M66" i="9"/>
  <c r="M65" i="9"/>
  <c r="M64" i="9"/>
  <c r="M63" i="9"/>
  <c r="M62" i="9"/>
  <c r="A58" i="9"/>
  <c r="M57" i="9"/>
  <c r="M56" i="9"/>
  <c r="M55" i="9"/>
  <c r="M54" i="9"/>
  <c r="A50" i="9"/>
  <c r="M49" i="9"/>
  <c r="M48" i="9"/>
  <c r="A44" i="9"/>
  <c r="M43" i="9"/>
  <c r="A39" i="9"/>
  <c r="M38" i="9"/>
  <c r="A34" i="9"/>
  <c r="M33" i="9"/>
  <c r="A29" i="9"/>
  <c r="M28" i="9"/>
  <c r="A24" i="9"/>
  <c r="M23" i="9"/>
  <c r="A19" i="9"/>
  <c r="M18" i="9"/>
  <c r="A14" i="9"/>
  <c r="M13" i="9"/>
  <c r="A9" i="9"/>
  <c r="M8" i="9"/>
  <c r="A592" i="8"/>
  <c r="M591" i="8"/>
  <c r="M590" i="8"/>
  <c r="M589" i="8"/>
  <c r="M588" i="8"/>
  <c r="M587" i="8"/>
  <c r="A583" i="8"/>
  <c r="M582" i="8"/>
  <c r="M581" i="8"/>
  <c r="M580" i="8"/>
  <c r="A576" i="8"/>
  <c r="M575" i="8"/>
  <c r="M574" i="8"/>
  <c r="M573" i="8"/>
  <c r="M572" i="8"/>
  <c r="M571" i="8"/>
  <c r="A567" i="8"/>
  <c r="M566" i="8"/>
  <c r="M565" i="8"/>
  <c r="M564" i="8"/>
  <c r="A560" i="8"/>
  <c r="M559" i="8"/>
  <c r="M558" i="8"/>
  <c r="M557" i="8"/>
  <c r="M556" i="8"/>
  <c r="A552" i="8"/>
  <c r="M551" i="8"/>
  <c r="M550" i="8"/>
  <c r="M549" i="8"/>
  <c r="M548" i="8"/>
  <c r="M547" i="8"/>
  <c r="M546" i="8"/>
  <c r="M545" i="8"/>
  <c r="M544" i="8"/>
  <c r="A540" i="8"/>
  <c r="M539" i="8"/>
  <c r="M538" i="8"/>
  <c r="M537" i="8"/>
  <c r="M536" i="8"/>
  <c r="M535" i="8"/>
  <c r="M534" i="8"/>
  <c r="A530" i="8"/>
  <c r="M529" i="8"/>
  <c r="M528" i="8"/>
  <c r="M527" i="8"/>
  <c r="M526" i="8"/>
  <c r="M525" i="8"/>
  <c r="A521" i="8"/>
  <c r="M520" i="8"/>
  <c r="M519" i="8"/>
  <c r="M518" i="8"/>
  <c r="M517" i="8"/>
  <c r="M516" i="8"/>
  <c r="M515" i="8"/>
  <c r="A511" i="8"/>
  <c r="M510" i="8"/>
  <c r="M509" i="8"/>
  <c r="M508" i="8"/>
  <c r="M507" i="8"/>
  <c r="M506" i="8"/>
  <c r="M505" i="8"/>
  <c r="M504" i="8"/>
  <c r="A500" i="8"/>
  <c r="M499" i="8"/>
  <c r="M498" i="8"/>
  <c r="M497" i="8"/>
  <c r="M496" i="8"/>
  <c r="M495" i="8"/>
  <c r="M494" i="8"/>
  <c r="M493" i="8"/>
  <c r="M492" i="8"/>
  <c r="A488" i="8"/>
  <c r="M487" i="8"/>
  <c r="M486" i="8"/>
  <c r="M485" i="8"/>
  <c r="M484" i="8"/>
  <c r="A480" i="8"/>
  <c r="M479" i="8"/>
  <c r="M478" i="8"/>
  <c r="M477" i="8"/>
  <c r="A473" i="8"/>
  <c r="M472" i="8"/>
  <c r="M471" i="8"/>
  <c r="M470" i="8"/>
  <c r="M469" i="8"/>
  <c r="M468" i="8"/>
  <c r="A464" i="8"/>
  <c r="M463" i="8"/>
  <c r="M462" i="8"/>
  <c r="M461" i="8"/>
  <c r="M460" i="8"/>
  <c r="M459" i="8"/>
  <c r="M458" i="8"/>
  <c r="M457" i="8"/>
  <c r="M456" i="8"/>
  <c r="A452" i="8"/>
  <c r="M451" i="8"/>
  <c r="M450" i="8"/>
  <c r="M449" i="8"/>
  <c r="M448" i="8"/>
  <c r="M447" i="8"/>
  <c r="M446" i="8"/>
  <c r="A442" i="8"/>
  <c r="M441" i="8"/>
  <c r="M440" i="8"/>
  <c r="M439" i="8"/>
  <c r="M438" i="8"/>
  <c r="M437" i="8"/>
  <c r="A433" i="8"/>
  <c r="M432" i="8"/>
  <c r="M431" i="8"/>
  <c r="M430" i="8"/>
  <c r="M429" i="8"/>
  <c r="M428" i="8"/>
  <c r="A424" i="8"/>
  <c r="M423" i="8"/>
  <c r="M422" i="8"/>
  <c r="M421" i="8"/>
  <c r="M420" i="8"/>
  <c r="M419" i="8"/>
  <c r="A415" i="8"/>
  <c r="M414" i="8"/>
  <c r="M413" i="8"/>
  <c r="M412" i="8"/>
  <c r="M411" i="8"/>
  <c r="M410" i="8"/>
  <c r="A406" i="8"/>
  <c r="M405" i="8"/>
  <c r="M404" i="8"/>
  <c r="M403" i="8"/>
  <c r="M402" i="8"/>
  <c r="M401" i="8"/>
  <c r="A397" i="8"/>
  <c r="M396" i="8"/>
  <c r="M395" i="8"/>
  <c r="M394" i="8"/>
  <c r="M393" i="8"/>
  <c r="M392" i="8"/>
  <c r="A388" i="8"/>
  <c r="M387" i="8"/>
  <c r="M386" i="8"/>
  <c r="M385" i="8"/>
  <c r="M384" i="8"/>
  <c r="M383" i="8"/>
  <c r="A379" i="8"/>
  <c r="M378" i="8"/>
  <c r="M377" i="8"/>
  <c r="M376" i="8"/>
  <c r="M375" i="8"/>
  <c r="M374" i="8"/>
  <c r="A370" i="8"/>
  <c r="M369" i="8"/>
  <c r="M368" i="8"/>
  <c r="M367" i="8"/>
  <c r="M366" i="8"/>
  <c r="M365" i="8"/>
  <c r="A361" i="8"/>
  <c r="M360" i="8"/>
  <c r="M359" i="8"/>
  <c r="M358" i="8"/>
  <c r="M357" i="8"/>
  <c r="M356" i="8"/>
  <c r="A352" i="8"/>
  <c r="M351" i="8"/>
  <c r="M350" i="8"/>
  <c r="M349" i="8"/>
  <c r="M348" i="8"/>
  <c r="M347" i="8"/>
  <c r="A343" i="8"/>
  <c r="M342" i="8"/>
  <c r="M341" i="8"/>
  <c r="M340" i="8"/>
  <c r="M339" i="8"/>
  <c r="M338" i="8"/>
  <c r="A334" i="8"/>
  <c r="M333" i="8"/>
  <c r="M332" i="8"/>
  <c r="M331" i="8"/>
  <c r="M330" i="8"/>
  <c r="M329" i="8"/>
  <c r="M328" i="8"/>
  <c r="M327" i="8"/>
  <c r="A323" i="8"/>
  <c r="M322" i="8"/>
  <c r="M321" i="8"/>
  <c r="M320" i="8"/>
  <c r="M319" i="8"/>
  <c r="M318" i="8"/>
  <c r="M317" i="8"/>
  <c r="M316" i="8"/>
  <c r="M315" i="8"/>
  <c r="A311" i="8"/>
  <c r="M310" i="8"/>
  <c r="M309" i="8"/>
  <c r="M308" i="8"/>
  <c r="M307" i="8"/>
  <c r="M306" i="8"/>
  <c r="M305" i="8"/>
  <c r="A301" i="8"/>
  <c r="M300" i="8"/>
  <c r="M299" i="8"/>
  <c r="M298" i="8"/>
  <c r="M297" i="8"/>
  <c r="M296" i="8"/>
  <c r="M295" i="8"/>
  <c r="M294" i="8"/>
  <c r="A290" i="8"/>
  <c r="M289" i="8"/>
  <c r="M288" i="8"/>
  <c r="M287" i="8"/>
  <c r="A283" i="8"/>
  <c r="M282" i="8"/>
  <c r="M281" i="8"/>
  <c r="M280" i="8"/>
  <c r="M279" i="8"/>
  <c r="M278" i="8"/>
  <c r="M277" i="8"/>
  <c r="M276" i="8"/>
  <c r="A272" i="8"/>
  <c r="M271" i="8"/>
  <c r="M270" i="8"/>
  <c r="M269" i="8"/>
  <c r="M268" i="8"/>
  <c r="A264" i="8"/>
  <c r="M263" i="8"/>
  <c r="M262" i="8"/>
  <c r="M261" i="8"/>
  <c r="A257" i="8"/>
  <c r="M256" i="8"/>
  <c r="M255" i="8"/>
  <c r="M254" i="8"/>
  <c r="M253" i="8"/>
  <c r="M252" i="8"/>
  <c r="M251" i="8"/>
  <c r="M250" i="8"/>
  <c r="A246" i="8"/>
  <c r="M245" i="8"/>
  <c r="M244" i="8"/>
  <c r="M243" i="8"/>
  <c r="M242" i="8"/>
  <c r="M241" i="8"/>
  <c r="M240" i="8"/>
  <c r="M239" i="8"/>
  <c r="M238" i="8"/>
  <c r="A234" i="8"/>
  <c r="M233" i="8"/>
  <c r="M232" i="8"/>
  <c r="M231" i="8"/>
  <c r="M230" i="8"/>
  <c r="M229" i="8"/>
  <c r="M228" i="8"/>
  <c r="M227" i="8"/>
  <c r="M226" i="8"/>
  <c r="A222" i="8"/>
  <c r="M221" i="8"/>
  <c r="M220" i="8"/>
  <c r="M219" i="8"/>
  <c r="M218" i="8"/>
  <c r="M217" i="8"/>
  <c r="A213" i="8"/>
  <c r="M212" i="8"/>
  <c r="M211" i="8"/>
  <c r="M210" i="8"/>
  <c r="A206" i="8"/>
  <c r="M205" i="8"/>
  <c r="M204" i="8"/>
  <c r="M203" i="8"/>
  <c r="M202" i="8"/>
  <c r="A198" i="8"/>
  <c r="M197" i="8"/>
  <c r="M196" i="8"/>
  <c r="M195" i="8"/>
  <c r="M194" i="8"/>
  <c r="M193" i="8"/>
  <c r="M192" i="8"/>
  <c r="M191" i="8"/>
  <c r="M190" i="8"/>
  <c r="A186" i="8"/>
  <c r="M185" i="8"/>
  <c r="M184" i="8"/>
  <c r="M183" i="8"/>
  <c r="M182" i="8"/>
  <c r="M181" i="8"/>
  <c r="M180" i="8"/>
  <c r="M179" i="8"/>
  <c r="M178" i="8"/>
  <c r="A174" i="8"/>
  <c r="M173" i="8"/>
  <c r="M172" i="8"/>
  <c r="M171" i="8"/>
  <c r="M170" i="8"/>
  <c r="M169" i="8"/>
  <c r="M168" i="8"/>
  <c r="M167" i="8"/>
  <c r="M166" i="8"/>
  <c r="A162" i="8"/>
  <c r="M161" i="8"/>
  <c r="M160" i="8"/>
  <c r="M159" i="8"/>
  <c r="M158" i="8"/>
  <c r="M157" i="8"/>
  <c r="M156" i="8"/>
  <c r="M155" i="8"/>
  <c r="M154" i="8"/>
  <c r="A150" i="8"/>
  <c r="M149" i="8"/>
  <c r="A145" i="8"/>
  <c r="M144" i="8"/>
  <c r="M143" i="8"/>
  <c r="M142" i="8"/>
  <c r="M141" i="8"/>
  <c r="M140" i="8"/>
  <c r="M139" i="8"/>
  <c r="M138" i="8"/>
  <c r="M137" i="8"/>
  <c r="A133" i="8"/>
  <c r="M132" i="8"/>
  <c r="M131" i="8"/>
  <c r="M130" i="8"/>
  <c r="M129" i="8"/>
  <c r="M128" i="8"/>
  <c r="M127" i="8"/>
  <c r="M126" i="8"/>
  <c r="M125" i="8"/>
  <c r="A121" i="8"/>
  <c r="M120" i="8"/>
  <c r="M119" i="8"/>
  <c r="M118" i="8"/>
  <c r="M117" i="8"/>
  <c r="M116" i="8"/>
  <c r="M115" i="8"/>
  <c r="M114" i="8"/>
  <c r="A110" i="8"/>
  <c r="M109" i="8"/>
  <c r="M108" i="8"/>
  <c r="M107" i="8"/>
  <c r="M106" i="8"/>
  <c r="M105" i="8"/>
  <c r="M104" i="8"/>
  <c r="M103" i="8"/>
  <c r="A99" i="8"/>
  <c r="M98" i="8"/>
  <c r="M97" i="8"/>
  <c r="M96" i="8"/>
  <c r="M95" i="8"/>
  <c r="M94" i="8"/>
  <c r="A90" i="8"/>
  <c r="M89" i="8"/>
  <c r="M88" i="8"/>
  <c r="M87" i="8"/>
  <c r="M86" i="8"/>
  <c r="M85" i="8"/>
  <c r="M84" i="8"/>
  <c r="M83" i="8"/>
  <c r="M82" i="8"/>
  <c r="A78" i="8"/>
  <c r="M77" i="8"/>
  <c r="M76" i="8"/>
  <c r="M75" i="8"/>
  <c r="M74" i="8"/>
  <c r="M73" i="8"/>
  <c r="M72" i="8"/>
  <c r="M71" i="8"/>
  <c r="M70" i="8"/>
  <c r="A66" i="8"/>
  <c r="M65" i="8"/>
  <c r="M64" i="8"/>
  <c r="M63" i="8"/>
  <c r="M62" i="8"/>
  <c r="M61" i="8"/>
  <c r="M60" i="8"/>
  <c r="A56" i="8"/>
  <c r="M55" i="8"/>
  <c r="M54" i="8"/>
  <c r="M53" i="8"/>
  <c r="M52" i="8"/>
  <c r="M51" i="8"/>
  <c r="M50" i="8"/>
  <c r="A46" i="8"/>
  <c r="M45" i="8"/>
  <c r="M44" i="8"/>
  <c r="M43" i="8"/>
  <c r="M42" i="8"/>
  <c r="M41" i="8"/>
  <c r="M40" i="8"/>
  <c r="M39" i="8"/>
  <c r="M38" i="8"/>
  <c r="A34" i="8"/>
  <c r="M33" i="8"/>
  <c r="M32" i="8"/>
  <c r="M31" i="8"/>
  <c r="M30" i="8"/>
  <c r="M29" i="8"/>
  <c r="M28" i="8"/>
  <c r="A24" i="8"/>
  <c r="M23" i="8"/>
  <c r="M22" i="8"/>
  <c r="M21" i="8"/>
  <c r="M20" i="8"/>
  <c r="M19" i="8"/>
  <c r="M18" i="8"/>
  <c r="A14" i="8"/>
  <c r="M13" i="8"/>
  <c r="M12" i="8"/>
  <c r="M11" i="8"/>
  <c r="M10" i="8"/>
  <c r="M9" i="8"/>
  <c r="M8" i="8"/>
  <c r="A554" i="7"/>
  <c r="A552" i="7"/>
  <c r="M551" i="7"/>
  <c r="M550" i="7"/>
  <c r="M549" i="7"/>
  <c r="A545" i="7"/>
  <c r="A543" i="7"/>
  <c r="M542" i="7"/>
  <c r="M541" i="7"/>
  <c r="M540" i="7"/>
  <c r="M539" i="7"/>
  <c r="M538" i="7"/>
  <c r="M537" i="7"/>
  <c r="A533" i="7"/>
  <c r="A531" i="7"/>
  <c r="M530" i="7"/>
  <c r="M529" i="7"/>
  <c r="M528" i="7"/>
  <c r="M527" i="7"/>
  <c r="M526" i="7"/>
  <c r="A522" i="7"/>
  <c r="A520" i="7"/>
  <c r="M519" i="7"/>
  <c r="M518" i="7"/>
  <c r="A514" i="7"/>
  <c r="A512" i="7"/>
  <c r="M511" i="7"/>
  <c r="M510" i="7"/>
  <c r="M509" i="7"/>
  <c r="A505" i="7"/>
  <c r="A503" i="7"/>
  <c r="M502" i="7"/>
  <c r="M501" i="7"/>
  <c r="M500" i="7"/>
  <c r="A496" i="7"/>
  <c r="A494" i="7"/>
  <c r="M493" i="7"/>
  <c r="M492" i="7"/>
  <c r="M491" i="7"/>
  <c r="M490" i="7"/>
  <c r="A486" i="7"/>
  <c r="A484" i="7"/>
  <c r="M483" i="7"/>
  <c r="M482" i="7"/>
  <c r="M481" i="7"/>
  <c r="M480" i="7"/>
  <c r="A476" i="7"/>
  <c r="A474" i="7"/>
  <c r="M473" i="7"/>
  <c r="M472" i="7"/>
  <c r="A468" i="7"/>
  <c r="A466" i="7"/>
  <c r="M465" i="7"/>
  <c r="A461" i="7"/>
  <c r="A459" i="7"/>
  <c r="M458" i="7"/>
  <c r="M457" i="7"/>
  <c r="M456" i="7"/>
  <c r="A452" i="7"/>
  <c r="A450" i="7"/>
  <c r="M449" i="7"/>
  <c r="M448" i="7"/>
  <c r="M447" i="7"/>
  <c r="M446" i="7"/>
  <c r="M445" i="7"/>
  <c r="M444" i="7"/>
  <c r="M443" i="7"/>
  <c r="M442" i="7"/>
  <c r="M441" i="7"/>
  <c r="M440" i="7"/>
  <c r="M439" i="7"/>
  <c r="M438" i="7"/>
  <c r="M437" i="7"/>
  <c r="A433" i="7"/>
  <c r="A431" i="7"/>
  <c r="M430" i="7"/>
  <c r="M429" i="7"/>
  <c r="M428" i="7"/>
  <c r="M427" i="7"/>
  <c r="M426" i="7"/>
  <c r="M425" i="7"/>
  <c r="A421" i="7"/>
  <c r="A419" i="7"/>
  <c r="M418" i="7"/>
  <c r="M417" i="7"/>
  <c r="M416" i="7"/>
  <c r="A412" i="7"/>
  <c r="A410" i="7"/>
  <c r="M409" i="7"/>
  <c r="M408" i="7"/>
  <c r="A404" i="7"/>
  <c r="A402" i="7"/>
  <c r="M401" i="7"/>
  <c r="M400" i="7"/>
  <c r="M399" i="7"/>
  <c r="M398" i="7"/>
  <c r="M397" i="7"/>
  <c r="M396" i="7"/>
  <c r="M395" i="7"/>
  <c r="A391" i="7"/>
  <c r="A389" i="7"/>
  <c r="M388" i="7"/>
  <c r="M387" i="7"/>
  <c r="M386" i="7"/>
  <c r="M385" i="7"/>
  <c r="A381" i="7"/>
  <c r="A379" i="7"/>
  <c r="M378" i="7"/>
  <c r="M377" i="7"/>
  <c r="M376" i="7"/>
  <c r="A372" i="7"/>
  <c r="A370" i="7"/>
  <c r="M369" i="7"/>
  <c r="M368" i="7"/>
  <c r="M367" i="7"/>
  <c r="A363" i="7"/>
  <c r="A361" i="7"/>
  <c r="M360" i="7"/>
  <c r="M359" i="7"/>
  <c r="M358" i="7"/>
  <c r="M357" i="7"/>
  <c r="M356" i="7"/>
  <c r="M355" i="7"/>
  <c r="M354" i="7"/>
  <c r="M353" i="7"/>
  <c r="M352" i="7"/>
  <c r="A348" i="7"/>
  <c r="A346" i="7"/>
  <c r="M345" i="7"/>
  <c r="M344" i="7"/>
  <c r="M343" i="7"/>
  <c r="M342" i="7"/>
  <c r="M341" i="7"/>
  <c r="A337" i="7"/>
  <c r="A335" i="7"/>
  <c r="M334" i="7"/>
  <c r="M333" i="7"/>
  <c r="M332" i="7"/>
  <c r="M331" i="7"/>
  <c r="M330" i="7"/>
  <c r="M329" i="7"/>
  <c r="M328" i="7"/>
  <c r="M327" i="7"/>
  <c r="A323" i="7"/>
  <c r="A321" i="7"/>
  <c r="M320" i="7"/>
  <c r="M319" i="7"/>
  <c r="M318" i="7"/>
  <c r="A314" i="7"/>
  <c r="A312" i="7"/>
  <c r="M311" i="7"/>
  <c r="M310" i="7"/>
  <c r="M309" i="7"/>
  <c r="M308" i="7"/>
  <c r="A304" i="7"/>
  <c r="A302" i="7"/>
  <c r="M301" i="7"/>
  <c r="M300" i="7"/>
  <c r="M299" i="7"/>
  <c r="M298" i="7"/>
  <c r="M297" i="7"/>
  <c r="M296" i="7"/>
  <c r="A292" i="7"/>
  <c r="A290" i="7"/>
  <c r="M289" i="7"/>
  <c r="M288" i="7"/>
  <c r="M287" i="7"/>
  <c r="M286" i="7"/>
  <c r="M285" i="7"/>
  <c r="M284" i="7"/>
  <c r="M283" i="7"/>
  <c r="M282" i="7"/>
  <c r="M281" i="7"/>
  <c r="M280" i="7"/>
  <c r="M279" i="7"/>
  <c r="M278" i="7"/>
  <c r="M277" i="7"/>
  <c r="M276" i="7"/>
  <c r="M275" i="7"/>
  <c r="A271" i="7"/>
  <c r="A269" i="7"/>
  <c r="M268" i="7"/>
  <c r="M267" i="7"/>
  <c r="M266" i="7"/>
  <c r="M265" i="7"/>
  <c r="M264" i="7"/>
  <c r="M263" i="7"/>
  <c r="M262" i="7"/>
  <c r="A258" i="7"/>
  <c r="A256" i="7"/>
  <c r="M255" i="7"/>
  <c r="M254" i="7"/>
  <c r="M253" i="7"/>
  <c r="M252" i="7"/>
  <c r="M251" i="7"/>
  <c r="M250" i="7"/>
  <c r="A246" i="7"/>
  <c r="A244" i="7"/>
  <c r="M243" i="7"/>
  <c r="M242" i="7"/>
  <c r="M241" i="7"/>
  <c r="M240" i="7"/>
  <c r="A236" i="7"/>
  <c r="A234" i="7"/>
  <c r="M233" i="7"/>
  <c r="M232" i="7"/>
  <c r="M231" i="7"/>
  <c r="A227" i="7"/>
  <c r="A225" i="7"/>
  <c r="M224" i="7"/>
  <c r="A220" i="7"/>
  <c r="A218" i="7"/>
  <c r="M217" i="7"/>
  <c r="M216" i="7"/>
  <c r="M215" i="7"/>
  <c r="M214" i="7"/>
  <c r="M213" i="7"/>
  <c r="M212" i="7"/>
  <c r="M211" i="7"/>
  <c r="M210" i="7"/>
  <c r="M209" i="7"/>
  <c r="M208" i="7"/>
  <c r="A204" i="7"/>
  <c r="A202" i="7"/>
  <c r="M201" i="7"/>
  <c r="A197" i="7"/>
  <c r="A195" i="7"/>
  <c r="M194" i="7"/>
  <c r="M193" i="7"/>
  <c r="M192" i="7"/>
  <c r="M191" i="7"/>
  <c r="M190" i="7"/>
  <c r="M189" i="7"/>
  <c r="M188" i="7"/>
  <c r="M187" i="7"/>
  <c r="M186" i="7"/>
  <c r="M185" i="7"/>
  <c r="M184" i="7"/>
  <c r="A180" i="7"/>
  <c r="A178" i="7"/>
  <c r="M177" i="7"/>
  <c r="M176" i="7"/>
  <c r="M175" i="7"/>
  <c r="M174" i="7"/>
  <c r="M173" i="7"/>
  <c r="M172" i="7"/>
  <c r="M171" i="7"/>
  <c r="M170" i="7"/>
  <c r="M169" i="7"/>
  <c r="M168" i="7"/>
  <c r="M167" i="7"/>
  <c r="M166" i="7"/>
  <c r="M165" i="7"/>
  <c r="M164" i="7"/>
  <c r="M163" i="7"/>
  <c r="A159" i="7"/>
  <c r="A157" i="7"/>
  <c r="M156" i="7"/>
  <c r="M155" i="7"/>
  <c r="M154" i="7"/>
  <c r="M153" i="7"/>
  <c r="M152" i="7"/>
  <c r="A148" i="7"/>
  <c r="A146" i="7"/>
  <c r="M145" i="7"/>
  <c r="M144" i="7"/>
  <c r="A140" i="7"/>
  <c r="A138" i="7"/>
  <c r="M137" i="7"/>
  <c r="M136" i="7"/>
  <c r="M135" i="7"/>
  <c r="M134" i="7"/>
  <c r="A130" i="7"/>
  <c r="A128" i="7"/>
  <c r="M127" i="7"/>
  <c r="A123" i="7"/>
  <c r="A121" i="7"/>
  <c r="M120" i="7"/>
  <c r="A116" i="7"/>
  <c r="A114" i="7"/>
  <c r="M113" i="7"/>
  <c r="M112" i="7"/>
  <c r="M111" i="7"/>
  <c r="M110" i="7"/>
  <c r="M109" i="7"/>
  <c r="M108" i="7"/>
  <c r="A104" i="7"/>
  <c r="A102" i="7"/>
  <c r="M101" i="7"/>
  <c r="M100" i="7"/>
  <c r="M99" i="7"/>
  <c r="M98" i="7"/>
  <c r="M97" i="7"/>
  <c r="A93" i="7"/>
  <c r="A91" i="7"/>
  <c r="M90" i="7"/>
  <c r="M89" i="7"/>
  <c r="M88" i="7"/>
  <c r="M87" i="7"/>
  <c r="A83" i="7"/>
  <c r="A81" i="7"/>
  <c r="M80" i="7"/>
  <c r="M79" i="7"/>
  <c r="M78" i="7"/>
  <c r="M77" i="7"/>
  <c r="A73" i="7"/>
  <c r="A71" i="7"/>
  <c r="M70" i="7"/>
  <c r="M69" i="7"/>
  <c r="M68" i="7"/>
  <c r="A64" i="7"/>
  <c r="A62" i="7"/>
  <c r="M61" i="7"/>
  <c r="A57" i="7"/>
  <c r="A55" i="7"/>
  <c r="M54" i="7"/>
  <c r="A50" i="7"/>
  <c r="A48" i="7"/>
  <c r="M47" i="7"/>
  <c r="M46" i="7"/>
  <c r="M45" i="7"/>
  <c r="M44" i="7"/>
  <c r="A40" i="7"/>
  <c r="A38" i="7"/>
  <c r="M37" i="7"/>
  <c r="A33" i="7"/>
  <c r="A31" i="7"/>
  <c r="M30" i="7"/>
  <c r="M29" i="7"/>
  <c r="M28" i="7"/>
  <c r="A24" i="7"/>
  <c r="A22" i="7"/>
  <c r="M21" i="7"/>
  <c r="M20" i="7"/>
  <c r="M19" i="7"/>
  <c r="M18" i="7"/>
  <c r="M17" i="7"/>
  <c r="A13" i="7"/>
  <c r="A11" i="7"/>
  <c r="M10" i="7"/>
  <c r="M9" i="7"/>
  <c r="M8" i="7"/>
  <c r="K887" i="6"/>
  <c r="L887" i="6" s="1"/>
  <c r="M887" i="6" s="1"/>
  <c r="N886" i="6" s="1"/>
  <c r="M885" i="6"/>
  <c r="N884" i="6" s="1"/>
  <c r="K885" i="6"/>
  <c r="L885" i="6" s="1"/>
  <c r="K882" i="6"/>
  <c r="L882" i="6" s="1"/>
  <c r="M882" i="6" s="1"/>
  <c r="K881" i="6"/>
  <c r="L881" i="6" s="1"/>
  <c r="M881" i="6" s="1"/>
  <c r="N880" i="6" s="1"/>
  <c r="L879" i="6"/>
  <c r="M879" i="6" s="1"/>
  <c r="K879" i="6"/>
  <c r="K878" i="6"/>
  <c r="L878" i="6" s="1"/>
  <c r="M878" i="6" s="1"/>
  <c r="N877" i="6" s="1"/>
  <c r="K874" i="6"/>
  <c r="L874" i="6" s="1"/>
  <c r="M874" i="6" s="1"/>
  <c r="N873" i="6" s="1"/>
  <c r="F470" i="4" s="1"/>
  <c r="K872" i="6"/>
  <c r="L872" i="6" s="1"/>
  <c r="M872" i="6" s="1"/>
  <c r="N871" i="6" s="1"/>
  <c r="F470" i="5" s="1"/>
  <c r="W470" i="5" s="1"/>
  <c r="K870" i="6"/>
  <c r="L870" i="6" s="1"/>
  <c r="M870" i="6" s="1"/>
  <c r="N869" i="6" s="1"/>
  <c r="L867" i="6"/>
  <c r="M867" i="6" s="1"/>
  <c r="N866" i="6" s="1"/>
  <c r="K867" i="6"/>
  <c r="M865" i="6"/>
  <c r="N864" i="6" s="1"/>
  <c r="K865" i="6"/>
  <c r="L865" i="6" s="1"/>
  <c r="K862" i="6"/>
  <c r="L862" i="6" s="1"/>
  <c r="M862" i="6" s="1"/>
  <c r="N861" i="6"/>
  <c r="K859" i="6"/>
  <c r="L859" i="6" s="1"/>
  <c r="M859" i="6" s="1"/>
  <c r="N858" i="6" s="1"/>
  <c r="L857" i="6"/>
  <c r="M857" i="6" s="1"/>
  <c r="N856" i="6" s="1"/>
  <c r="K857" i="6"/>
  <c r="K853" i="6"/>
  <c r="L853" i="6" s="1"/>
  <c r="M853" i="6" s="1"/>
  <c r="N852" i="6"/>
  <c r="K851" i="6"/>
  <c r="L851" i="6" s="1"/>
  <c r="M851" i="6" s="1"/>
  <c r="N850" i="6"/>
  <c r="M848" i="6"/>
  <c r="L848" i="6"/>
  <c r="K848" i="6"/>
  <c r="K847" i="6"/>
  <c r="L847" i="6" s="1"/>
  <c r="M847" i="6" s="1"/>
  <c r="N846" i="6" s="1"/>
  <c r="K844" i="6"/>
  <c r="L844" i="6" s="1"/>
  <c r="M844" i="6" s="1"/>
  <c r="N843" i="6"/>
  <c r="L842" i="6"/>
  <c r="M842" i="6" s="1"/>
  <c r="N841" i="6" s="1"/>
  <c r="K839" i="6"/>
  <c r="L839" i="6" s="1"/>
  <c r="M839" i="6" s="1"/>
  <c r="N838" i="6" s="1"/>
  <c r="L837" i="6"/>
  <c r="M837" i="6" s="1"/>
  <c r="N836" i="6" s="1"/>
  <c r="K837" i="6"/>
  <c r="L834" i="6"/>
  <c r="M834" i="6" s="1"/>
  <c r="N833" i="6" s="1"/>
  <c r="M832" i="6"/>
  <c r="N831" i="6" s="1"/>
  <c r="L832" i="6"/>
  <c r="L829" i="6"/>
  <c r="M829" i="6" s="1"/>
  <c r="K829" i="6"/>
  <c r="L828" i="6"/>
  <c r="M828" i="6" s="1"/>
  <c r="N827" i="6" s="1"/>
  <c r="K828" i="6"/>
  <c r="K826" i="6"/>
  <c r="L826" i="6" s="1"/>
  <c r="M826" i="6" s="1"/>
  <c r="N825" i="6" s="1"/>
  <c r="K824" i="6"/>
  <c r="L824" i="6" s="1"/>
  <c r="M824" i="6" s="1"/>
  <c r="N823" i="6" s="1"/>
  <c r="K821" i="6"/>
  <c r="L821" i="6" s="1"/>
  <c r="M821" i="6" s="1"/>
  <c r="N820" i="6" s="1"/>
  <c r="K819" i="6"/>
  <c r="L819" i="6" s="1"/>
  <c r="M819" i="6" s="1"/>
  <c r="N818" i="6"/>
  <c r="K816" i="6"/>
  <c r="L816" i="6" s="1"/>
  <c r="M816" i="6" s="1"/>
  <c r="N815" i="6"/>
  <c r="K814" i="6"/>
  <c r="L814" i="6" s="1"/>
  <c r="M814" i="6" s="1"/>
  <c r="L813" i="6"/>
  <c r="M813" i="6" s="1"/>
  <c r="N809" i="6" s="1"/>
  <c r="K813" i="6"/>
  <c r="M812" i="6"/>
  <c r="L812" i="6"/>
  <c r="K812" i="6"/>
  <c r="K811" i="6"/>
  <c r="L811" i="6" s="1"/>
  <c r="M811" i="6" s="1"/>
  <c r="K810" i="6"/>
  <c r="L810" i="6" s="1"/>
  <c r="M810" i="6" s="1"/>
  <c r="L807" i="6"/>
  <c r="M807" i="6" s="1"/>
  <c r="N805" i="6" s="1"/>
  <c r="F434" i="5" s="1"/>
  <c r="W434" i="5" s="1"/>
  <c r="K807" i="6"/>
  <c r="M806" i="6"/>
  <c r="K806" i="6"/>
  <c r="L806" i="6" s="1"/>
  <c r="K804" i="6"/>
  <c r="L804" i="6" s="1"/>
  <c r="M804" i="6" s="1"/>
  <c r="K803" i="6"/>
  <c r="L803" i="6" s="1"/>
  <c r="M803" i="6" s="1"/>
  <c r="N802" i="6" s="1"/>
  <c r="L800" i="6"/>
  <c r="M800" i="6" s="1"/>
  <c r="N798" i="6" s="1"/>
  <c r="K800" i="6"/>
  <c r="K799" i="6"/>
  <c r="L799" i="6" s="1"/>
  <c r="M799" i="6" s="1"/>
  <c r="K797" i="6"/>
  <c r="L797" i="6" s="1"/>
  <c r="M797" i="6" s="1"/>
  <c r="K796" i="6"/>
  <c r="L796" i="6" s="1"/>
  <c r="M796" i="6" s="1"/>
  <c r="N795" i="6" s="1"/>
  <c r="L794" i="6"/>
  <c r="M794" i="6" s="1"/>
  <c r="K794" i="6"/>
  <c r="K793" i="6"/>
  <c r="L793" i="6" s="1"/>
  <c r="M793" i="6" s="1"/>
  <c r="N792" i="6"/>
  <c r="K790" i="6"/>
  <c r="L790" i="6" s="1"/>
  <c r="M790" i="6" s="1"/>
  <c r="L789" i="6"/>
  <c r="M789" i="6" s="1"/>
  <c r="K789" i="6"/>
  <c r="N788" i="6"/>
  <c r="L786" i="6"/>
  <c r="M786" i="6" s="1"/>
  <c r="N785" i="6" s="1"/>
  <c r="K786" i="6"/>
  <c r="K784" i="6"/>
  <c r="L784" i="6" s="1"/>
  <c r="M784" i="6" s="1"/>
  <c r="N783" i="6" s="1"/>
  <c r="M780" i="6"/>
  <c r="N779" i="6" s="1"/>
  <c r="L780" i="6"/>
  <c r="K780" i="6"/>
  <c r="K778" i="6"/>
  <c r="L778" i="6" s="1"/>
  <c r="M778" i="6" s="1"/>
  <c r="N777" i="6" s="1"/>
  <c r="F419" i="4" s="1"/>
  <c r="K776" i="6"/>
  <c r="L776" i="6" s="1"/>
  <c r="M776" i="6" s="1"/>
  <c r="N775" i="6"/>
  <c r="L773" i="6"/>
  <c r="M773" i="6" s="1"/>
  <c r="N772" i="6" s="1"/>
  <c r="K773" i="6"/>
  <c r="K771" i="6"/>
  <c r="L771" i="6" s="1"/>
  <c r="M771" i="6" s="1"/>
  <c r="N770" i="6" s="1"/>
  <c r="M769" i="6"/>
  <c r="K769" i="6"/>
  <c r="L769" i="6" s="1"/>
  <c r="N768" i="6"/>
  <c r="L767" i="6"/>
  <c r="M767" i="6" s="1"/>
  <c r="K767" i="6"/>
  <c r="N766" i="6"/>
  <c r="K765" i="6"/>
  <c r="L765" i="6" s="1"/>
  <c r="M765" i="6" s="1"/>
  <c r="N764" i="6" s="1"/>
  <c r="F413" i="5" s="1"/>
  <c r="W413" i="5" s="1"/>
  <c r="M763" i="6"/>
  <c r="N762" i="6" s="1"/>
  <c r="K763" i="6"/>
  <c r="L763" i="6" s="1"/>
  <c r="L761" i="6"/>
  <c r="M761" i="6" s="1"/>
  <c r="N760" i="6" s="1"/>
  <c r="K761" i="6"/>
  <c r="K759" i="6"/>
  <c r="L759" i="6" s="1"/>
  <c r="M759" i="6" s="1"/>
  <c r="N758" i="6"/>
  <c r="K757" i="6"/>
  <c r="L757" i="6" s="1"/>
  <c r="M757" i="6" s="1"/>
  <c r="N756" i="6" s="1"/>
  <c r="L755" i="6"/>
  <c r="M755" i="6" s="1"/>
  <c r="K755" i="6"/>
  <c r="N754" i="6"/>
  <c r="M753" i="6"/>
  <c r="N752" i="6" s="1"/>
  <c r="F406" i="4" s="1"/>
  <c r="L753" i="6"/>
  <c r="K753" i="6"/>
  <c r="K751" i="6"/>
  <c r="L751" i="6" s="1"/>
  <c r="M751" i="6" s="1"/>
  <c r="N750" i="6" s="1"/>
  <c r="M749" i="6"/>
  <c r="L749" i="6"/>
  <c r="K749" i="6"/>
  <c r="N748" i="6"/>
  <c r="K747" i="6"/>
  <c r="L747" i="6" s="1"/>
  <c r="M747" i="6" s="1"/>
  <c r="N746" i="6" s="1"/>
  <c r="M745" i="6"/>
  <c r="K745" i="6"/>
  <c r="L745" i="6" s="1"/>
  <c r="N744" i="6"/>
  <c r="M741" i="6"/>
  <c r="N740" i="6" s="1"/>
  <c r="F400" i="5" s="1"/>
  <c r="T400" i="5" s="1"/>
  <c r="L741" i="6"/>
  <c r="K741" i="6"/>
  <c r="K739" i="6"/>
  <c r="L739" i="6" s="1"/>
  <c r="M739" i="6" s="1"/>
  <c r="N738" i="6" s="1"/>
  <c r="K736" i="6"/>
  <c r="L736" i="6" s="1"/>
  <c r="M736" i="6" s="1"/>
  <c r="M735" i="6"/>
  <c r="L735" i="6"/>
  <c r="K735" i="6"/>
  <c r="K733" i="6"/>
  <c r="L733" i="6" s="1"/>
  <c r="M733" i="6" s="1"/>
  <c r="K732" i="6"/>
  <c r="L732" i="6" s="1"/>
  <c r="M732" i="6" s="1"/>
  <c r="N731" i="6" s="1"/>
  <c r="K728" i="6"/>
  <c r="L728" i="6" s="1"/>
  <c r="M728" i="6" s="1"/>
  <c r="N727" i="6"/>
  <c r="K726" i="6"/>
  <c r="L726" i="6" s="1"/>
  <c r="M726" i="6" s="1"/>
  <c r="N725" i="6" s="1"/>
  <c r="K724" i="6"/>
  <c r="L724" i="6" s="1"/>
  <c r="M724" i="6" s="1"/>
  <c r="N723" i="6"/>
  <c r="M721" i="6"/>
  <c r="N720" i="6" s="1"/>
  <c r="K721" i="6"/>
  <c r="L721" i="6" s="1"/>
  <c r="K719" i="6"/>
  <c r="L719" i="6" s="1"/>
  <c r="M719" i="6" s="1"/>
  <c r="N718" i="6" s="1"/>
  <c r="M716" i="6"/>
  <c r="N715" i="6" s="1"/>
  <c r="L716" i="6"/>
  <c r="K716" i="6"/>
  <c r="L713" i="6"/>
  <c r="M713" i="6" s="1"/>
  <c r="N712" i="6" s="1"/>
  <c r="K713" i="6"/>
  <c r="K711" i="6"/>
  <c r="L711" i="6" s="1"/>
  <c r="M711" i="6" s="1"/>
  <c r="N710" i="6" s="1"/>
  <c r="L707" i="6"/>
  <c r="M707" i="6" s="1"/>
  <c r="N706" i="6" s="1"/>
  <c r="F380" i="5" s="1"/>
  <c r="T380" i="5" s="1"/>
  <c r="K707" i="6"/>
  <c r="L705" i="6"/>
  <c r="M705" i="6" s="1"/>
  <c r="N704" i="6" s="1"/>
  <c r="K705" i="6"/>
  <c r="L702" i="6"/>
  <c r="M702" i="6" s="1"/>
  <c r="K702" i="6"/>
  <c r="L701" i="6"/>
  <c r="M701" i="6" s="1"/>
  <c r="N700" i="6" s="1"/>
  <c r="K701" i="6"/>
  <c r="M698" i="6"/>
  <c r="N697" i="6" s="1"/>
  <c r="L698" i="6"/>
  <c r="K698" i="6"/>
  <c r="M696" i="6"/>
  <c r="L696" i="6"/>
  <c r="N695" i="6"/>
  <c r="F374" i="5" s="1"/>
  <c r="T374" i="5" s="1"/>
  <c r="M693" i="6"/>
  <c r="L693" i="6"/>
  <c r="K693" i="6"/>
  <c r="N692" i="6"/>
  <c r="L691" i="6"/>
  <c r="M691" i="6" s="1"/>
  <c r="N690" i="6" s="1"/>
  <c r="K691" i="6"/>
  <c r="L688" i="6"/>
  <c r="M688" i="6" s="1"/>
  <c r="N687" i="6" s="1"/>
  <c r="L686" i="6"/>
  <c r="M686" i="6" s="1"/>
  <c r="N685" i="6"/>
  <c r="K683" i="6"/>
  <c r="L683" i="6" s="1"/>
  <c r="M683" i="6" s="1"/>
  <c r="M682" i="6"/>
  <c r="L682" i="6"/>
  <c r="K682" i="6"/>
  <c r="K680" i="6"/>
  <c r="L680" i="6" s="1"/>
  <c r="M680" i="6" s="1"/>
  <c r="N679" i="6" s="1"/>
  <c r="K678" i="6"/>
  <c r="L678" i="6" s="1"/>
  <c r="M678" i="6" s="1"/>
  <c r="N677" i="6" s="1"/>
  <c r="K675" i="6"/>
  <c r="L675" i="6" s="1"/>
  <c r="M675" i="6" s="1"/>
  <c r="N674" i="6" s="1"/>
  <c r="M673" i="6"/>
  <c r="N672" i="6" s="1"/>
  <c r="K673" i="6"/>
  <c r="L673" i="6" s="1"/>
  <c r="K670" i="6"/>
  <c r="L670" i="6" s="1"/>
  <c r="M670" i="6" s="1"/>
  <c r="N669" i="6" s="1"/>
  <c r="K668" i="6"/>
  <c r="L668" i="6" s="1"/>
  <c r="M668" i="6" s="1"/>
  <c r="L667" i="6"/>
  <c r="M667" i="6" s="1"/>
  <c r="K667" i="6"/>
  <c r="M666" i="6"/>
  <c r="L666" i="6"/>
  <c r="K666" i="6"/>
  <c r="K665" i="6"/>
  <c r="L665" i="6" s="1"/>
  <c r="M665" i="6" s="1"/>
  <c r="K664" i="6"/>
  <c r="L664" i="6" s="1"/>
  <c r="M664" i="6" s="1"/>
  <c r="K661" i="6"/>
  <c r="L661" i="6" s="1"/>
  <c r="M661" i="6" s="1"/>
  <c r="M660" i="6"/>
  <c r="N659" i="6" s="1"/>
  <c r="L660" i="6"/>
  <c r="K660" i="6"/>
  <c r="K658" i="6"/>
  <c r="L658" i="6" s="1"/>
  <c r="M658" i="6" s="1"/>
  <c r="K657" i="6"/>
  <c r="L657" i="6" s="1"/>
  <c r="M657" i="6" s="1"/>
  <c r="K654" i="6"/>
  <c r="L654" i="6" s="1"/>
  <c r="M654" i="6" s="1"/>
  <c r="N652" i="6" s="1"/>
  <c r="M653" i="6"/>
  <c r="K653" i="6"/>
  <c r="L653" i="6" s="1"/>
  <c r="K651" i="6"/>
  <c r="L651" i="6" s="1"/>
  <c r="M651" i="6" s="1"/>
  <c r="M650" i="6"/>
  <c r="K650" i="6"/>
  <c r="L650" i="6" s="1"/>
  <c r="K648" i="6"/>
  <c r="L648" i="6" s="1"/>
  <c r="M648" i="6" s="1"/>
  <c r="N646" i="6" s="1"/>
  <c r="L647" i="6"/>
  <c r="M647" i="6" s="1"/>
  <c r="K647" i="6"/>
  <c r="L644" i="6"/>
  <c r="M644" i="6" s="1"/>
  <c r="K644" i="6"/>
  <c r="L643" i="6"/>
  <c r="M643" i="6" s="1"/>
  <c r="N642" i="6" s="1"/>
  <c r="K643" i="6"/>
  <c r="K640" i="6"/>
  <c r="L640" i="6" s="1"/>
  <c r="M640" i="6" s="1"/>
  <c r="N639" i="6" s="1"/>
  <c r="F346" i="4" s="1"/>
  <c r="K638" i="6"/>
  <c r="L638" i="6" s="1"/>
  <c r="M638" i="6" s="1"/>
  <c r="N637" i="6" s="1"/>
  <c r="F346" i="5" s="1"/>
  <c r="T346" i="5" s="1"/>
  <c r="M634" i="6"/>
  <c r="L634" i="6"/>
  <c r="K634" i="6"/>
  <c r="N633" i="6"/>
  <c r="L632" i="6"/>
  <c r="M632" i="6" s="1"/>
  <c r="N631" i="6" s="1"/>
  <c r="K632" i="6"/>
  <c r="K630" i="6"/>
  <c r="L630" i="6" s="1"/>
  <c r="M630" i="6" s="1"/>
  <c r="N629" i="6" s="1"/>
  <c r="K627" i="6"/>
  <c r="L627" i="6" s="1"/>
  <c r="M627" i="6" s="1"/>
  <c r="N626" i="6"/>
  <c r="L625" i="6"/>
  <c r="M625" i="6" s="1"/>
  <c r="N624" i="6" s="1"/>
  <c r="K625" i="6"/>
  <c r="M623" i="6"/>
  <c r="N622" i="6" s="1"/>
  <c r="L623" i="6"/>
  <c r="K623" i="6"/>
  <c r="K621" i="6"/>
  <c r="L621" i="6" s="1"/>
  <c r="M621" i="6" s="1"/>
  <c r="N620" i="6"/>
  <c r="K619" i="6"/>
  <c r="L619" i="6" s="1"/>
  <c r="M619" i="6" s="1"/>
  <c r="N618" i="6"/>
  <c r="K617" i="6"/>
  <c r="L617" i="6" s="1"/>
  <c r="M617" i="6" s="1"/>
  <c r="N616" i="6" s="1"/>
  <c r="M615" i="6"/>
  <c r="N614" i="6" s="1"/>
  <c r="L615" i="6"/>
  <c r="K615" i="6"/>
  <c r="M613" i="6"/>
  <c r="N612" i="6" s="1"/>
  <c r="K613" i="6"/>
  <c r="L613" i="6" s="1"/>
  <c r="K611" i="6"/>
  <c r="L611" i="6" s="1"/>
  <c r="M611" i="6" s="1"/>
  <c r="N610" i="6" s="1"/>
  <c r="K609" i="6"/>
  <c r="L609" i="6" s="1"/>
  <c r="M609" i="6" s="1"/>
  <c r="N608" i="6" s="1"/>
  <c r="K607" i="6"/>
  <c r="L607" i="6" s="1"/>
  <c r="M607" i="6" s="1"/>
  <c r="N606" i="6"/>
  <c r="L605" i="6"/>
  <c r="M605" i="6" s="1"/>
  <c r="N604" i="6" s="1"/>
  <c r="K605" i="6"/>
  <c r="K603" i="6"/>
  <c r="L603" i="6" s="1"/>
  <c r="M603" i="6" s="1"/>
  <c r="N602" i="6" s="1"/>
  <c r="K601" i="6"/>
  <c r="L601" i="6" s="1"/>
  <c r="M601" i="6" s="1"/>
  <c r="N600" i="6" s="1"/>
  <c r="K599" i="6"/>
  <c r="L599" i="6" s="1"/>
  <c r="M599" i="6" s="1"/>
  <c r="N598" i="6" s="1"/>
  <c r="L595" i="6"/>
  <c r="M595" i="6" s="1"/>
  <c r="N594" i="6" s="1"/>
  <c r="K595" i="6"/>
  <c r="K593" i="6"/>
  <c r="L593" i="6" s="1"/>
  <c r="M593" i="6" s="1"/>
  <c r="N592" i="6" s="1"/>
  <c r="M590" i="6"/>
  <c r="L590" i="6"/>
  <c r="K590" i="6"/>
  <c r="K589" i="6"/>
  <c r="L589" i="6" s="1"/>
  <c r="M589" i="6" s="1"/>
  <c r="N588" i="6" s="1"/>
  <c r="K587" i="6"/>
  <c r="L587" i="6" s="1"/>
  <c r="M587" i="6" s="1"/>
  <c r="K586" i="6"/>
  <c r="L586" i="6" s="1"/>
  <c r="M586" i="6" s="1"/>
  <c r="K582" i="6"/>
  <c r="L582" i="6" s="1"/>
  <c r="M582" i="6" s="1"/>
  <c r="N581" i="6" s="1"/>
  <c r="M580" i="6"/>
  <c r="N579" i="6" s="1"/>
  <c r="L580" i="6"/>
  <c r="K580" i="6"/>
  <c r="M578" i="6"/>
  <c r="N577" i="6" s="1"/>
  <c r="L578" i="6"/>
  <c r="K578" i="6"/>
  <c r="K575" i="6"/>
  <c r="L575" i="6" s="1"/>
  <c r="M575" i="6" s="1"/>
  <c r="N574" i="6" s="1"/>
  <c r="L573" i="6"/>
  <c r="M573" i="6" s="1"/>
  <c r="N572" i="6" s="1"/>
  <c r="K573" i="6"/>
  <c r="M570" i="6"/>
  <c r="N569" i="6" s="1"/>
  <c r="L570" i="6"/>
  <c r="K570" i="6"/>
  <c r="K567" i="6"/>
  <c r="L567" i="6" s="1"/>
  <c r="M567" i="6" s="1"/>
  <c r="N566" i="6"/>
  <c r="F305" i="4" s="1"/>
  <c r="K565" i="6"/>
  <c r="L565" i="6" s="1"/>
  <c r="M565" i="6" s="1"/>
  <c r="N564" i="6"/>
  <c r="K561" i="6"/>
  <c r="L561" i="6" s="1"/>
  <c r="M561" i="6" s="1"/>
  <c r="N560" i="6" s="1"/>
  <c r="K559" i="6"/>
  <c r="L559" i="6" s="1"/>
  <c r="M559" i="6" s="1"/>
  <c r="N558" i="6"/>
  <c r="M556" i="6"/>
  <c r="K556" i="6"/>
  <c r="L556" i="6" s="1"/>
  <c r="K555" i="6"/>
  <c r="L555" i="6" s="1"/>
  <c r="M555" i="6" s="1"/>
  <c r="N554" i="6" s="1"/>
  <c r="M552" i="6"/>
  <c r="N551" i="6" s="1"/>
  <c r="L552" i="6"/>
  <c r="K552" i="6"/>
  <c r="L550" i="6"/>
  <c r="M550" i="6" s="1"/>
  <c r="N549" i="6" s="1"/>
  <c r="K547" i="6"/>
  <c r="L547" i="6" s="1"/>
  <c r="M547" i="6" s="1"/>
  <c r="N546" i="6" s="1"/>
  <c r="L545" i="6"/>
  <c r="M545" i="6" s="1"/>
  <c r="N544" i="6" s="1"/>
  <c r="K545" i="6"/>
  <c r="L542" i="6"/>
  <c r="M542" i="6" s="1"/>
  <c r="N541" i="6" s="1"/>
  <c r="L540" i="6"/>
  <c r="M540" i="6" s="1"/>
  <c r="N539" i="6" s="1"/>
  <c r="K537" i="6"/>
  <c r="L537" i="6" s="1"/>
  <c r="M537" i="6" s="1"/>
  <c r="L536" i="6"/>
  <c r="M536" i="6" s="1"/>
  <c r="N535" i="6" s="1"/>
  <c r="K536" i="6"/>
  <c r="K534" i="6"/>
  <c r="L534" i="6" s="1"/>
  <c r="M534" i="6" s="1"/>
  <c r="N533" i="6" s="1"/>
  <c r="M532" i="6"/>
  <c r="N531" i="6" s="1"/>
  <c r="L532" i="6"/>
  <c r="K532" i="6"/>
  <c r="L529" i="6"/>
  <c r="M529" i="6" s="1"/>
  <c r="N528" i="6" s="1"/>
  <c r="F283" i="4" s="1"/>
  <c r="K529" i="6"/>
  <c r="K527" i="6"/>
  <c r="L527" i="6" s="1"/>
  <c r="M527" i="6" s="1"/>
  <c r="N526" i="6"/>
  <c r="K524" i="6"/>
  <c r="L524" i="6" s="1"/>
  <c r="M524" i="6" s="1"/>
  <c r="N523" i="6" s="1"/>
  <c r="M522" i="6"/>
  <c r="L522" i="6"/>
  <c r="K522" i="6"/>
  <c r="K521" i="6"/>
  <c r="L521" i="6" s="1"/>
  <c r="M521" i="6" s="1"/>
  <c r="K520" i="6"/>
  <c r="L520" i="6" s="1"/>
  <c r="M520" i="6" s="1"/>
  <c r="K519" i="6"/>
  <c r="L519" i="6" s="1"/>
  <c r="M519" i="6" s="1"/>
  <c r="L518" i="6"/>
  <c r="M518" i="6" s="1"/>
  <c r="N517" i="6" s="1"/>
  <c r="F279" i="4" s="1"/>
  <c r="K518" i="6"/>
  <c r="K515" i="6"/>
  <c r="L515" i="6" s="1"/>
  <c r="M515" i="6" s="1"/>
  <c r="K514" i="6"/>
  <c r="L514" i="6" s="1"/>
  <c r="M514" i="6" s="1"/>
  <c r="N513" i="6"/>
  <c r="M512" i="6"/>
  <c r="N510" i="6" s="1"/>
  <c r="L512" i="6"/>
  <c r="K512" i="6"/>
  <c r="L511" i="6"/>
  <c r="M511" i="6" s="1"/>
  <c r="K511" i="6"/>
  <c r="K508" i="6"/>
  <c r="L508" i="6" s="1"/>
  <c r="M508" i="6" s="1"/>
  <c r="K507" i="6"/>
  <c r="L507" i="6" s="1"/>
  <c r="M507" i="6" s="1"/>
  <c r="N506" i="6"/>
  <c r="K505" i="6"/>
  <c r="L505" i="6" s="1"/>
  <c r="M505" i="6" s="1"/>
  <c r="K504" i="6"/>
  <c r="L504" i="6" s="1"/>
  <c r="M504" i="6" s="1"/>
  <c r="M502" i="6"/>
  <c r="L502" i="6"/>
  <c r="K502" i="6"/>
  <c r="K501" i="6"/>
  <c r="L501" i="6" s="1"/>
  <c r="M501" i="6" s="1"/>
  <c r="N500" i="6" s="1"/>
  <c r="L498" i="6"/>
  <c r="M498" i="6" s="1"/>
  <c r="K498" i="6"/>
  <c r="K497" i="6"/>
  <c r="L497" i="6" s="1"/>
  <c r="M497" i="6" s="1"/>
  <c r="N496" i="6"/>
  <c r="K494" i="6"/>
  <c r="L494" i="6" s="1"/>
  <c r="M494" i="6" s="1"/>
  <c r="N493" i="6" s="1"/>
  <c r="K492" i="6"/>
  <c r="L492" i="6" s="1"/>
  <c r="M492" i="6" s="1"/>
  <c r="N491" i="6" s="1"/>
  <c r="K488" i="6"/>
  <c r="L488" i="6" s="1"/>
  <c r="M488" i="6" s="1"/>
  <c r="N487" i="6"/>
  <c r="K486" i="6"/>
  <c r="L486" i="6" s="1"/>
  <c r="M486" i="6" s="1"/>
  <c r="N485" i="6"/>
  <c r="K484" i="6"/>
  <c r="L484" i="6" s="1"/>
  <c r="M484" i="6" s="1"/>
  <c r="N483" i="6" s="1"/>
  <c r="M481" i="6"/>
  <c r="N480" i="6" s="1"/>
  <c r="L481" i="6"/>
  <c r="K481" i="6"/>
  <c r="L479" i="6"/>
  <c r="M479" i="6" s="1"/>
  <c r="N478" i="6" s="1"/>
  <c r="K479" i="6"/>
  <c r="K477" i="6"/>
  <c r="L477" i="6" s="1"/>
  <c r="M477" i="6" s="1"/>
  <c r="N476" i="6" s="1"/>
  <c r="M475" i="6"/>
  <c r="N474" i="6" s="1"/>
  <c r="F258" i="5" s="1"/>
  <c r="Q258" i="5" s="1"/>
  <c r="L475" i="6"/>
  <c r="K475" i="6"/>
  <c r="K473" i="6"/>
  <c r="L473" i="6" s="1"/>
  <c r="M473" i="6" s="1"/>
  <c r="N472" i="6" s="1"/>
  <c r="K471" i="6"/>
  <c r="L471" i="6" s="1"/>
  <c r="M471" i="6" s="1"/>
  <c r="N470" i="6" s="1"/>
  <c r="K469" i="6"/>
  <c r="L469" i="6" s="1"/>
  <c r="M469" i="6" s="1"/>
  <c r="N468" i="6" s="1"/>
  <c r="K467" i="6"/>
  <c r="L467" i="6" s="1"/>
  <c r="M467" i="6" s="1"/>
  <c r="N466" i="6" s="1"/>
  <c r="K465" i="6"/>
  <c r="L465" i="6" s="1"/>
  <c r="M465" i="6" s="1"/>
  <c r="N464" i="6" s="1"/>
  <c r="K463" i="6"/>
  <c r="L463" i="6" s="1"/>
  <c r="M463" i="6" s="1"/>
  <c r="N462" i="6" s="1"/>
  <c r="K461" i="6"/>
  <c r="L461" i="6" s="1"/>
  <c r="M461" i="6" s="1"/>
  <c r="N460" i="6"/>
  <c r="L459" i="6"/>
  <c r="M459" i="6" s="1"/>
  <c r="N458" i="6" s="1"/>
  <c r="K459" i="6"/>
  <c r="K457" i="6"/>
  <c r="L457" i="6" s="1"/>
  <c r="M457" i="6" s="1"/>
  <c r="N456" i="6" s="1"/>
  <c r="M455" i="6"/>
  <c r="N454" i="6" s="1"/>
  <c r="L455" i="6"/>
  <c r="K455" i="6"/>
  <c r="K453" i="6"/>
  <c r="L453" i="6" s="1"/>
  <c r="M453" i="6" s="1"/>
  <c r="N452" i="6"/>
  <c r="K449" i="6"/>
  <c r="L449" i="6" s="1"/>
  <c r="M449" i="6" s="1"/>
  <c r="N448" i="6" s="1"/>
  <c r="L447" i="6"/>
  <c r="M447" i="6" s="1"/>
  <c r="N446" i="6" s="1"/>
  <c r="K447" i="6"/>
  <c r="K444" i="6"/>
  <c r="L444" i="6" s="1"/>
  <c r="M444" i="6" s="1"/>
  <c r="K443" i="6"/>
  <c r="L443" i="6" s="1"/>
  <c r="M443" i="6" s="1"/>
  <c r="N442" i="6" s="1"/>
  <c r="K441" i="6"/>
  <c r="L441" i="6" s="1"/>
  <c r="M441" i="6" s="1"/>
  <c r="M440" i="6"/>
  <c r="L440" i="6"/>
  <c r="K440" i="6"/>
  <c r="L436" i="6"/>
  <c r="M436" i="6" s="1"/>
  <c r="N435" i="6" s="1"/>
  <c r="K436" i="6"/>
  <c r="K434" i="6"/>
  <c r="L434" i="6" s="1"/>
  <c r="M434" i="6" s="1"/>
  <c r="N433" i="6" s="1"/>
  <c r="M432" i="6"/>
  <c r="N431" i="6" s="1"/>
  <c r="L432" i="6"/>
  <c r="K432" i="6"/>
  <c r="L429" i="6"/>
  <c r="M429" i="6" s="1"/>
  <c r="N428" i="6" s="1"/>
  <c r="K429" i="6"/>
  <c r="M427" i="6"/>
  <c r="N426" i="6" s="1"/>
  <c r="L427" i="6"/>
  <c r="K427" i="6"/>
  <c r="M424" i="6"/>
  <c r="N423" i="6" s="1"/>
  <c r="L424" i="6"/>
  <c r="K424" i="6"/>
  <c r="K421" i="6"/>
  <c r="L421" i="6" s="1"/>
  <c r="M421" i="6" s="1"/>
  <c r="N420" i="6"/>
  <c r="L419" i="6"/>
  <c r="M419" i="6" s="1"/>
  <c r="N418" i="6" s="1"/>
  <c r="K419" i="6"/>
  <c r="M415" i="6"/>
  <c r="N414" i="6" s="1"/>
  <c r="L415" i="6"/>
  <c r="K415" i="6"/>
  <c r="K413" i="6"/>
  <c r="L413" i="6" s="1"/>
  <c r="M413" i="6" s="1"/>
  <c r="N412" i="6"/>
  <c r="K410" i="6"/>
  <c r="L410" i="6" s="1"/>
  <c r="M410" i="6" s="1"/>
  <c r="L409" i="6"/>
  <c r="M409" i="6" s="1"/>
  <c r="K409" i="6"/>
  <c r="K406" i="6"/>
  <c r="L406" i="6" s="1"/>
  <c r="M406" i="6" s="1"/>
  <c r="N405" i="6"/>
  <c r="L404" i="6"/>
  <c r="M404" i="6" s="1"/>
  <c r="N403" i="6" s="1"/>
  <c r="K401" i="6"/>
  <c r="L401" i="6" s="1"/>
  <c r="M401" i="6" s="1"/>
  <c r="N400" i="6" s="1"/>
  <c r="L399" i="6"/>
  <c r="M399" i="6" s="1"/>
  <c r="K399" i="6"/>
  <c r="N398" i="6"/>
  <c r="L396" i="6"/>
  <c r="M396" i="6" s="1"/>
  <c r="N395" i="6" s="1"/>
  <c r="L394" i="6"/>
  <c r="M394" i="6" s="1"/>
  <c r="N393" i="6"/>
  <c r="M391" i="6"/>
  <c r="L391" i="6"/>
  <c r="K391" i="6"/>
  <c r="K390" i="6"/>
  <c r="L390" i="6" s="1"/>
  <c r="M390" i="6" s="1"/>
  <c r="N389" i="6"/>
  <c r="K388" i="6"/>
  <c r="L388" i="6" s="1"/>
  <c r="M388" i="6" s="1"/>
  <c r="N387" i="6" s="1"/>
  <c r="K386" i="6"/>
  <c r="L386" i="6" s="1"/>
  <c r="M386" i="6" s="1"/>
  <c r="N385" i="6" s="1"/>
  <c r="M383" i="6"/>
  <c r="N382" i="6" s="1"/>
  <c r="L383" i="6"/>
  <c r="K383" i="6"/>
  <c r="M381" i="6"/>
  <c r="N380" i="6" s="1"/>
  <c r="L381" i="6"/>
  <c r="K381" i="6"/>
  <c r="K378" i="6"/>
  <c r="L378" i="6" s="1"/>
  <c r="M378" i="6" s="1"/>
  <c r="N377" i="6" s="1"/>
  <c r="L376" i="6"/>
  <c r="M376" i="6" s="1"/>
  <c r="K376" i="6"/>
  <c r="K375" i="6"/>
  <c r="L375" i="6" s="1"/>
  <c r="M375" i="6" s="1"/>
  <c r="K374" i="6"/>
  <c r="L374" i="6" s="1"/>
  <c r="M374" i="6" s="1"/>
  <c r="M373" i="6"/>
  <c r="L373" i="6"/>
  <c r="K373" i="6"/>
  <c r="L372" i="6"/>
  <c r="M372" i="6" s="1"/>
  <c r="K372" i="6"/>
  <c r="K369" i="6"/>
  <c r="L369" i="6" s="1"/>
  <c r="M369" i="6" s="1"/>
  <c r="N367" i="6" s="1"/>
  <c r="K368" i="6"/>
  <c r="L368" i="6" s="1"/>
  <c r="M368" i="6" s="1"/>
  <c r="L366" i="6"/>
  <c r="M366" i="6" s="1"/>
  <c r="K366" i="6"/>
  <c r="M365" i="6"/>
  <c r="L365" i="6"/>
  <c r="K365" i="6"/>
  <c r="L362" i="6"/>
  <c r="M362" i="6" s="1"/>
  <c r="K362" i="6"/>
  <c r="L361" i="6"/>
  <c r="M361" i="6" s="1"/>
  <c r="K361" i="6"/>
  <c r="N360" i="6"/>
  <c r="M359" i="6"/>
  <c r="N357" i="6" s="1"/>
  <c r="L359" i="6"/>
  <c r="K359" i="6"/>
  <c r="K358" i="6"/>
  <c r="L358" i="6" s="1"/>
  <c r="M358" i="6" s="1"/>
  <c r="L356" i="6"/>
  <c r="M356" i="6" s="1"/>
  <c r="N354" i="6" s="1"/>
  <c r="K356" i="6"/>
  <c r="L355" i="6"/>
  <c r="M355" i="6" s="1"/>
  <c r="K355" i="6"/>
  <c r="M352" i="6"/>
  <c r="L352" i="6"/>
  <c r="K352" i="6"/>
  <c r="K351" i="6"/>
  <c r="L351" i="6" s="1"/>
  <c r="M351" i="6" s="1"/>
  <c r="N350" i="6" s="1"/>
  <c r="K348" i="6"/>
  <c r="L348" i="6" s="1"/>
  <c r="M348" i="6" s="1"/>
  <c r="N347" i="6"/>
  <c r="L346" i="6"/>
  <c r="M346" i="6" s="1"/>
  <c r="N345" i="6" s="1"/>
  <c r="K346" i="6"/>
  <c r="K342" i="6"/>
  <c r="L342" i="6" s="1"/>
  <c r="M342" i="6" s="1"/>
  <c r="N341" i="6" s="1"/>
  <c r="K340" i="6"/>
  <c r="L340" i="6" s="1"/>
  <c r="M340" i="6" s="1"/>
  <c r="N339" i="6" s="1"/>
  <c r="K338" i="6"/>
  <c r="L338" i="6" s="1"/>
  <c r="M338" i="6" s="1"/>
  <c r="N337" i="6" s="1"/>
  <c r="K335" i="6"/>
  <c r="L335" i="6" s="1"/>
  <c r="M335" i="6" s="1"/>
  <c r="N334" i="6"/>
  <c r="M333" i="6"/>
  <c r="N332" i="6" s="1"/>
  <c r="F181" i="4" s="1"/>
  <c r="K333" i="6"/>
  <c r="L333" i="6" s="1"/>
  <c r="K331" i="6"/>
  <c r="L331" i="6" s="1"/>
  <c r="M331" i="6" s="1"/>
  <c r="N330" i="6" s="1"/>
  <c r="M329" i="6"/>
  <c r="N328" i="6" s="1"/>
  <c r="L329" i="6"/>
  <c r="K329" i="6"/>
  <c r="K327" i="6"/>
  <c r="L327" i="6" s="1"/>
  <c r="M327" i="6" s="1"/>
  <c r="N326" i="6" s="1"/>
  <c r="L325" i="6"/>
  <c r="M325" i="6" s="1"/>
  <c r="N324" i="6" s="1"/>
  <c r="K325" i="6"/>
  <c r="L323" i="6"/>
  <c r="M323" i="6" s="1"/>
  <c r="N322" i="6" s="1"/>
  <c r="K323" i="6"/>
  <c r="K321" i="6"/>
  <c r="L321" i="6" s="1"/>
  <c r="M321" i="6" s="1"/>
  <c r="N320" i="6" s="1"/>
  <c r="F176" i="5" s="1"/>
  <c r="N176" i="5" s="1"/>
  <c r="K319" i="6"/>
  <c r="L319" i="6" s="1"/>
  <c r="M319" i="6" s="1"/>
  <c r="N318" i="6" s="1"/>
  <c r="F175" i="5" s="1"/>
  <c r="N175" i="5" s="1"/>
  <c r="K317" i="6"/>
  <c r="L317" i="6" s="1"/>
  <c r="M317" i="6" s="1"/>
  <c r="N316" i="6" s="1"/>
  <c r="K315" i="6"/>
  <c r="L315" i="6" s="1"/>
  <c r="M315" i="6" s="1"/>
  <c r="N314" i="6"/>
  <c r="K313" i="6"/>
  <c r="L313" i="6" s="1"/>
  <c r="M313" i="6" s="1"/>
  <c r="N312" i="6" s="1"/>
  <c r="M311" i="6"/>
  <c r="L311" i="6"/>
  <c r="K311" i="6"/>
  <c r="N310" i="6"/>
  <c r="M309" i="6"/>
  <c r="K309" i="6"/>
  <c r="L309" i="6" s="1"/>
  <c r="N308" i="6"/>
  <c r="K307" i="6"/>
  <c r="L307" i="6" s="1"/>
  <c r="M307" i="6" s="1"/>
  <c r="N306" i="6"/>
  <c r="K303" i="6"/>
  <c r="L303" i="6" s="1"/>
  <c r="M303" i="6" s="1"/>
  <c r="N302" i="6" s="1"/>
  <c r="K301" i="6"/>
  <c r="L301" i="6" s="1"/>
  <c r="M301" i="6" s="1"/>
  <c r="N300" i="6" s="1"/>
  <c r="K298" i="6"/>
  <c r="L298" i="6" s="1"/>
  <c r="M298" i="6" s="1"/>
  <c r="K297" i="6"/>
  <c r="L297" i="6" s="1"/>
  <c r="M297" i="6" s="1"/>
  <c r="L295" i="6"/>
  <c r="M295" i="6" s="1"/>
  <c r="K295" i="6"/>
  <c r="K294" i="6"/>
  <c r="L294" i="6" s="1"/>
  <c r="M294" i="6" s="1"/>
  <c r="K290" i="6"/>
  <c r="L290" i="6" s="1"/>
  <c r="M290" i="6" s="1"/>
  <c r="N289" i="6" s="1"/>
  <c r="L288" i="6"/>
  <c r="M288" i="6" s="1"/>
  <c r="N287" i="6" s="1"/>
  <c r="F158" i="5" s="1"/>
  <c r="K158" i="5" s="1"/>
  <c r="K288" i="6"/>
  <c r="M286" i="6"/>
  <c r="N285" i="6" s="1"/>
  <c r="L286" i="6"/>
  <c r="K286" i="6"/>
  <c r="L283" i="6"/>
  <c r="M283" i="6" s="1"/>
  <c r="N282" i="6" s="1"/>
  <c r="K283" i="6"/>
  <c r="K281" i="6"/>
  <c r="L281" i="6" s="1"/>
  <c r="M281" i="6" s="1"/>
  <c r="N280" i="6" s="1"/>
  <c r="L278" i="6"/>
  <c r="M278" i="6" s="1"/>
  <c r="N277" i="6" s="1"/>
  <c r="K278" i="6"/>
  <c r="L275" i="6"/>
  <c r="M275" i="6" s="1"/>
  <c r="N274" i="6" s="1"/>
  <c r="K275" i="6"/>
  <c r="K273" i="6"/>
  <c r="L273" i="6" s="1"/>
  <c r="M273" i="6" s="1"/>
  <c r="N272" i="6" s="1"/>
  <c r="F149" i="5" s="1"/>
  <c r="K149" i="5" s="1"/>
  <c r="K269" i="6"/>
  <c r="L269" i="6" s="1"/>
  <c r="M269" i="6" s="1"/>
  <c r="N268" i="6" s="1"/>
  <c r="K267" i="6"/>
  <c r="L267" i="6" s="1"/>
  <c r="M267" i="6" s="1"/>
  <c r="N266" i="6"/>
  <c r="K264" i="6"/>
  <c r="L264" i="6" s="1"/>
  <c r="M264" i="6" s="1"/>
  <c r="L263" i="6"/>
  <c r="M263" i="6" s="1"/>
  <c r="K263" i="6"/>
  <c r="M260" i="6"/>
  <c r="N259" i="6" s="1"/>
  <c r="L260" i="6"/>
  <c r="K260" i="6"/>
  <c r="L258" i="6"/>
  <c r="M258" i="6" s="1"/>
  <c r="N257" i="6"/>
  <c r="K255" i="6"/>
  <c r="L255" i="6" s="1"/>
  <c r="M255" i="6" s="1"/>
  <c r="N254" i="6" s="1"/>
  <c r="L253" i="6"/>
  <c r="M253" i="6" s="1"/>
  <c r="N252" i="6" s="1"/>
  <c r="K253" i="6"/>
  <c r="L250" i="6"/>
  <c r="M250" i="6" s="1"/>
  <c r="N249" i="6"/>
  <c r="L248" i="6"/>
  <c r="M248" i="6" s="1"/>
  <c r="N247" i="6" s="1"/>
  <c r="K245" i="6"/>
  <c r="L245" i="6" s="1"/>
  <c r="M245" i="6" s="1"/>
  <c r="K244" i="6"/>
  <c r="L244" i="6" s="1"/>
  <c r="M244" i="6" s="1"/>
  <c r="N243" i="6" s="1"/>
  <c r="K242" i="6"/>
  <c r="L242" i="6" s="1"/>
  <c r="M242" i="6" s="1"/>
  <c r="N241" i="6" s="1"/>
  <c r="K240" i="6"/>
  <c r="L240" i="6" s="1"/>
  <c r="M240" i="6" s="1"/>
  <c r="N239" i="6" s="1"/>
  <c r="L237" i="6"/>
  <c r="M237" i="6" s="1"/>
  <c r="N236" i="6" s="1"/>
  <c r="K237" i="6"/>
  <c r="K235" i="6"/>
  <c r="L235" i="6" s="1"/>
  <c r="M235" i="6" s="1"/>
  <c r="N234" i="6"/>
  <c r="K232" i="6"/>
  <c r="L232" i="6" s="1"/>
  <c r="M232" i="6" s="1"/>
  <c r="N231" i="6" s="1"/>
  <c r="K230" i="6"/>
  <c r="L230" i="6" s="1"/>
  <c r="M230" i="6" s="1"/>
  <c r="L229" i="6"/>
  <c r="M229" i="6" s="1"/>
  <c r="K229" i="6"/>
  <c r="L228" i="6"/>
  <c r="M228" i="6" s="1"/>
  <c r="K228" i="6"/>
  <c r="M227" i="6"/>
  <c r="L227" i="6"/>
  <c r="K227" i="6"/>
  <c r="K226" i="6"/>
  <c r="L226" i="6" s="1"/>
  <c r="M226" i="6" s="1"/>
  <c r="M223" i="6"/>
  <c r="L223" i="6"/>
  <c r="K223" i="6"/>
  <c r="K222" i="6"/>
  <c r="L222" i="6" s="1"/>
  <c r="M222" i="6" s="1"/>
  <c r="N221" i="6"/>
  <c r="K220" i="6"/>
  <c r="L220" i="6" s="1"/>
  <c r="M220" i="6" s="1"/>
  <c r="K219" i="6"/>
  <c r="L219" i="6" s="1"/>
  <c r="M219" i="6" s="1"/>
  <c r="M216" i="6"/>
  <c r="L216" i="6"/>
  <c r="K216" i="6"/>
  <c r="K215" i="6"/>
  <c r="L215" i="6" s="1"/>
  <c r="M215" i="6" s="1"/>
  <c r="N214" i="6"/>
  <c r="K213" i="6"/>
  <c r="L213" i="6" s="1"/>
  <c r="M213" i="6" s="1"/>
  <c r="L212" i="6"/>
  <c r="M212" i="6" s="1"/>
  <c r="K212" i="6"/>
  <c r="K210" i="6"/>
  <c r="L210" i="6" s="1"/>
  <c r="M210" i="6" s="1"/>
  <c r="N208" i="6" s="1"/>
  <c r="M209" i="6"/>
  <c r="L209" i="6"/>
  <c r="K209" i="6"/>
  <c r="L206" i="6"/>
  <c r="M206" i="6" s="1"/>
  <c r="K206" i="6"/>
  <c r="M205" i="6"/>
  <c r="L205" i="6"/>
  <c r="K205" i="6"/>
  <c r="K202" i="6"/>
  <c r="L202" i="6" s="1"/>
  <c r="M202" i="6" s="1"/>
  <c r="N201" i="6" s="1"/>
  <c r="F112" i="4" s="1"/>
  <c r="K200" i="6"/>
  <c r="L200" i="6" s="1"/>
  <c r="M200" i="6" s="1"/>
  <c r="N199" i="6" s="1"/>
  <c r="M196" i="6"/>
  <c r="N195" i="6" s="1"/>
  <c r="L196" i="6"/>
  <c r="K196" i="6"/>
  <c r="K194" i="6"/>
  <c r="L194" i="6" s="1"/>
  <c r="M194" i="6" s="1"/>
  <c r="N193" i="6"/>
  <c r="L192" i="6"/>
  <c r="M192" i="6" s="1"/>
  <c r="N191" i="6" s="1"/>
  <c r="K192" i="6"/>
  <c r="M189" i="6"/>
  <c r="N188" i="6" s="1"/>
  <c r="L189" i="6"/>
  <c r="K189" i="6"/>
  <c r="K187" i="6"/>
  <c r="L187" i="6" s="1"/>
  <c r="M187" i="6" s="1"/>
  <c r="N186" i="6"/>
  <c r="L185" i="6"/>
  <c r="M185" i="6" s="1"/>
  <c r="N184" i="6" s="1"/>
  <c r="K185" i="6"/>
  <c r="M183" i="6"/>
  <c r="N182" i="6" s="1"/>
  <c r="L183" i="6"/>
  <c r="K183" i="6"/>
  <c r="K181" i="6"/>
  <c r="L181" i="6" s="1"/>
  <c r="M181" i="6" s="1"/>
  <c r="N180" i="6" s="1"/>
  <c r="K179" i="6"/>
  <c r="L179" i="6" s="1"/>
  <c r="M179" i="6" s="1"/>
  <c r="N178" i="6"/>
  <c r="M177" i="6"/>
  <c r="N176" i="6" s="1"/>
  <c r="L177" i="6"/>
  <c r="K177" i="6"/>
  <c r="K175" i="6"/>
  <c r="L175" i="6" s="1"/>
  <c r="M175" i="6" s="1"/>
  <c r="N174" i="6" s="1"/>
  <c r="L173" i="6"/>
  <c r="M173" i="6" s="1"/>
  <c r="N172" i="6" s="1"/>
  <c r="K173" i="6"/>
  <c r="M171" i="6"/>
  <c r="N170" i="6" s="1"/>
  <c r="L171" i="6"/>
  <c r="K171" i="6"/>
  <c r="K169" i="6"/>
  <c r="L169" i="6" s="1"/>
  <c r="M169" i="6" s="1"/>
  <c r="N168" i="6" s="1"/>
  <c r="K167" i="6"/>
  <c r="L167" i="6" s="1"/>
  <c r="M167" i="6" s="1"/>
  <c r="N166" i="6"/>
  <c r="M165" i="6"/>
  <c r="N164" i="6" s="1"/>
  <c r="L165" i="6"/>
  <c r="K165" i="6"/>
  <c r="M163" i="6"/>
  <c r="N162" i="6" s="1"/>
  <c r="L163" i="6"/>
  <c r="K163" i="6"/>
  <c r="K161" i="6"/>
  <c r="L161" i="6" s="1"/>
  <c r="M161" i="6" s="1"/>
  <c r="N160" i="6"/>
  <c r="M157" i="6"/>
  <c r="N156" i="6" s="1"/>
  <c r="L157" i="6"/>
  <c r="K157" i="6"/>
  <c r="K155" i="6"/>
  <c r="L155" i="6" s="1"/>
  <c r="M155" i="6" s="1"/>
  <c r="N154" i="6" s="1"/>
  <c r="K152" i="6"/>
  <c r="L152" i="6" s="1"/>
  <c r="M152" i="6" s="1"/>
  <c r="L151" i="6"/>
  <c r="M151" i="6" s="1"/>
  <c r="K151" i="6"/>
  <c r="K149" i="6"/>
  <c r="L149" i="6" s="1"/>
  <c r="M149" i="6" s="1"/>
  <c r="K148" i="6"/>
  <c r="L148" i="6" s="1"/>
  <c r="M148" i="6" s="1"/>
  <c r="N147" i="6"/>
  <c r="K144" i="6"/>
  <c r="L144" i="6" s="1"/>
  <c r="M144" i="6" s="1"/>
  <c r="N143" i="6" s="1"/>
  <c r="L142" i="6"/>
  <c r="M142" i="6" s="1"/>
  <c r="K142" i="6"/>
  <c r="N141" i="6"/>
  <c r="M140" i="6"/>
  <c r="N139" i="6" s="1"/>
  <c r="L140" i="6"/>
  <c r="K140" i="6"/>
  <c r="K137" i="6"/>
  <c r="L137" i="6" s="1"/>
  <c r="M137" i="6" s="1"/>
  <c r="N136" i="6" s="1"/>
  <c r="F77" i="5" s="1"/>
  <c r="K77" i="5" s="1"/>
  <c r="L135" i="6"/>
  <c r="M135" i="6" s="1"/>
  <c r="N134" i="6" s="1"/>
  <c r="K135" i="6"/>
  <c r="K132" i="6"/>
  <c r="L132" i="6" s="1"/>
  <c r="M132" i="6" s="1"/>
  <c r="N131" i="6" s="1"/>
  <c r="L129" i="6"/>
  <c r="M129" i="6" s="1"/>
  <c r="N128" i="6" s="1"/>
  <c r="K129" i="6"/>
  <c r="K127" i="6"/>
  <c r="L127" i="6" s="1"/>
  <c r="M127" i="6" s="1"/>
  <c r="N126" i="6" s="1"/>
  <c r="K123" i="6"/>
  <c r="L123" i="6" s="1"/>
  <c r="M123" i="6" s="1"/>
  <c r="N122" i="6"/>
  <c r="K121" i="6"/>
  <c r="L121" i="6" s="1"/>
  <c r="M121" i="6" s="1"/>
  <c r="N120" i="6" s="1"/>
  <c r="K118" i="6"/>
  <c r="L118" i="6" s="1"/>
  <c r="M118" i="6" s="1"/>
  <c r="M117" i="6"/>
  <c r="L117" i="6"/>
  <c r="K117" i="6"/>
  <c r="K114" i="6"/>
  <c r="L114" i="6" s="1"/>
  <c r="M114" i="6" s="1"/>
  <c r="N113" i="6" s="1"/>
  <c r="M112" i="6"/>
  <c r="L112" i="6"/>
  <c r="N111" i="6"/>
  <c r="L109" i="6"/>
  <c r="M109" i="6" s="1"/>
  <c r="N108" i="6" s="1"/>
  <c r="K109" i="6"/>
  <c r="L107" i="6"/>
  <c r="M107" i="6" s="1"/>
  <c r="N106" i="6" s="1"/>
  <c r="K107" i="6"/>
  <c r="L104" i="6"/>
  <c r="M104" i="6" s="1"/>
  <c r="N103" i="6" s="1"/>
  <c r="L102" i="6"/>
  <c r="M102" i="6" s="1"/>
  <c r="N101" i="6" s="1"/>
  <c r="M99" i="6"/>
  <c r="L99" i="6"/>
  <c r="K99" i="6"/>
  <c r="K98" i="6"/>
  <c r="L98" i="6" s="1"/>
  <c r="M98" i="6" s="1"/>
  <c r="N97" i="6" s="1"/>
  <c r="K96" i="6"/>
  <c r="L96" i="6" s="1"/>
  <c r="M96" i="6" s="1"/>
  <c r="N95" i="6" s="1"/>
  <c r="K94" i="6"/>
  <c r="L94" i="6" s="1"/>
  <c r="M94" i="6" s="1"/>
  <c r="N93" i="6" s="1"/>
  <c r="K91" i="6"/>
  <c r="L91" i="6" s="1"/>
  <c r="M91" i="6" s="1"/>
  <c r="N90" i="6" s="1"/>
  <c r="M89" i="6"/>
  <c r="N88" i="6" s="1"/>
  <c r="K89" i="6"/>
  <c r="L89" i="6" s="1"/>
  <c r="K86" i="6"/>
  <c r="L86" i="6" s="1"/>
  <c r="M86" i="6" s="1"/>
  <c r="N85" i="6" s="1"/>
  <c r="K84" i="6"/>
  <c r="L84" i="6" s="1"/>
  <c r="M84" i="6" s="1"/>
  <c r="L83" i="6"/>
  <c r="M83" i="6" s="1"/>
  <c r="K83" i="6"/>
  <c r="K82" i="6"/>
  <c r="L82" i="6" s="1"/>
  <c r="M82" i="6" s="1"/>
  <c r="K81" i="6"/>
  <c r="L81" i="6" s="1"/>
  <c r="M81" i="6" s="1"/>
  <c r="N79" i="6" s="1"/>
  <c r="K80" i="6"/>
  <c r="L80" i="6" s="1"/>
  <c r="M80" i="6" s="1"/>
  <c r="K77" i="6"/>
  <c r="L77" i="6" s="1"/>
  <c r="M77" i="6" s="1"/>
  <c r="K76" i="6"/>
  <c r="L76" i="6" s="1"/>
  <c r="M76" i="6" s="1"/>
  <c r="N75" i="6" s="1"/>
  <c r="L74" i="6"/>
  <c r="M74" i="6" s="1"/>
  <c r="K74" i="6"/>
  <c r="K73" i="6"/>
  <c r="L73" i="6" s="1"/>
  <c r="M73" i="6" s="1"/>
  <c r="K70" i="6"/>
  <c r="L70" i="6" s="1"/>
  <c r="M70" i="6" s="1"/>
  <c r="M69" i="6"/>
  <c r="N68" i="6" s="1"/>
  <c r="L69" i="6"/>
  <c r="K69" i="6"/>
  <c r="M67" i="6"/>
  <c r="N65" i="6" s="1"/>
  <c r="L67" i="6"/>
  <c r="K67" i="6"/>
  <c r="K66" i="6"/>
  <c r="L66" i="6" s="1"/>
  <c r="M66" i="6" s="1"/>
  <c r="K64" i="6"/>
  <c r="L64" i="6" s="1"/>
  <c r="M64" i="6" s="1"/>
  <c r="K63" i="6"/>
  <c r="L63" i="6" s="1"/>
  <c r="M63" i="6" s="1"/>
  <c r="N62" i="6" s="1"/>
  <c r="M60" i="6"/>
  <c r="L60" i="6"/>
  <c r="K60" i="6"/>
  <c r="K59" i="6"/>
  <c r="L59" i="6" s="1"/>
  <c r="M59" i="6" s="1"/>
  <c r="N58" i="6" s="1"/>
  <c r="K56" i="6"/>
  <c r="L56" i="6" s="1"/>
  <c r="M56" i="6" s="1"/>
  <c r="N55" i="6"/>
  <c r="F35" i="5" s="1"/>
  <c r="K35" i="5" s="1"/>
  <c r="M54" i="6"/>
  <c r="N53" i="6" s="1"/>
  <c r="F33" i="4" s="1"/>
  <c r="L54" i="6"/>
  <c r="K54" i="6"/>
  <c r="L50" i="6"/>
  <c r="M50" i="6" s="1"/>
  <c r="N49" i="6" s="1"/>
  <c r="K50" i="6"/>
  <c r="K48" i="6"/>
  <c r="L48" i="6" s="1"/>
  <c r="M48" i="6" s="1"/>
  <c r="N47" i="6" s="1"/>
  <c r="L46" i="6"/>
  <c r="M46" i="6" s="1"/>
  <c r="N45" i="6" s="1"/>
  <c r="K46" i="6"/>
  <c r="K43" i="6"/>
  <c r="L43" i="6" s="1"/>
  <c r="M43" i="6" s="1"/>
  <c r="N42" i="6"/>
  <c r="K41" i="6"/>
  <c r="L41" i="6" s="1"/>
  <c r="M41" i="6" s="1"/>
  <c r="N40" i="6" s="1"/>
  <c r="K39" i="6"/>
  <c r="L39" i="6" s="1"/>
  <c r="M39" i="6" s="1"/>
  <c r="N38" i="6" s="1"/>
  <c r="F25" i="5" s="1"/>
  <c r="K25" i="5" s="1"/>
  <c r="K37" i="6"/>
  <c r="L37" i="6" s="1"/>
  <c r="M37" i="6" s="1"/>
  <c r="N36" i="6"/>
  <c r="M35" i="6"/>
  <c r="L35" i="6"/>
  <c r="K35" i="6"/>
  <c r="N34" i="6"/>
  <c r="K33" i="6"/>
  <c r="L33" i="6" s="1"/>
  <c r="M33" i="6" s="1"/>
  <c r="N32" i="6" s="1"/>
  <c r="M31" i="6"/>
  <c r="N30" i="6" s="1"/>
  <c r="L31" i="6"/>
  <c r="K31" i="6"/>
  <c r="K29" i="6"/>
  <c r="L29" i="6" s="1"/>
  <c r="M29" i="6" s="1"/>
  <c r="N28" i="6" s="1"/>
  <c r="M27" i="6"/>
  <c r="N26" i="6" s="1"/>
  <c r="F19" i="5" s="1"/>
  <c r="K19" i="5" s="1"/>
  <c r="L27" i="6"/>
  <c r="K27" i="6"/>
  <c r="L25" i="6"/>
  <c r="M25" i="6" s="1"/>
  <c r="N24" i="6" s="1"/>
  <c r="K25" i="6"/>
  <c r="K23" i="6"/>
  <c r="L23" i="6" s="1"/>
  <c r="M23" i="6" s="1"/>
  <c r="N22" i="6"/>
  <c r="K21" i="6"/>
  <c r="L21" i="6" s="1"/>
  <c r="M21" i="6" s="1"/>
  <c r="N20" i="6" s="1"/>
  <c r="L19" i="6"/>
  <c r="M19" i="6" s="1"/>
  <c r="N18" i="6" s="1"/>
  <c r="K19" i="6"/>
  <c r="K17" i="6"/>
  <c r="L17" i="6" s="1"/>
  <c r="M17" i="6" s="1"/>
  <c r="N16" i="6"/>
  <c r="K15" i="6"/>
  <c r="L15" i="6" s="1"/>
  <c r="M15" i="6" s="1"/>
  <c r="N14" i="6" s="1"/>
  <c r="K11" i="6"/>
  <c r="L11" i="6" s="1"/>
  <c r="M11" i="6" s="1"/>
  <c r="N10" i="6"/>
  <c r="K9" i="6"/>
  <c r="L9" i="6" s="1"/>
  <c r="M9" i="6" s="1"/>
  <c r="N8" i="6" s="1"/>
  <c r="E127" i="7" l="1"/>
  <c r="C217" i="7"/>
  <c r="E145" i="7"/>
  <c r="E77" i="8"/>
  <c r="D172" i="16"/>
  <c r="E44" i="8"/>
  <c r="G244" i="8"/>
  <c r="I244" i="8" s="1"/>
  <c r="E140" i="9"/>
  <c r="G19" i="8"/>
  <c r="I19" i="8" s="1"/>
  <c r="G278" i="9"/>
  <c r="I278" i="9" s="1"/>
  <c r="E244" i="8"/>
  <c r="C61" i="8"/>
  <c r="C162" i="9"/>
  <c r="D162" i="9"/>
  <c r="E29" i="16"/>
  <c r="G112" i="7"/>
  <c r="I112" i="7" s="1"/>
  <c r="G332" i="7"/>
  <c r="I332" i="7" s="1"/>
  <c r="E172" i="10"/>
  <c r="E116" i="16"/>
  <c r="N585" i="6"/>
  <c r="N296" i="6"/>
  <c r="N293" i="6"/>
  <c r="B403" i="4"/>
  <c r="B118" i="5"/>
  <c r="B476" i="5"/>
  <c r="B168" i="4"/>
  <c r="B446" i="4"/>
  <c r="F157" i="5"/>
  <c r="K157" i="5" s="1"/>
  <c r="B84" i="4"/>
  <c r="B319" i="4"/>
  <c r="B103" i="2" s="1"/>
  <c r="B448" i="4"/>
  <c r="B197" i="5"/>
  <c r="B337" i="5"/>
  <c r="B217" i="4"/>
  <c r="F465" i="4"/>
  <c r="B356" i="4"/>
  <c r="B112" i="2" s="1"/>
  <c r="F218" i="4"/>
  <c r="B468" i="4"/>
  <c r="B80" i="5"/>
  <c r="F391" i="5"/>
  <c r="T391" i="5" s="1"/>
  <c r="B25" i="4"/>
  <c r="B139" i="4"/>
  <c r="B253" i="4"/>
  <c r="B378" i="4"/>
  <c r="B82" i="5"/>
  <c r="B233" i="5"/>
  <c r="B392" i="5"/>
  <c r="D395" i="7"/>
  <c r="B194" i="4"/>
  <c r="B51" i="5"/>
  <c r="B107" i="4"/>
  <c r="B352" i="4"/>
  <c r="B52" i="5"/>
  <c r="B201" i="5"/>
  <c r="B342" i="5"/>
  <c r="F107" i="4"/>
  <c r="B467" i="4"/>
  <c r="B149" i="3" s="1"/>
  <c r="B75" i="5"/>
  <c r="F375" i="5"/>
  <c r="T375" i="5" s="1"/>
  <c r="F108" i="4"/>
  <c r="B359" i="4"/>
  <c r="B114" i="3" s="1"/>
  <c r="F230" i="5"/>
  <c r="N230" i="5" s="1"/>
  <c r="G77" i="8"/>
  <c r="I77" i="8" s="1"/>
  <c r="B28" i="4"/>
  <c r="B141" i="4"/>
  <c r="B47" i="3" s="1"/>
  <c r="B254" i="4"/>
  <c r="B380" i="4"/>
  <c r="B121" i="3" s="1"/>
  <c r="B113" i="5"/>
  <c r="F261" i="5"/>
  <c r="Q261" i="5" s="1"/>
  <c r="B428" i="5"/>
  <c r="E395" i="7"/>
  <c r="C539" i="7"/>
  <c r="G91" i="9"/>
  <c r="I91" i="9" s="1"/>
  <c r="B218" i="4"/>
  <c r="B229" i="5"/>
  <c r="F10" i="5"/>
  <c r="K10" i="5" s="1"/>
  <c r="F62" i="4"/>
  <c r="F92" i="5"/>
  <c r="K92" i="5" s="1"/>
  <c r="F111" i="4"/>
  <c r="F126" i="4"/>
  <c r="F145" i="4"/>
  <c r="F169" i="5"/>
  <c r="N169" i="5" s="1"/>
  <c r="F173" i="4"/>
  <c r="F196" i="4"/>
  <c r="F222" i="4"/>
  <c r="F248" i="5"/>
  <c r="Q248" i="5" s="1"/>
  <c r="F264" i="4"/>
  <c r="F305" i="5"/>
  <c r="Q305" i="5" s="1"/>
  <c r="F378" i="4"/>
  <c r="F411" i="4"/>
  <c r="F447" i="5"/>
  <c r="W447" i="5" s="1"/>
  <c r="F469" i="5"/>
  <c r="W469" i="5" s="1"/>
  <c r="B29" i="4"/>
  <c r="B142" i="4"/>
  <c r="B258" i="4"/>
  <c r="B382" i="4"/>
  <c r="B115" i="5"/>
  <c r="B266" i="5"/>
  <c r="F25" i="4"/>
  <c r="F321" i="4"/>
  <c r="B331" i="4"/>
  <c r="F57" i="5"/>
  <c r="K57" i="5" s="1"/>
  <c r="B54" i="5"/>
  <c r="F169" i="4"/>
  <c r="B383" i="4"/>
  <c r="B83" i="5"/>
  <c r="B346" i="5"/>
  <c r="F105" i="5"/>
  <c r="K105" i="5" s="1"/>
  <c r="B113" i="4"/>
  <c r="B37" i="2" s="1"/>
  <c r="B261" i="4"/>
  <c r="B83" i="3" s="1"/>
  <c r="F385" i="4"/>
  <c r="B205" i="5"/>
  <c r="F130" i="4"/>
  <c r="F259" i="4"/>
  <c r="F333" i="5"/>
  <c r="T333" i="5" s="1"/>
  <c r="F396" i="5"/>
  <c r="T396" i="5" s="1"/>
  <c r="B152" i="4"/>
  <c r="B52" i="3" s="1"/>
  <c r="B262" i="4"/>
  <c r="B332" i="4"/>
  <c r="B475" i="4"/>
  <c r="B151" i="2" s="1"/>
  <c r="B129" i="5"/>
  <c r="B275" i="5"/>
  <c r="B398" i="5"/>
  <c r="F217" i="4"/>
  <c r="F298" i="4"/>
  <c r="F358" i="4"/>
  <c r="F39" i="4"/>
  <c r="B154" i="4"/>
  <c r="B234" i="4"/>
  <c r="B334" i="4"/>
  <c r="B131" i="5"/>
  <c r="B276" i="5"/>
  <c r="B401" i="5"/>
  <c r="F22" i="5"/>
  <c r="K22" i="5" s="1"/>
  <c r="F186" i="4"/>
  <c r="F195" i="5"/>
  <c r="N195" i="5" s="1"/>
  <c r="F252" i="4"/>
  <c r="F318" i="4"/>
  <c r="F334" i="4"/>
  <c r="B11" i="4"/>
  <c r="B10" i="3" s="1"/>
  <c r="B44" i="4"/>
  <c r="B16" i="2" s="1"/>
  <c r="B67" i="4"/>
  <c r="B96" i="4"/>
  <c r="B131" i="4"/>
  <c r="F154" i="4"/>
  <c r="B175" i="4"/>
  <c r="B207" i="4"/>
  <c r="B235" i="4"/>
  <c r="B268" i="4"/>
  <c r="B306" i="4"/>
  <c r="B98" i="2" s="1"/>
  <c r="F336" i="4"/>
  <c r="B365" i="4"/>
  <c r="B394" i="4"/>
  <c r="B127" i="3" s="1"/>
  <c r="B424" i="4"/>
  <c r="B454" i="4"/>
  <c r="B32" i="5"/>
  <c r="B59" i="5"/>
  <c r="B97" i="5"/>
  <c r="B133" i="5"/>
  <c r="B169" i="5"/>
  <c r="F215" i="5"/>
  <c r="N215" i="5" s="1"/>
  <c r="B252" i="5"/>
  <c r="B277" i="5"/>
  <c r="B319" i="5"/>
  <c r="B362" i="5"/>
  <c r="B402" i="5"/>
  <c r="B460" i="5"/>
  <c r="E67" i="7"/>
  <c r="E32" i="15" s="1"/>
  <c r="C549" i="7"/>
  <c r="C547" i="8"/>
  <c r="C217" i="9"/>
  <c r="G101" i="11"/>
  <c r="I101" i="11" s="1"/>
  <c r="D173" i="16"/>
  <c r="F149" i="4"/>
  <c r="F249" i="4"/>
  <c r="B60" i="4"/>
  <c r="B21" i="2" s="1"/>
  <c r="B227" i="4"/>
  <c r="B360" i="4"/>
  <c r="B18" i="5"/>
  <c r="B234" i="5"/>
  <c r="F27" i="5"/>
  <c r="K27" i="5" s="1"/>
  <c r="F93" i="4"/>
  <c r="F338" i="4"/>
  <c r="B91" i="4"/>
  <c r="B232" i="4"/>
  <c r="B416" i="4"/>
  <c r="F84" i="5"/>
  <c r="B397" i="5"/>
  <c r="F47" i="5"/>
  <c r="K47" i="5" s="1"/>
  <c r="F152" i="5"/>
  <c r="K152" i="5" s="1"/>
  <c r="F325" i="4"/>
  <c r="F461" i="4"/>
  <c r="F91" i="4"/>
  <c r="B202" i="4"/>
  <c r="B363" i="4"/>
  <c r="B30" i="5"/>
  <c r="B165" i="5"/>
  <c r="B442" i="5"/>
  <c r="F107" i="5"/>
  <c r="K107" i="5" s="1"/>
  <c r="F186" i="5"/>
  <c r="N186" i="5" s="1"/>
  <c r="F252" i="5"/>
  <c r="Q252" i="5" s="1"/>
  <c r="F464" i="5"/>
  <c r="W464" i="5" s="1"/>
  <c r="B130" i="4"/>
  <c r="B206" i="4"/>
  <c r="B67" i="3" s="1"/>
  <c r="B301" i="4"/>
  <c r="B419" i="4"/>
  <c r="B31" i="5"/>
  <c r="B168" i="5"/>
  <c r="F308" i="5"/>
  <c r="Q308" i="5" s="1"/>
  <c r="B456" i="5"/>
  <c r="F29" i="5"/>
  <c r="K29" i="5" s="1"/>
  <c r="F178" i="4"/>
  <c r="B12" i="4"/>
  <c r="F46" i="4"/>
  <c r="B68" i="4"/>
  <c r="B24" i="2" s="1"/>
  <c r="F96" i="4"/>
  <c r="F133" i="4"/>
  <c r="B155" i="4"/>
  <c r="B53" i="3" s="1"/>
  <c r="B181" i="4"/>
  <c r="B213" i="4"/>
  <c r="B68" i="2" s="1"/>
  <c r="B238" i="4"/>
  <c r="B78" i="2" s="1"/>
  <c r="B269" i="4"/>
  <c r="B85" i="2" s="1"/>
  <c r="B307" i="4"/>
  <c r="B340" i="4"/>
  <c r="B367" i="4"/>
  <c r="F395" i="4"/>
  <c r="B425" i="4"/>
  <c r="B134" i="3" s="1"/>
  <c r="B455" i="4"/>
  <c r="B143" i="2" s="1"/>
  <c r="B34" i="5"/>
  <c r="F63" i="5"/>
  <c r="K63" i="5" s="1"/>
  <c r="B103" i="5"/>
  <c r="B134" i="5"/>
  <c r="B173" i="5"/>
  <c r="B217" i="5"/>
  <c r="B253" i="5"/>
  <c r="B278" i="5"/>
  <c r="B325" i="5"/>
  <c r="B365" i="5"/>
  <c r="B404" i="5"/>
  <c r="B461" i="5"/>
  <c r="D439" i="7"/>
  <c r="C482" i="7"/>
  <c r="C551" i="8"/>
  <c r="C226" i="9"/>
  <c r="E113" i="11"/>
  <c r="F19" i="4"/>
  <c r="F450" i="5"/>
  <c r="W450" i="5" s="1"/>
  <c r="B85" i="4"/>
  <c r="B31" i="2" s="1"/>
  <c r="B414" i="4"/>
  <c r="B53" i="5"/>
  <c r="B204" i="5"/>
  <c r="F268" i="5"/>
  <c r="Q268" i="5" s="1"/>
  <c r="F439" i="5"/>
  <c r="W439" i="5" s="1"/>
  <c r="F40" i="4"/>
  <c r="F177" i="5"/>
  <c r="N177" i="5" s="1"/>
  <c r="F441" i="4"/>
  <c r="B151" i="4"/>
  <c r="F290" i="4"/>
  <c r="B474" i="4"/>
  <c r="B304" i="5"/>
  <c r="F67" i="5"/>
  <c r="K67" i="5" s="1"/>
  <c r="F424" i="5"/>
  <c r="W424" i="5" s="1"/>
  <c r="B115" i="4"/>
  <c r="B39" i="3" s="1"/>
  <c r="B293" i="4"/>
  <c r="B451" i="4"/>
  <c r="B305" i="5"/>
  <c r="B66" i="4"/>
  <c r="B453" i="4"/>
  <c r="B143" i="3" s="1"/>
  <c r="F48" i="4"/>
  <c r="B22" i="4"/>
  <c r="B47" i="4"/>
  <c r="B17" i="2" s="1"/>
  <c r="B70" i="4"/>
  <c r="B101" i="4"/>
  <c r="B134" i="4"/>
  <c r="B156" i="4"/>
  <c r="B187" i="4"/>
  <c r="B59" i="2" s="1"/>
  <c r="B214" i="4"/>
  <c r="B242" i="4"/>
  <c r="B277" i="4"/>
  <c r="B310" i="4"/>
  <c r="F340" i="4"/>
  <c r="B374" i="4"/>
  <c r="B397" i="4"/>
  <c r="B127" i="2" s="1"/>
  <c r="B427" i="4"/>
  <c r="B135" i="3" s="1"/>
  <c r="B463" i="4"/>
  <c r="B38" i="5"/>
  <c r="B64" i="5"/>
  <c r="B108" i="5"/>
  <c r="F135" i="5"/>
  <c r="K135" i="5" s="1"/>
  <c r="B175" i="5"/>
  <c r="B218" i="5"/>
  <c r="B256" i="5"/>
  <c r="B283" i="5"/>
  <c r="B326" i="5"/>
  <c r="F369" i="5"/>
  <c r="T369" i="5" s="1"/>
  <c r="B406" i="5"/>
  <c r="F462" i="5"/>
  <c r="W462" i="5" s="1"/>
  <c r="D440" i="7"/>
  <c r="C412" i="8"/>
  <c r="D58" i="10"/>
  <c r="F259" i="5"/>
  <c r="Q259" i="5" s="1"/>
  <c r="F474" i="5"/>
  <c r="W474" i="5" s="1"/>
  <c r="B35" i="4"/>
  <c r="B13" i="2" s="1"/>
  <c r="B148" i="4"/>
  <c r="B260" i="4"/>
  <c r="B449" i="4"/>
  <c r="B120" i="5"/>
  <c r="B395" i="5"/>
  <c r="F87" i="5"/>
  <c r="F207" i="4"/>
  <c r="F314" i="4"/>
  <c r="F367" i="4"/>
  <c r="B36" i="4"/>
  <c r="B196" i="4"/>
  <c r="F331" i="4"/>
  <c r="B450" i="4"/>
  <c r="B141" i="2" s="1"/>
  <c r="B29" i="5"/>
  <c r="B164" i="5"/>
  <c r="B240" i="5"/>
  <c r="F273" i="5"/>
  <c r="Q273" i="5" s="1"/>
  <c r="B357" i="5"/>
  <c r="B440" i="5"/>
  <c r="F171" i="5"/>
  <c r="N171" i="5" s="1"/>
  <c r="F297" i="5"/>
  <c r="Q297" i="5" s="1"/>
  <c r="F443" i="5"/>
  <c r="W443" i="5" s="1"/>
  <c r="F36" i="4"/>
  <c r="B172" i="4"/>
  <c r="B386" i="4"/>
  <c r="B124" i="3" s="1"/>
  <c r="B55" i="5"/>
  <c r="B249" i="5"/>
  <c r="F153" i="4"/>
  <c r="F243" i="5"/>
  <c r="Q243" i="5" s="1"/>
  <c r="F326" i="4"/>
  <c r="B93" i="4"/>
  <c r="F267" i="4"/>
  <c r="B364" i="4"/>
  <c r="B91" i="5"/>
  <c r="B210" i="5"/>
  <c r="B361" i="5"/>
  <c r="F22" i="4"/>
  <c r="B48" i="4"/>
  <c r="F70" i="4"/>
  <c r="B102" i="4"/>
  <c r="B136" i="4"/>
  <c r="B158" i="4"/>
  <c r="F190" i="4"/>
  <c r="F214" i="4"/>
  <c r="F242" i="4"/>
  <c r="B278" i="4"/>
  <c r="B88" i="2" s="1"/>
  <c r="B311" i="4"/>
  <c r="B100" i="2" s="1"/>
  <c r="B343" i="4"/>
  <c r="B107" i="2" s="1"/>
  <c r="F374" i="4"/>
  <c r="B398" i="4"/>
  <c r="B434" i="4"/>
  <c r="B137" i="3" s="1"/>
  <c r="F463" i="4"/>
  <c r="B8" i="5"/>
  <c r="B40" i="5"/>
  <c r="B72" i="5"/>
  <c r="F109" i="5"/>
  <c r="K109" i="5" s="1"/>
  <c r="B139" i="5"/>
  <c r="B192" i="5"/>
  <c r="F218" i="5"/>
  <c r="N218" i="5" s="1"/>
  <c r="B258" i="5"/>
  <c r="B294" i="5"/>
  <c r="B328" i="5"/>
  <c r="B370" i="5"/>
  <c r="B415" i="5"/>
  <c r="B464" i="5"/>
  <c r="G20" i="7"/>
  <c r="I20" i="7" s="1"/>
  <c r="E440" i="7"/>
  <c r="D412" i="8"/>
  <c r="C478" i="8"/>
  <c r="D73" i="10"/>
  <c r="F337" i="4"/>
  <c r="B112" i="4"/>
  <c r="B195" i="4"/>
  <c r="B290" i="4"/>
  <c r="F469" i="4"/>
  <c r="B159" i="5"/>
  <c r="B302" i="5"/>
  <c r="F37" i="5"/>
  <c r="K37" i="5" s="1"/>
  <c r="F325" i="5"/>
  <c r="T325" i="5" s="1"/>
  <c r="F421" i="5"/>
  <c r="W421" i="5" s="1"/>
  <c r="B62" i="4"/>
  <c r="B170" i="4"/>
  <c r="B362" i="4"/>
  <c r="B115" i="3" s="1"/>
  <c r="B127" i="5"/>
  <c r="F162" i="5"/>
  <c r="N162" i="5" s="1"/>
  <c r="F384" i="5"/>
  <c r="T384" i="5" s="1"/>
  <c r="F452" i="4"/>
  <c r="B65" i="4"/>
  <c r="B24" i="3" s="1"/>
  <c r="B233" i="4"/>
  <c r="B77" i="3" s="1"/>
  <c r="B418" i="4"/>
  <c r="B90" i="5"/>
  <c r="B209" i="5"/>
  <c r="B358" i="5"/>
  <c r="F20" i="4"/>
  <c r="F140" i="4"/>
  <c r="F226" i="4"/>
  <c r="F307" i="4"/>
  <c r="F408" i="4"/>
  <c r="B9" i="4"/>
  <c r="B173" i="4"/>
  <c r="B391" i="4"/>
  <c r="B58" i="5"/>
  <c r="B251" i="5"/>
  <c r="F54" i="5"/>
  <c r="K54" i="5" s="1"/>
  <c r="F124" i="4"/>
  <c r="F180" i="4"/>
  <c r="F229" i="4"/>
  <c r="F330" i="5"/>
  <c r="T330" i="5" s="1"/>
  <c r="F398" i="4"/>
  <c r="F406" i="5"/>
  <c r="W406" i="5" s="1"/>
  <c r="F445" i="4"/>
  <c r="F457" i="5"/>
  <c r="W457" i="5" s="1"/>
  <c r="B24" i="4"/>
  <c r="B50" i="4"/>
  <c r="B18" i="2" s="1"/>
  <c r="B71" i="4"/>
  <c r="B104" i="4"/>
  <c r="B138" i="4"/>
  <c r="B46" i="3" s="1"/>
  <c r="B159" i="4"/>
  <c r="B53" i="2" s="1"/>
  <c r="B191" i="4"/>
  <c r="B62" i="3" s="1"/>
  <c r="B215" i="4"/>
  <c r="B246" i="4"/>
  <c r="B280" i="4"/>
  <c r="B313" i="4"/>
  <c r="F345" i="4"/>
  <c r="B377" i="4"/>
  <c r="B119" i="2" s="1"/>
  <c r="B401" i="4"/>
  <c r="B130" i="3" s="1"/>
  <c r="B435" i="4"/>
  <c r="B464" i="4"/>
  <c r="B148" i="3" s="1"/>
  <c r="B10" i="5"/>
  <c r="B41" i="5"/>
  <c r="B73" i="5"/>
  <c r="B112" i="5"/>
  <c r="F141" i="5"/>
  <c r="K141" i="5" s="1"/>
  <c r="B193" i="5"/>
  <c r="B228" i="5"/>
  <c r="B260" i="5"/>
  <c r="B297" i="5"/>
  <c r="F332" i="5"/>
  <c r="T332" i="5" s="1"/>
  <c r="B371" i="5"/>
  <c r="F416" i="5"/>
  <c r="W416" i="5" s="1"/>
  <c r="B470" i="5"/>
  <c r="E21" i="7"/>
  <c r="C395" i="7"/>
  <c r="G441" i="7"/>
  <c r="I441" i="7" s="1"/>
  <c r="E116" i="8"/>
  <c r="E479" i="8"/>
  <c r="C169" i="10"/>
  <c r="B63" i="3"/>
  <c r="C90" i="7"/>
  <c r="E217" i="7"/>
  <c r="E397" i="7"/>
  <c r="C443" i="7"/>
  <c r="D502" i="7"/>
  <c r="G387" i="8"/>
  <c r="I387" i="8" s="1"/>
  <c r="G510" i="8"/>
  <c r="I510" i="8" s="1"/>
  <c r="E28" i="9"/>
  <c r="D227" i="9"/>
  <c r="E173" i="10"/>
  <c r="C8" i="12"/>
  <c r="D200" i="16"/>
  <c r="B443" i="5"/>
  <c r="C306" i="8"/>
  <c r="E251" i="9"/>
  <c r="E379" i="9"/>
  <c r="F23" i="5"/>
  <c r="K23" i="5" s="1"/>
  <c r="F50" i="5"/>
  <c r="K50" i="5" s="1"/>
  <c r="F90" i="4"/>
  <c r="F236" i="5"/>
  <c r="N236" i="5" s="1"/>
  <c r="F260" i="4"/>
  <c r="F309" i="4"/>
  <c r="F328" i="5"/>
  <c r="T328" i="5" s="1"/>
  <c r="F355" i="4"/>
  <c r="F361" i="5"/>
  <c r="T361" i="5" s="1"/>
  <c r="F371" i="5"/>
  <c r="T371" i="5" s="1"/>
  <c r="F386" i="5"/>
  <c r="T386" i="5" s="1"/>
  <c r="F427" i="5"/>
  <c r="W427" i="5" s="1"/>
  <c r="F430" i="4"/>
  <c r="B14" i="4"/>
  <c r="B37" i="4"/>
  <c r="B14" i="2" s="1"/>
  <c r="B57" i="4"/>
  <c r="B20" i="2" s="1"/>
  <c r="B77" i="4"/>
  <c r="B29" i="3" s="1"/>
  <c r="B97" i="4"/>
  <c r="B116" i="4"/>
  <c r="B143" i="4"/>
  <c r="B48" i="3" s="1"/>
  <c r="B162" i="4"/>
  <c r="B182" i="4"/>
  <c r="B203" i="4"/>
  <c r="B66" i="3" s="1"/>
  <c r="B222" i="4"/>
  <c r="B247" i="4"/>
  <c r="B270" i="4"/>
  <c r="B297" i="4"/>
  <c r="B95" i="3" s="1"/>
  <c r="B321" i="4"/>
  <c r="B349" i="4"/>
  <c r="B110" i="2" s="1"/>
  <c r="B370" i="4"/>
  <c r="F387" i="4"/>
  <c r="B406" i="4"/>
  <c r="B436" i="4"/>
  <c r="B457" i="4"/>
  <c r="B476" i="4"/>
  <c r="B21" i="5"/>
  <c r="B46" i="5"/>
  <c r="B65" i="5"/>
  <c r="B93" i="5"/>
  <c r="B121" i="5"/>
  <c r="B149" i="5"/>
  <c r="B181" i="5"/>
  <c r="B213" i="5"/>
  <c r="B235" i="5"/>
  <c r="B262" i="5"/>
  <c r="B284" i="5"/>
  <c r="B311" i="5"/>
  <c r="F351" i="5"/>
  <c r="T351" i="5" s="1"/>
  <c r="B380" i="5"/>
  <c r="B407" i="5"/>
  <c r="B444" i="5"/>
  <c r="D36" i="7"/>
  <c r="D164" i="6" s="1"/>
  <c r="D93" i="5" s="1"/>
  <c r="D112" i="7"/>
  <c r="C168" i="7"/>
  <c r="C19" i="8"/>
  <c r="G256" i="8"/>
  <c r="I256" i="8" s="1"/>
  <c r="E80" i="9"/>
  <c r="C252" i="9"/>
  <c r="E433" i="9"/>
  <c r="E8" i="12"/>
  <c r="F51" i="4"/>
  <c r="F61" i="4"/>
  <c r="F81" i="5"/>
  <c r="K81" i="5" s="1"/>
  <c r="F189" i="4"/>
  <c r="F203" i="5"/>
  <c r="N203" i="5" s="1"/>
  <c r="F255" i="5"/>
  <c r="Q255" i="5" s="1"/>
  <c r="F342" i="4"/>
  <c r="F361" i="4"/>
  <c r="F433" i="5"/>
  <c r="W433" i="5" s="1"/>
  <c r="F435" i="4"/>
  <c r="B17" i="4"/>
  <c r="B38" i="4"/>
  <c r="B58" i="4"/>
  <c r="B78" i="4"/>
  <c r="B100" i="4"/>
  <c r="B119" i="4"/>
  <c r="B39" i="2" s="1"/>
  <c r="B144" i="4"/>
  <c r="B163" i="4"/>
  <c r="B184" i="4"/>
  <c r="B204" i="4"/>
  <c r="B223" i="4"/>
  <c r="B250" i="4"/>
  <c r="B271" i="4"/>
  <c r="B86" i="2" s="1"/>
  <c r="B298" i="4"/>
  <c r="B322" i="4"/>
  <c r="B105" i="3" s="1"/>
  <c r="B350" i="4"/>
  <c r="B371" i="4"/>
  <c r="B389" i="4"/>
  <c r="B409" i="4"/>
  <c r="B439" i="4"/>
  <c r="B458" i="4"/>
  <c r="B145" i="3" s="1"/>
  <c r="B477" i="4"/>
  <c r="B23" i="5"/>
  <c r="B48" i="5"/>
  <c r="B69" i="5"/>
  <c r="B95" i="5"/>
  <c r="B125" i="5"/>
  <c r="B150" i="5"/>
  <c r="F187" i="5"/>
  <c r="N187" i="5" s="1"/>
  <c r="B214" i="5"/>
  <c r="B238" i="5"/>
  <c r="B263" i="5"/>
  <c r="B285" i="5"/>
  <c r="B314" i="5"/>
  <c r="B352" i="5"/>
  <c r="B388" i="5"/>
  <c r="F409" i="5"/>
  <c r="W409" i="5" s="1"/>
  <c r="B449" i="5"/>
  <c r="G113" i="7"/>
  <c r="I113" i="7" s="1"/>
  <c r="D169" i="7"/>
  <c r="K375" i="7"/>
  <c r="E409" i="7"/>
  <c r="D19" i="8"/>
  <c r="C81" i="9"/>
  <c r="C254" i="9"/>
  <c r="G433" i="9"/>
  <c r="I433" i="9" s="1"/>
  <c r="I434" i="9" s="1"/>
  <c r="G432" i="9" s="1"/>
  <c r="C8" i="16"/>
  <c r="C309" i="7"/>
  <c r="E79" i="9"/>
  <c r="G174" i="10"/>
  <c r="I174" i="10" s="1"/>
  <c r="F83" i="4"/>
  <c r="F117" i="5"/>
  <c r="K117" i="5" s="1"/>
  <c r="F145" i="5"/>
  <c r="K145" i="5" s="1"/>
  <c r="F172" i="4"/>
  <c r="F191" i="5"/>
  <c r="N191" i="5" s="1"/>
  <c r="F236" i="4"/>
  <c r="F255" i="4"/>
  <c r="F263" i="4"/>
  <c r="F363" i="4"/>
  <c r="F411" i="5"/>
  <c r="W411" i="5" s="1"/>
  <c r="F17" i="4"/>
  <c r="B39" i="4"/>
  <c r="B59" i="4"/>
  <c r="F79" i="4"/>
  <c r="F100" i="4"/>
  <c r="B124" i="4"/>
  <c r="B147" i="4"/>
  <c r="B50" i="3" s="1"/>
  <c r="B164" i="4"/>
  <c r="B185" i="4"/>
  <c r="F204" i="4"/>
  <c r="B226" i="4"/>
  <c r="B252" i="4"/>
  <c r="B276" i="4"/>
  <c r="B299" i="4"/>
  <c r="B96" i="3" s="1"/>
  <c r="B326" i="4"/>
  <c r="B351" i="4"/>
  <c r="B373" i="4"/>
  <c r="B390" i="4"/>
  <c r="B413" i="4"/>
  <c r="B440" i="4"/>
  <c r="B139" i="3" s="1"/>
  <c r="B460" i="4"/>
  <c r="B25" i="5"/>
  <c r="B49" i="5"/>
  <c r="B70" i="5"/>
  <c r="F96" i="5"/>
  <c r="K96" i="5" s="1"/>
  <c r="B126" i="5"/>
  <c r="B154" i="5"/>
  <c r="B190" i="5"/>
  <c r="B215" i="5"/>
  <c r="B239" i="5"/>
  <c r="B264" i="5"/>
  <c r="B288" i="5"/>
  <c r="B315" i="5"/>
  <c r="B355" i="5"/>
  <c r="B390" i="5"/>
  <c r="B414" i="5"/>
  <c r="D170" i="7"/>
  <c r="E19" i="8"/>
  <c r="D116" i="8"/>
  <c r="E91" i="9"/>
  <c r="D12" i="16"/>
  <c r="F73" i="4"/>
  <c r="F74" i="5"/>
  <c r="K74" i="5" s="1"/>
  <c r="F103" i="5"/>
  <c r="K103" i="5" s="1"/>
  <c r="F102" i="4"/>
  <c r="F165" i="4"/>
  <c r="F166" i="5"/>
  <c r="N166" i="5" s="1"/>
  <c r="F199" i="4"/>
  <c r="F200" i="5"/>
  <c r="N200" i="5" s="1"/>
  <c r="F302" i="5"/>
  <c r="Q302" i="5" s="1"/>
  <c r="F301" i="4"/>
  <c r="F391" i="4"/>
  <c r="F392" i="5"/>
  <c r="T392" i="5" s="1"/>
  <c r="F430" i="5"/>
  <c r="W430" i="5" s="1"/>
  <c r="F429" i="4"/>
  <c r="F15" i="5"/>
  <c r="K15" i="5" s="1"/>
  <c r="F14" i="4"/>
  <c r="F178" i="5"/>
  <c r="N178" i="5" s="1"/>
  <c r="F177" i="4"/>
  <c r="F403" i="4"/>
  <c r="F404" i="5"/>
  <c r="W404" i="5" s="1"/>
  <c r="N408" i="6"/>
  <c r="F220" i="4" s="1"/>
  <c r="F417" i="5"/>
  <c r="W417" i="5" s="1"/>
  <c r="F416" i="4"/>
  <c r="K32" i="12"/>
  <c r="D27" i="12"/>
  <c r="E112" i="11"/>
  <c r="C107" i="11"/>
  <c r="E79" i="11"/>
  <c r="E77" i="11"/>
  <c r="C75" i="11"/>
  <c r="C70" i="11"/>
  <c r="E64" i="11"/>
  <c r="C59" i="11"/>
  <c r="E34" i="11"/>
  <c r="E12" i="11"/>
  <c r="C7" i="11"/>
  <c r="K257" i="10"/>
  <c r="D252" i="10"/>
  <c r="D226" i="10"/>
  <c r="D215" i="10"/>
  <c r="K37" i="12"/>
  <c r="C32" i="12"/>
  <c r="D12" i="12"/>
  <c r="C127" i="11"/>
  <c r="D107" i="11"/>
  <c r="C95" i="11"/>
  <c r="C83" i="11"/>
  <c r="E75" i="11"/>
  <c r="D70" i="11"/>
  <c r="D64" i="11"/>
  <c r="E44" i="11"/>
  <c r="E30" i="11"/>
  <c r="K12" i="11"/>
  <c r="D257" i="10"/>
  <c r="C232" i="10"/>
  <c r="K226" i="10"/>
  <c r="K167" i="10"/>
  <c r="D151" i="10"/>
  <c r="D149" i="10"/>
  <c r="D147" i="10"/>
  <c r="K139" i="10"/>
  <c r="D134" i="10"/>
  <c r="K27" i="12"/>
  <c r="C7" i="12"/>
  <c r="D127" i="11"/>
  <c r="D112" i="11"/>
  <c r="E83" i="11"/>
  <c r="C78" i="11"/>
  <c r="D75" i="11"/>
  <c r="E69" i="11"/>
  <c r="C49" i="11"/>
  <c r="D34" i="11"/>
  <c r="D12" i="11"/>
  <c r="C248" i="10"/>
  <c r="K240" i="10"/>
  <c r="D235" i="10"/>
  <c r="K232" i="10"/>
  <c r="D227" i="10"/>
  <c r="E219" i="10"/>
  <c r="E211" i="10"/>
  <c r="D191" i="10"/>
  <c r="E175" i="10"/>
  <c r="E163" i="10"/>
  <c r="E151" i="10"/>
  <c r="C149" i="10"/>
  <c r="K146" i="10"/>
  <c r="E141" i="10"/>
  <c r="K124" i="10"/>
  <c r="C119" i="10"/>
  <c r="E94" i="10"/>
  <c r="E72" i="10"/>
  <c r="C67" i="10"/>
  <c r="E42" i="10"/>
  <c r="C37" i="10"/>
  <c r="E12" i="10"/>
  <c r="C7" i="10"/>
  <c r="K432" i="9"/>
  <c r="D427" i="9"/>
  <c r="K402" i="9"/>
  <c r="D397" i="9"/>
  <c r="D386" i="9"/>
  <c r="D358" i="9"/>
  <c r="C353" i="9"/>
  <c r="D337" i="9"/>
  <c r="E332" i="9"/>
  <c r="E325" i="9"/>
  <c r="E318" i="9"/>
  <c r="E311" i="9"/>
  <c r="E304" i="9"/>
  <c r="E297" i="9"/>
  <c r="D288" i="9"/>
  <c r="E286" i="9"/>
  <c r="C284" i="9"/>
  <c r="D277" i="9"/>
  <c r="E275" i="9"/>
  <c r="C273" i="9"/>
  <c r="E264" i="9"/>
  <c r="E27" i="12"/>
  <c r="K12" i="12"/>
  <c r="C112" i="11"/>
  <c r="E103" i="11"/>
  <c r="D83" i="11"/>
  <c r="D69" i="11"/>
  <c r="K54" i="11"/>
  <c r="C34" i="11"/>
  <c r="C12" i="11"/>
  <c r="E240" i="10"/>
  <c r="C235" i="10"/>
  <c r="E232" i="10"/>
  <c r="C227" i="10"/>
  <c r="D219" i="10"/>
  <c r="D211" i="10"/>
  <c r="C191" i="10"/>
  <c r="D175" i="10"/>
  <c r="D163" i="10"/>
  <c r="C151" i="10"/>
  <c r="E146" i="10"/>
  <c r="D141" i="10"/>
  <c r="E124" i="10"/>
  <c r="K99" i="10"/>
  <c r="D94" i="10"/>
  <c r="K77" i="10"/>
  <c r="D72" i="10"/>
  <c r="K47" i="10"/>
  <c r="D42" i="10"/>
  <c r="K17" i="10"/>
  <c r="D12" i="10"/>
  <c r="E432" i="9"/>
  <c r="C427" i="9"/>
  <c r="E402" i="9"/>
  <c r="C397" i="9"/>
  <c r="C386" i="9"/>
  <c r="E362" i="9"/>
  <c r="E360" i="9"/>
  <c r="C358" i="9"/>
  <c r="C337" i="9"/>
  <c r="D332" i="9"/>
  <c r="D325" i="9"/>
  <c r="D318" i="9"/>
  <c r="D311" i="9"/>
  <c r="D304" i="9"/>
  <c r="D297" i="9"/>
  <c r="C288" i="9"/>
  <c r="D286" i="9"/>
  <c r="C277" i="9"/>
  <c r="D275" i="9"/>
  <c r="D264" i="9"/>
  <c r="D262" i="9"/>
  <c r="D241" i="9"/>
  <c r="D236" i="9"/>
  <c r="D211" i="9"/>
  <c r="D206" i="9"/>
  <c r="D204" i="9"/>
  <c r="D187" i="9"/>
  <c r="D182" i="9"/>
  <c r="K176" i="9"/>
  <c r="D171" i="9"/>
  <c r="D149" i="9"/>
  <c r="K124" i="9"/>
  <c r="L124" i="9" s="1"/>
  <c r="D119" i="9"/>
  <c r="D97" i="9"/>
  <c r="D86" i="9"/>
  <c r="D61" i="9"/>
  <c r="D56" i="9"/>
  <c r="D54" i="9"/>
  <c r="K32" i="9"/>
  <c r="D27" i="9"/>
  <c r="E582" i="8"/>
  <c r="E580" i="8"/>
  <c r="C575" i="8"/>
  <c r="C573" i="8"/>
  <c r="C571" i="8"/>
  <c r="E563" i="8"/>
  <c r="C543" i="8"/>
  <c r="E538" i="8"/>
  <c r="D529" i="8"/>
  <c r="C520" i="8"/>
  <c r="C505" i="8"/>
  <c r="E491" i="8"/>
  <c r="E477" i="8"/>
  <c r="D470" i="8"/>
  <c r="D468" i="8"/>
  <c r="K445" i="8"/>
  <c r="K436" i="8"/>
  <c r="K427" i="8"/>
  <c r="K418" i="8"/>
  <c r="E22" i="12"/>
  <c r="E107" i="11"/>
  <c r="D95" i="11"/>
  <c r="K83" i="11"/>
  <c r="D77" i="11"/>
  <c r="D71" i="11"/>
  <c r="D49" i="11"/>
  <c r="E39" i="11"/>
  <c r="D30" i="11"/>
  <c r="K252" i="10"/>
  <c r="E228" i="10"/>
  <c r="E220" i="10"/>
  <c r="C211" i="10"/>
  <c r="E199" i="10"/>
  <c r="D187" i="10"/>
  <c r="E167" i="10"/>
  <c r="C148" i="10"/>
  <c r="D142" i="10"/>
  <c r="D139" i="10"/>
  <c r="C109" i="10"/>
  <c r="C94" i="10"/>
  <c r="C72" i="10"/>
  <c r="E57" i="10"/>
  <c r="C22" i="10"/>
  <c r="E7" i="10"/>
  <c r="D432" i="9"/>
  <c r="K417" i="9"/>
  <c r="K373" i="9"/>
  <c r="D343" i="9"/>
  <c r="C338" i="9"/>
  <c r="D324" i="9"/>
  <c r="C319" i="9"/>
  <c r="D303" i="9"/>
  <c r="C298" i="9"/>
  <c r="C265" i="9"/>
  <c r="D245" i="9"/>
  <c r="C243" i="9"/>
  <c r="C235" i="9"/>
  <c r="C223" i="9"/>
  <c r="C198" i="9"/>
  <c r="K195" i="9"/>
  <c r="E190" i="9"/>
  <c r="D188" i="9"/>
  <c r="E171" i="9"/>
  <c r="E139" i="9"/>
  <c r="K119" i="9"/>
  <c r="C114" i="9"/>
  <c r="D57" i="9"/>
  <c r="C55" i="9"/>
  <c r="C47" i="9"/>
  <c r="C27" i="9"/>
  <c r="D7" i="9"/>
  <c r="D586" i="8"/>
  <c r="C581" i="8"/>
  <c r="E573" i="8"/>
  <c r="D571" i="8"/>
  <c r="C563" i="8"/>
  <c r="C556" i="8"/>
  <c r="C544" i="8"/>
  <c r="C529" i="8"/>
  <c r="K524" i="8"/>
  <c r="E519" i="8"/>
  <c r="C503" i="8"/>
  <c r="K483" i="8"/>
  <c r="C476" i="8"/>
  <c r="D449" i="8"/>
  <c r="D447" i="8"/>
  <c r="D430" i="8"/>
  <c r="D428" i="8"/>
  <c r="D418" i="8"/>
  <c r="D409" i="8"/>
  <c r="D400" i="8"/>
  <c r="D391" i="8"/>
  <c r="D382" i="8"/>
  <c r="D373" i="8"/>
  <c r="D364" i="8"/>
  <c r="D355" i="8"/>
  <c r="D346" i="8"/>
  <c r="D337" i="8"/>
  <c r="E330" i="8"/>
  <c r="D326" i="8"/>
  <c r="K304" i="8"/>
  <c r="K293" i="8"/>
  <c r="K286" i="8"/>
  <c r="K275" i="8"/>
  <c r="D22" i="12"/>
  <c r="E12" i="12"/>
  <c r="K122" i="11"/>
  <c r="C77" i="11"/>
  <c r="C71" i="11"/>
  <c r="D39" i="11"/>
  <c r="C30" i="11"/>
  <c r="K17" i="11"/>
  <c r="E252" i="10"/>
  <c r="D240" i="10"/>
  <c r="E234" i="10"/>
  <c r="D228" i="10"/>
  <c r="E222" i="10"/>
  <c r="D220" i="10"/>
  <c r="D199" i="10"/>
  <c r="C187" i="10"/>
  <c r="D167" i="10"/>
  <c r="E150" i="10"/>
  <c r="C142" i="10"/>
  <c r="C139" i="10"/>
  <c r="K129" i="10"/>
  <c r="K114" i="10"/>
  <c r="D57" i="10"/>
  <c r="K42" i="10"/>
  <c r="K27" i="10"/>
  <c r="D7" i="10"/>
  <c r="C432" i="9"/>
  <c r="E417" i="9"/>
  <c r="E373" i="9"/>
  <c r="D360" i="9"/>
  <c r="C343" i="9"/>
  <c r="K337" i="9"/>
  <c r="C332" i="9"/>
  <c r="C324" i="9"/>
  <c r="C311" i="9"/>
  <c r="C303" i="9"/>
  <c r="E285" i="9"/>
  <c r="C275" i="9"/>
  <c r="C245" i="9"/>
  <c r="E237" i="9"/>
  <c r="E203" i="9"/>
  <c r="E195" i="9"/>
  <c r="D190" i="9"/>
  <c r="C188" i="9"/>
  <c r="C171" i="9"/>
  <c r="D139" i="9"/>
  <c r="E119" i="9"/>
  <c r="C57" i="9"/>
  <c r="E49" i="9"/>
  <c r="E32" i="9"/>
  <c r="K12" i="9"/>
  <c r="C7" i="9"/>
  <c r="C586" i="8"/>
  <c r="E575" i="8"/>
  <c r="D573" i="8"/>
  <c r="K570" i="8"/>
  <c r="E565" i="8"/>
  <c r="K555" i="8"/>
  <c r="K543" i="8"/>
  <c r="E524" i="8"/>
  <c r="D519" i="8"/>
  <c r="K514" i="8"/>
  <c r="E507" i="8"/>
  <c r="E505" i="8"/>
  <c r="E483" i="8"/>
  <c r="C449" i="8"/>
  <c r="C447" i="8"/>
  <c r="C430" i="8"/>
  <c r="C428" i="8"/>
  <c r="C418" i="8"/>
  <c r="E411" i="8"/>
  <c r="C409" i="8"/>
  <c r="E402" i="8"/>
  <c r="C400" i="8"/>
  <c r="E393" i="8"/>
  <c r="C391" i="8"/>
  <c r="E384" i="8"/>
  <c r="C382" i="8"/>
  <c r="E375" i="8"/>
  <c r="C373" i="8"/>
  <c r="E366" i="8"/>
  <c r="C364" i="8"/>
  <c r="E357" i="8"/>
  <c r="C355" i="8"/>
  <c r="E348" i="8"/>
  <c r="C346" i="8"/>
  <c r="E339" i="8"/>
  <c r="C337" i="8"/>
  <c r="D330" i="8"/>
  <c r="E328" i="8"/>
  <c r="C326" i="8"/>
  <c r="E317" i="8"/>
  <c r="E304" i="8"/>
  <c r="E293" i="8"/>
  <c r="E286" i="8"/>
  <c r="E275" i="8"/>
  <c r="E261" i="8"/>
  <c r="E252" i="8"/>
  <c r="E250" i="8"/>
  <c r="E225" i="8"/>
  <c r="E220" i="8"/>
  <c r="E218" i="8"/>
  <c r="C216" i="8"/>
  <c r="C211" i="8"/>
  <c r="K201" i="8"/>
  <c r="K165" i="8"/>
  <c r="D124" i="8"/>
  <c r="E115" i="8"/>
  <c r="D113" i="8"/>
  <c r="E106" i="8"/>
  <c r="D102" i="8"/>
  <c r="E95" i="8"/>
  <c r="C93" i="8"/>
  <c r="C82" i="8"/>
  <c r="C59" i="8"/>
  <c r="C50" i="8"/>
  <c r="C27" i="8"/>
  <c r="C18" i="8"/>
  <c r="D548" i="7"/>
  <c r="D22" i="15" s="1"/>
  <c r="C527" i="7"/>
  <c r="D518" i="7"/>
  <c r="D511" i="7"/>
  <c r="E509" i="7"/>
  <c r="E489" i="7"/>
  <c r="E282" i="6" s="1"/>
  <c r="C472" i="7"/>
  <c r="D465" i="7"/>
  <c r="C427" i="7"/>
  <c r="D425" i="7"/>
  <c r="E416" i="7"/>
  <c r="D407" i="7"/>
  <c r="D403" i="6" s="1"/>
  <c r="D218" i="5" s="1"/>
  <c r="K394" i="7"/>
  <c r="D386" i="7"/>
  <c r="E377" i="7"/>
  <c r="D375" i="7"/>
  <c r="D28" i="15" s="1"/>
  <c r="K366" i="7"/>
  <c r="D354" i="7"/>
  <c r="E352" i="7"/>
  <c r="E343" i="7"/>
  <c r="C333" i="7"/>
  <c r="D320" i="7"/>
  <c r="E307" i="7"/>
  <c r="E523" i="6" s="1"/>
  <c r="C288" i="7"/>
  <c r="C286" i="7"/>
  <c r="C284" i="7"/>
  <c r="C282" i="7"/>
  <c r="C280" i="7"/>
  <c r="C278" i="7"/>
  <c r="C276" i="7"/>
  <c r="C267" i="7"/>
  <c r="D265" i="7"/>
  <c r="C261" i="7"/>
  <c r="C34" i="15" s="1"/>
  <c r="E252" i="7"/>
  <c r="C240" i="7"/>
  <c r="D233" i="7"/>
  <c r="E231" i="7"/>
  <c r="K207" i="7"/>
  <c r="C201" i="7"/>
  <c r="C79" i="11"/>
  <c r="C76" i="11"/>
  <c r="C234" i="10"/>
  <c r="E221" i="10"/>
  <c r="C155" i="10"/>
  <c r="C129" i="10"/>
  <c r="E119" i="10"/>
  <c r="C82" i="10"/>
  <c r="C47" i="10"/>
  <c r="C12" i="10"/>
  <c r="K427" i="9"/>
  <c r="K368" i="9"/>
  <c r="C363" i="9"/>
  <c r="C360" i="9"/>
  <c r="D354" i="9"/>
  <c r="E312" i="9"/>
  <c r="E298" i="9"/>
  <c r="K249" i="9"/>
  <c r="C244" i="9"/>
  <c r="C241" i="9"/>
  <c r="D235" i="9"/>
  <c r="D224" i="9"/>
  <c r="C207" i="9"/>
  <c r="C196" i="9"/>
  <c r="C181" i="9"/>
  <c r="C166" i="9"/>
  <c r="K139" i="9"/>
  <c r="C124" i="9"/>
  <c r="C109" i="9"/>
  <c r="C98" i="9"/>
  <c r="K61" i="9"/>
  <c r="C53" i="9"/>
  <c r="D47" i="9"/>
  <c r="K37" i="9"/>
  <c r="K22" i="9"/>
  <c r="E7" i="9"/>
  <c r="E590" i="8"/>
  <c r="C579" i="8"/>
  <c r="D570" i="8"/>
  <c r="E520" i="8"/>
  <c r="E504" i="8"/>
  <c r="E476" i="8"/>
  <c r="C468" i="8"/>
  <c r="D446" i="8"/>
  <c r="D438" i="8"/>
  <c r="E419" i="8"/>
  <c r="E391" i="8"/>
  <c r="C376" i="8"/>
  <c r="C374" i="8"/>
  <c r="D366" i="8"/>
  <c r="E358" i="8"/>
  <c r="E356" i="8"/>
  <c r="E316" i="8"/>
  <c r="E306" i="8"/>
  <c r="D294" i="8"/>
  <c r="C286" i="8"/>
  <c r="K260" i="8"/>
  <c r="C253" i="8"/>
  <c r="C251" i="8"/>
  <c r="D238" i="8"/>
  <c r="D226" i="8"/>
  <c r="E137" i="8"/>
  <c r="E125" i="8"/>
  <c r="E113" i="8"/>
  <c r="C106" i="8"/>
  <c r="C104" i="8"/>
  <c r="E94" i="8"/>
  <c r="E82" i="8"/>
  <c r="D70" i="8"/>
  <c r="E60" i="8"/>
  <c r="E38" i="8"/>
  <c r="E550" i="7"/>
  <c r="E122" i="11"/>
  <c r="K112" i="11"/>
  <c r="K95" i="11"/>
  <c r="K75" i="11"/>
  <c r="E17" i="11"/>
  <c r="E257" i="10"/>
  <c r="C240" i="10"/>
  <c r="E227" i="10"/>
  <c r="D221" i="10"/>
  <c r="E187" i="10"/>
  <c r="E142" i="10"/>
  <c r="D119" i="10"/>
  <c r="K109" i="10"/>
  <c r="K72" i="10"/>
  <c r="K62" i="10"/>
  <c r="K37" i="10"/>
  <c r="E427" i="9"/>
  <c r="E368" i="9"/>
  <c r="C354" i="9"/>
  <c r="C318" i="9"/>
  <c r="D312" i="9"/>
  <c r="C304" i="9"/>
  <c r="D298" i="9"/>
  <c r="E249" i="9"/>
  <c r="C224" i="9"/>
  <c r="E204" i="9"/>
  <c r="E198" i="9"/>
  <c r="D195" i="9"/>
  <c r="C139" i="9"/>
  <c r="K97" i="9"/>
  <c r="E61" i="9"/>
  <c r="E37" i="9"/>
  <c r="E22" i="9"/>
  <c r="D590" i="8"/>
  <c r="C570" i="8"/>
  <c r="E556" i="8"/>
  <c r="E539" i="8"/>
  <c r="D520" i="8"/>
  <c r="E514" i="8"/>
  <c r="D504" i="8"/>
  <c r="D476" i="8"/>
  <c r="K467" i="8"/>
  <c r="C446" i="8"/>
  <c r="C438" i="8"/>
  <c r="E421" i="8"/>
  <c r="D419" i="8"/>
  <c r="D411" i="8"/>
  <c r="E403" i="8"/>
  <c r="E401" i="8"/>
  <c r="K373" i="8"/>
  <c r="C366" i="8"/>
  <c r="D358" i="8"/>
  <c r="D356" i="8"/>
  <c r="D328" i="8"/>
  <c r="D316" i="8"/>
  <c r="E308" i="8"/>
  <c r="D306" i="8"/>
  <c r="E296" i="8"/>
  <c r="C294" i="8"/>
  <c r="E288" i="8"/>
  <c r="E276" i="8"/>
  <c r="E268" i="8"/>
  <c r="E260" i="8"/>
  <c r="C238" i="8"/>
  <c r="C226" i="8"/>
  <c r="D218" i="8"/>
  <c r="D137" i="8"/>
  <c r="D125" i="8"/>
  <c r="C113" i="8"/>
  <c r="E96" i="8"/>
  <c r="D94" i="8"/>
  <c r="D82" i="8"/>
  <c r="C70" i="8"/>
  <c r="D60" i="8"/>
  <c r="E50" i="8"/>
  <c r="D38" i="8"/>
  <c r="E28" i="8"/>
  <c r="D550" i="7"/>
  <c r="K536" i="7"/>
  <c r="E525" i="7"/>
  <c r="E738" i="6" s="1"/>
  <c r="E398" i="4" s="1"/>
  <c r="E511" i="7"/>
  <c r="D509" i="7"/>
  <c r="K499" i="7"/>
  <c r="K479" i="7"/>
  <c r="K436" i="7"/>
  <c r="C407" i="7"/>
  <c r="C387" i="7"/>
  <c r="C385" i="7"/>
  <c r="C376" i="7"/>
  <c r="C367" i="7"/>
  <c r="D351" i="7"/>
  <c r="D535" i="6" s="1"/>
  <c r="E342" i="7"/>
  <c r="C340" i="7"/>
  <c r="C679" i="6" s="1"/>
  <c r="K326" i="7"/>
  <c r="K317" i="7"/>
  <c r="D295" i="7"/>
  <c r="D79" i="6" s="1"/>
  <c r="D45" i="4" s="1"/>
  <c r="E288" i="7"/>
  <c r="D286" i="7"/>
  <c r="E277" i="7"/>
  <c r="D275" i="7"/>
  <c r="C268" i="7"/>
  <c r="C264" i="7"/>
  <c r="K261" i="7"/>
  <c r="C239" i="7"/>
  <c r="C36" i="15" s="1"/>
  <c r="C230" i="7"/>
  <c r="C56" i="15" s="1"/>
  <c r="D223" i="7"/>
  <c r="D58" i="6" s="1"/>
  <c r="D212" i="7"/>
  <c r="D210" i="7"/>
  <c r="C208" i="7"/>
  <c r="K200" i="7"/>
  <c r="C184" i="7"/>
  <c r="E163" i="7"/>
  <c r="K143" i="7"/>
  <c r="C135" i="7"/>
  <c r="C119" i="7"/>
  <c r="E110" i="7"/>
  <c r="E108" i="7"/>
  <c r="E97" i="7"/>
  <c r="E88" i="7"/>
  <c r="C86" i="7"/>
  <c r="C19" i="15" s="1"/>
  <c r="E79" i="7"/>
  <c r="E46" i="7"/>
  <c r="C29" i="7"/>
  <c r="E18" i="7"/>
  <c r="C16" i="7"/>
  <c r="C10" i="6" s="1"/>
  <c r="C9" i="4" s="1"/>
  <c r="E9" i="7"/>
  <c r="C7" i="7"/>
  <c r="C27" i="12"/>
  <c r="E70" i="11"/>
  <c r="E59" i="11"/>
  <c r="K44" i="11"/>
  <c r="K22" i="11"/>
  <c r="C257" i="10"/>
  <c r="C221" i="10"/>
  <c r="C175" i="10"/>
  <c r="C167" i="10"/>
  <c r="E114" i="10"/>
  <c r="E104" i="10"/>
  <c r="C77" i="10"/>
  <c r="E67" i="10"/>
  <c r="C57" i="10"/>
  <c r="E363" i="9"/>
  <c r="D353" i="9"/>
  <c r="K324" i="9"/>
  <c r="D296" i="9"/>
  <c r="E273" i="9"/>
  <c r="E263" i="9"/>
  <c r="E244" i="9"/>
  <c r="D212" i="9"/>
  <c r="E202" i="9"/>
  <c r="E196" i="9"/>
  <c r="E189" i="9"/>
  <c r="D183" i="9"/>
  <c r="D176" i="9"/>
  <c r="C144" i="9"/>
  <c r="E134" i="9"/>
  <c r="E124" i="9"/>
  <c r="K114" i="9"/>
  <c r="K85" i="9"/>
  <c r="D73" i="9"/>
  <c r="E57" i="9"/>
  <c r="C54" i="9"/>
  <c r="K47" i="9"/>
  <c r="D37" i="9"/>
  <c r="C591" i="8"/>
  <c r="E587" i="8"/>
  <c r="D581" i="8"/>
  <c r="C565" i="8"/>
  <c r="E555" i="8"/>
  <c r="K533" i="8"/>
  <c r="D506" i="8"/>
  <c r="D484" i="8"/>
  <c r="C469" i="8"/>
  <c r="K455" i="8"/>
  <c r="C420" i="8"/>
  <c r="E394" i="8"/>
  <c r="C392" i="8"/>
  <c r="D383" i="8"/>
  <c r="E346" i="8"/>
  <c r="E340" i="8"/>
  <c r="C338" i="8"/>
  <c r="E329" i="8"/>
  <c r="E326" i="8"/>
  <c r="C315" i="8"/>
  <c r="D309" i="8"/>
  <c r="D307" i="8"/>
  <c r="C276" i="8"/>
  <c r="D267" i="8"/>
  <c r="C250" i="8"/>
  <c r="E221" i="8"/>
  <c r="C210" i="8"/>
  <c r="E201" i="8"/>
  <c r="E190" i="8"/>
  <c r="D165" i="8"/>
  <c r="D154" i="8"/>
  <c r="C148" i="8"/>
  <c r="C137" i="8"/>
  <c r="C115" i="8"/>
  <c r="D96" i="8"/>
  <c r="E93" i="8"/>
  <c r="C60" i="8"/>
  <c r="E37" i="8"/>
  <c r="K17" i="8"/>
  <c r="C536" i="7"/>
  <c r="C594" i="6" s="1"/>
  <c r="E481" i="7"/>
  <c r="E471" i="7"/>
  <c r="E715" i="6" s="1"/>
  <c r="D464" i="7"/>
  <c r="D57" i="15" s="1"/>
  <c r="E457" i="7"/>
  <c r="C455" i="7"/>
  <c r="C23" i="15" s="1"/>
  <c r="E448" i="7"/>
  <c r="C436" i="7"/>
  <c r="C704" i="6" s="1"/>
  <c r="C378" i="4" s="1"/>
  <c r="D424" i="7"/>
  <c r="D554" i="6" s="1"/>
  <c r="D298" i="4" s="1"/>
  <c r="D401" i="7"/>
  <c r="C394" i="7"/>
  <c r="C29" i="15" s="1"/>
  <c r="D387" i="7"/>
  <c r="K384" i="7"/>
  <c r="C375" i="7"/>
  <c r="D368" i="7"/>
  <c r="D352" i="7"/>
  <c r="D340" i="7"/>
  <c r="D387" i="6" s="1"/>
  <c r="C326" i="7"/>
  <c r="C37" i="15" s="1"/>
  <c r="E319" i="7"/>
  <c r="D307" i="7"/>
  <c r="D669" i="6" s="1"/>
  <c r="C296" i="7"/>
  <c r="E286" i="7"/>
  <c r="E281" i="7"/>
  <c r="C279" i="7"/>
  <c r="C274" i="7"/>
  <c r="C805" i="6" s="1"/>
  <c r="E232" i="7"/>
  <c r="D211" i="7"/>
  <c r="D183" i="7"/>
  <c r="E152" i="7"/>
  <c r="D134" i="7"/>
  <c r="C127" i="7"/>
  <c r="K96" i="7"/>
  <c r="E80" i="7"/>
  <c r="E78" i="7"/>
  <c r="C76" i="7"/>
  <c r="C320" i="6" s="1"/>
  <c r="C175" i="4" s="1"/>
  <c r="E69" i="7"/>
  <c r="C67" i="7"/>
  <c r="C172" i="6" s="1"/>
  <c r="C96" i="4" s="1"/>
  <c r="C46" i="7"/>
  <c r="K16" i="7"/>
  <c r="D7" i="7"/>
  <c r="E37" i="12"/>
  <c r="C12" i="12"/>
  <c r="K69" i="11"/>
  <c r="D59" i="11"/>
  <c r="D44" i="11"/>
  <c r="E22" i="11"/>
  <c r="E235" i="10"/>
  <c r="D114" i="10"/>
  <c r="D104" i="10"/>
  <c r="K94" i="10"/>
  <c r="D67" i="10"/>
  <c r="E386" i="9"/>
  <c r="D363" i="9"/>
  <c r="E324" i="9"/>
  <c r="K317" i="9"/>
  <c r="E305" i="9"/>
  <c r="C296" i="9"/>
  <c r="C286" i="9"/>
  <c r="D273" i="9"/>
  <c r="D263" i="9"/>
  <c r="E250" i="9"/>
  <c r="D244" i="9"/>
  <c r="D237" i="9"/>
  <c r="C212" i="9"/>
  <c r="E205" i="9"/>
  <c r="D202" i="9"/>
  <c r="D196" i="9"/>
  <c r="D189" i="9"/>
  <c r="C183" i="9"/>
  <c r="C176" i="9"/>
  <c r="K166" i="9"/>
  <c r="E150" i="9"/>
  <c r="D134" i="9"/>
  <c r="D124" i="9"/>
  <c r="E114" i="9"/>
  <c r="E85" i="9"/>
  <c r="C73" i="9"/>
  <c r="K53" i="9"/>
  <c r="E47" i="9"/>
  <c r="C37" i="9"/>
  <c r="K27" i="9"/>
  <c r="K17" i="9"/>
  <c r="D587" i="8"/>
  <c r="E574" i="8"/>
  <c r="D555" i="8"/>
  <c r="E533" i="8"/>
  <c r="D524" i="8"/>
  <c r="C506" i="8"/>
  <c r="C484" i="8"/>
  <c r="E455" i="8"/>
  <c r="E437" i="8"/>
  <c r="C411" i="8"/>
  <c r="D394" i="8"/>
  <c r="K391" i="8"/>
  <c r="E385" i="8"/>
  <c r="C383" i="8"/>
  <c r="D357" i="8"/>
  <c r="D340" i="8"/>
  <c r="K337" i="8"/>
  <c r="D329" i="8"/>
  <c r="K314" i="8"/>
  <c r="C309" i="8"/>
  <c r="C307" i="8"/>
  <c r="E295" i="8"/>
  <c r="E287" i="8"/>
  <c r="D275" i="8"/>
  <c r="C267" i="8"/>
  <c r="K249" i="8"/>
  <c r="E238" i="8"/>
  <c r="D221" i="8"/>
  <c r="E212" i="8"/>
  <c r="K209" i="8"/>
  <c r="D201" i="8"/>
  <c r="D190" i="8"/>
  <c r="C165" i="8"/>
  <c r="C154" i="8"/>
  <c r="K136" i="8"/>
  <c r="E104" i="8"/>
  <c r="C96" i="8"/>
  <c r="D93" i="8"/>
  <c r="K59" i="8"/>
  <c r="D37" i="8"/>
  <c r="E17" i="8"/>
  <c r="E538" i="7"/>
  <c r="E519" i="7"/>
  <c r="D481" i="7"/>
  <c r="D471" i="7"/>
  <c r="D53" i="15" s="1"/>
  <c r="C464" i="7"/>
  <c r="C57" i="15" s="1"/>
  <c r="D457" i="7"/>
  <c r="D448" i="7"/>
  <c r="C424" i="7"/>
  <c r="C846" i="6" s="1"/>
  <c r="C401" i="7"/>
  <c r="E384" i="7"/>
  <c r="E35" i="15" s="1"/>
  <c r="C368" i="7"/>
  <c r="E354" i="7"/>
  <c r="C352" i="7"/>
  <c r="E333" i="7"/>
  <c r="D319" i="7"/>
  <c r="C307" i="7"/>
  <c r="C669" i="6" s="1"/>
  <c r="K295" i="7"/>
  <c r="D281" i="7"/>
  <c r="E241" i="7"/>
  <c r="D232" i="7"/>
  <c r="C211" i="7"/>
  <c r="E185" i="7"/>
  <c r="C183" i="7"/>
  <c r="C341" i="6" s="1"/>
  <c r="D152" i="7"/>
  <c r="C134" i="7"/>
  <c r="K126" i="7"/>
  <c r="K119" i="7"/>
  <c r="D108" i="7"/>
  <c r="E96" i="7"/>
  <c r="E324" i="6" s="1"/>
  <c r="E87" i="7"/>
  <c r="D80" i="7"/>
  <c r="D78" i="7"/>
  <c r="D69" i="7"/>
  <c r="K36" i="7"/>
  <c r="E16" i="7"/>
  <c r="C37" i="12"/>
  <c r="C22" i="12"/>
  <c r="K7" i="12"/>
  <c r="E54" i="11"/>
  <c r="D232" i="10"/>
  <c r="D203" i="10"/>
  <c r="C141" i="10"/>
  <c r="E90" i="10"/>
  <c r="E82" i="10"/>
  <c r="E32" i="10"/>
  <c r="D417" i="9"/>
  <c r="C362" i="9"/>
  <c r="E358" i="9"/>
  <c r="C310" i="9"/>
  <c r="K303" i="9"/>
  <c r="K296" i="9"/>
  <c r="D285" i="9"/>
  <c r="C242" i="9"/>
  <c r="E223" i="9"/>
  <c r="C206" i="9"/>
  <c r="E191" i="9"/>
  <c r="K187" i="9"/>
  <c r="C85" i="9"/>
  <c r="E74" i="9"/>
  <c r="D49" i="9"/>
  <c r="D42" i="9"/>
  <c r="K7" i="9"/>
  <c r="E589" i="8"/>
  <c r="D575" i="8"/>
  <c r="D564" i="8"/>
  <c r="E7" i="12"/>
  <c r="E91" i="11"/>
  <c r="D54" i="11"/>
  <c r="C203" i="10"/>
  <c r="E149" i="10"/>
  <c r="K104" i="10"/>
  <c r="D90" i="10"/>
  <c r="D82" i="10"/>
  <c r="K57" i="10"/>
  <c r="D32" i="10"/>
  <c r="K7" i="10"/>
  <c r="C417" i="9"/>
  <c r="D7" i="12"/>
  <c r="D122" i="11"/>
  <c r="K107" i="11"/>
  <c r="D91" i="11"/>
  <c r="E78" i="11"/>
  <c r="C69" i="11"/>
  <c r="C54" i="11"/>
  <c r="K39" i="11"/>
  <c r="K7" i="11"/>
  <c r="E236" i="10"/>
  <c r="E148" i="10"/>
  <c r="E129" i="10"/>
  <c r="C104" i="10"/>
  <c r="C90" i="10"/>
  <c r="C42" i="10"/>
  <c r="C32" i="10"/>
  <c r="E17" i="10"/>
  <c r="E17" i="12"/>
  <c r="K49" i="11"/>
  <c r="D22" i="11"/>
  <c r="C236" i="10"/>
  <c r="K155" i="10"/>
  <c r="E147" i="10"/>
  <c r="E134" i="10"/>
  <c r="C99" i="10"/>
  <c r="E62" i="10"/>
  <c r="C385" i="9"/>
  <c r="C368" i="9"/>
  <c r="D361" i="9"/>
  <c r="D331" i="9"/>
  <c r="C325" i="9"/>
  <c r="D317" i="9"/>
  <c r="D310" i="9"/>
  <c r="E303" i="9"/>
  <c r="D284" i="9"/>
  <c r="D265" i="9"/>
  <c r="C261" i="9"/>
  <c r="C249" i="9"/>
  <c r="D242" i="9"/>
  <c r="C211" i="9"/>
  <c r="E181" i="9"/>
  <c r="K144" i="9"/>
  <c r="C134" i="9"/>
  <c r="E109" i="9"/>
  <c r="E97" i="9"/>
  <c r="E86" i="9"/>
  <c r="E48" i="9"/>
  <c r="D12" i="9"/>
  <c r="D591" i="8"/>
  <c r="E586" i="8"/>
  <c r="D579" i="8"/>
  <c r="C572" i="8"/>
  <c r="C564" i="8"/>
  <c r="D557" i="8"/>
  <c r="D514" i="8"/>
  <c r="E428" i="8"/>
  <c r="C393" i="8"/>
  <c r="C384" i="8"/>
  <c r="D374" i="8"/>
  <c r="E367" i="8"/>
  <c r="E364" i="8"/>
  <c r="C304" i="8"/>
  <c r="E297" i="8"/>
  <c r="D288" i="8"/>
  <c r="D279" i="8"/>
  <c r="D276" i="8"/>
  <c r="C221" i="8"/>
  <c r="D202" i="8"/>
  <c r="C189" i="8"/>
  <c r="K153" i="8"/>
  <c r="C125" i="8"/>
  <c r="D81" i="8"/>
  <c r="E49" i="8"/>
  <c r="D27" i="8"/>
  <c r="D17" i="8"/>
  <c r="D37" i="12"/>
  <c r="D17" i="12"/>
  <c r="D79" i="11"/>
  <c r="K64" i="11"/>
  <c r="E49" i="11"/>
  <c r="C22" i="11"/>
  <c r="K191" i="10"/>
  <c r="E155" i="10"/>
  <c r="C147" i="10"/>
  <c r="C134" i="10"/>
  <c r="C114" i="10"/>
  <c r="E77" i="10"/>
  <c r="D62" i="10"/>
  <c r="E47" i="10"/>
  <c r="E27" i="10"/>
  <c r="K12" i="10"/>
  <c r="K412" i="9"/>
  <c r="C361" i="9"/>
  <c r="C331" i="9"/>
  <c r="C317" i="9"/>
  <c r="E288" i="9"/>
  <c r="K241" i="9"/>
  <c r="D181" i="9"/>
  <c r="E144" i="9"/>
  <c r="D109" i="9"/>
  <c r="C97" i="9"/>
  <c r="C86" i="9"/>
  <c r="D74" i="9"/>
  <c r="E55" i="9"/>
  <c r="D48" i="9"/>
  <c r="C12" i="9"/>
  <c r="C590" i="8"/>
  <c r="E571" i="8"/>
  <c r="K563" i="8"/>
  <c r="C557" i="8"/>
  <c r="C514" i="8"/>
  <c r="E448" i="8"/>
  <c r="E427" i="8"/>
  <c r="D421" i="8"/>
  <c r="E373" i="8"/>
  <c r="D367" i="8"/>
  <c r="D348" i="8"/>
  <c r="D339" i="8"/>
  <c r="D297" i="8"/>
  <c r="C288" i="8"/>
  <c r="C279" i="8"/>
  <c r="C275" i="8"/>
  <c r="D250" i="8"/>
  <c r="E32" i="12"/>
  <c r="C17" i="12"/>
  <c r="D78" i="11"/>
  <c r="C64" i="11"/>
  <c r="D17" i="11"/>
  <c r="E191" i="10"/>
  <c r="D155" i="10"/>
  <c r="D146" i="10"/>
  <c r="D77" i="10"/>
  <c r="C62" i="10"/>
  <c r="D47" i="10"/>
  <c r="D27" i="10"/>
  <c r="E412" i="9"/>
  <c r="K348" i="9"/>
  <c r="E338" i="9"/>
  <c r="E276" i="9"/>
  <c r="E245" i="9"/>
  <c r="E241" i="9"/>
  <c r="E207" i="9"/>
  <c r="D203" i="9"/>
  <c r="C195" i="9"/>
  <c r="E166" i="9"/>
  <c r="D144" i="9"/>
  <c r="K129" i="9"/>
  <c r="C119" i="9"/>
  <c r="D85" i="9"/>
  <c r="C74" i="9"/>
  <c r="E62" i="9"/>
  <c r="D55" i="9"/>
  <c r="C48" i="9"/>
  <c r="E570" i="8"/>
  <c r="D563" i="8"/>
  <c r="D539" i="8"/>
  <c r="E529" i="8"/>
  <c r="C504" i="8"/>
  <c r="E469" i="8"/>
  <c r="D448" i="8"/>
  <c r="E438" i="8"/>
  <c r="D427" i="8"/>
  <c r="C421" i="8"/>
  <c r="D402" i="8"/>
  <c r="E383" i="8"/>
  <c r="C367" i="8"/>
  <c r="C348" i="8"/>
  <c r="C339" i="8"/>
  <c r="C329" i="8"/>
  <c r="E307" i="8"/>
  <c r="C297" i="8"/>
  <c r="D103" i="11"/>
  <c r="E95" i="11"/>
  <c r="C233" i="10"/>
  <c r="C219" i="10"/>
  <c r="D148" i="10"/>
  <c r="C103" i="11"/>
  <c r="C228" i="10"/>
  <c r="E52" i="10"/>
  <c r="E422" i="9"/>
  <c r="C402" i="9"/>
  <c r="C373" i="9"/>
  <c r="D359" i="9"/>
  <c r="K343" i="9"/>
  <c r="D287" i="9"/>
  <c r="K273" i="9"/>
  <c r="C264" i="9"/>
  <c r="C250" i="9"/>
  <c r="D223" i="9"/>
  <c r="D205" i="9"/>
  <c r="D197" i="9"/>
  <c r="E187" i="9"/>
  <c r="C62" i="9"/>
  <c r="D53" i="9"/>
  <c r="C22" i="9"/>
  <c r="C587" i="8"/>
  <c r="D574" i="8"/>
  <c r="D566" i="8"/>
  <c r="C524" i="8"/>
  <c r="E503" i="8"/>
  <c r="E445" i="8"/>
  <c r="E430" i="8"/>
  <c r="E418" i="8"/>
  <c r="E400" i="8"/>
  <c r="C385" i="8"/>
  <c r="E374" i="8"/>
  <c r="C314" i="8"/>
  <c r="C296" i="8"/>
  <c r="D278" i="8"/>
  <c r="E267" i="8"/>
  <c r="D260" i="8"/>
  <c r="D249" i="8"/>
  <c r="E217" i="8"/>
  <c r="C177" i="8"/>
  <c r="D106" i="8"/>
  <c r="C103" i="8"/>
  <c r="D69" i="8"/>
  <c r="C91" i="11"/>
  <c r="E226" i="10"/>
  <c r="D52" i="10"/>
  <c r="K32" i="10"/>
  <c r="D422" i="9"/>
  <c r="D368" i="9"/>
  <c r="C359" i="9"/>
  <c r="E343" i="9"/>
  <c r="K331" i="9"/>
  <c r="C312" i="9"/>
  <c r="C287" i="9"/>
  <c r="C263" i="9"/>
  <c r="D249" i="9"/>
  <c r="C205" i="9"/>
  <c r="C197" i="9"/>
  <c r="C187" i="9"/>
  <c r="C61" i="9"/>
  <c r="K586" i="8"/>
  <c r="C574" i="8"/>
  <c r="C566" i="8"/>
  <c r="E557" i="8"/>
  <c r="E544" i="8"/>
  <c r="D503" i="8"/>
  <c r="D445" i="8"/>
  <c r="D437" i="8"/>
  <c r="E392" i="8"/>
  <c r="C340" i="8"/>
  <c r="D295" i="8"/>
  <c r="C278" i="8"/>
  <c r="C260" i="8"/>
  <c r="E253" i="8"/>
  <c r="C249" i="8"/>
  <c r="K237" i="8"/>
  <c r="D220" i="8"/>
  <c r="D217" i="8"/>
  <c r="E210" i="8"/>
  <c r="C190" i="8"/>
  <c r="E166" i="8"/>
  <c r="K102" i="8"/>
  <c r="C69" i="8"/>
  <c r="D28" i="8"/>
  <c r="E18" i="8"/>
  <c r="C8" i="8"/>
  <c r="K548" i="7"/>
  <c r="D538" i="7"/>
  <c r="C525" i="7"/>
  <c r="C300" i="6" s="1"/>
  <c r="D517" i="7"/>
  <c r="D880" i="6" s="1"/>
  <c r="D474" i="4" s="1"/>
  <c r="C481" i="7"/>
  <c r="E473" i="7"/>
  <c r="E455" i="7"/>
  <c r="E268" i="6" s="1"/>
  <c r="E145" i="4" s="1"/>
  <c r="C448" i="7"/>
  <c r="E436" i="7"/>
  <c r="E558" i="6" s="1"/>
  <c r="E301" i="5" s="1"/>
  <c r="D426" i="7"/>
  <c r="K415" i="7"/>
  <c r="E385" i="7"/>
  <c r="K351" i="7"/>
  <c r="D334" i="7"/>
  <c r="E308" i="7"/>
  <c r="E287" i="7"/>
  <c r="D268" i="7"/>
  <c r="K249" i="7"/>
  <c r="E242" i="7"/>
  <c r="D240" i="7"/>
  <c r="D209" i="7"/>
  <c r="K183" i="7"/>
  <c r="E143" i="7"/>
  <c r="E334" i="6" s="1"/>
  <c r="E133" i="7"/>
  <c r="D98" i="7"/>
  <c r="C88" i="7"/>
  <c r="E70" i="7"/>
  <c r="D68" i="7"/>
  <c r="E60" i="7"/>
  <c r="E12" i="15" s="1"/>
  <c r="C43" i="7"/>
  <c r="C20" i="6" s="1"/>
  <c r="C16" i="5" s="1"/>
  <c r="E8" i="7"/>
  <c r="E71" i="11"/>
  <c r="K34" i="11"/>
  <c r="E248" i="10"/>
  <c r="E233" i="10"/>
  <c r="E215" i="10"/>
  <c r="C199" i="10"/>
  <c r="E139" i="10"/>
  <c r="D109" i="10"/>
  <c r="K67" i="10"/>
  <c r="C17" i="10"/>
  <c r="K422" i="9"/>
  <c r="E397" i="9"/>
  <c r="K385" i="9"/>
  <c r="E331" i="9"/>
  <c r="D319" i="9"/>
  <c r="E310" i="9"/>
  <c r="C262" i="9"/>
  <c r="K202" i="9"/>
  <c r="K149" i="9"/>
  <c r="D129" i="9"/>
  <c r="E73" i="9"/>
  <c r="E54" i="9"/>
  <c r="C17" i="9"/>
  <c r="E591" i="8"/>
  <c r="E543" i="8"/>
  <c r="C467" i="8"/>
  <c r="E449" i="8"/>
  <c r="C436" i="8"/>
  <c r="C427" i="8"/>
  <c r="D403" i="8"/>
  <c r="E337" i="8"/>
  <c r="C317" i="8"/>
  <c r="E305" i="8"/>
  <c r="E277" i="8"/>
  <c r="D251" i="8"/>
  <c r="C237" i="8"/>
  <c r="C225" i="8"/>
  <c r="D210" i="8"/>
  <c r="D104" i="8"/>
  <c r="C81" i="8"/>
  <c r="E70" i="8"/>
  <c r="E7" i="8"/>
  <c r="D537" i="7"/>
  <c r="D526" i="7"/>
  <c r="C518" i="7"/>
  <c r="D510" i="7"/>
  <c r="E491" i="7"/>
  <c r="E464" i="7"/>
  <c r="E420" i="6" s="1"/>
  <c r="C449" i="7"/>
  <c r="C378" i="7"/>
  <c r="E375" i="7"/>
  <c r="E395" i="6" s="1"/>
  <c r="C354" i="7"/>
  <c r="D343" i="7"/>
  <c r="K340" i="7"/>
  <c r="D333" i="7"/>
  <c r="E297" i="7"/>
  <c r="D283" i="7"/>
  <c r="E280" i="7"/>
  <c r="D277" i="7"/>
  <c r="C266" i="7"/>
  <c r="C252" i="7"/>
  <c r="E249" i="7"/>
  <c r="E506" i="6" s="1"/>
  <c r="C242" i="7"/>
  <c r="D239" i="7"/>
  <c r="C224" i="7"/>
  <c r="C210" i="7"/>
  <c r="E164" i="7"/>
  <c r="K151" i="7"/>
  <c r="E144" i="7"/>
  <c r="K133" i="7"/>
  <c r="D110" i="7"/>
  <c r="D107" i="7"/>
  <c r="D326" i="6" s="1"/>
  <c r="C97" i="7"/>
  <c r="E68" i="7"/>
  <c r="D60" i="7"/>
  <c r="D12" i="15" s="1"/>
  <c r="D45" i="7"/>
  <c r="C27" i="7"/>
  <c r="C9" i="7"/>
  <c r="D32" i="12"/>
  <c r="D248" i="10"/>
  <c r="D233" i="10"/>
  <c r="C215" i="10"/>
  <c r="K134" i="10"/>
  <c r="C422" i="9"/>
  <c r="E385" i="9"/>
  <c r="E374" i="9"/>
  <c r="E361" i="9"/>
  <c r="K261" i="9"/>
  <c r="E212" i="9"/>
  <c r="C202" i="9"/>
  <c r="C190" i="9"/>
  <c r="E149" i="9"/>
  <c r="C129" i="9"/>
  <c r="E53" i="9"/>
  <c r="D580" i="8"/>
  <c r="D543" i="8"/>
  <c r="C403" i="8"/>
  <c r="E365" i="8"/>
  <c r="C357" i="8"/>
  <c r="E349" i="8"/>
  <c r="D305" i="8"/>
  <c r="D277" i="8"/>
  <c r="E249" i="8"/>
  <c r="E209" i="8"/>
  <c r="K148" i="8"/>
  <c r="K69" i="8"/>
  <c r="D18" i="8"/>
  <c r="D7" i="8"/>
  <c r="C537" i="7"/>
  <c r="C526" i="7"/>
  <c r="K517" i="7"/>
  <c r="C510" i="7"/>
  <c r="D491" i="7"/>
  <c r="E480" i="7"/>
  <c r="E472" i="7"/>
  <c r="D436" i="7"/>
  <c r="D704" i="6" s="1"/>
  <c r="C343" i="7"/>
  <c r="E340" i="7"/>
  <c r="E679" i="6" s="1"/>
  <c r="C319" i="7"/>
  <c r="D308" i="7"/>
  <c r="D297" i="7"/>
  <c r="E289" i="7"/>
  <c r="C283" i="7"/>
  <c r="D280" i="7"/>
  <c r="C277" i="7"/>
  <c r="D249" i="7"/>
  <c r="D506" i="6" s="1"/>
  <c r="K223" i="7"/>
  <c r="D164" i="7"/>
  <c r="E151" i="7"/>
  <c r="E191" i="6" s="1"/>
  <c r="D144" i="7"/>
  <c r="D133" i="7"/>
  <c r="C110" i="7"/>
  <c r="C107" i="7"/>
  <c r="C45" i="15" s="1"/>
  <c r="D96" i="7"/>
  <c r="D616" i="6" s="1"/>
  <c r="D334" i="5" s="1"/>
  <c r="C68" i="7"/>
  <c r="C60" i="7"/>
  <c r="C12" i="15" s="1"/>
  <c r="C45" i="7"/>
  <c r="E7" i="11"/>
  <c r="C226" i="10"/>
  <c r="K179" i="10"/>
  <c r="D129" i="10"/>
  <c r="E99" i="10"/>
  <c r="D385" i="9"/>
  <c r="D374" i="9"/>
  <c r="E359" i="9"/>
  <c r="E287" i="9"/>
  <c r="E277" i="9"/>
  <c r="E261" i="9"/>
  <c r="E242" i="9"/>
  <c r="K211" i="9"/>
  <c r="D198" i="9"/>
  <c r="C189" i="9"/>
  <c r="K171" i="9"/>
  <c r="C149" i="9"/>
  <c r="K109" i="9"/>
  <c r="C49" i="9"/>
  <c r="D32" i="9"/>
  <c r="D589" i="8"/>
  <c r="C580" i="8"/>
  <c r="E492" i="8"/>
  <c r="E484" i="8"/>
  <c r="E456" i="8"/>
  <c r="C419" i="8"/>
  <c r="E410" i="8"/>
  <c r="D365" i="8"/>
  <c r="D349" i="8"/>
  <c r="C328" i="8"/>
  <c r="C305" i="8"/>
  <c r="C277" i="8"/>
  <c r="C217" i="8"/>
  <c r="D209" i="8"/>
  <c r="E148" i="8"/>
  <c r="E103" i="8"/>
  <c r="E69" i="8"/>
  <c r="C17" i="8"/>
  <c r="C7" i="8"/>
  <c r="C550" i="7"/>
  <c r="E536" i="7"/>
  <c r="E156" i="6" s="1"/>
  <c r="K525" i="7"/>
  <c r="E517" i="7"/>
  <c r="E880" i="6" s="1"/>
  <c r="E501" i="7"/>
  <c r="C491" i="7"/>
  <c r="D480" i="7"/>
  <c r="D472" i="7"/>
  <c r="E456" i="7"/>
  <c r="E425" i="7"/>
  <c r="E367" i="7"/>
  <c r="E326" i="7"/>
  <c r="E528" i="6" s="1"/>
  <c r="C308" i="7"/>
  <c r="C297" i="7"/>
  <c r="D289" i="7"/>
  <c r="C249" i="7"/>
  <c r="C506" i="6" s="1"/>
  <c r="C274" i="4" s="1"/>
  <c r="D231" i="7"/>
  <c r="E223" i="7"/>
  <c r="E642" i="6" s="1"/>
  <c r="C164" i="7"/>
  <c r="D151" i="7"/>
  <c r="D483" i="6" s="1"/>
  <c r="D263" i="5" s="1"/>
  <c r="C144" i="7"/>
  <c r="C133" i="7"/>
  <c r="C96" i="7"/>
  <c r="C324" i="6" s="1"/>
  <c r="C78" i="7"/>
  <c r="D70" i="7"/>
  <c r="K67" i="7"/>
  <c r="D16" i="7"/>
  <c r="K17" i="12"/>
  <c r="K117" i="11"/>
  <c r="C252" i="10"/>
  <c r="K52" i="10"/>
  <c r="E22" i="10"/>
  <c r="K358" i="9"/>
  <c r="E337" i="9"/>
  <c r="K310" i="9"/>
  <c r="E296" i="9"/>
  <c r="C285" i="9"/>
  <c r="K235" i="9"/>
  <c r="E224" i="9"/>
  <c r="D207" i="9"/>
  <c r="D114" i="9"/>
  <c r="D98" i="9"/>
  <c r="E17" i="9"/>
  <c r="C519" i="8"/>
  <c r="C507" i="8"/>
  <c r="D393" i="8"/>
  <c r="K382" i="8"/>
  <c r="E327" i="8"/>
  <c r="E309" i="8"/>
  <c r="E294" i="8"/>
  <c r="C287" i="8"/>
  <c r="C268" i="8"/>
  <c r="K225" i="8"/>
  <c r="E216" i="8"/>
  <c r="D177" i="8"/>
  <c r="E153" i="8"/>
  <c r="C114" i="8"/>
  <c r="E105" i="8"/>
  <c r="K37" i="8"/>
  <c r="D8" i="8"/>
  <c r="D519" i="7"/>
  <c r="D501" i="7"/>
  <c r="C489" i="7"/>
  <c r="C33" i="15" s="1"/>
  <c r="E449" i="7"/>
  <c r="D415" i="7"/>
  <c r="D113" i="6" s="1"/>
  <c r="D384" i="7"/>
  <c r="D544" i="6" s="1"/>
  <c r="D293" i="5" s="1"/>
  <c r="E368" i="7"/>
  <c r="D284" i="7"/>
  <c r="E279" i="7"/>
  <c r="E275" i="7"/>
  <c r="E266" i="7"/>
  <c r="D250" i="7"/>
  <c r="D241" i="7"/>
  <c r="E224" i="7"/>
  <c r="D207" i="7"/>
  <c r="D201" i="6" s="1"/>
  <c r="E183" i="7"/>
  <c r="E779" i="6" s="1"/>
  <c r="E421" i="5" s="1"/>
  <c r="C152" i="7"/>
  <c r="C126" i="7"/>
  <c r="C768" i="6" s="1"/>
  <c r="C87" i="7"/>
  <c r="C53" i="7"/>
  <c r="C16" i="15" s="1"/>
  <c r="E117" i="11"/>
  <c r="K59" i="11"/>
  <c r="C163" i="10"/>
  <c r="C52" i="10"/>
  <c r="D22" i="10"/>
  <c r="D412" i="9"/>
  <c r="K284" i="9"/>
  <c r="E262" i="9"/>
  <c r="D250" i="9"/>
  <c r="E235" i="9"/>
  <c r="K223" i="9"/>
  <c r="D191" i="9"/>
  <c r="E176" i="9"/>
  <c r="K73" i="9"/>
  <c r="K42" i="9"/>
  <c r="D17" i="9"/>
  <c r="E588" i="8"/>
  <c r="D538" i="8"/>
  <c r="E439" i="8"/>
  <c r="E420" i="8"/>
  <c r="D410" i="8"/>
  <c r="D392" i="8"/>
  <c r="E382" i="8"/>
  <c r="D327" i="8"/>
  <c r="D293" i="8"/>
  <c r="D286" i="8"/>
  <c r="K267" i="8"/>
  <c r="E251" i="8"/>
  <c r="D225" i="8"/>
  <c r="D216" i="8"/>
  <c r="K189" i="8"/>
  <c r="D153" i="8"/>
  <c r="K113" i="8"/>
  <c r="D105" i="8"/>
  <c r="C37" i="8"/>
  <c r="K7" i="8"/>
  <c r="E537" i="7"/>
  <c r="C519" i="7"/>
  <c r="E510" i="7"/>
  <c r="C501" i="7"/>
  <c r="C480" i="7"/>
  <c r="D449" i="7"/>
  <c r="C415" i="7"/>
  <c r="C113" i="6" s="1"/>
  <c r="C384" i="7"/>
  <c r="C106" i="6" s="1"/>
  <c r="E355" i="7"/>
  <c r="E334" i="7"/>
  <c r="D326" i="7"/>
  <c r="D528" i="6" s="1"/>
  <c r="E309" i="7"/>
  <c r="E283" i="7"/>
  <c r="D279" i="7"/>
  <c r="C275" i="7"/>
  <c r="D266" i="7"/>
  <c r="C250" i="7"/>
  <c r="C241" i="7"/>
  <c r="D224" i="7"/>
  <c r="E211" i="7"/>
  <c r="C207" i="7"/>
  <c r="D163" i="7"/>
  <c r="C151" i="7"/>
  <c r="C337" i="6" s="1"/>
  <c r="C108" i="7"/>
  <c r="K86" i="7"/>
  <c r="K27" i="7"/>
  <c r="D117" i="11"/>
  <c r="D222" i="10"/>
  <c r="E109" i="10"/>
  <c r="D17" i="10"/>
  <c r="C412" i="9"/>
  <c r="D305" i="9"/>
  <c r="E284" i="9"/>
  <c r="E274" i="9"/>
  <c r="D261" i="9"/>
  <c r="C191" i="9"/>
  <c r="E42" i="9"/>
  <c r="E12" i="9"/>
  <c r="D588" i="8"/>
  <c r="C538" i="8"/>
  <c r="E506" i="8"/>
  <c r="E470" i="8"/>
  <c r="D439" i="8"/>
  <c r="E429" i="8"/>
  <c r="D420" i="8"/>
  <c r="C410" i="8"/>
  <c r="D401" i="8"/>
  <c r="C327" i="8"/>
  <c r="D317" i="8"/>
  <c r="D308" i="8"/>
  <c r="C293" i="8"/>
  <c r="D212" i="8"/>
  <c r="E189" i="8"/>
  <c r="C153" i="8"/>
  <c r="C105" i="8"/>
  <c r="E59" i="8"/>
  <c r="D50" i="8"/>
  <c r="C28" i="8"/>
  <c r="D536" i="7"/>
  <c r="D886" i="6" s="1"/>
  <c r="E479" i="7"/>
  <c r="E864" i="6" s="1"/>
  <c r="C457" i="7"/>
  <c r="E427" i="7"/>
  <c r="E401" i="7"/>
  <c r="D355" i="7"/>
  <c r="E351" i="7"/>
  <c r="E681" i="6" s="1"/>
  <c r="C334" i="7"/>
  <c r="E317" i="7"/>
  <c r="E526" i="6" s="1"/>
  <c r="D309" i="7"/>
  <c r="E296" i="7"/>
  <c r="D287" i="7"/>
  <c r="K274" i="7"/>
  <c r="E261" i="7"/>
  <c r="E72" i="6" s="1"/>
  <c r="C223" i="7"/>
  <c r="C58" i="6" s="1"/>
  <c r="C163" i="7"/>
  <c r="K107" i="7"/>
  <c r="E86" i="7"/>
  <c r="E27" i="7"/>
  <c r="E27" i="15" s="1"/>
  <c r="E10" i="7"/>
  <c r="C117" i="11"/>
  <c r="C17" i="11"/>
  <c r="C222" i="10"/>
  <c r="K203" i="10"/>
  <c r="E179" i="10"/>
  <c r="E140" i="10"/>
  <c r="D99" i="10"/>
  <c r="K407" i="9"/>
  <c r="C374" i="9"/>
  <c r="E354" i="9"/>
  <c r="E319" i="9"/>
  <c r="C305" i="9"/>
  <c r="C39" i="11"/>
  <c r="K119" i="10"/>
  <c r="K22" i="10"/>
  <c r="C407" i="9"/>
  <c r="E353" i="9"/>
  <c r="C326" i="9"/>
  <c r="E211" i="9"/>
  <c r="E188" i="9"/>
  <c r="E161" i="9"/>
  <c r="C56" i="9"/>
  <c r="E27" i="9"/>
  <c r="C589" i="8"/>
  <c r="E566" i="8"/>
  <c r="C539" i="8"/>
  <c r="C470" i="8"/>
  <c r="D456" i="8"/>
  <c r="K409" i="8"/>
  <c r="D347" i="8"/>
  <c r="E314" i="8"/>
  <c r="D211" i="8"/>
  <c r="E178" i="8"/>
  <c r="D136" i="8"/>
  <c r="E124" i="8"/>
  <c r="C548" i="7"/>
  <c r="C577" i="6" s="1"/>
  <c r="C538" i="7"/>
  <c r="E518" i="7"/>
  <c r="D508" i="7"/>
  <c r="D147" i="6" s="1"/>
  <c r="C409" i="7"/>
  <c r="C400" i="7"/>
  <c r="E394" i="7"/>
  <c r="E108" i="6" s="1"/>
  <c r="E341" i="7"/>
  <c r="C281" i="7"/>
  <c r="E265" i="7"/>
  <c r="C231" i="7"/>
  <c r="E201" i="7"/>
  <c r="K162" i="7"/>
  <c r="E153" i="7"/>
  <c r="E119" i="7"/>
  <c r="E30" i="15" s="1"/>
  <c r="D76" i="7"/>
  <c r="D758" i="6" s="1"/>
  <c r="D410" i="5" s="1"/>
  <c r="D18" i="7"/>
  <c r="K127" i="11"/>
  <c r="K215" i="10"/>
  <c r="D179" i="10"/>
  <c r="D402" i="9"/>
  <c r="E348" i="9"/>
  <c r="E243" i="9"/>
  <c r="E206" i="9"/>
  <c r="D161" i="9"/>
  <c r="K134" i="9"/>
  <c r="C588" i="8"/>
  <c r="C456" i="8"/>
  <c r="E446" i="8"/>
  <c r="E409" i="8"/>
  <c r="C347" i="8"/>
  <c r="D314" i="8"/>
  <c r="D304" i="8"/>
  <c r="D268" i="8"/>
  <c r="C209" i="8"/>
  <c r="D178" i="8"/>
  <c r="C136" i="8"/>
  <c r="C124" i="8"/>
  <c r="D115" i="8"/>
  <c r="C517" i="7"/>
  <c r="C880" i="6" s="1"/>
  <c r="C475" i="5" s="1"/>
  <c r="C508" i="7"/>
  <c r="C13" i="15" s="1"/>
  <c r="D394" i="7"/>
  <c r="D400" i="6" s="1"/>
  <c r="E369" i="7"/>
  <c r="C355" i="7"/>
  <c r="D341" i="7"/>
  <c r="C265" i="7"/>
  <c r="K230" i="7"/>
  <c r="D201" i="7"/>
  <c r="E162" i="7"/>
  <c r="E339" i="6" s="1"/>
  <c r="D153" i="7"/>
  <c r="D143" i="7"/>
  <c r="D188" i="6" s="1"/>
  <c r="E134" i="7"/>
  <c r="D119" i="7"/>
  <c r="D36" i="6" s="1"/>
  <c r="K60" i="7"/>
  <c r="C18" i="7"/>
  <c r="D8" i="7"/>
  <c r="E127" i="11"/>
  <c r="C179" i="10"/>
  <c r="D150" i="10"/>
  <c r="K397" i="9"/>
  <c r="D373" i="9"/>
  <c r="D348" i="9"/>
  <c r="D276" i="9"/>
  <c r="D243" i="9"/>
  <c r="E183" i="9"/>
  <c r="C161" i="9"/>
  <c r="E129" i="9"/>
  <c r="D582" i="8"/>
  <c r="D565" i="8"/>
  <c r="D483" i="8"/>
  <c r="D469" i="8"/>
  <c r="D455" i="8"/>
  <c r="C445" i="8"/>
  <c r="D384" i="8"/>
  <c r="K346" i="8"/>
  <c r="E279" i="8"/>
  <c r="D253" i="8"/>
  <c r="C178" i="8"/>
  <c r="D166" i="8"/>
  <c r="D95" i="8"/>
  <c r="E527" i="7"/>
  <c r="D473" i="7"/>
  <c r="E378" i="7"/>
  <c r="D369" i="7"/>
  <c r="C341" i="7"/>
  <c r="D296" i="7"/>
  <c r="E285" i="7"/>
  <c r="E274" i="7"/>
  <c r="E659" i="6" s="1"/>
  <c r="E355" i="4" s="1"/>
  <c r="E250" i="7"/>
  <c r="E240" i="7"/>
  <c r="E230" i="7"/>
  <c r="E646" i="6" s="1"/>
  <c r="E351" i="5" s="1"/>
  <c r="E200" i="7"/>
  <c r="E199" i="6" s="1"/>
  <c r="D162" i="7"/>
  <c r="C153" i="7"/>
  <c r="C143" i="7"/>
  <c r="E109" i="7"/>
  <c r="D79" i="7"/>
  <c r="C70" i="7"/>
  <c r="E36" i="7"/>
  <c r="E16" i="6" s="1"/>
  <c r="E14" i="5" s="1"/>
  <c r="D27" i="7"/>
  <c r="D744" i="6" s="1"/>
  <c r="D402" i="4" s="1"/>
  <c r="C8" i="7"/>
  <c r="C122" i="11"/>
  <c r="C150" i="10"/>
  <c r="C348" i="9"/>
  <c r="C276" i="9"/>
  <c r="C237" i="9"/>
  <c r="D22" i="9"/>
  <c r="C582" i="8"/>
  <c r="E564" i="8"/>
  <c r="C483" i="8"/>
  <c r="E468" i="8"/>
  <c r="C455" i="8"/>
  <c r="C394" i="8"/>
  <c r="C356" i="8"/>
  <c r="C330" i="8"/>
  <c r="E219" i="8"/>
  <c r="K177" i="8"/>
  <c r="C166" i="8"/>
  <c r="E114" i="8"/>
  <c r="D103" i="8"/>
  <c r="C95" i="8"/>
  <c r="D527" i="7"/>
  <c r="D407" i="9"/>
  <c r="D326" i="9"/>
  <c r="E182" i="9"/>
  <c r="C150" i="9"/>
  <c r="C491" i="8"/>
  <c r="D467" i="8"/>
  <c r="K400" i="8"/>
  <c r="K364" i="8"/>
  <c r="E177" i="8"/>
  <c r="C102" i="8"/>
  <c r="D59" i="8"/>
  <c r="K27" i="8"/>
  <c r="C465" i="7"/>
  <c r="K424" i="7"/>
  <c r="C386" i="7"/>
  <c r="C369" i="7"/>
  <c r="C353" i="7"/>
  <c r="K307" i="7"/>
  <c r="C232" i="7"/>
  <c r="C209" i="7"/>
  <c r="D126" i="7"/>
  <c r="D476" i="6" s="1"/>
  <c r="D259" i="5" s="1"/>
  <c r="D109" i="7"/>
  <c r="K53" i="7"/>
  <c r="K43" i="7"/>
  <c r="D362" i="9"/>
  <c r="E236" i="9"/>
  <c r="C182" i="9"/>
  <c r="D429" i="8"/>
  <c r="E376" i="8"/>
  <c r="E347" i="8"/>
  <c r="C316" i="8"/>
  <c r="E27" i="8"/>
  <c r="C509" i="7"/>
  <c r="K464" i="7"/>
  <c r="E424" i="7"/>
  <c r="E700" i="6" s="1"/>
  <c r="E377" i="5" s="1"/>
  <c r="K407" i="7"/>
  <c r="D385" i="7"/>
  <c r="E295" i="7"/>
  <c r="E26" i="15" s="1"/>
  <c r="D185" i="7"/>
  <c r="C162" i="7"/>
  <c r="C25" i="15" s="1"/>
  <c r="C109" i="7"/>
  <c r="C80" i="7"/>
  <c r="C69" i="7"/>
  <c r="E53" i="7"/>
  <c r="E43" i="7"/>
  <c r="E312" i="6" s="1"/>
  <c r="C146" i="10"/>
  <c r="E265" i="9"/>
  <c r="C236" i="9"/>
  <c r="K181" i="9"/>
  <c r="E98" i="9"/>
  <c r="D544" i="8"/>
  <c r="E447" i="8"/>
  <c r="C429" i="8"/>
  <c r="E412" i="8"/>
  <c r="D376" i="8"/>
  <c r="D287" i="8"/>
  <c r="E226" i="8"/>
  <c r="D114" i="8"/>
  <c r="E526" i="7"/>
  <c r="K508" i="7"/>
  <c r="E407" i="7"/>
  <c r="E403" i="6" s="1"/>
  <c r="E218" i="5" s="1"/>
  <c r="C351" i="7"/>
  <c r="C827" i="6" s="1"/>
  <c r="C443" i="4" s="1"/>
  <c r="D317" i="7"/>
  <c r="D526" i="6" s="1"/>
  <c r="D282" i="4" s="1"/>
  <c r="C295" i="7"/>
  <c r="C225" i="6" s="1"/>
  <c r="E284" i="7"/>
  <c r="E276" i="7"/>
  <c r="E264" i="7"/>
  <c r="D252" i="7"/>
  <c r="D230" i="7"/>
  <c r="D823" i="6" s="1"/>
  <c r="E208" i="7"/>
  <c r="C185" i="7"/>
  <c r="E135" i="7"/>
  <c r="E107" i="7"/>
  <c r="E472" i="6" s="1"/>
  <c r="E256" i="4" s="1"/>
  <c r="D97" i="7"/>
  <c r="D53" i="7"/>
  <c r="D16" i="15" s="1"/>
  <c r="D43" i="7"/>
  <c r="D166" i="6" s="1"/>
  <c r="D7" i="11"/>
  <c r="C140" i="10"/>
  <c r="C274" i="9"/>
  <c r="C204" i="9"/>
  <c r="K161" i="9"/>
  <c r="K503" i="8"/>
  <c r="D477" i="8"/>
  <c r="D252" i="8"/>
  <c r="K49" i="8"/>
  <c r="E548" i="7"/>
  <c r="E577" i="6" s="1"/>
  <c r="E312" i="4" s="1"/>
  <c r="C499" i="7"/>
  <c r="C723" i="6" s="1"/>
  <c r="C317" i="7"/>
  <c r="C672" i="6" s="1"/>
  <c r="D264" i="7"/>
  <c r="C251" i="7"/>
  <c r="D127" i="7"/>
  <c r="C77" i="7"/>
  <c r="C36" i="7"/>
  <c r="C162" i="6" s="1"/>
  <c r="D572" i="8"/>
  <c r="D492" i="8"/>
  <c r="C439" i="8"/>
  <c r="E202" i="8"/>
  <c r="C479" i="7"/>
  <c r="C572" i="6" s="1"/>
  <c r="C310" i="5" s="1"/>
  <c r="D416" i="7"/>
  <c r="E366" i="7"/>
  <c r="E101" i="6" s="1"/>
  <c r="D298" i="7"/>
  <c r="E268" i="7"/>
  <c r="C202" i="8"/>
  <c r="D261" i="7"/>
  <c r="E203" i="10"/>
  <c r="D124" i="10"/>
  <c r="E317" i="9"/>
  <c r="C297" i="9"/>
  <c r="C203" i="9"/>
  <c r="C477" i="8"/>
  <c r="C448" i="8"/>
  <c r="K326" i="8"/>
  <c r="C308" i="8"/>
  <c r="C252" i="8"/>
  <c r="E211" i="8"/>
  <c r="E165" i="8"/>
  <c r="C94" i="8"/>
  <c r="D49" i="8"/>
  <c r="C511" i="7"/>
  <c r="E400" i="7"/>
  <c r="D342" i="7"/>
  <c r="C287" i="7"/>
  <c r="D276" i="7"/>
  <c r="E233" i="7"/>
  <c r="D200" i="7"/>
  <c r="D637" i="6" s="1"/>
  <c r="D346" i="5" s="1"/>
  <c r="E126" i="7"/>
  <c r="E476" i="6" s="1"/>
  <c r="D88" i="7"/>
  <c r="K76" i="7"/>
  <c r="D37" i="10"/>
  <c r="C456" i="7"/>
  <c r="D378" i="7"/>
  <c r="E310" i="7"/>
  <c r="C285" i="7"/>
  <c r="K22" i="12"/>
  <c r="C27" i="10"/>
  <c r="E197" i="9"/>
  <c r="D150" i="9"/>
  <c r="C358" i="8"/>
  <c r="C473" i="7"/>
  <c r="C416" i="7"/>
  <c r="D366" i="7"/>
  <c r="D49" i="15" s="1"/>
  <c r="D310" i="7"/>
  <c r="C298" i="7"/>
  <c r="E212" i="7"/>
  <c r="D87" i="7"/>
  <c r="C124" i="10"/>
  <c r="E37" i="10"/>
  <c r="E407" i="9"/>
  <c r="K353" i="9"/>
  <c r="E572" i="8"/>
  <c r="K476" i="8"/>
  <c r="D385" i="8"/>
  <c r="C365" i="8"/>
  <c r="K93" i="8"/>
  <c r="C49" i="8"/>
  <c r="D479" i="7"/>
  <c r="D433" i="6" s="1"/>
  <c r="D456" i="7"/>
  <c r="D400" i="7"/>
  <c r="E386" i="7"/>
  <c r="D367" i="7"/>
  <c r="C342" i="7"/>
  <c r="E298" i="7"/>
  <c r="D285" i="7"/>
  <c r="D274" i="7"/>
  <c r="D805" i="6" s="1"/>
  <c r="D434" i="5" s="1"/>
  <c r="C233" i="7"/>
  <c r="C200" i="7"/>
  <c r="C42" i="15" s="1"/>
  <c r="E76" i="7"/>
  <c r="E758" i="6" s="1"/>
  <c r="E409" i="4" s="1"/>
  <c r="C492" i="8"/>
  <c r="E467" i="8"/>
  <c r="E8" i="8"/>
  <c r="E490" i="7"/>
  <c r="K455" i="7"/>
  <c r="E76" i="11"/>
  <c r="D338" i="9"/>
  <c r="D62" i="9"/>
  <c r="E581" i="8"/>
  <c r="C349" i="8"/>
  <c r="C201" i="8"/>
  <c r="D409" i="7"/>
  <c r="D282" i="7"/>
  <c r="D184" i="7"/>
  <c r="C79" i="7"/>
  <c r="D491" i="8"/>
  <c r="E315" i="8"/>
  <c r="C220" i="8"/>
  <c r="C32" i="9"/>
  <c r="D315" i="8"/>
  <c r="C261" i="8"/>
  <c r="E426" i="7"/>
  <c r="E98" i="7"/>
  <c r="D338" i="8"/>
  <c r="D490" i="7"/>
  <c r="C426" i="7"/>
  <c r="D76" i="11"/>
  <c r="K579" i="8"/>
  <c r="D505" i="8"/>
  <c r="C402" i="8"/>
  <c r="D296" i="8"/>
  <c r="E237" i="8"/>
  <c r="E102" i="8"/>
  <c r="K239" i="7"/>
  <c r="D135" i="7"/>
  <c r="E29" i="7"/>
  <c r="D9" i="7"/>
  <c r="E326" i="9"/>
  <c r="K471" i="7"/>
  <c r="E278" i="7"/>
  <c r="E77" i="7"/>
  <c r="E338" i="8"/>
  <c r="D219" i="8"/>
  <c r="C219" i="8"/>
  <c r="E154" i="8"/>
  <c r="E376" i="7"/>
  <c r="C98" i="7"/>
  <c r="E56" i="9"/>
  <c r="E579" i="8"/>
  <c r="D533" i="8"/>
  <c r="C401" i="8"/>
  <c r="D375" i="8"/>
  <c r="C295" i="8"/>
  <c r="D237" i="8"/>
  <c r="C38" i="8"/>
  <c r="E499" i="7"/>
  <c r="D427" i="7"/>
  <c r="D377" i="7"/>
  <c r="E239" i="7"/>
  <c r="E211" i="6" s="1"/>
  <c r="E117" i="4" s="1"/>
  <c r="C212" i="7"/>
  <c r="D29" i="7"/>
  <c r="K7" i="7"/>
  <c r="C44" i="11"/>
  <c r="K82" i="10"/>
  <c r="C42" i="9"/>
  <c r="C533" i="8"/>
  <c r="K491" i="8"/>
  <c r="C375" i="8"/>
  <c r="K124" i="8"/>
  <c r="D525" i="7"/>
  <c r="D300" i="6" s="1"/>
  <c r="D499" i="7"/>
  <c r="D431" i="6" s="1"/>
  <c r="E447" i="7"/>
  <c r="C377" i="7"/>
  <c r="E320" i="7"/>
  <c r="E7" i="7"/>
  <c r="E11" i="15" s="1"/>
  <c r="C220" i="10"/>
  <c r="D261" i="8"/>
  <c r="D447" i="7"/>
  <c r="C320" i="7"/>
  <c r="D46" i="7"/>
  <c r="C471" i="7"/>
  <c r="C53" i="15" s="1"/>
  <c r="C447" i="7"/>
  <c r="D278" i="7"/>
  <c r="E210" i="7"/>
  <c r="D77" i="7"/>
  <c r="D556" i="8"/>
  <c r="D189" i="8"/>
  <c r="E251" i="7"/>
  <c r="E209" i="7"/>
  <c r="F98" i="4"/>
  <c r="F99" i="5"/>
  <c r="K99" i="5" s="1"/>
  <c r="E278" i="8"/>
  <c r="D274" i="9"/>
  <c r="E81" i="8"/>
  <c r="C212" i="8"/>
  <c r="F159" i="5"/>
  <c r="K159" i="5" s="1"/>
  <c r="F158" i="4"/>
  <c r="E45" i="7"/>
  <c r="D86" i="7"/>
  <c r="D19" i="15" s="1"/>
  <c r="K216" i="8"/>
  <c r="D166" i="9"/>
  <c r="E282" i="7"/>
  <c r="C425" i="7"/>
  <c r="C490" i="7"/>
  <c r="D288" i="7"/>
  <c r="E436" i="8"/>
  <c r="D234" i="10"/>
  <c r="F43" i="4"/>
  <c r="F44" i="5"/>
  <c r="K44" i="5" s="1"/>
  <c r="F101" i="4"/>
  <c r="F102" i="5"/>
  <c r="K102" i="5" s="1"/>
  <c r="F410" i="4"/>
  <c r="D251" i="7"/>
  <c r="C289" i="7"/>
  <c r="C366" i="7"/>
  <c r="C685" i="6" s="1"/>
  <c r="C437" i="8"/>
  <c r="C555" i="8"/>
  <c r="D236" i="10"/>
  <c r="E184" i="7"/>
  <c r="D148" i="8"/>
  <c r="F128" i="5"/>
  <c r="K128" i="5" s="1"/>
  <c r="F127" i="4"/>
  <c r="E465" i="7"/>
  <c r="D507" i="8"/>
  <c r="F16" i="4"/>
  <c r="F17" i="5"/>
  <c r="K17" i="5" s="1"/>
  <c r="N218" i="6"/>
  <c r="F120" i="4" s="1"/>
  <c r="F241" i="5"/>
  <c r="Q241" i="5" s="1"/>
  <c r="F240" i="4"/>
  <c r="N663" i="6"/>
  <c r="F358" i="5" s="1"/>
  <c r="T358" i="5" s="1"/>
  <c r="F9" i="4"/>
  <c r="F211" i="4"/>
  <c r="F212" i="5"/>
  <c r="N212" i="5" s="1"/>
  <c r="F432" i="4"/>
  <c r="F78" i="4"/>
  <c r="F79" i="5"/>
  <c r="K79" i="5" s="1"/>
  <c r="D267" i="7"/>
  <c r="C310" i="7"/>
  <c r="N211" i="6"/>
  <c r="F117" i="4" s="1"/>
  <c r="F212" i="4"/>
  <c r="F213" i="5"/>
  <c r="N213" i="5" s="1"/>
  <c r="N503" i="6"/>
  <c r="F274" i="5" s="1"/>
  <c r="Q274" i="5" s="1"/>
  <c r="E267" i="7"/>
  <c r="D353" i="7"/>
  <c r="E415" i="7"/>
  <c r="E55" i="15" s="1"/>
  <c r="D489" i="7"/>
  <c r="D282" i="6" s="1"/>
  <c r="D154" i="4" s="1"/>
  <c r="C10" i="7"/>
  <c r="E207" i="7"/>
  <c r="E38" i="15" s="1"/>
  <c r="D242" i="7"/>
  <c r="E353" i="7"/>
  <c r="K489" i="7"/>
  <c r="K81" i="8"/>
  <c r="E136" i="8"/>
  <c r="F31" i="5"/>
  <c r="K31" i="5" s="1"/>
  <c r="F30" i="4"/>
  <c r="F246" i="4"/>
  <c r="F247" i="5"/>
  <c r="Q247" i="5" s="1"/>
  <c r="F288" i="5"/>
  <c r="Q288" i="5" s="1"/>
  <c r="F287" i="4"/>
  <c r="F329" i="5"/>
  <c r="T329" i="5" s="1"/>
  <c r="F328" i="4"/>
  <c r="N734" i="6"/>
  <c r="F397" i="5" s="1"/>
  <c r="T397" i="5" s="1"/>
  <c r="F176" i="4"/>
  <c r="D10" i="7"/>
  <c r="D208" i="7"/>
  <c r="E387" i="7"/>
  <c r="D455" i="7"/>
  <c r="D560" i="6" s="1"/>
  <c r="D301" i="4" s="1"/>
  <c r="C218" i="8"/>
  <c r="E355" i="8"/>
  <c r="K355" i="8"/>
  <c r="D436" i="8"/>
  <c r="N116" i="6"/>
  <c r="F64" i="4" s="1"/>
  <c r="N262" i="6"/>
  <c r="F257" i="4"/>
  <c r="F58" i="4"/>
  <c r="F59" i="5"/>
  <c r="K59" i="5" s="1"/>
  <c r="N649" i="6"/>
  <c r="F181" i="5"/>
  <c r="N181" i="5" s="1"/>
  <c r="D67" i="7"/>
  <c r="D464" i="6" s="1"/>
  <c r="E508" i="7"/>
  <c r="E585" i="6" s="1"/>
  <c r="E317" i="4" s="1"/>
  <c r="D140" i="10"/>
  <c r="G100" i="7"/>
  <c r="I100" i="7" s="1"/>
  <c r="D171" i="7"/>
  <c r="D549" i="7"/>
  <c r="D61" i="8"/>
  <c r="G116" i="8"/>
  <c r="I116" i="8" s="1"/>
  <c r="G193" i="8"/>
  <c r="I193" i="8" s="1"/>
  <c r="E115" i="9"/>
  <c r="D254" i="9"/>
  <c r="G379" i="9"/>
  <c r="I379" i="9" s="1"/>
  <c r="G32" i="16"/>
  <c r="F296" i="4"/>
  <c r="F364" i="5"/>
  <c r="T364" i="5" s="1"/>
  <c r="F453" i="5"/>
  <c r="W453" i="5" s="1"/>
  <c r="G155" i="7"/>
  <c r="I155" i="7" s="1"/>
  <c r="E171" i="7"/>
  <c r="D189" i="7"/>
  <c r="C254" i="7"/>
  <c r="C299" i="7"/>
  <c r="C358" i="7"/>
  <c r="D31" i="8"/>
  <c r="G61" i="8"/>
  <c r="I61" i="8" s="1"/>
  <c r="E155" i="8"/>
  <c r="C233" i="8"/>
  <c r="G450" i="8"/>
  <c r="I450" i="8" s="1"/>
  <c r="G115" i="9"/>
  <c r="I115" i="9" s="1"/>
  <c r="I116" i="9" s="1"/>
  <c r="E254" i="9"/>
  <c r="C380" i="9"/>
  <c r="D80" i="16"/>
  <c r="N225" i="6"/>
  <c r="F123" i="4" s="1"/>
  <c r="E43" i="14"/>
  <c r="B9" i="1" s="1"/>
  <c r="F247" i="4"/>
  <c r="F223" i="5"/>
  <c r="N223" i="5" s="1"/>
  <c r="F343" i="5"/>
  <c r="T343" i="5" s="1"/>
  <c r="C111" i="7"/>
  <c r="E190" i="7"/>
  <c r="D299" i="7"/>
  <c r="D358" i="7"/>
  <c r="G63" i="8"/>
  <c r="I63" i="8" s="1"/>
  <c r="C158" i="8"/>
  <c r="D194" i="8"/>
  <c r="C262" i="8"/>
  <c r="E459" i="8"/>
  <c r="D380" i="9"/>
  <c r="F162" i="4"/>
  <c r="F163" i="5"/>
  <c r="N163" i="5" s="1"/>
  <c r="G201" i="16"/>
  <c r="E199" i="16"/>
  <c r="C197" i="16"/>
  <c r="D192" i="16"/>
  <c r="G189" i="16"/>
  <c r="E187" i="16"/>
  <c r="C185" i="16"/>
  <c r="D180" i="16"/>
  <c r="G177" i="16"/>
  <c r="E175" i="16"/>
  <c r="C173" i="16"/>
  <c r="D168" i="16"/>
  <c r="G165" i="16"/>
  <c r="E163" i="16"/>
  <c r="C161" i="16"/>
  <c r="D156" i="16"/>
  <c r="G153" i="16"/>
  <c r="E151" i="16"/>
  <c r="C149" i="16"/>
  <c r="D144" i="16"/>
  <c r="G141" i="16"/>
  <c r="E139" i="16"/>
  <c r="C137" i="16"/>
  <c r="D132" i="16"/>
  <c r="G129" i="16"/>
  <c r="E127" i="16"/>
  <c r="C125" i="16"/>
  <c r="D120" i="16"/>
  <c r="G117" i="16"/>
  <c r="E115" i="16"/>
  <c r="C113" i="16"/>
  <c r="D199" i="16"/>
  <c r="G196" i="16"/>
  <c r="E194" i="16"/>
  <c r="C192" i="16"/>
  <c r="D187" i="16"/>
  <c r="G184" i="16"/>
  <c r="E182" i="16"/>
  <c r="C180" i="16"/>
  <c r="D175" i="16"/>
  <c r="G172" i="16"/>
  <c r="E170" i="16"/>
  <c r="C168" i="16"/>
  <c r="D163" i="16"/>
  <c r="G160" i="16"/>
  <c r="E158" i="16"/>
  <c r="C156" i="16"/>
  <c r="D151" i="16"/>
  <c r="G148" i="16"/>
  <c r="E146" i="16"/>
  <c r="C144" i="16"/>
  <c r="D139" i="16"/>
  <c r="G136" i="16"/>
  <c r="E134" i="16"/>
  <c r="C132" i="16"/>
  <c r="D127" i="16"/>
  <c r="G124" i="16"/>
  <c r="E122" i="16"/>
  <c r="C120" i="16"/>
  <c r="D115" i="16"/>
  <c r="G112" i="16"/>
  <c r="E110" i="16"/>
  <c r="C108" i="16"/>
  <c r="D103" i="16"/>
  <c r="G100" i="16"/>
  <c r="E98" i="16"/>
  <c r="C96" i="16"/>
  <c r="D91" i="16"/>
  <c r="G88" i="16"/>
  <c r="E86" i="16"/>
  <c r="C84" i="16"/>
  <c r="D79" i="16"/>
  <c r="G76" i="16"/>
  <c r="E74" i="16"/>
  <c r="C72" i="16"/>
  <c r="D67" i="16"/>
  <c r="G64" i="16"/>
  <c r="E62" i="16"/>
  <c r="C60" i="16"/>
  <c r="D55" i="16"/>
  <c r="G52" i="16"/>
  <c r="E50" i="16"/>
  <c r="C48" i="16"/>
  <c r="D43" i="16"/>
  <c r="G40" i="16"/>
  <c r="G199" i="16"/>
  <c r="G193" i="16"/>
  <c r="C191" i="16"/>
  <c r="D188" i="16"/>
  <c r="E185" i="16"/>
  <c r="D182" i="16"/>
  <c r="E179" i="16"/>
  <c r="G173" i="16"/>
  <c r="C171" i="16"/>
  <c r="G167" i="16"/>
  <c r="C165" i="16"/>
  <c r="D162" i="16"/>
  <c r="E159" i="16"/>
  <c r="E153" i="16"/>
  <c r="G147" i="16"/>
  <c r="C145" i="16"/>
  <c r="D142" i="16"/>
  <c r="C139" i="16"/>
  <c r="D136" i="16"/>
  <c r="E133" i="16"/>
  <c r="G127" i="16"/>
  <c r="G121" i="16"/>
  <c r="C119" i="16"/>
  <c r="D116" i="16"/>
  <c r="E113" i="16"/>
  <c r="D110" i="16"/>
  <c r="C105" i="16"/>
  <c r="E102" i="16"/>
  <c r="G99" i="16"/>
  <c r="D97" i="16"/>
  <c r="C92" i="16"/>
  <c r="E89" i="16"/>
  <c r="G86" i="16"/>
  <c r="D84" i="16"/>
  <c r="E81" i="16"/>
  <c r="G78" i="16"/>
  <c r="D76" i="16"/>
  <c r="C71" i="16"/>
  <c r="E68" i="16"/>
  <c r="G65" i="16"/>
  <c r="D63" i="16"/>
  <c r="C58" i="16"/>
  <c r="E55" i="16"/>
  <c r="C50" i="16"/>
  <c r="E47" i="16"/>
  <c r="G44" i="16"/>
  <c r="D42" i="16"/>
  <c r="D37" i="16"/>
  <c r="G34" i="16"/>
  <c r="E32" i="16"/>
  <c r="C30" i="16"/>
  <c r="D25" i="16"/>
  <c r="G22" i="16"/>
  <c r="E20" i="16"/>
  <c r="C18" i="16"/>
  <c r="D13" i="16"/>
  <c r="G10" i="16"/>
  <c r="E8" i="16"/>
  <c r="C199" i="16"/>
  <c r="C196" i="16"/>
  <c r="C193" i="16"/>
  <c r="C190" i="16"/>
  <c r="D177" i="16"/>
  <c r="D174" i="16"/>
  <c r="D171" i="16"/>
  <c r="D158" i="16"/>
  <c r="D155" i="16"/>
  <c r="D152" i="16"/>
  <c r="D149" i="16"/>
  <c r="G145" i="16"/>
  <c r="G142" i="16"/>
  <c r="G139" i="16"/>
  <c r="E136" i="16"/>
  <c r="D133" i="16"/>
  <c r="D130" i="16"/>
  <c r="G126" i="16"/>
  <c r="G123" i="16"/>
  <c r="G120" i="16"/>
  <c r="E117" i="16"/>
  <c r="E114" i="16"/>
  <c r="E111" i="16"/>
  <c r="E108" i="16"/>
  <c r="E105" i="16"/>
  <c r="G96" i="16"/>
  <c r="C94" i="16"/>
  <c r="C91" i="16"/>
  <c r="D88" i="16"/>
  <c r="E85" i="16"/>
  <c r="G79" i="16"/>
  <c r="C77" i="16"/>
  <c r="C74" i="16"/>
  <c r="D71" i="16"/>
  <c r="D68" i="16"/>
  <c r="E65" i="16"/>
  <c r="G56" i="16"/>
  <c r="C54" i="16"/>
  <c r="D51" i="16"/>
  <c r="E48" i="16"/>
  <c r="E45" i="16"/>
  <c r="G39" i="16"/>
  <c r="C37" i="16"/>
  <c r="E34" i="16"/>
  <c r="G31" i="16"/>
  <c r="D29" i="16"/>
  <c r="C24" i="16"/>
  <c r="E21" i="16"/>
  <c r="G18" i="16"/>
  <c r="D16" i="16"/>
  <c r="C11" i="16"/>
  <c r="D8" i="16"/>
  <c r="D38" i="12"/>
  <c r="G13" i="12"/>
  <c r="I13" i="12" s="1"/>
  <c r="I14" i="12" s="1"/>
  <c r="G12" i="12" s="1"/>
  <c r="D8" i="12"/>
  <c r="E123" i="11"/>
  <c r="C118" i="11"/>
  <c r="C102" i="11"/>
  <c r="C100" i="11"/>
  <c r="C98" i="11"/>
  <c r="C96" i="11"/>
  <c r="E45" i="11"/>
  <c r="C40" i="11"/>
  <c r="E29" i="11"/>
  <c r="E27" i="11"/>
  <c r="E25" i="11"/>
  <c r="E23" i="11"/>
  <c r="C18" i="11"/>
  <c r="D247" i="10"/>
  <c r="D245" i="10"/>
  <c r="D243" i="10"/>
  <c r="D241" i="10"/>
  <c r="G217" i="10"/>
  <c r="I217" i="10" s="1"/>
  <c r="D210" i="10"/>
  <c r="D208" i="10"/>
  <c r="D206" i="10"/>
  <c r="D204" i="10"/>
  <c r="G185" i="10"/>
  <c r="I185" i="10" s="1"/>
  <c r="G183" i="10"/>
  <c r="I183" i="10" s="1"/>
  <c r="G181" i="10"/>
  <c r="I181" i="10" s="1"/>
  <c r="G198" i="16"/>
  <c r="G195" i="16"/>
  <c r="G192" i="16"/>
  <c r="E189" i="16"/>
  <c r="E186" i="16"/>
  <c r="E183" i="16"/>
  <c r="E180" i="16"/>
  <c r="C177" i="16"/>
  <c r="C174" i="16"/>
  <c r="G170" i="16"/>
  <c r="E167" i="16"/>
  <c r="E164" i="16"/>
  <c r="E161" i="16"/>
  <c r="C158" i="16"/>
  <c r="C155" i="16"/>
  <c r="C152" i="16"/>
  <c r="C136" i="16"/>
  <c r="C133" i="16"/>
  <c r="C130" i="16"/>
  <c r="D117" i="16"/>
  <c r="D114" i="16"/>
  <c r="D111" i="16"/>
  <c r="D108" i="16"/>
  <c r="D105" i="16"/>
  <c r="D102" i="16"/>
  <c r="E99" i="16"/>
  <c r="G93" i="16"/>
  <c r="G90" i="16"/>
  <c r="C88" i="16"/>
  <c r="D85" i="16"/>
  <c r="E82" i="16"/>
  <c r="G73" i="16"/>
  <c r="G70" i="16"/>
  <c r="C68" i="16"/>
  <c r="D65" i="16"/>
  <c r="D62" i="16"/>
  <c r="E59" i="16"/>
  <c r="G53" i="16"/>
  <c r="C51" i="16"/>
  <c r="D48" i="16"/>
  <c r="D45" i="16"/>
  <c r="E42" i="16"/>
  <c r="E39" i="16"/>
  <c r="G36" i="16"/>
  <c r="D34" i="16"/>
  <c r="D198" i="16"/>
  <c r="G194" i="16"/>
  <c r="G190" i="16"/>
  <c r="C187" i="16"/>
  <c r="D183" i="16"/>
  <c r="D179" i="16"/>
  <c r="G175" i="16"/>
  <c r="C172" i="16"/>
  <c r="D164" i="16"/>
  <c r="E160" i="16"/>
  <c r="C157" i="16"/>
  <c r="C153" i="16"/>
  <c r="E145" i="16"/>
  <c r="E141" i="16"/>
  <c r="C138" i="16"/>
  <c r="D134" i="16"/>
  <c r="G130" i="16"/>
  <c r="E126" i="16"/>
  <c r="C123" i="16"/>
  <c r="D119" i="16"/>
  <c r="G111" i="16"/>
  <c r="G107" i="16"/>
  <c r="E104" i="16"/>
  <c r="D101" i="16"/>
  <c r="G97" i="16"/>
  <c r="E94" i="16"/>
  <c r="E87" i="16"/>
  <c r="G83" i="16"/>
  <c r="E77" i="16"/>
  <c r="E73" i="16"/>
  <c r="D70" i="16"/>
  <c r="G66" i="16"/>
  <c r="D60" i="16"/>
  <c r="E56" i="16"/>
  <c r="D53" i="16"/>
  <c r="E46" i="16"/>
  <c r="C43" i="16"/>
  <c r="D39" i="16"/>
  <c r="D36" i="16"/>
  <c r="D33" i="16"/>
  <c r="D30" i="16"/>
  <c r="D27" i="16"/>
  <c r="E24" i="16"/>
  <c r="G15" i="16"/>
  <c r="G12" i="16"/>
  <c r="C10" i="16"/>
  <c r="E201" i="16"/>
  <c r="C198" i="16"/>
  <c r="D194" i="16"/>
  <c r="G186" i="16"/>
  <c r="C183" i="16"/>
  <c r="C179" i="16"/>
  <c r="G171" i="16"/>
  <c r="E168" i="16"/>
  <c r="C164" i="16"/>
  <c r="D160" i="16"/>
  <c r="G156" i="16"/>
  <c r="G152" i="16"/>
  <c r="E149" i="16"/>
  <c r="D145" i="16"/>
  <c r="D141" i="16"/>
  <c r="G137" i="16"/>
  <c r="C134" i="16"/>
  <c r="E130" i="16"/>
  <c r="D126" i="16"/>
  <c r="G122" i="16"/>
  <c r="G118" i="16"/>
  <c r="C115" i="16"/>
  <c r="E107" i="16"/>
  <c r="D104" i="16"/>
  <c r="C101" i="16"/>
  <c r="D94" i="16"/>
  <c r="E90" i="16"/>
  <c r="D87" i="16"/>
  <c r="E80" i="16"/>
  <c r="D77" i="16"/>
  <c r="D73" i="16"/>
  <c r="C70" i="16"/>
  <c r="E63" i="16"/>
  <c r="G59" i="16"/>
  <c r="D56" i="16"/>
  <c r="C53" i="16"/>
  <c r="E49" i="16"/>
  <c r="D46" i="16"/>
  <c r="G42" i="16"/>
  <c r="C39" i="16"/>
  <c r="C36" i="16"/>
  <c r="C33" i="16"/>
  <c r="G29" i="16"/>
  <c r="C27" i="16"/>
  <c r="D24" i="16"/>
  <c r="D21" i="16"/>
  <c r="E18" i="16"/>
  <c r="E15" i="16"/>
  <c r="G9" i="16"/>
  <c r="C7" i="16"/>
  <c r="G23" i="12"/>
  <c r="I23" i="12" s="1"/>
  <c r="I24" i="12" s="1"/>
  <c r="G22" i="12" s="1"/>
  <c r="C18" i="12"/>
  <c r="G118" i="11"/>
  <c r="I118" i="11" s="1"/>
  <c r="I119" i="11" s="1"/>
  <c r="C113" i="11"/>
  <c r="G97" i="11"/>
  <c r="I97" i="11" s="1"/>
  <c r="G85" i="11"/>
  <c r="I85" i="11" s="1"/>
  <c r="D50" i="11"/>
  <c r="D28" i="11"/>
  <c r="C26" i="11"/>
  <c r="E18" i="11"/>
  <c r="G246" i="10"/>
  <c r="I246" i="10" s="1"/>
  <c r="E244" i="10"/>
  <c r="D242" i="10"/>
  <c r="E217" i="10"/>
  <c r="G207" i="10"/>
  <c r="I207" i="10" s="1"/>
  <c r="E205" i="10"/>
  <c r="G195" i="10"/>
  <c r="I195" i="10" s="1"/>
  <c r="E193" i="10"/>
  <c r="E183" i="10"/>
  <c r="D181" i="10"/>
  <c r="G162" i="10"/>
  <c r="I162" i="10" s="1"/>
  <c r="G160" i="10"/>
  <c r="I160" i="10" s="1"/>
  <c r="G158" i="10"/>
  <c r="I158" i="10" s="1"/>
  <c r="G156" i="10"/>
  <c r="I156" i="10" s="1"/>
  <c r="G120" i="10"/>
  <c r="I120" i="10" s="1"/>
  <c r="I121" i="10" s="1"/>
  <c r="G245" i="9" s="1"/>
  <c r="I245" i="9" s="1"/>
  <c r="E198" i="16"/>
  <c r="C189" i="16"/>
  <c r="G180" i="16"/>
  <c r="C176" i="16"/>
  <c r="E171" i="16"/>
  <c r="E162" i="16"/>
  <c r="D153" i="16"/>
  <c r="D148" i="16"/>
  <c r="G143" i="16"/>
  <c r="C140" i="16"/>
  <c r="D135" i="16"/>
  <c r="C131" i="16"/>
  <c r="G125" i="16"/>
  <c r="E121" i="16"/>
  <c r="G116" i="16"/>
  <c r="E112" i="16"/>
  <c r="G103" i="16"/>
  <c r="C100" i="16"/>
  <c r="G91" i="16"/>
  <c r="D83" i="16"/>
  <c r="C79" i="16"/>
  <c r="D75" i="16"/>
  <c r="E71" i="16"/>
  <c r="C67" i="16"/>
  <c r="G62" i="16"/>
  <c r="G41" i="16"/>
  <c r="D38" i="16"/>
  <c r="G30" i="16"/>
  <c r="E27" i="16"/>
  <c r="D20" i="16"/>
  <c r="C17" i="16"/>
  <c r="G13" i="16"/>
  <c r="D10" i="16"/>
  <c r="G33" i="12"/>
  <c r="I33" i="12" s="1"/>
  <c r="I34" i="12" s="1"/>
  <c r="G32" i="12" s="1"/>
  <c r="C13" i="12"/>
  <c r="E118" i="11"/>
  <c r="D101" i="11"/>
  <c r="G96" i="11"/>
  <c r="I96" i="11" s="1"/>
  <c r="E88" i="11"/>
  <c r="C86" i="11"/>
  <c r="C55" i="11"/>
  <c r="E40" i="11"/>
  <c r="G26" i="11"/>
  <c r="I26" i="11" s="1"/>
  <c r="D24" i="11"/>
  <c r="G18" i="11"/>
  <c r="I18" i="11" s="1"/>
  <c r="I19" i="11" s="1"/>
  <c r="G150" i="10" s="1"/>
  <c r="I150" i="10" s="1"/>
  <c r="E243" i="10"/>
  <c r="C217" i="10"/>
  <c r="C209" i="10"/>
  <c r="E204" i="10"/>
  <c r="G198" i="10"/>
  <c r="I198" i="10" s="1"/>
  <c r="D196" i="10"/>
  <c r="D183" i="10"/>
  <c r="D173" i="10"/>
  <c r="C171" i="10"/>
  <c r="D161" i="10"/>
  <c r="C159" i="10"/>
  <c r="E130" i="10"/>
  <c r="E105" i="10"/>
  <c r="C100" i="10"/>
  <c r="E89" i="10"/>
  <c r="E87" i="10"/>
  <c r="E85" i="10"/>
  <c r="E83" i="10"/>
  <c r="C78" i="10"/>
  <c r="E53" i="10"/>
  <c r="C48" i="10"/>
  <c r="E23" i="10"/>
  <c r="C18" i="10"/>
  <c r="G413" i="9"/>
  <c r="I413" i="9" s="1"/>
  <c r="I414" i="9" s="1"/>
  <c r="G412" i="9" s="1"/>
  <c r="D408" i="9"/>
  <c r="D392" i="9"/>
  <c r="D390" i="9"/>
  <c r="D388" i="9"/>
  <c r="G369" i="9"/>
  <c r="I369" i="9" s="1"/>
  <c r="I370" i="9" s="1"/>
  <c r="D364" i="9"/>
  <c r="E339" i="9"/>
  <c r="C327" i="9"/>
  <c r="C320" i="9"/>
  <c r="C313" i="9"/>
  <c r="C306" i="9"/>
  <c r="C299" i="9"/>
  <c r="C292" i="9"/>
  <c r="C290" i="9"/>
  <c r="C279" i="9"/>
  <c r="C268" i="9"/>
  <c r="C266" i="9"/>
  <c r="G197" i="16"/>
  <c r="E193" i="16"/>
  <c r="G188" i="16"/>
  <c r="E184" i="16"/>
  <c r="G179" i="16"/>
  <c r="C175" i="16"/>
  <c r="D170" i="16"/>
  <c r="E166" i="16"/>
  <c r="C162" i="16"/>
  <c r="E157" i="16"/>
  <c r="C148" i="16"/>
  <c r="G138" i="16"/>
  <c r="C135" i="16"/>
  <c r="E129" i="16"/>
  <c r="D121" i="16"/>
  <c r="D112" i="16"/>
  <c r="D107" i="16"/>
  <c r="D99" i="16"/>
  <c r="E95" i="16"/>
  <c r="C87" i="16"/>
  <c r="C83" i="16"/>
  <c r="C75" i="16"/>
  <c r="E66" i="16"/>
  <c r="C62" i="16"/>
  <c r="E58" i="16"/>
  <c r="E54" i="16"/>
  <c r="D50" i="16"/>
  <c r="C46" i="16"/>
  <c r="C38" i="16"/>
  <c r="C34" i="16"/>
  <c r="G26" i="16"/>
  <c r="E23" i="16"/>
  <c r="C20" i="16"/>
  <c r="G16" i="16"/>
  <c r="E13" i="16"/>
  <c r="E33" i="12"/>
  <c r="G18" i="12"/>
  <c r="I18" i="12" s="1"/>
  <c r="I19" i="12" s="1"/>
  <c r="G79" i="11" s="1"/>
  <c r="I79" i="11" s="1"/>
  <c r="D118" i="11"/>
  <c r="C101" i="11"/>
  <c r="E96" i="11"/>
  <c r="G90" i="11"/>
  <c r="I90" i="11" s="1"/>
  <c r="D88" i="11"/>
  <c r="G60" i="11"/>
  <c r="I60" i="11" s="1"/>
  <c r="I61" i="11" s="1"/>
  <c r="G59" i="11" s="1"/>
  <c r="D40" i="11"/>
  <c r="E26" i="11"/>
  <c r="C24" i="11"/>
  <c r="D18" i="11"/>
  <c r="G253" i="10"/>
  <c r="I253" i="10" s="1"/>
  <c r="I254" i="10" s="1"/>
  <c r="G252" i="10" s="1"/>
  <c r="G245" i="10"/>
  <c r="I245" i="10" s="1"/>
  <c r="C243" i="10"/>
  <c r="G206" i="10"/>
  <c r="I206" i="10" s="1"/>
  <c r="C204" i="10"/>
  <c r="E198" i="10"/>
  <c r="C196" i="10"/>
  <c r="E185" i="10"/>
  <c r="C183" i="10"/>
  <c r="C173" i="10"/>
  <c r="C161" i="10"/>
  <c r="D130" i="10"/>
  <c r="G110" i="10"/>
  <c r="I110" i="10" s="1"/>
  <c r="I111" i="10" s="1"/>
  <c r="G109" i="10" s="1"/>
  <c r="D105" i="10"/>
  <c r="D89" i="10"/>
  <c r="D87" i="10"/>
  <c r="D85" i="10"/>
  <c r="D83" i="10"/>
  <c r="G58" i="10"/>
  <c r="I58" i="10" s="1"/>
  <c r="I59" i="10" s="1"/>
  <c r="G57" i="10" s="1"/>
  <c r="D53" i="10"/>
  <c r="G28" i="10"/>
  <c r="I28" i="10" s="1"/>
  <c r="I29" i="10" s="1"/>
  <c r="D23" i="10"/>
  <c r="E413" i="9"/>
  <c r="C408" i="9"/>
  <c r="C392" i="9"/>
  <c r="C390" i="9"/>
  <c r="C388" i="9"/>
  <c r="E369" i="9"/>
  <c r="C364" i="9"/>
  <c r="G344" i="9"/>
  <c r="I344" i="9" s="1"/>
  <c r="I345" i="9" s="1"/>
  <c r="G343" i="9" s="1"/>
  <c r="D339" i="9"/>
  <c r="G219" i="9"/>
  <c r="I219" i="9" s="1"/>
  <c r="G217" i="9"/>
  <c r="I217" i="9" s="1"/>
  <c r="G215" i="9"/>
  <c r="I215" i="9" s="1"/>
  <c r="G213" i="9"/>
  <c r="I213" i="9" s="1"/>
  <c r="G157" i="9"/>
  <c r="I157" i="9" s="1"/>
  <c r="G155" i="9"/>
  <c r="I155" i="9" s="1"/>
  <c r="G153" i="9"/>
  <c r="I153" i="9" s="1"/>
  <c r="G151" i="9"/>
  <c r="I151" i="9" s="1"/>
  <c r="G135" i="9"/>
  <c r="I135" i="9" s="1"/>
  <c r="I136" i="9" s="1"/>
  <c r="G134" i="9" s="1"/>
  <c r="D130" i="9"/>
  <c r="G105" i="9"/>
  <c r="I105" i="9" s="1"/>
  <c r="G103" i="9"/>
  <c r="I103" i="9" s="1"/>
  <c r="G101" i="9"/>
  <c r="I101" i="9" s="1"/>
  <c r="G99" i="9"/>
  <c r="I99" i="9" s="1"/>
  <c r="D92" i="9"/>
  <c r="D90" i="9"/>
  <c r="D88" i="9"/>
  <c r="G69" i="9"/>
  <c r="I69" i="9" s="1"/>
  <c r="G67" i="9"/>
  <c r="I67" i="9" s="1"/>
  <c r="G65" i="9"/>
  <c r="I65" i="9" s="1"/>
  <c r="G63" i="9"/>
  <c r="I63" i="9" s="1"/>
  <c r="G43" i="9"/>
  <c r="I43" i="9" s="1"/>
  <c r="I44" i="9" s="1"/>
  <c r="G42" i="9" s="1"/>
  <c r="D38" i="9"/>
  <c r="G13" i="9"/>
  <c r="I13" i="9" s="1"/>
  <c r="I14" i="9" s="1"/>
  <c r="G12" i="9" s="1"/>
  <c r="D8" i="9"/>
  <c r="E558" i="8"/>
  <c r="E551" i="8"/>
  <c r="E549" i="8"/>
  <c r="E547" i="8"/>
  <c r="E545" i="8"/>
  <c r="E536" i="8"/>
  <c r="E534" i="8"/>
  <c r="D527" i="8"/>
  <c r="E525" i="8"/>
  <c r="C518" i="8"/>
  <c r="C516" i="8"/>
  <c r="E486" i="8"/>
  <c r="D479" i="8"/>
  <c r="C472" i="8"/>
  <c r="G451" i="8"/>
  <c r="I451" i="8" s="1"/>
  <c r="G440" i="8"/>
  <c r="I440" i="8" s="1"/>
  <c r="G431" i="8"/>
  <c r="I431" i="8" s="1"/>
  <c r="G422" i="8"/>
  <c r="I422" i="8" s="1"/>
  <c r="G200" i="16"/>
  <c r="E190" i="16"/>
  <c r="D185" i="16"/>
  <c r="G178" i="16"/>
  <c r="C169" i="16"/>
  <c r="C163" i="16"/>
  <c r="G157" i="16"/>
  <c r="G151" i="16"/>
  <c r="C147" i="16"/>
  <c r="C141" i="16"/>
  <c r="G135" i="16"/>
  <c r="D131" i="16"/>
  <c r="D125" i="16"/>
  <c r="C114" i="16"/>
  <c r="D109" i="16"/>
  <c r="C104" i="16"/>
  <c r="G98" i="16"/>
  <c r="E93" i="16"/>
  <c r="D89" i="16"/>
  <c r="E79" i="16"/>
  <c r="D69" i="16"/>
  <c r="E64" i="16"/>
  <c r="D59" i="16"/>
  <c r="G54" i="16"/>
  <c r="D49" i="16"/>
  <c r="E44" i="16"/>
  <c r="D40" i="16"/>
  <c r="E35" i="16"/>
  <c r="C31" i="16"/>
  <c r="D26" i="16"/>
  <c r="E22" i="16"/>
  <c r="D18" i="16"/>
  <c r="E14" i="16"/>
  <c r="E10" i="16"/>
  <c r="E38" i="12"/>
  <c r="D13" i="12"/>
  <c r="C123" i="11"/>
  <c r="E101" i="11"/>
  <c r="E98" i="11"/>
  <c r="E89" i="11"/>
  <c r="G86" i="11"/>
  <c r="I86" i="11" s="1"/>
  <c r="D65" i="11"/>
  <c r="G55" i="11"/>
  <c r="I55" i="11" s="1"/>
  <c r="I56" i="11" s="1"/>
  <c r="G27" i="11"/>
  <c r="I27" i="11" s="1"/>
  <c r="C241" i="10"/>
  <c r="E208" i="10"/>
  <c r="G205" i="10"/>
  <c r="I205" i="10" s="1"/>
  <c r="G196" i="10"/>
  <c r="I196" i="10" s="1"/>
  <c r="G193" i="10"/>
  <c r="I193" i="10" s="1"/>
  <c r="G184" i="10"/>
  <c r="I184" i="10" s="1"/>
  <c r="E170" i="10"/>
  <c r="E159" i="10"/>
  <c r="E156" i="10"/>
  <c r="C130" i="10"/>
  <c r="C115" i="10"/>
  <c r="E100" i="10"/>
  <c r="E86" i="10"/>
  <c r="C84" i="10"/>
  <c r="E78" i="10"/>
  <c r="E63" i="10"/>
  <c r="C43" i="10"/>
  <c r="C28" i="10"/>
  <c r="E13" i="10"/>
  <c r="G423" i="9"/>
  <c r="I423" i="9" s="1"/>
  <c r="I424" i="9" s="1"/>
  <c r="G422" i="9" s="1"/>
  <c r="D403" i="9"/>
  <c r="G391" i="9"/>
  <c r="I391" i="9" s="1"/>
  <c r="D389" i="9"/>
  <c r="D381" i="9"/>
  <c r="G378" i="9"/>
  <c r="I378" i="9" s="1"/>
  <c r="D376" i="9"/>
  <c r="D349" i="9"/>
  <c r="G313" i="9"/>
  <c r="I313" i="9" s="1"/>
  <c r="G292" i="9"/>
  <c r="I292" i="9" s="1"/>
  <c r="D290" i="9"/>
  <c r="G269" i="9"/>
  <c r="I269" i="9" s="1"/>
  <c r="D267" i="9"/>
  <c r="E257" i="9"/>
  <c r="D255" i="9"/>
  <c r="C253" i="9"/>
  <c r="G225" i="9"/>
  <c r="I225" i="9" s="1"/>
  <c r="E213" i="9"/>
  <c r="D177" i="9"/>
  <c r="D157" i="9"/>
  <c r="C155" i="9"/>
  <c r="D145" i="9"/>
  <c r="E125" i="9"/>
  <c r="E105" i="9"/>
  <c r="D103" i="9"/>
  <c r="C101" i="9"/>
  <c r="E93" i="9"/>
  <c r="D91" i="9"/>
  <c r="C89" i="9"/>
  <c r="E81" i="9"/>
  <c r="D79" i="9"/>
  <c r="C77" i="9"/>
  <c r="D69" i="9"/>
  <c r="C67" i="9"/>
  <c r="G38" i="9"/>
  <c r="I38" i="9" s="1"/>
  <c r="I39" i="9" s="1"/>
  <c r="G37" i="9" s="1"/>
  <c r="C33" i="9"/>
  <c r="G18" i="9"/>
  <c r="I18" i="9" s="1"/>
  <c r="I19" i="9" s="1"/>
  <c r="G17" i="9" s="1"/>
  <c r="C13" i="9"/>
  <c r="G550" i="8"/>
  <c r="I550" i="8" s="1"/>
  <c r="E548" i="8"/>
  <c r="D546" i="8"/>
  <c r="G534" i="8"/>
  <c r="I534" i="8" s="1"/>
  <c r="D517" i="8"/>
  <c r="C515" i="8"/>
  <c r="G509" i="8"/>
  <c r="I509" i="8" s="1"/>
  <c r="G495" i="8"/>
  <c r="I495" i="8" s="1"/>
  <c r="E493" i="8"/>
  <c r="E478" i="8"/>
  <c r="E463" i="8"/>
  <c r="D461" i="8"/>
  <c r="C459" i="8"/>
  <c r="D451" i="8"/>
  <c r="D432" i="8"/>
  <c r="D413" i="8"/>
  <c r="D404" i="8"/>
  <c r="D395" i="8"/>
  <c r="D386" i="8"/>
  <c r="D377" i="8"/>
  <c r="D368" i="8"/>
  <c r="D359" i="8"/>
  <c r="D350" i="8"/>
  <c r="D341" i="8"/>
  <c r="D332" i="8"/>
  <c r="D321" i="8"/>
  <c r="E319" i="8"/>
  <c r="E310" i="8"/>
  <c r="G299" i="8"/>
  <c r="I299" i="8" s="1"/>
  <c r="G281" i="8"/>
  <c r="I281" i="8" s="1"/>
  <c r="G270" i="8"/>
  <c r="I270" i="8" s="1"/>
  <c r="E263" i="8"/>
  <c r="D256" i="8"/>
  <c r="D254" i="8"/>
  <c r="D245" i="8"/>
  <c r="D243" i="8"/>
  <c r="D241" i="8"/>
  <c r="E195" i="16"/>
  <c r="D190" i="16"/>
  <c r="D184" i="16"/>
  <c r="E173" i="16"/>
  <c r="G168" i="16"/>
  <c r="G162" i="16"/>
  <c r="D157" i="16"/>
  <c r="G146" i="16"/>
  <c r="G140" i="16"/>
  <c r="D129" i="16"/>
  <c r="E124" i="16"/>
  <c r="E119" i="16"/>
  <c r="G113" i="16"/>
  <c r="C109" i="16"/>
  <c r="E103" i="16"/>
  <c r="D93" i="16"/>
  <c r="C89" i="16"/>
  <c r="E84" i="16"/>
  <c r="E78" i="16"/>
  <c r="D74" i="16"/>
  <c r="C69" i="16"/>
  <c r="D64" i="16"/>
  <c r="C59" i="16"/>
  <c r="D54" i="16"/>
  <c r="C49" i="16"/>
  <c r="D44" i="16"/>
  <c r="C40" i="16"/>
  <c r="D35" i="16"/>
  <c r="E30" i="16"/>
  <c r="C26" i="16"/>
  <c r="D22" i="16"/>
  <c r="G17" i="16"/>
  <c r="D14" i="16"/>
  <c r="E9" i="16"/>
  <c r="C38" i="12"/>
  <c r="G28" i="12"/>
  <c r="I28" i="12" s="1"/>
  <c r="I29" i="12" s="1"/>
  <c r="G27" i="12" s="1"/>
  <c r="G113" i="11"/>
  <c r="I113" i="11" s="1"/>
  <c r="I114" i="11" s="1"/>
  <c r="D98" i="11"/>
  <c r="D89" i="11"/>
  <c r="E86" i="11"/>
  <c r="C65" i="11"/>
  <c r="E55" i="11"/>
  <c r="D27" i="11"/>
  <c r="G24" i="11"/>
  <c r="I24" i="11" s="1"/>
  <c r="G8" i="11"/>
  <c r="I8" i="11" s="1"/>
  <c r="I9" i="11" s="1"/>
  <c r="E246" i="10"/>
  <c r="D217" i="10"/>
  <c r="C208" i="10"/>
  <c r="D205" i="10"/>
  <c r="E196" i="10"/>
  <c r="D193" i="10"/>
  <c r="E184" i="10"/>
  <c r="D170" i="10"/>
  <c r="D159" i="10"/>
  <c r="D156" i="10"/>
  <c r="D100" i="10"/>
  <c r="G88" i="10"/>
  <c r="I88" i="10" s="1"/>
  <c r="D86" i="10"/>
  <c r="D78" i="10"/>
  <c r="D63" i="10"/>
  <c r="G48" i="10"/>
  <c r="I48" i="10" s="1"/>
  <c r="I49" i="10" s="1"/>
  <c r="G33" i="10"/>
  <c r="I33" i="10" s="1"/>
  <c r="I34" i="10" s="1"/>
  <c r="D13" i="10"/>
  <c r="E423" i="9"/>
  <c r="C403" i="9"/>
  <c r="E391" i="9"/>
  <c r="C389" i="9"/>
  <c r="C381" i="9"/>
  <c r="E378" i="9"/>
  <c r="C376" i="9"/>
  <c r="C349" i="9"/>
  <c r="E313" i="9"/>
  <c r="E292" i="9"/>
  <c r="E269" i="9"/>
  <c r="C267" i="9"/>
  <c r="D257" i="9"/>
  <c r="C255" i="9"/>
  <c r="G227" i="9"/>
  <c r="I227" i="9" s="1"/>
  <c r="E225" i="9"/>
  <c r="E215" i="9"/>
  <c r="D213" i="9"/>
  <c r="C177" i="9"/>
  <c r="G162" i="9"/>
  <c r="I162" i="9" s="1"/>
  <c r="I163" i="9" s="1"/>
  <c r="G161" i="9" s="1"/>
  <c r="C157" i="9"/>
  <c r="C145" i="9"/>
  <c r="D125" i="9"/>
  <c r="D105" i="9"/>
  <c r="C103" i="9"/>
  <c r="D93" i="9"/>
  <c r="C91" i="9"/>
  <c r="D81" i="9"/>
  <c r="C79" i="9"/>
  <c r="C69" i="9"/>
  <c r="E38" i="9"/>
  <c r="E18" i="9"/>
  <c r="E550" i="8"/>
  <c r="D548" i="8"/>
  <c r="C546" i="8"/>
  <c r="G536" i="8"/>
  <c r="I536" i="8" s="1"/>
  <c r="D534" i="8"/>
  <c r="C517" i="8"/>
  <c r="E509" i="8"/>
  <c r="G497" i="8"/>
  <c r="I497" i="8" s="1"/>
  <c r="E495" i="8"/>
  <c r="D493" i="8"/>
  <c r="G485" i="8"/>
  <c r="I485" i="8" s="1"/>
  <c r="D478" i="8"/>
  <c r="D463" i="8"/>
  <c r="C461" i="8"/>
  <c r="C451" i="8"/>
  <c r="G441" i="8"/>
  <c r="I441" i="8" s="1"/>
  <c r="C432" i="8"/>
  <c r="E422" i="8"/>
  <c r="C413" i="8"/>
  <c r="C404" i="8"/>
  <c r="C395" i="8"/>
  <c r="C386" i="8"/>
  <c r="C377" i="8"/>
  <c r="C368" i="8"/>
  <c r="C359" i="8"/>
  <c r="C350" i="8"/>
  <c r="C341" i="8"/>
  <c r="C332" i="8"/>
  <c r="C321" i="8"/>
  <c r="D319" i="8"/>
  <c r="D310" i="8"/>
  <c r="E299" i="8"/>
  <c r="E281" i="8"/>
  <c r="E270" i="8"/>
  <c r="D263" i="8"/>
  <c r="C256" i="8"/>
  <c r="C254" i="8"/>
  <c r="C245" i="8"/>
  <c r="C243" i="8"/>
  <c r="C241" i="8"/>
  <c r="C239" i="8"/>
  <c r="G196" i="8"/>
  <c r="I196" i="8" s="1"/>
  <c r="G194" i="8"/>
  <c r="I194" i="8" s="1"/>
  <c r="G192" i="8"/>
  <c r="I192" i="8" s="1"/>
  <c r="D185" i="8"/>
  <c r="D183" i="8"/>
  <c r="D181" i="8"/>
  <c r="D179" i="8"/>
  <c r="G160" i="8"/>
  <c r="I160" i="8" s="1"/>
  <c r="G158" i="8"/>
  <c r="I158" i="8" s="1"/>
  <c r="G156" i="8"/>
  <c r="I156" i="8" s="1"/>
  <c r="D149" i="8"/>
  <c r="G132" i="8"/>
  <c r="I132" i="8" s="1"/>
  <c r="G130" i="8"/>
  <c r="I130" i="8" s="1"/>
  <c r="G128" i="8"/>
  <c r="I128" i="8" s="1"/>
  <c r="G126" i="8"/>
  <c r="I126" i="8" s="1"/>
  <c r="D119" i="8"/>
  <c r="D117" i="8"/>
  <c r="D108" i="8"/>
  <c r="D97" i="8"/>
  <c r="C88" i="8"/>
  <c r="C86" i="8"/>
  <c r="C84" i="8"/>
  <c r="E65" i="8"/>
  <c r="E63" i="8"/>
  <c r="E61" i="8"/>
  <c r="C54" i="8"/>
  <c r="C52" i="8"/>
  <c r="E33" i="8"/>
  <c r="E31" i="8"/>
  <c r="E29" i="8"/>
  <c r="C22" i="8"/>
  <c r="C20" i="8"/>
  <c r="G541" i="7"/>
  <c r="I541" i="7" s="1"/>
  <c r="G539" i="7"/>
  <c r="I539" i="7" s="1"/>
  <c r="E502" i="7"/>
  <c r="E500" i="7"/>
  <c r="E493" i="7"/>
  <c r="D458" i="7"/>
  <c r="D418" i="7"/>
  <c r="E345" i="7"/>
  <c r="C331" i="7"/>
  <c r="C329" i="7"/>
  <c r="C327" i="7"/>
  <c r="E318" i="7"/>
  <c r="E311" i="7"/>
  <c r="E263" i="7"/>
  <c r="E254" i="7"/>
  <c r="G217" i="7"/>
  <c r="I217" i="7" s="1"/>
  <c r="G215" i="7"/>
  <c r="I215" i="7" s="1"/>
  <c r="G213" i="7"/>
  <c r="I213" i="7" s="1"/>
  <c r="C194" i="7"/>
  <c r="E192" i="16"/>
  <c r="C186" i="16"/>
  <c r="D166" i="16"/>
  <c r="G159" i="16"/>
  <c r="D154" i="16"/>
  <c r="D147" i="16"/>
  <c r="E140" i="16"/>
  <c r="C128" i="16"/>
  <c r="C121" i="16"/>
  <c r="C107" i="16"/>
  <c r="G101" i="16"/>
  <c r="D96" i="16"/>
  <c r="C90" i="16"/>
  <c r="G84" i="16"/>
  <c r="C78" i="16"/>
  <c r="E72" i="16"/>
  <c r="D66" i="16"/>
  <c r="C61" i="16"/>
  <c r="C55" i="16"/>
  <c r="E43" i="16"/>
  <c r="E37" i="16"/>
  <c r="C32" i="16"/>
  <c r="E26" i="16"/>
  <c r="G21" i="16"/>
  <c r="G11" i="16"/>
  <c r="E7" i="16"/>
  <c r="D123" i="11"/>
  <c r="D113" i="11"/>
  <c r="G99" i="11"/>
  <c r="I99" i="11" s="1"/>
  <c r="D96" i="11"/>
  <c r="G89" i="11"/>
  <c r="I89" i="11" s="1"/>
  <c r="D45" i="11"/>
  <c r="E35" i="11"/>
  <c r="G28" i="11"/>
  <c r="I28" i="11" s="1"/>
  <c r="D25" i="11"/>
  <c r="D8" i="11"/>
  <c r="C258" i="10"/>
  <c r="G244" i="10"/>
  <c r="I244" i="10" s="1"/>
  <c r="E241" i="10"/>
  <c r="E218" i="10"/>
  <c r="G194" i="10"/>
  <c r="I194" i="10" s="1"/>
  <c r="D184" i="10"/>
  <c r="G180" i="10"/>
  <c r="I180" i="10" s="1"/>
  <c r="E174" i="10"/>
  <c r="E171" i="10"/>
  <c r="D168" i="10"/>
  <c r="G161" i="10"/>
  <c r="I161" i="10" s="1"/>
  <c r="D158" i="10"/>
  <c r="G135" i="10"/>
  <c r="I135" i="10" s="1"/>
  <c r="I136" i="10" s="1"/>
  <c r="G134" i="10" s="1"/>
  <c r="C110" i="10"/>
  <c r="C88" i="10"/>
  <c r="C85" i="10"/>
  <c r="C73" i="10"/>
  <c r="C63" i="10"/>
  <c r="C38" i="10"/>
  <c r="E28" i="10"/>
  <c r="D418" i="9"/>
  <c r="G408" i="9"/>
  <c r="I408" i="9" s="1"/>
  <c r="I409" i="9" s="1"/>
  <c r="D387" i="9"/>
  <c r="G380" i="9"/>
  <c r="I380" i="9" s="1"/>
  <c r="D375" i="9"/>
  <c r="D292" i="9"/>
  <c r="D289" i="9"/>
  <c r="G280" i="9"/>
  <c r="I280" i="9" s="1"/>
  <c r="C269" i="9"/>
  <c r="E266" i="9"/>
  <c r="E255" i="9"/>
  <c r="E252" i="9"/>
  <c r="E229" i="9"/>
  <c r="E218" i="9"/>
  <c r="D172" i="9"/>
  <c r="D154" i="9"/>
  <c r="E130" i="9"/>
  <c r="D115" i="9"/>
  <c r="E103" i="9"/>
  <c r="G100" i="9"/>
  <c r="I100" i="9" s="1"/>
  <c r="C92" i="9"/>
  <c r="G89" i="9"/>
  <c r="I89" i="9" s="1"/>
  <c r="C87" i="9"/>
  <c r="D78" i="9"/>
  <c r="D67" i="9"/>
  <c r="E64" i="9"/>
  <c r="D545" i="8"/>
  <c r="D537" i="8"/>
  <c r="G528" i="8"/>
  <c r="I528" i="8" s="1"/>
  <c r="C526" i="8"/>
  <c r="D515" i="8"/>
  <c r="C509" i="8"/>
  <c r="G498" i="8"/>
  <c r="I498" i="8" s="1"/>
  <c r="C496" i="8"/>
  <c r="C493" i="8"/>
  <c r="D487" i="8"/>
  <c r="C479" i="8"/>
  <c r="D462" i="8"/>
  <c r="D457" i="8"/>
  <c r="D440" i="8"/>
  <c r="E432" i="8"/>
  <c r="G413" i="8"/>
  <c r="I413" i="8" s="1"/>
  <c r="D378" i="8"/>
  <c r="E368" i="8"/>
  <c r="G360" i="8"/>
  <c r="I360" i="8" s="1"/>
  <c r="C333" i="8"/>
  <c r="E320" i="8"/>
  <c r="D318" i="8"/>
  <c r="E298" i="8"/>
  <c r="D255" i="8"/>
  <c r="E245" i="8"/>
  <c r="E240" i="8"/>
  <c r="G230" i="8"/>
  <c r="I230" i="8" s="1"/>
  <c r="E228" i="8"/>
  <c r="D205" i="8"/>
  <c r="C203" i="8"/>
  <c r="G195" i="8"/>
  <c r="I195" i="8" s="1"/>
  <c r="E193" i="8"/>
  <c r="D191" i="8"/>
  <c r="G183" i="8"/>
  <c r="I183" i="8" s="1"/>
  <c r="E181" i="8"/>
  <c r="C179" i="8"/>
  <c r="G173" i="8"/>
  <c r="I173" i="8" s="1"/>
  <c r="E171" i="8"/>
  <c r="D169" i="8"/>
  <c r="C167" i="8"/>
  <c r="G161" i="8"/>
  <c r="I161" i="8" s="1"/>
  <c r="E159" i="8"/>
  <c r="D157" i="8"/>
  <c r="C155" i="8"/>
  <c r="G149" i="8"/>
  <c r="I149" i="8" s="1"/>
  <c r="I150" i="8" s="1"/>
  <c r="G148" i="8" s="1"/>
  <c r="C144" i="8"/>
  <c r="G139" i="8"/>
  <c r="I139" i="8" s="1"/>
  <c r="G127" i="8"/>
  <c r="I127" i="8" s="1"/>
  <c r="C108" i="8"/>
  <c r="G98" i="8"/>
  <c r="I98" i="8" s="1"/>
  <c r="G84" i="8"/>
  <c r="I84" i="8" s="1"/>
  <c r="G74" i="8"/>
  <c r="I74" i="8" s="1"/>
  <c r="E72" i="8"/>
  <c r="G62" i="8"/>
  <c r="I62" i="8" s="1"/>
  <c r="C45" i="8"/>
  <c r="G40" i="8"/>
  <c r="I40" i="8" s="1"/>
  <c r="C23" i="8"/>
  <c r="D13" i="8"/>
  <c r="C11" i="8"/>
  <c r="G191" i="16"/>
  <c r="G185" i="16"/>
  <c r="E178" i="16"/>
  <c r="E172" i="16"/>
  <c r="C166" i="16"/>
  <c r="C154" i="16"/>
  <c r="D146" i="16"/>
  <c r="D140" i="16"/>
  <c r="G132" i="16"/>
  <c r="E120" i="16"/>
  <c r="G106" i="16"/>
  <c r="G95" i="16"/>
  <c r="G89" i="16"/>
  <c r="E83" i="16"/>
  <c r="G77" i="16"/>
  <c r="D72" i="16"/>
  <c r="C66" i="16"/>
  <c r="G60" i="16"/>
  <c r="G47" i="16"/>
  <c r="C42" i="16"/>
  <c r="E31" i="16"/>
  <c r="G25" i="16"/>
  <c r="C21" i="16"/>
  <c r="E16" i="16"/>
  <c r="D7" i="16"/>
  <c r="E23" i="12"/>
  <c r="E99" i="11"/>
  <c r="C89" i="11"/>
  <c r="E85" i="11"/>
  <c r="G65" i="11"/>
  <c r="I65" i="11" s="1"/>
  <c r="I66" i="11" s="1"/>
  <c r="G64" i="11" s="1"/>
  <c r="D55" i="11"/>
  <c r="C45" i="11"/>
  <c r="D35" i="11"/>
  <c r="E28" i="11"/>
  <c r="C25" i="11"/>
  <c r="C8" i="11"/>
  <c r="G247" i="10"/>
  <c r="I247" i="10" s="1"/>
  <c r="D244" i="10"/>
  <c r="D218" i="10"/>
  <c r="G204" i="10"/>
  <c r="I204" i="10" s="1"/>
  <c r="G197" i="10"/>
  <c r="I197" i="10" s="1"/>
  <c r="E194" i="10"/>
  <c r="C184" i="10"/>
  <c r="E180" i="10"/>
  <c r="D174" i="10"/>
  <c r="D171" i="10"/>
  <c r="C168" i="10"/>
  <c r="E161" i="10"/>
  <c r="C158" i="10"/>
  <c r="E135" i="10"/>
  <c r="G100" i="10"/>
  <c r="I100" i="10" s="1"/>
  <c r="I101" i="10" s="1"/>
  <c r="G99" i="10" s="1"/>
  <c r="G53" i="10"/>
  <c r="I53" i="10" s="1"/>
  <c r="I54" i="10" s="1"/>
  <c r="G52" i="10" s="1"/>
  <c r="D28" i="10"/>
  <c r="G18" i="10"/>
  <c r="I18" i="10" s="1"/>
  <c r="I19" i="10" s="1"/>
  <c r="G17" i="10" s="1"/>
  <c r="C418" i="9"/>
  <c r="E408" i="9"/>
  <c r="C387" i="9"/>
  <c r="E380" i="9"/>
  <c r="C375" i="9"/>
  <c r="E344" i="9"/>
  <c r="G306" i="9"/>
  <c r="I306" i="9" s="1"/>
  <c r="C289" i="9"/>
  <c r="E280" i="9"/>
  <c r="D266" i="9"/>
  <c r="D252" i="9"/>
  <c r="D229" i="9"/>
  <c r="G226" i="9"/>
  <c r="I226" i="9" s="1"/>
  <c r="D218" i="9"/>
  <c r="D215" i="9"/>
  <c r="C172" i="9"/>
  <c r="E162" i="9"/>
  <c r="G156" i="9"/>
  <c r="I156" i="9" s="1"/>
  <c r="C154" i="9"/>
  <c r="E151" i="9"/>
  <c r="G145" i="9"/>
  <c r="I145" i="9" s="1"/>
  <c r="I146" i="9" s="1"/>
  <c r="G144" i="9" s="1"/>
  <c r="C130" i="9"/>
  <c r="C115" i="9"/>
  <c r="E100" i="9"/>
  <c r="E89" i="9"/>
  <c r="G80" i="9"/>
  <c r="I80" i="9" s="1"/>
  <c r="C78" i="9"/>
  <c r="G75" i="9"/>
  <c r="I75" i="9" s="1"/>
  <c r="D64" i="9"/>
  <c r="G28" i="9"/>
  <c r="I28" i="9" s="1"/>
  <c r="I29" i="9" s="1"/>
  <c r="E13" i="9"/>
  <c r="D550" i="8"/>
  <c r="C545" i="8"/>
  <c r="C537" i="8"/>
  <c r="C534" i="8"/>
  <c r="E528" i="8"/>
  <c r="G517" i="8"/>
  <c r="I517" i="8" s="1"/>
  <c r="E498" i="8"/>
  <c r="C487" i="8"/>
  <c r="C462" i="8"/>
  <c r="G459" i="8"/>
  <c r="I459" i="8" s="1"/>
  <c r="C457" i="8"/>
  <c r="C440" i="8"/>
  <c r="E413" i="8"/>
  <c r="G405" i="8"/>
  <c r="I405" i="8" s="1"/>
  <c r="C378" i="8"/>
  <c r="E360" i="8"/>
  <c r="G350" i="8"/>
  <c r="I350" i="8" s="1"/>
  <c r="G322" i="8"/>
  <c r="I322" i="8" s="1"/>
  <c r="D320" i="8"/>
  <c r="C318" i="8"/>
  <c r="G310" i="8"/>
  <c r="I310" i="8" s="1"/>
  <c r="G300" i="8"/>
  <c r="I300" i="8" s="1"/>
  <c r="D298" i="8"/>
  <c r="G280" i="8"/>
  <c r="I280" i="8" s="1"/>
  <c r="C255" i="8"/>
  <c r="G242" i="8"/>
  <c r="I242" i="8" s="1"/>
  <c r="D240" i="8"/>
  <c r="G232" i="8"/>
  <c r="I232" i="8" s="1"/>
  <c r="E230" i="8"/>
  <c r="D228" i="8"/>
  <c r="C205" i="8"/>
  <c r="G197" i="8"/>
  <c r="I197" i="8" s="1"/>
  <c r="E195" i="8"/>
  <c r="D193" i="8"/>
  <c r="C191" i="8"/>
  <c r="G185" i="8"/>
  <c r="I185" i="8" s="1"/>
  <c r="E183" i="8"/>
  <c r="C181" i="8"/>
  <c r="E173" i="8"/>
  <c r="D171" i="8"/>
  <c r="C169" i="8"/>
  <c r="E161" i="8"/>
  <c r="D159" i="8"/>
  <c r="C157" i="8"/>
  <c r="E149" i="8"/>
  <c r="G141" i="8"/>
  <c r="I141" i="8" s="1"/>
  <c r="E139" i="8"/>
  <c r="G129" i="8"/>
  <c r="I129" i="8" s="1"/>
  <c r="E127" i="8"/>
  <c r="G117" i="8"/>
  <c r="I117" i="8" s="1"/>
  <c r="E98" i="8"/>
  <c r="G86" i="8"/>
  <c r="I86" i="8" s="1"/>
  <c r="E84" i="8"/>
  <c r="G76" i="8"/>
  <c r="I76" i="8" s="1"/>
  <c r="E74" i="8"/>
  <c r="D72" i="8"/>
  <c r="G64" i="8"/>
  <c r="I64" i="8" s="1"/>
  <c r="E62" i="8"/>
  <c r="G52" i="8"/>
  <c r="I52" i="8" s="1"/>
  <c r="G42" i="8"/>
  <c r="I42" i="8" s="1"/>
  <c r="E40" i="8"/>
  <c r="G30" i="8"/>
  <c r="I30" i="8" s="1"/>
  <c r="C13" i="8"/>
  <c r="C502" i="7"/>
  <c r="G458" i="7"/>
  <c r="I458" i="7" s="1"/>
  <c r="G445" i="7"/>
  <c r="I445" i="7" s="1"/>
  <c r="E443" i="7"/>
  <c r="D441" i="7"/>
  <c r="C439" i="7"/>
  <c r="G418" i="7"/>
  <c r="I418" i="7" s="1"/>
  <c r="E398" i="7"/>
  <c r="D396" i="7"/>
  <c r="G357" i="7"/>
  <c r="I357" i="7" s="1"/>
  <c r="E344" i="7"/>
  <c r="E331" i="7"/>
  <c r="D329" i="7"/>
  <c r="G299" i="7"/>
  <c r="I299" i="7" s="1"/>
  <c r="E243" i="7"/>
  <c r="E216" i="7"/>
  <c r="D214" i="7"/>
  <c r="C177" i="7"/>
  <c r="C175" i="7"/>
  <c r="C173" i="7"/>
  <c r="C171" i="7"/>
  <c r="C169" i="7"/>
  <c r="C167" i="7"/>
  <c r="C165" i="7"/>
  <c r="E156" i="7"/>
  <c r="E154" i="7"/>
  <c r="E112" i="7"/>
  <c r="E101" i="7"/>
  <c r="E99" i="7"/>
  <c r="E90" i="7"/>
  <c r="G44" i="7"/>
  <c r="I44" i="7" s="1"/>
  <c r="D20" i="7"/>
  <c r="E197" i="16"/>
  <c r="D189" i="16"/>
  <c r="G181" i="16"/>
  <c r="G166" i="16"/>
  <c r="C159" i="16"/>
  <c r="E150" i="16"/>
  <c r="D143" i="16"/>
  <c r="E135" i="16"/>
  <c r="D128" i="16"/>
  <c r="C111" i="16"/>
  <c r="G104" i="16"/>
  <c r="E97" i="16"/>
  <c r="D90" i="16"/>
  <c r="D82" i="16"/>
  <c r="G75" i="16"/>
  <c r="G68" i="16"/>
  <c r="D47" i="16"/>
  <c r="D28" i="16"/>
  <c r="C22" i="16"/>
  <c r="D15" i="16"/>
  <c r="D9" i="16"/>
  <c r="G38" i="12"/>
  <c r="I38" i="12" s="1"/>
  <c r="I39" i="12" s="1"/>
  <c r="E13" i="12"/>
  <c r="D108" i="11"/>
  <c r="G100" i="11"/>
  <c r="I100" i="11" s="1"/>
  <c r="G242" i="10"/>
  <c r="I242" i="10" s="1"/>
  <c r="D198" i="10"/>
  <c r="D194" i="10"/>
  <c r="G186" i="10"/>
  <c r="I186" i="10" s="1"/>
  <c r="G182" i="10"/>
  <c r="I182" i="10" s="1"/>
  <c r="E160" i="10"/>
  <c r="D157" i="10"/>
  <c r="D135" i="10"/>
  <c r="D125" i="10"/>
  <c r="C95" i="10"/>
  <c r="E84" i="10"/>
  <c r="E33" i="10"/>
  <c r="G393" i="9"/>
  <c r="I393" i="9" s="1"/>
  <c r="G390" i="9"/>
  <c r="I390" i="9" s="1"/>
  <c r="G376" i="9"/>
  <c r="I376" i="9" s="1"/>
  <c r="G333" i="9"/>
  <c r="I333" i="9" s="1"/>
  <c r="G327" i="9"/>
  <c r="I327" i="9" s="1"/>
  <c r="G299" i="9"/>
  <c r="I299" i="9" s="1"/>
  <c r="G289" i="9"/>
  <c r="I289" i="9" s="1"/>
  <c r="G279" i="9"/>
  <c r="I279" i="9" s="1"/>
  <c r="C251" i="9"/>
  <c r="D231" i="9"/>
  <c r="D228" i="9"/>
  <c r="C225" i="9"/>
  <c r="C215" i="9"/>
  <c r="C167" i="9"/>
  <c r="E157" i="9"/>
  <c r="C102" i="9"/>
  <c r="C99" i="9"/>
  <c r="G92" i="9"/>
  <c r="I92" i="9" s="1"/>
  <c r="D89" i="9"/>
  <c r="E76" i="9"/>
  <c r="G66" i="9"/>
  <c r="I66" i="9" s="1"/>
  <c r="C28" i="9"/>
  <c r="C18" i="9"/>
  <c r="G8" i="9"/>
  <c r="I8" i="9" s="1"/>
  <c r="I9" i="9" s="1"/>
  <c r="G558" i="8"/>
  <c r="I558" i="8" s="1"/>
  <c r="G549" i="8"/>
  <c r="I549" i="8" s="1"/>
  <c r="G546" i="8"/>
  <c r="I546" i="8" s="1"/>
  <c r="G537" i="8"/>
  <c r="I537" i="8" s="1"/>
  <c r="C525" i="8"/>
  <c r="G518" i="8"/>
  <c r="I518" i="8" s="1"/>
  <c r="G515" i="8"/>
  <c r="I515" i="8" s="1"/>
  <c r="G508" i="8"/>
  <c r="I508" i="8" s="1"/>
  <c r="G499" i="8"/>
  <c r="I499" i="8" s="1"/>
  <c r="G471" i="8"/>
  <c r="I471" i="8" s="1"/>
  <c r="E462" i="8"/>
  <c r="D459" i="8"/>
  <c r="D431" i="8"/>
  <c r="D422" i="8"/>
  <c r="D405" i="8"/>
  <c r="E351" i="8"/>
  <c r="C320" i="8"/>
  <c r="G289" i="8"/>
  <c r="I289" i="8" s="1"/>
  <c r="D281" i="8"/>
  <c r="G255" i="8"/>
  <c r="I255" i="8" s="1"/>
  <c r="C244" i="8"/>
  <c r="E241" i="8"/>
  <c r="E232" i="8"/>
  <c r="D227" i="8"/>
  <c r="D204" i="8"/>
  <c r="C193" i="8"/>
  <c r="G184" i="8"/>
  <c r="I184" i="8" s="1"/>
  <c r="C182" i="8"/>
  <c r="G179" i="8"/>
  <c r="I179" i="8" s="1"/>
  <c r="D173" i="8"/>
  <c r="D168" i="8"/>
  <c r="G142" i="8"/>
  <c r="I142" i="8" s="1"/>
  <c r="C140" i="8"/>
  <c r="D131" i="8"/>
  <c r="C126" i="8"/>
  <c r="D120" i="8"/>
  <c r="E117" i="8"/>
  <c r="E109" i="8"/>
  <c r="D85" i="8"/>
  <c r="E76" i="8"/>
  <c r="E71" i="8"/>
  <c r="G65" i="8"/>
  <c r="I65" i="8" s="1"/>
  <c r="D54" i="8"/>
  <c r="G51" i="8"/>
  <c r="I51" i="8" s="1"/>
  <c r="D43" i="8"/>
  <c r="D40" i="8"/>
  <c r="D29" i="8"/>
  <c r="E23" i="8"/>
  <c r="G20" i="8"/>
  <c r="I20" i="8" s="1"/>
  <c r="C12" i="8"/>
  <c r="G9" i="8"/>
  <c r="I9" i="8" s="1"/>
  <c r="C529" i="7"/>
  <c r="D500" i="7"/>
  <c r="G483" i="7"/>
  <c r="I483" i="7" s="1"/>
  <c r="C446" i="7"/>
  <c r="G443" i="7"/>
  <c r="I443" i="7" s="1"/>
  <c r="C441" i="7"/>
  <c r="C429" i="7"/>
  <c r="D417" i="7"/>
  <c r="E408" i="7"/>
  <c r="D399" i="7"/>
  <c r="E356" i="7"/>
  <c r="D331" i="7"/>
  <c r="D300" i="7"/>
  <c r="G262" i="7"/>
  <c r="I262" i="7" s="1"/>
  <c r="D255" i="7"/>
  <c r="G243" i="7"/>
  <c r="I243" i="7" s="1"/>
  <c r="D213" i="7"/>
  <c r="E194" i="7"/>
  <c r="C192" i="7"/>
  <c r="G187" i="7"/>
  <c r="I187" i="7" s="1"/>
  <c r="E176" i="7"/>
  <c r="D174" i="7"/>
  <c r="C172" i="7"/>
  <c r="G165" i="7"/>
  <c r="I165" i="7" s="1"/>
  <c r="G156" i="7"/>
  <c r="I156" i="7" s="1"/>
  <c r="D154" i="7"/>
  <c r="D145" i="7"/>
  <c r="C136" i="7"/>
  <c r="C120" i="7"/>
  <c r="D101" i="7"/>
  <c r="C99" i="7"/>
  <c r="D44" i="7"/>
  <c r="C37" i="7"/>
  <c r="C30" i="7"/>
  <c r="D28" i="7"/>
  <c r="C21" i="7"/>
  <c r="D197" i="16"/>
  <c r="E174" i="16"/>
  <c r="E165" i="16"/>
  <c r="G158" i="16"/>
  <c r="D150" i="16"/>
  <c r="C143" i="16"/>
  <c r="G134" i="16"/>
  <c r="C127" i="16"/>
  <c r="E118" i="16"/>
  <c r="G110" i="16"/>
  <c r="C97" i="16"/>
  <c r="C82" i="16"/>
  <c r="E61" i="16"/>
  <c r="E53" i="16"/>
  <c r="C47" i="16"/>
  <c r="E40" i="16"/>
  <c r="E33" i="16"/>
  <c r="C28" i="16"/>
  <c r="G20" i="16"/>
  <c r="C15" i="16"/>
  <c r="C9" i="16"/>
  <c r="C108" i="11"/>
  <c r="E100" i="11"/>
  <c r="G88" i="11"/>
  <c r="I88" i="11" s="1"/>
  <c r="G84" i="11"/>
  <c r="I84" i="11" s="1"/>
  <c r="E8" i="11"/>
  <c r="D246" i="10"/>
  <c r="E242" i="10"/>
  <c r="G216" i="10"/>
  <c r="I216" i="10" s="1"/>
  <c r="G209" i="10"/>
  <c r="I209" i="10" s="1"/>
  <c r="C198" i="10"/>
  <c r="C194" i="10"/>
  <c r="E186" i="10"/>
  <c r="E182" i="10"/>
  <c r="G171" i="10"/>
  <c r="I171" i="10" s="1"/>
  <c r="D160" i="10"/>
  <c r="C157" i="10"/>
  <c r="C135" i="10"/>
  <c r="C125" i="10"/>
  <c r="G87" i="10"/>
  <c r="I87" i="10" s="1"/>
  <c r="D84" i="10"/>
  <c r="G43" i="10"/>
  <c r="I43" i="10" s="1"/>
  <c r="I44" i="10" s="1"/>
  <c r="D33" i="10"/>
  <c r="G23" i="10"/>
  <c r="I23" i="10" s="1"/>
  <c r="I24" i="10" s="1"/>
  <c r="G22" i="10" s="1"/>
  <c r="G13" i="10"/>
  <c r="I13" i="10" s="1"/>
  <c r="I14" i="10" s="1"/>
  <c r="G49" i="9" s="1"/>
  <c r="I49" i="9" s="1"/>
  <c r="E393" i="9"/>
  <c r="E390" i="9"/>
  <c r="E376" i="9"/>
  <c r="E333" i="9"/>
  <c r="E327" i="9"/>
  <c r="E299" i="9"/>
  <c r="E289" i="9"/>
  <c r="E279" i="9"/>
  <c r="G266" i="9"/>
  <c r="I266" i="9" s="1"/>
  <c r="G256" i="9"/>
  <c r="I256" i="9" s="1"/>
  <c r="C231" i="9"/>
  <c r="C228" i="9"/>
  <c r="G218" i="9"/>
  <c r="I218" i="9" s="1"/>
  <c r="E92" i="9"/>
  <c r="G79" i="9"/>
  <c r="I79" i="9" s="1"/>
  <c r="D76" i="9"/>
  <c r="E66" i="9"/>
  <c r="E63" i="9"/>
  <c r="E8" i="9"/>
  <c r="D558" i="8"/>
  <c r="D549" i="8"/>
  <c r="E546" i="8"/>
  <c r="E537" i="8"/>
  <c r="E518" i="8"/>
  <c r="E515" i="8"/>
  <c r="E508" i="8"/>
  <c r="E499" i="8"/>
  <c r="G496" i="8"/>
  <c r="I496" i="8" s="1"/>
  <c r="G493" i="8"/>
  <c r="I493" i="8" s="1"/>
  <c r="E471" i="8"/>
  <c r="G458" i="8"/>
  <c r="I458" i="8" s="1"/>
  <c r="E440" i="8"/>
  <c r="C431" i="8"/>
  <c r="C422" i="8"/>
  <c r="C405" i="8"/>
  <c r="G368" i="8"/>
  <c r="I368" i="8" s="1"/>
  <c r="D351" i="8"/>
  <c r="G342" i="8"/>
  <c r="I342" i="8" s="1"/>
  <c r="G331" i="8"/>
  <c r="I331" i="8" s="1"/>
  <c r="E300" i="8"/>
  <c r="E289" i="8"/>
  <c r="C281" i="8"/>
  <c r="G269" i="8"/>
  <c r="I269" i="8" s="1"/>
  <c r="E255" i="8"/>
  <c r="D232" i="8"/>
  <c r="G229" i="8"/>
  <c r="I229" i="8" s="1"/>
  <c r="C227" i="8"/>
  <c r="C204" i="8"/>
  <c r="E184" i="8"/>
  <c r="E179" i="8"/>
  <c r="C173" i="8"/>
  <c r="G170" i="8"/>
  <c r="I170" i="8" s="1"/>
  <c r="C168" i="8"/>
  <c r="G159" i="8"/>
  <c r="I159" i="8" s="1"/>
  <c r="E142" i="8"/>
  <c r="C131" i="8"/>
  <c r="E128" i="8"/>
  <c r="C120" i="8"/>
  <c r="C117" i="8"/>
  <c r="D109" i="8"/>
  <c r="D98" i="8"/>
  <c r="G87" i="8"/>
  <c r="I87" i="8" s="1"/>
  <c r="C85" i="8"/>
  <c r="D76" i="8"/>
  <c r="D71" i="8"/>
  <c r="D65" i="8"/>
  <c r="E51" i="8"/>
  <c r="G45" i="8"/>
  <c r="I45" i="8" s="1"/>
  <c r="C43" i="8"/>
  <c r="C40" i="8"/>
  <c r="C29" i="8"/>
  <c r="D23" i="8"/>
  <c r="E20" i="8"/>
  <c r="E9" i="8"/>
  <c r="G540" i="7"/>
  <c r="I540" i="7" s="1"/>
  <c r="G502" i="7"/>
  <c r="I502" i="7" s="1"/>
  <c r="C500" i="7"/>
  <c r="G492" i="7"/>
  <c r="I492" i="7" s="1"/>
  <c r="E483" i="7"/>
  <c r="D443" i="7"/>
  <c r="G438" i="7"/>
  <c r="I438" i="7" s="1"/>
  <c r="C417" i="7"/>
  <c r="D408" i="7"/>
  <c r="C399" i="7"/>
  <c r="G396" i="7"/>
  <c r="I396" i="7" s="1"/>
  <c r="G358" i="7"/>
  <c r="I358" i="7" s="1"/>
  <c r="D356" i="7"/>
  <c r="G328" i="7"/>
  <c r="I328" i="7" s="1"/>
  <c r="C300" i="7"/>
  <c r="E262" i="7"/>
  <c r="C255" i="7"/>
  <c r="D243" i="7"/>
  <c r="E215" i="7"/>
  <c r="C213" i="7"/>
  <c r="D194" i="7"/>
  <c r="G189" i="7"/>
  <c r="I189" i="7" s="1"/>
  <c r="E187" i="7"/>
  <c r="D176" i="7"/>
  <c r="C174" i="7"/>
  <c r="G167" i="7"/>
  <c r="I167" i="7" s="1"/>
  <c r="E165" i="7"/>
  <c r="D156" i="7"/>
  <c r="C154" i="7"/>
  <c r="C145" i="7"/>
  <c r="C101" i="7"/>
  <c r="G89" i="7"/>
  <c r="I89" i="7" s="1"/>
  <c r="C44" i="7"/>
  <c r="C28" i="7"/>
  <c r="C188" i="16"/>
  <c r="D178" i="16"/>
  <c r="G150" i="16"/>
  <c r="C142" i="16"/>
  <c r="G131" i="16"/>
  <c r="D123" i="16"/>
  <c r="D113" i="16"/>
  <c r="G105" i="16"/>
  <c r="D95" i="16"/>
  <c r="C80" i="16"/>
  <c r="E70" i="16"/>
  <c r="G61" i="16"/>
  <c r="D52" i="16"/>
  <c r="E36" i="16"/>
  <c r="G28" i="16"/>
  <c r="G7" i="16"/>
  <c r="G108" i="11"/>
  <c r="I108" i="11" s="1"/>
  <c r="I109" i="11" s="1"/>
  <c r="G227" i="10" s="1"/>
  <c r="I227" i="10" s="1"/>
  <c r="D100" i="11"/>
  <c r="D87" i="11"/>
  <c r="D29" i="11"/>
  <c r="D13" i="11"/>
  <c r="E253" i="10"/>
  <c r="E245" i="10"/>
  <c r="E216" i="10"/>
  <c r="E195" i="10"/>
  <c r="D182" i="10"/>
  <c r="C174" i="10"/>
  <c r="G169" i="10"/>
  <c r="I169" i="10" s="1"/>
  <c r="D162" i="10"/>
  <c r="G157" i="10"/>
  <c r="I157" i="10" s="1"/>
  <c r="C105" i="10"/>
  <c r="E68" i="10"/>
  <c r="C58" i="10"/>
  <c r="E43" i="10"/>
  <c r="E18" i="10"/>
  <c r="C8" i="10"/>
  <c r="G428" i="9"/>
  <c r="I428" i="9" s="1"/>
  <c r="I429" i="9" s="1"/>
  <c r="G427" i="9" s="1"/>
  <c r="G403" i="9"/>
  <c r="I403" i="9" s="1"/>
  <c r="I404" i="9" s="1"/>
  <c r="G402" i="9" s="1"/>
  <c r="G392" i="9"/>
  <c r="I392" i="9" s="1"/>
  <c r="G388" i="9"/>
  <c r="I388" i="9" s="1"/>
  <c r="G381" i="9"/>
  <c r="I381" i="9" s="1"/>
  <c r="D377" i="9"/>
  <c r="D369" i="9"/>
  <c r="D344" i="9"/>
  <c r="D327" i="9"/>
  <c r="D320" i="9"/>
  <c r="D278" i="9"/>
  <c r="G267" i="9"/>
  <c r="I267" i="9" s="1"/>
  <c r="D256" i="9"/>
  <c r="G252" i="9"/>
  <c r="I252" i="9" s="1"/>
  <c r="E231" i="9"/>
  <c r="E227" i="9"/>
  <c r="C213" i="9"/>
  <c r="G177" i="9"/>
  <c r="I177" i="9" s="1"/>
  <c r="I178" i="9" s="1"/>
  <c r="D167" i="9"/>
  <c r="D156" i="9"/>
  <c r="G152" i="9"/>
  <c r="I152" i="9" s="1"/>
  <c r="D135" i="9"/>
  <c r="C125" i="9"/>
  <c r="G110" i="9"/>
  <c r="I110" i="9" s="1"/>
  <c r="I111" i="9" s="1"/>
  <c r="G109" i="9" s="1"/>
  <c r="C104" i="9"/>
  <c r="C100" i="9"/>
  <c r="C93" i="9"/>
  <c r="E78" i="9"/>
  <c r="D18" i="9"/>
  <c r="E196" i="16"/>
  <c r="G187" i="16"/>
  <c r="C178" i="16"/>
  <c r="E169" i="16"/>
  <c r="C160" i="16"/>
  <c r="C150" i="16"/>
  <c r="D122" i="16"/>
  <c r="C103" i="16"/>
  <c r="C95" i="16"/>
  <c r="D86" i="16"/>
  <c r="D78" i="16"/>
  <c r="G69" i="16"/>
  <c r="D61" i="16"/>
  <c r="C52" i="16"/>
  <c r="C44" i="16"/>
  <c r="G35" i="16"/>
  <c r="C14" i="16"/>
  <c r="D33" i="12"/>
  <c r="E18" i="12"/>
  <c r="G123" i="11"/>
  <c r="I123" i="11" s="1"/>
  <c r="I124" i="11" s="1"/>
  <c r="G122" i="11" s="1"/>
  <c r="E108" i="11"/>
  <c r="C87" i="11"/>
  <c r="G40" i="11"/>
  <c r="I40" i="11" s="1"/>
  <c r="I41" i="11" s="1"/>
  <c r="G39" i="11" s="1"/>
  <c r="C29" i="11"/>
  <c r="G23" i="11"/>
  <c r="I23" i="11" s="1"/>
  <c r="C13" i="11"/>
  <c r="D253" i="10"/>
  <c r="C245" i="10"/>
  <c r="D216" i="10"/>
  <c r="G208" i="10"/>
  <c r="I208" i="10" s="1"/>
  <c r="D195" i="10"/>
  <c r="C182" i="10"/>
  <c r="E169" i="10"/>
  <c r="C162" i="10"/>
  <c r="E157" i="10"/>
  <c r="G130" i="10"/>
  <c r="I130" i="10" s="1"/>
  <c r="I131" i="10" s="1"/>
  <c r="G129" i="10" s="1"/>
  <c r="G115" i="10"/>
  <c r="I115" i="10" s="1"/>
  <c r="I116" i="10" s="1"/>
  <c r="G86" i="10"/>
  <c r="I86" i="10" s="1"/>
  <c r="D68" i="10"/>
  <c r="D43" i="10"/>
  <c r="D18" i="10"/>
  <c r="E428" i="9"/>
  <c r="E403" i="9"/>
  <c r="E392" i="9"/>
  <c r="E388" i="9"/>
  <c r="E381" i="9"/>
  <c r="C377" i="9"/>
  <c r="C369" i="9"/>
  <c r="D196" i="16"/>
  <c r="E177" i="16"/>
  <c r="D169" i="16"/>
  <c r="D159" i="16"/>
  <c r="G149" i="16"/>
  <c r="E131" i="16"/>
  <c r="C122" i="16"/>
  <c r="C112" i="16"/>
  <c r="G102" i="16"/>
  <c r="G94" i="16"/>
  <c r="C86" i="16"/>
  <c r="E69" i="16"/>
  <c r="E60" i="16"/>
  <c r="G51" i="16"/>
  <c r="G43" i="16"/>
  <c r="E28" i="16"/>
  <c r="G19" i="16"/>
  <c r="C13" i="16"/>
  <c r="C33" i="12"/>
  <c r="D18" i="12"/>
  <c r="D99" i="11"/>
  <c r="C28" i="11"/>
  <c r="D23" i="11"/>
  <c r="C253" i="10"/>
  <c r="C216" i="10"/>
  <c r="E207" i="10"/>
  <c r="C195" i="10"/>
  <c r="D186" i="10"/>
  <c r="E181" i="10"/>
  <c r="G173" i="10"/>
  <c r="I173" i="10" s="1"/>
  <c r="D169" i="10"/>
  <c r="C156" i="10"/>
  <c r="E115" i="10"/>
  <c r="C86" i="10"/>
  <c r="C68" i="10"/>
  <c r="C53" i="10"/>
  <c r="D428" i="9"/>
  <c r="D413" i="9"/>
  <c r="C194" i="16"/>
  <c r="C182" i="16"/>
  <c r="G169" i="16"/>
  <c r="E132" i="16"/>
  <c r="D118" i="16"/>
  <c r="E96" i="16"/>
  <c r="C85" i="16"/>
  <c r="G72" i="16"/>
  <c r="C63" i="16"/>
  <c r="G50" i="16"/>
  <c r="C29" i="16"/>
  <c r="D19" i="16"/>
  <c r="E128" i="11"/>
  <c r="G98" i="11"/>
  <c r="I98" i="11" s="1"/>
  <c r="E65" i="11"/>
  <c r="C246" i="10"/>
  <c r="G218" i="10"/>
  <c r="I218" i="10" s="1"/>
  <c r="D207" i="10"/>
  <c r="E197" i="10"/>
  <c r="C192" i="10"/>
  <c r="C181" i="10"/>
  <c r="D172" i="10"/>
  <c r="D115" i="10"/>
  <c r="D88" i="10"/>
  <c r="G78" i="10"/>
  <c r="I78" i="10" s="1"/>
  <c r="I79" i="10" s="1"/>
  <c r="D48" i="10"/>
  <c r="C13" i="10"/>
  <c r="C433" i="9"/>
  <c r="C413" i="9"/>
  <c r="E398" i="9"/>
  <c r="E377" i="9"/>
  <c r="G349" i="9"/>
  <c r="I349" i="9" s="1"/>
  <c r="I350" i="9" s="1"/>
  <c r="G348" i="9" s="1"/>
  <c r="D269" i="9"/>
  <c r="G253" i="9"/>
  <c r="I253" i="9" s="1"/>
  <c r="C227" i="9"/>
  <c r="E219" i="9"/>
  <c r="C216" i="9"/>
  <c r="G167" i="9"/>
  <c r="I167" i="9" s="1"/>
  <c r="I168" i="9" s="1"/>
  <c r="G166" i="9" s="1"/>
  <c r="E156" i="9"/>
  <c r="E152" i="9"/>
  <c r="D120" i="9"/>
  <c r="D102" i="9"/>
  <c r="G90" i="9"/>
  <c r="I90" i="9" s="1"/>
  <c r="C75" i="9"/>
  <c r="C63" i="9"/>
  <c r="E23" i="9"/>
  <c r="C536" i="8"/>
  <c r="E497" i="8"/>
  <c r="D494" i="8"/>
  <c r="G486" i="8"/>
  <c r="I486" i="8" s="1"/>
  <c r="E458" i="8"/>
  <c r="E431" i="8"/>
  <c r="D396" i="8"/>
  <c r="E377" i="8"/>
  <c r="C342" i="8"/>
  <c r="E322" i="8"/>
  <c r="D282" i="8"/>
  <c r="D269" i="8"/>
  <c r="C263" i="8"/>
  <c r="C240" i="8"/>
  <c r="G227" i="8"/>
  <c r="I227" i="8" s="1"/>
  <c r="D195" i="8"/>
  <c r="D192" i="8"/>
  <c r="C170" i="8"/>
  <c r="E160" i="8"/>
  <c r="G157" i="8"/>
  <c r="I157" i="8" s="1"/>
  <c r="E144" i="8"/>
  <c r="C141" i="8"/>
  <c r="D138" i="8"/>
  <c r="G131" i="8"/>
  <c r="I131" i="8" s="1"/>
  <c r="D128" i="8"/>
  <c r="E97" i="8"/>
  <c r="D88" i="8"/>
  <c r="E75" i="8"/>
  <c r="C72" i="8"/>
  <c r="D62" i="8"/>
  <c r="C53" i="8"/>
  <c r="G43" i="8"/>
  <c r="I43" i="8" s="1"/>
  <c r="E30" i="8"/>
  <c r="D21" i="8"/>
  <c r="E11" i="8"/>
  <c r="D193" i="16"/>
  <c r="E181" i="16"/>
  <c r="D167" i="16"/>
  <c r="E155" i="16"/>
  <c r="E144" i="16"/>
  <c r="C129" i="16"/>
  <c r="C118" i="16"/>
  <c r="E106" i="16"/>
  <c r="C93" i="16"/>
  <c r="G82" i="16"/>
  <c r="G58" i="16"/>
  <c r="G49" i="16"/>
  <c r="E38" i="16"/>
  <c r="G27" i="16"/>
  <c r="C19" i="16"/>
  <c r="G8" i="16"/>
  <c r="D128" i="11"/>
  <c r="C88" i="11"/>
  <c r="G29" i="11"/>
  <c r="I29" i="11" s="1"/>
  <c r="C218" i="10"/>
  <c r="C207" i="10"/>
  <c r="D197" i="10"/>
  <c r="D180" i="10"/>
  <c r="C172" i="10"/>
  <c r="C87" i="10"/>
  <c r="D398" i="9"/>
  <c r="G389" i="9"/>
  <c r="I389" i="9" s="1"/>
  <c r="G364" i="9"/>
  <c r="I364" i="9" s="1"/>
  <c r="E349" i="9"/>
  <c r="G320" i="9"/>
  <c r="I320" i="9" s="1"/>
  <c r="G257" i="9"/>
  <c r="I257" i="9" s="1"/>
  <c r="E253" i="9"/>
  <c r="G230" i="9"/>
  <c r="I230" i="9" s="1"/>
  <c r="E226" i="9"/>
  <c r="D219" i="9"/>
  <c r="E167" i="9"/>
  <c r="C156" i="9"/>
  <c r="D152" i="9"/>
  <c r="G130" i="9"/>
  <c r="I130" i="9" s="1"/>
  <c r="I131" i="9" s="1"/>
  <c r="G129" i="9" s="1"/>
  <c r="C120" i="9"/>
  <c r="E90" i="9"/>
  <c r="G78" i="9"/>
  <c r="I78" i="9" s="1"/>
  <c r="E67" i="9"/>
  <c r="D23" i="9"/>
  <c r="C550" i="8"/>
  <c r="G525" i="8"/>
  <c r="I525" i="8" s="1"/>
  <c r="D497" i="8"/>
  <c r="C494" i="8"/>
  <c r="D486" i="8"/>
  <c r="G472" i="8"/>
  <c r="I472" i="8" s="1"/>
  <c r="G462" i="8"/>
  <c r="I462" i="8" s="1"/>
  <c r="D458" i="8"/>
  <c r="E441" i="8"/>
  <c r="G414" i="8"/>
  <c r="I414" i="8" s="1"/>
  <c r="E405" i="8"/>
  <c r="C396" i="8"/>
  <c r="G386" i="8"/>
  <c r="I386" i="8" s="1"/>
  <c r="G351" i="8"/>
  <c r="I351" i="8" s="1"/>
  <c r="G332" i="8"/>
  <c r="I332" i="8" s="1"/>
  <c r="D322" i="8"/>
  <c r="C319" i="8"/>
  <c r="D300" i="8"/>
  <c r="C282" i="8"/>
  <c r="C269" i="8"/>
  <c r="G262" i="8"/>
  <c r="I262" i="8" s="1"/>
  <c r="G243" i="8"/>
  <c r="I243" i="8" s="1"/>
  <c r="G233" i="8"/>
  <c r="I233" i="8" s="1"/>
  <c r="D181" i="16"/>
  <c r="C167" i="16"/>
  <c r="G154" i="16"/>
  <c r="E143" i="16"/>
  <c r="G128" i="16"/>
  <c r="C117" i="16"/>
  <c r="D106" i="16"/>
  <c r="G92" i="16"/>
  <c r="G81" i="16"/>
  <c r="G71" i="16"/>
  <c r="D58" i="16"/>
  <c r="G48" i="16"/>
  <c r="G37" i="16"/>
  <c r="C128" i="11"/>
  <c r="G45" i="11"/>
  <c r="I45" i="11" s="1"/>
  <c r="I46" i="11" s="1"/>
  <c r="G44" i="11" s="1"/>
  <c r="G258" i="10"/>
  <c r="I258" i="10" s="1"/>
  <c r="I259" i="10" s="1"/>
  <c r="C197" i="10"/>
  <c r="C180" i="10"/>
  <c r="E162" i="10"/>
  <c r="C398" i="9"/>
  <c r="E389" i="9"/>
  <c r="E364" i="9"/>
  <c r="E320" i="9"/>
  <c r="E306" i="9"/>
  <c r="G291" i="9"/>
  <c r="I291" i="9" s="1"/>
  <c r="D280" i="9"/>
  <c r="G268" i="9"/>
  <c r="I268" i="9" s="1"/>
  <c r="C257" i="9"/>
  <c r="D253" i="9"/>
  <c r="E230" i="9"/>
  <c r="D226" i="9"/>
  <c r="C219" i="9"/>
  <c r="G214" i="9"/>
  <c r="I214" i="9" s="1"/>
  <c r="C152" i="9"/>
  <c r="E101" i="9"/>
  <c r="C90" i="9"/>
  <c r="D66" i="9"/>
  <c r="G33" i="9"/>
  <c r="I33" i="9" s="1"/>
  <c r="I34" i="9" s="1"/>
  <c r="C23" i="9"/>
  <c r="D518" i="8"/>
  <c r="C497" i="8"/>
  <c r="C486" i="8"/>
  <c r="G479" i="8"/>
  <c r="I479" i="8" s="1"/>
  <c r="E472" i="8"/>
  <c r="C458" i="8"/>
  <c r="E451" i="8"/>
  <c r="D441" i="8"/>
  <c r="E414" i="8"/>
  <c r="G395" i="8"/>
  <c r="I395" i="8" s="1"/>
  <c r="E386" i="8"/>
  <c r="C351" i="8"/>
  <c r="E332" i="8"/>
  <c r="C322" i="8"/>
  <c r="C300" i="8"/>
  <c r="C200" i="16"/>
  <c r="C181" i="16"/>
  <c r="E147" i="16"/>
  <c r="G114" i="16"/>
  <c r="C99" i="16"/>
  <c r="D81" i="16"/>
  <c r="E67" i="16"/>
  <c r="E52" i="16"/>
  <c r="C12" i="16"/>
  <c r="D28" i="12"/>
  <c r="D84" i="11"/>
  <c r="G243" i="10"/>
  <c r="I243" i="10" s="1"/>
  <c r="E206" i="10"/>
  <c r="G170" i="10"/>
  <c r="I170" i="10" s="1"/>
  <c r="D195" i="16"/>
  <c r="G176" i="16"/>
  <c r="C146" i="16"/>
  <c r="E128" i="16"/>
  <c r="C110" i="16"/>
  <c r="D98" i="16"/>
  <c r="C81" i="16"/>
  <c r="C35" i="16"/>
  <c r="G23" i="16"/>
  <c r="E11" i="16"/>
  <c r="C28" i="12"/>
  <c r="C84" i="11"/>
  <c r="E60" i="11"/>
  <c r="G35" i="11"/>
  <c r="I35" i="11" s="1"/>
  <c r="I36" i="11" s="1"/>
  <c r="E24" i="11"/>
  <c r="C206" i="10"/>
  <c r="C193" i="10"/>
  <c r="C170" i="10"/>
  <c r="G159" i="10"/>
  <c r="I159" i="10" s="1"/>
  <c r="G125" i="10"/>
  <c r="I125" i="10" s="1"/>
  <c r="I126" i="10" s="1"/>
  <c r="G124" i="10" s="1"/>
  <c r="G73" i="10"/>
  <c r="I73" i="10" s="1"/>
  <c r="I74" i="10" s="1"/>
  <c r="G72" i="10" s="1"/>
  <c r="C33" i="10"/>
  <c r="E8" i="10"/>
  <c r="D379" i="9"/>
  <c r="E291" i="9"/>
  <c r="C278" i="9"/>
  <c r="G255" i="9"/>
  <c r="I255" i="9" s="1"/>
  <c r="D214" i="9"/>
  <c r="G172" i="9"/>
  <c r="I172" i="9" s="1"/>
  <c r="I173" i="9" s="1"/>
  <c r="D151" i="9"/>
  <c r="G120" i="9"/>
  <c r="I120" i="9" s="1"/>
  <c r="I121" i="9" s="1"/>
  <c r="G119" i="9" s="1"/>
  <c r="G104" i="9"/>
  <c r="I104" i="9" s="1"/>
  <c r="G76" i="9"/>
  <c r="I76" i="9" s="1"/>
  <c r="D68" i="9"/>
  <c r="C549" i="8"/>
  <c r="G516" i="8"/>
  <c r="I516" i="8" s="1"/>
  <c r="D508" i="8"/>
  <c r="C495" i="8"/>
  <c r="G487" i="8"/>
  <c r="I487" i="8" s="1"/>
  <c r="C471" i="8"/>
  <c r="G463" i="8"/>
  <c r="I463" i="8" s="1"/>
  <c r="G333" i="8"/>
  <c r="I333" i="8" s="1"/>
  <c r="G321" i="8"/>
  <c r="I321" i="8" s="1"/>
  <c r="D299" i="8"/>
  <c r="D271" i="8"/>
  <c r="D242" i="8"/>
  <c r="E231" i="8"/>
  <c r="D197" i="8"/>
  <c r="C194" i="8"/>
  <c r="E180" i="8"/>
  <c r="D170" i="8"/>
  <c r="C160" i="8"/>
  <c r="D156" i="8"/>
  <c r="C143" i="8"/>
  <c r="D139" i="8"/>
  <c r="E129" i="8"/>
  <c r="D126" i="8"/>
  <c r="C119" i="8"/>
  <c r="C116" i="8"/>
  <c r="G109" i="8"/>
  <c r="I109" i="8" s="1"/>
  <c r="E86" i="8"/>
  <c r="D83" i="8"/>
  <c r="C76" i="8"/>
  <c r="C73" i="8"/>
  <c r="C63" i="8"/>
  <c r="E52" i="8"/>
  <c r="C195" i="16"/>
  <c r="E176" i="16"/>
  <c r="G161" i="16"/>
  <c r="G144" i="16"/>
  <c r="C126" i="16"/>
  <c r="G109" i="16"/>
  <c r="C98" i="16"/>
  <c r="G80" i="16"/>
  <c r="C65" i="16"/>
  <c r="E51" i="16"/>
  <c r="G33" i="16"/>
  <c r="D23" i="16"/>
  <c r="D11" i="16"/>
  <c r="D23" i="12"/>
  <c r="G128" i="11"/>
  <c r="I128" i="11" s="1"/>
  <c r="I129" i="11" s="1"/>
  <c r="G127" i="11" s="1"/>
  <c r="G102" i="11"/>
  <c r="I102" i="11" s="1"/>
  <c r="D60" i="11"/>
  <c r="C35" i="11"/>
  <c r="C23" i="11"/>
  <c r="E258" i="10"/>
  <c r="C205" i="10"/>
  <c r="E125" i="10"/>
  <c r="G105" i="10"/>
  <c r="I105" i="10" s="1"/>
  <c r="I106" i="10" s="1"/>
  <c r="G104" i="10" s="1"/>
  <c r="E88" i="10"/>
  <c r="E73" i="10"/>
  <c r="D8" i="10"/>
  <c r="G398" i="9"/>
  <c r="I398" i="9" s="1"/>
  <c r="I399" i="9" s="1"/>
  <c r="C379" i="9"/>
  <c r="D291" i="9"/>
  <c r="G254" i="9"/>
  <c r="I254" i="9" s="1"/>
  <c r="G228" i="9"/>
  <c r="I228" i="9" s="1"/>
  <c r="C214" i="9"/>
  <c r="E172" i="9"/>
  <c r="C151" i="9"/>
  <c r="E120" i="9"/>
  <c r="E104" i="9"/>
  <c r="E99" i="9"/>
  <c r="G81" i="9"/>
  <c r="I81" i="9" s="1"/>
  <c r="C76" i="9"/>
  <c r="C68" i="9"/>
  <c r="C38" i="9"/>
  <c r="E516" i="8"/>
  <c r="C508" i="8"/>
  <c r="E487" i="8"/>
  <c r="G478" i="8"/>
  <c r="I478" i="8" s="1"/>
  <c r="C463" i="8"/>
  <c r="G457" i="8"/>
  <c r="I457" i="8" s="1"/>
  <c r="G396" i="8"/>
  <c r="I396" i="8" s="1"/>
  <c r="E333" i="8"/>
  <c r="E321" i="8"/>
  <c r="C299" i="8"/>
  <c r="C271" i="8"/>
  <c r="C242" i="8"/>
  <c r="D231" i="8"/>
  <c r="E227" i="8"/>
  <c r="G203" i="8"/>
  <c r="I203" i="8" s="1"/>
  <c r="C197" i="8"/>
  <c r="D180" i="8"/>
  <c r="C156" i="8"/>
  <c r="C139" i="8"/>
  <c r="D129" i="8"/>
  <c r="C109" i="8"/>
  <c r="G89" i="8"/>
  <c r="I89" i="8" s="1"/>
  <c r="D86" i="8"/>
  <c r="C83" i="8"/>
  <c r="C62" i="8"/>
  <c r="G55" i="8"/>
  <c r="I55" i="8" s="1"/>
  <c r="D52" i="8"/>
  <c r="E45" i="8"/>
  <c r="C32" i="8"/>
  <c r="G11" i="8"/>
  <c r="I11" i="8" s="1"/>
  <c r="C541" i="7"/>
  <c r="G530" i="7"/>
  <c r="I530" i="7" s="1"/>
  <c r="C445" i="7"/>
  <c r="E442" i="7"/>
  <c r="G439" i="7"/>
  <c r="I439" i="7" s="1"/>
  <c r="G428" i="7"/>
  <c r="I428" i="7" s="1"/>
  <c r="E418" i="7"/>
  <c r="D398" i="7"/>
  <c r="G395" i="7"/>
  <c r="I395" i="7" s="1"/>
  <c r="G359" i="7"/>
  <c r="I359" i="7" s="1"/>
  <c r="C344" i="7"/>
  <c r="C332" i="7"/>
  <c r="E329" i="7"/>
  <c r="G300" i="7"/>
  <c r="I300" i="7" s="1"/>
  <c r="D217" i="7"/>
  <c r="G214" i="7"/>
  <c r="I214" i="7" s="1"/>
  <c r="G193" i="7"/>
  <c r="I193" i="7" s="1"/>
  <c r="C191" i="7"/>
  <c r="G188" i="7"/>
  <c r="I188" i="7" s="1"/>
  <c r="C186" i="7"/>
  <c r="C176" i="7"/>
  <c r="G173" i="7"/>
  <c r="I173" i="7" s="1"/>
  <c r="E168" i="7"/>
  <c r="D136" i="7"/>
  <c r="D111" i="7"/>
  <c r="G28" i="7"/>
  <c r="I28" i="7" s="1"/>
  <c r="D21" i="7"/>
  <c r="D201" i="16"/>
  <c r="G182" i="16"/>
  <c r="G155" i="16"/>
  <c r="D137" i="16"/>
  <c r="G115" i="16"/>
  <c r="D92" i="16"/>
  <c r="C73" i="16"/>
  <c r="G55" i="16"/>
  <c r="D32" i="16"/>
  <c r="C16" i="16"/>
  <c r="E102" i="11"/>
  <c r="G87" i="11"/>
  <c r="I87" i="11" s="1"/>
  <c r="G13" i="11"/>
  <c r="I13" i="11" s="1"/>
  <c r="I14" i="11" s="1"/>
  <c r="G168" i="10"/>
  <c r="I168" i="10" s="1"/>
  <c r="G38" i="10"/>
  <c r="I38" i="10" s="1"/>
  <c r="I39" i="10" s="1"/>
  <c r="C344" i="9"/>
  <c r="E278" i="9"/>
  <c r="E268" i="9"/>
  <c r="G229" i="9"/>
  <c r="I229" i="9" s="1"/>
  <c r="D110" i="9"/>
  <c r="D100" i="9"/>
  <c r="D80" i="9"/>
  <c r="G64" i="9"/>
  <c r="I64" i="9" s="1"/>
  <c r="E33" i="9"/>
  <c r="C558" i="8"/>
  <c r="D535" i="8"/>
  <c r="C527" i="8"/>
  <c r="D499" i="8"/>
  <c r="E494" i="8"/>
  <c r="D472" i="8"/>
  <c r="C387" i="8"/>
  <c r="G341" i="8"/>
  <c r="I341" i="8" s="1"/>
  <c r="C289" i="8"/>
  <c r="E282" i="8"/>
  <c r="E269" i="8"/>
  <c r="E254" i="8"/>
  <c r="D229" i="8"/>
  <c r="C196" i="8"/>
  <c r="D184" i="8"/>
  <c r="C180" i="8"/>
  <c r="E172" i="8"/>
  <c r="G168" i="8"/>
  <c r="I168" i="8" s="1"/>
  <c r="C161" i="8"/>
  <c r="E157" i="8"/>
  <c r="C149" i="8"/>
  <c r="C142" i="8"/>
  <c r="C138" i="8"/>
  <c r="E130" i="8"/>
  <c r="G118" i="8"/>
  <c r="I118" i="8" s="1"/>
  <c r="D74" i="8"/>
  <c r="D63" i="8"/>
  <c r="D55" i="8"/>
  <c r="C51" i="8"/>
  <c r="C33" i="8"/>
  <c r="G29" i="8"/>
  <c r="I29" i="8" s="1"/>
  <c r="D22" i="8"/>
  <c r="D11" i="8"/>
  <c r="D551" i="7"/>
  <c r="G542" i="7"/>
  <c r="I542" i="7" s="1"/>
  <c r="D529" i="7"/>
  <c r="D483" i="7"/>
  <c r="E446" i="7"/>
  <c r="C440" i="7"/>
  <c r="C437" i="7"/>
  <c r="E428" i="7"/>
  <c r="C397" i="7"/>
  <c r="G388" i="7"/>
  <c r="I388" i="7" s="1"/>
  <c r="C360" i="7"/>
  <c r="D330" i="7"/>
  <c r="E327" i="7"/>
  <c r="D311" i="7"/>
  <c r="E300" i="7"/>
  <c r="G263" i="7"/>
  <c r="I263" i="7" s="1"/>
  <c r="G255" i="7"/>
  <c r="I255" i="7" s="1"/>
  <c r="C216" i="7"/>
  <c r="E191" i="7"/>
  <c r="G175" i="7"/>
  <c r="I175" i="7" s="1"/>
  <c r="C170" i="7"/>
  <c r="G154" i="7"/>
  <c r="I154" i="7" s="1"/>
  <c r="G136" i="7"/>
  <c r="I136" i="7" s="1"/>
  <c r="E113" i="7"/>
  <c r="C89" i="7"/>
  <c r="G37" i="7"/>
  <c r="I37" i="7" s="1"/>
  <c r="I38" i="7" s="1"/>
  <c r="G19" i="7"/>
  <c r="I19" i="7" s="1"/>
  <c r="D17" i="7"/>
  <c r="C201" i="16"/>
  <c r="D176" i="16"/>
  <c r="E91" i="16"/>
  <c r="D31" i="16"/>
  <c r="G14" i="16"/>
  <c r="D102" i="11"/>
  <c r="E87" i="11"/>
  <c r="E13" i="11"/>
  <c r="E168" i="10"/>
  <c r="G85" i="10"/>
  <c r="I85" i="10" s="1"/>
  <c r="E38" i="10"/>
  <c r="D393" i="9"/>
  <c r="G339" i="9"/>
  <c r="I339" i="9" s="1"/>
  <c r="D306" i="9"/>
  <c r="D268" i="9"/>
  <c r="C229" i="9"/>
  <c r="C218" i="9"/>
  <c r="E155" i="9"/>
  <c r="C110" i="9"/>
  <c r="G88" i="9"/>
  <c r="I88" i="9" s="1"/>
  <c r="C80" i="9"/>
  <c r="E69" i="9"/>
  <c r="C64" i="9"/>
  <c r="D33" i="9"/>
  <c r="C535" i="8"/>
  <c r="G526" i="8"/>
  <c r="I526" i="8" s="1"/>
  <c r="E517" i="8"/>
  <c r="D509" i="8"/>
  <c r="C499" i="8"/>
  <c r="E457" i="8"/>
  <c r="G423" i="8"/>
  <c r="I423" i="8" s="1"/>
  <c r="G378" i="8"/>
  <c r="I378" i="8" s="1"/>
  <c r="G369" i="8"/>
  <c r="I369" i="8" s="1"/>
  <c r="E341" i="8"/>
  <c r="E233" i="8"/>
  <c r="C229" i="8"/>
  <c r="C195" i="8"/>
  <c r="G191" i="8"/>
  <c r="I191" i="8" s="1"/>
  <c r="C184" i="8"/>
  <c r="D172" i="8"/>
  <c r="E168" i="8"/>
  <c r="E156" i="8"/>
  <c r="E141" i="8"/>
  <c r="D130" i="8"/>
  <c r="E126" i="8"/>
  <c r="E118" i="8"/>
  <c r="G107" i="8"/>
  <c r="I107" i="8" s="1"/>
  <c r="E89" i="8"/>
  <c r="G85" i="8"/>
  <c r="I85" i="8" s="1"/>
  <c r="C74" i="8"/>
  <c r="C55" i="8"/>
  <c r="G39" i="8"/>
  <c r="I39" i="8" s="1"/>
  <c r="G32" i="8"/>
  <c r="I32" i="8" s="1"/>
  <c r="G10" i="8"/>
  <c r="I10" i="8" s="1"/>
  <c r="C551" i="7"/>
  <c r="E542" i="7"/>
  <c r="E539" i="7"/>
  <c r="G528" i="7"/>
  <c r="I528" i="7" s="1"/>
  <c r="C483" i="7"/>
  <c r="D446" i="7"/>
  <c r="D428" i="7"/>
  <c r="G417" i="7"/>
  <c r="I417" i="7" s="1"/>
  <c r="E396" i="7"/>
  <c r="E388" i="7"/>
  <c r="E359" i="7"/>
  <c r="G356" i="7"/>
  <c r="I356" i="7" s="1"/>
  <c r="C330" i="7"/>
  <c r="D327" i="7"/>
  <c r="C311" i="7"/>
  <c r="D263" i="7"/>
  <c r="E255" i="7"/>
  <c r="G194" i="7"/>
  <c r="I194" i="7" s="1"/>
  <c r="D191" i="7"/>
  <c r="E188" i="7"/>
  <c r="E175" i="7"/>
  <c r="G172" i="7"/>
  <c r="I172" i="7" s="1"/>
  <c r="G169" i="7"/>
  <c r="I169" i="7" s="1"/>
  <c r="E136" i="7"/>
  <c r="D113" i="7"/>
  <c r="E47" i="7"/>
  <c r="E37" i="7"/>
  <c r="E19" i="7"/>
  <c r="C17" i="7"/>
  <c r="E200" i="16"/>
  <c r="G174" i="16"/>
  <c r="E154" i="16"/>
  <c r="G133" i="16"/>
  <c r="E109" i="16"/>
  <c r="G67" i="16"/>
  <c r="G46" i="16"/>
  <c r="E12" i="16"/>
  <c r="D86" i="11"/>
  <c r="E247" i="10"/>
  <c r="G63" i="10"/>
  <c r="I63" i="10" s="1"/>
  <c r="I64" i="10" s="1"/>
  <c r="G62" i="10" s="1"/>
  <c r="D38" i="10"/>
  <c r="G8" i="10"/>
  <c r="I8" i="10" s="1"/>
  <c r="I9" i="10" s="1"/>
  <c r="G418" i="9"/>
  <c r="I418" i="9" s="1"/>
  <c r="I419" i="9" s="1"/>
  <c r="G417" i="9" s="1"/>
  <c r="C393" i="9"/>
  <c r="C339" i="9"/>
  <c r="G251" i="9"/>
  <c r="I251" i="9" s="1"/>
  <c r="E228" i="9"/>
  <c r="E217" i="9"/>
  <c r="D155" i="9"/>
  <c r="D99" i="9"/>
  <c r="E88" i="9"/>
  <c r="D63" i="9"/>
  <c r="D13" i="9"/>
  <c r="G548" i="8"/>
  <c r="I548" i="8" s="1"/>
  <c r="E526" i="8"/>
  <c r="E423" i="8"/>
  <c r="E378" i="8"/>
  <c r="E369" i="8"/>
  <c r="G320" i="8"/>
  <c r="I320" i="8" s="1"/>
  <c r="E280" i="8"/>
  <c r="G241" i="8"/>
  <c r="I241" i="8" s="1"/>
  <c r="D233" i="8"/>
  <c r="E191" i="8"/>
  <c r="C183" i="8"/>
  <c r="C172" i="8"/>
  <c r="D141" i="8"/>
  <c r="C130" i="8"/>
  <c r="D118" i="8"/>
  <c r="E107" i="8"/>
  <c r="D89" i="8"/>
  <c r="E85" i="8"/>
  <c r="G73" i="8"/>
  <c r="I73" i="8" s="1"/>
  <c r="G54" i="8"/>
  <c r="I54" i="8" s="1"/>
  <c r="E43" i="8"/>
  <c r="E39" i="8"/>
  <c r="E32" i="8"/>
  <c r="G21" i="8"/>
  <c r="I21" i="8" s="1"/>
  <c r="E10" i="8"/>
  <c r="D542" i="7"/>
  <c r="D539" i="7"/>
  <c r="E528" i="7"/>
  <c r="G493" i="7"/>
  <c r="I493" i="7" s="1"/>
  <c r="E445" i="7"/>
  <c r="G442" i="7"/>
  <c r="I442" i="7" s="1"/>
  <c r="E439" i="7"/>
  <c r="C428" i="7"/>
  <c r="E417" i="7"/>
  <c r="G399" i="7"/>
  <c r="I399" i="7" s="1"/>
  <c r="C396" i="7"/>
  <c r="D388" i="7"/>
  <c r="D359" i="7"/>
  <c r="C356" i="7"/>
  <c r="C263" i="7"/>
  <c r="G254" i="7"/>
  <c r="I254" i="7" s="1"/>
  <c r="D215" i="7"/>
  <c r="D188" i="7"/>
  <c r="D175" i="7"/>
  <c r="E172" i="7"/>
  <c r="E169" i="7"/>
  <c r="G166" i="7"/>
  <c r="I166" i="7" s="1"/>
  <c r="G120" i="7"/>
  <c r="I120" i="7" s="1"/>
  <c r="I121" i="7" s="1"/>
  <c r="C113" i="7"/>
  <c r="G99" i="7"/>
  <c r="I99" i="7" s="1"/>
  <c r="D47" i="7"/>
  <c r="D37" i="7"/>
  <c r="D19" i="7"/>
  <c r="D186" i="16"/>
  <c r="E156" i="16"/>
  <c r="D124" i="16"/>
  <c r="E100" i="16"/>
  <c r="G74" i="16"/>
  <c r="E90" i="11"/>
  <c r="C60" i="11"/>
  <c r="E209" i="10"/>
  <c r="D185" i="10"/>
  <c r="E110" i="10"/>
  <c r="G84" i="10"/>
  <c r="I84" i="10" s="1"/>
  <c r="E418" i="9"/>
  <c r="C391" i="9"/>
  <c r="G377" i="9"/>
  <c r="I377" i="9" s="1"/>
  <c r="D251" i="9"/>
  <c r="E177" i="9"/>
  <c r="G154" i="9"/>
  <c r="I154" i="9" s="1"/>
  <c r="C140" i="9"/>
  <c r="E87" i="9"/>
  <c r="D75" i="9"/>
  <c r="C43" i="9"/>
  <c r="D559" i="8"/>
  <c r="C548" i="8"/>
  <c r="D528" i="8"/>
  <c r="E496" i="8"/>
  <c r="D485" i="8"/>
  <c r="D471" i="8"/>
  <c r="G460" i="8"/>
  <c r="I460" i="8" s="1"/>
  <c r="D450" i="8"/>
  <c r="D369" i="8"/>
  <c r="C360" i="8"/>
  <c r="E350" i="8"/>
  <c r="E342" i="8"/>
  <c r="G240" i="8"/>
  <c r="I240" i="8" s="1"/>
  <c r="G231" i="8"/>
  <c r="I231" i="8" s="1"/>
  <c r="D182" i="8"/>
  <c r="G167" i="8"/>
  <c r="I167" i="8" s="1"/>
  <c r="E132" i="8"/>
  <c r="D127" i="8"/>
  <c r="C118" i="8"/>
  <c r="C97" i="8"/>
  <c r="G88" i="8"/>
  <c r="I88" i="8" s="1"/>
  <c r="G83" i="8"/>
  <c r="I83" i="8" s="1"/>
  <c r="C75" i="8"/>
  <c r="C65" i="8"/>
  <c r="D42" i="8"/>
  <c r="C21" i="8"/>
  <c r="D541" i="7"/>
  <c r="C528" i="7"/>
  <c r="D492" i="7"/>
  <c r="E441" i="7"/>
  <c r="E437" i="7"/>
  <c r="D360" i="7"/>
  <c r="G331" i="7"/>
  <c r="I331" i="7" s="1"/>
  <c r="G327" i="7"/>
  <c r="I327" i="7" s="1"/>
  <c r="D318" i="7"/>
  <c r="C301" i="7"/>
  <c r="D262" i="7"/>
  <c r="G253" i="7"/>
  <c r="I253" i="7" s="1"/>
  <c r="E193" i="7"/>
  <c r="D190" i="7"/>
  <c r="G186" i="7"/>
  <c r="I186" i="7" s="1"/>
  <c r="G174" i="7"/>
  <c r="I174" i="7" s="1"/>
  <c r="D167" i="7"/>
  <c r="D155" i="7"/>
  <c r="C112" i="7"/>
  <c r="C100" i="7"/>
  <c r="G61" i="7"/>
  <c r="I61" i="7" s="1"/>
  <c r="I62" i="7" s="1"/>
  <c r="G12" i="15" s="1"/>
  <c r="E28" i="7"/>
  <c r="E152" i="16"/>
  <c r="C124" i="16"/>
  <c r="D100" i="16"/>
  <c r="E41" i="16"/>
  <c r="E19" i="16"/>
  <c r="D90" i="11"/>
  <c r="D209" i="10"/>
  <c r="C185" i="10"/>
  <c r="D110" i="10"/>
  <c r="G375" i="9"/>
  <c r="I375" i="9" s="1"/>
  <c r="C291" i="9"/>
  <c r="E154" i="9"/>
  <c r="E135" i="9"/>
  <c r="E110" i="9"/>
  <c r="D87" i="9"/>
  <c r="C559" i="8"/>
  <c r="G547" i="8"/>
  <c r="I547" i="8" s="1"/>
  <c r="C528" i="8"/>
  <c r="D496" i="8"/>
  <c r="C485" i="8"/>
  <c r="E460" i="8"/>
  <c r="C450" i="8"/>
  <c r="C369" i="8"/>
  <c r="G359" i="8"/>
  <c r="I359" i="8" s="1"/>
  <c r="D342" i="8"/>
  <c r="E331" i="8"/>
  <c r="C231" i="8"/>
  <c r="G204" i="8"/>
  <c r="I204" i="8" s="1"/>
  <c r="E196" i="8"/>
  <c r="E167" i="8"/>
  <c r="E158" i="8"/>
  <c r="D132" i="8"/>
  <c r="C127" i="8"/>
  <c r="E88" i="8"/>
  <c r="E83" i="8"/>
  <c r="D51" i="8"/>
  <c r="C42" i="8"/>
  <c r="D20" i="8"/>
  <c r="G12" i="8"/>
  <c r="I12" i="8" s="1"/>
  <c r="G549" i="7"/>
  <c r="I549" i="7" s="1"/>
  <c r="E540" i="7"/>
  <c r="C492" i="7"/>
  <c r="D437" i="7"/>
  <c r="C359" i="7"/>
  <c r="C318" i="7"/>
  <c r="C262" i="7"/>
  <c r="E253" i="7"/>
  <c r="D193" i="7"/>
  <c r="C190" i="7"/>
  <c r="E186" i="7"/>
  <c r="E174" i="7"/>
  <c r="G170" i="7"/>
  <c r="I170" i="7" s="1"/>
  <c r="E166" i="7"/>
  <c r="C155" i="7"/>
  <c r="D99" i="7"/>
  <c r="G90" i="7"/>
  <c r="I90" i="7" s="1"/>
  <c r="E61" i="7"/>
  <c r="G47" i="7"/>
  <c r="I47" i="7" s="1"/>
  <c r="C19" i="7"/>
  <c r="C184" i="16"/>
  <c r="C151" i="16"/>
  <c r="E123" i="16"/>
  <c r="D41" i="16"/>
  <c r="E17" i="16"/>
  <c r="C90" i="11"/>
  <c r="G25" i="11"/>
  <c r="I25" i="11" s="1"/>
  <c r="G83" i="10"/>
  <c r="I83" i="10" s="1"/>
  <c r="E375" i="9"/>
  <c r="D333" i="9"/>
  <c r="G231" i="9"/>
  <c r="I231" i="9" s="1"/>
  <c r="D217" i="9"/>
  <c r="E153" i="9"/>
  <c r="C135" i="9"/>
  <c r="C105" i="9"/>
  <c r="G93" i="9"/>
  <c r="I93" i="9" s="1"/>
  <c r="D547" i="8"/>
  <c r="G527" i="8"/>
  <c r="I527" i="8" s="1"/>
  <c r="D516" i="8"/>
  <c r="D495" i="8"/>
  <c r="D460" i="8"/>
  <c r="E359" i="8"/>
  <c r="D331" i="8"/>
  <c r="G239" i="8"/>
  <c r="I239" i="8" s="1"/>
  <c r="D230" i="8"/>
  <c r="E204" i="8"/>
  <c r="D196" i="8"/>
  <c r="G181" i="8"/>
  <c r="I181" i="8" s="1"/>
  <c r="G172" i="8"/>
  <c r="I172" i="8" s="1"/>
  <c r="D167" i="8"/>
  <c r="D158" i="8"/>
  <c r="G140" i="8"/>
  <c r="I140" i="8" s="1"/>
  <c r="C132" i="8"/>
  <c r="E73" i="8"/>
  <c r="E64" i="8"/>
  <c r="E12" i="8"/>
  <c r="E549" i="7"/>
  <c r="D540" i="7"/>
  <c r="G444" i="7"/>
  <c r="I444" i="7" s="1"/>
  <c r="G440" i="7"/>
  <c r="I440" i="7" s="1"/>
  <c r="G397" i="7"/>
  <c r="I397" i="7" s="1"/>
  <c r="C388" i="7"/>
  <c r="G330" i="7"/>
  <c r="I330" i="7" s="1"/>
  <c r="E299" i="7"/>
  <c r="D253" i="7"/>
  <c r="E214" i="7"/>
  <c r="C193" i="7"/>
  <c r="E189" i="7"/>
  <c r="D186" i="7"/>
  <c r="G177" i="7"/>
  <c r="I177" i="7" s="1"/>
  <c r="E170" i="7"/>
  <c r="D166" i="7"/>
  <c r="G137" i="7"/>
  <c r="I137" i="7" s="1"/>
  <c r="E120" i="7"/>
  <c r="D90" i="7"/>
  <c r="D61" i="7"/>
  <c r="E44" i="7"/>
  <c r="G30" i="7"/>
  <c r="I30" i="7" s="1"/>
  <c r="G183" i="16"/>
  <c r="E148" i="16"/>
  <c r="E92" i="16"/>
  <c r="C64" i="16"/>
  <c r="C41" i="16"/>
  <c r="D17" i="16"/>
  <c r="G8" i="12"/>
  <c r="I8" i="12" s="1"/>
  <c r="I9" i="12" s="1"/>
  <c r="D85" i="11"/>
  <c r="G50" i="11"/>
  <c r="I50" i="11" s="1"/>
  <c r="I51" i="11" s="1"/>
  <c r="G49" i="11" s="1"/>
  <c r="C247" i="10"/>
  <c r="C160" i="10"/>
  <c r="C83" i="10"/>
  <c r="E48" i="10"/>
  <c r="C333" i="9"/>
  <c r="C106" i="16"/>
  <c r="G63" i="16"/>
  <c r="E25" i="16"/>
  <c r="C85" i="11"/>
  <c r="C244" i="10"/>
  <c r="C186" i="10"/>
  <c r="D378" i="9"/>
  <c r="E290" i="9"/>
  <c r="D140" i="9"/>
  <c r="C88" i="9"/>
  <c r="E75" i="9"/>
  <c r="E527" i="8"/>
  <c r="E510" i="8"/>
  <c r="E485" i="8"/>
  <c r="E395" i="8"/>
  <c r="C331" i="8"/>
  <c r="G254" i="8"/>
  <c r="I254" i="8" s="1"/>
  <c r="D244" i="8"/>
  <c r="C232" i="8"/>
  <c r="E197" i="8"/>
  <c r="G143" i="8"/>
  <c r="I143" i="8" s="1"/>
  <c r="D64" i="8"/>
  <c r="D44" i="8"/>
  <c r="G33" i="8"/>
  <c r="I33" i="8" s="1"/>
  <c r="D528" i="7"/>
  <c r="D493" i="7"/>
  <c r="G482" i="7"/>
  <c r="I482" i="7" s="1"/>
  <c r="D444" i="7"/>
  <c r="E438" i="7"/>
  <c r="D429" i="7"/>
  <c r="C418" i="7"/>
  <c r="G345" i="7"/>
  <c r="I345" i="7" s="1"/>
  <c r="D332" i="7"/>
  <c r="D192" i="7"/>
  <c r="D177" i="7"/>
  <c r="D172" i="7"/>
  <c r="E100" i="7"/>
  <c r="C61" i="7"/>
  <c r="E191" i="16"/>
  <c r="E142" i="16"/>
  <c r="C102" i="16"/>
  <c r="G57" i="16"/>
  <c r="C25" i="16"/>
  <c r="E84" i="11"/>
  <c r="C242" i="10"/>
  <c r="G95" i="10"/>
  <c r="I95" i="10" s="1"/>
  <c r="I96" i="10" s="1"/>
  <c r="G94" i="10" s="1"/>
  <c r="G68" i="10"/>
  <c r="I68" i="10" s="1"/>
  <c r="I69" i="10" s="1"/>
  <c r="G67" i="10" s="1"/>
  <c r="C378" i="9"/>
  <c r="E256" i="9"/>
  <c r="G68" i="9"/>
  <c r="I68" i="9" s="1"/>
  <c r="D526" i="8"/>
  <c r="D510" i="8"/>
  <c r="D498" i="8"/>
  <c r="G319" i="8"/>
  <c r="I319" i="8" s="1"/>
  <c r="D289" i="8"/>
  <c r="E243" i="8"/>
  <c r="E185" i="8"/>
  <c r="E143" i="8"/>
  <c r="G75" i="8"/>
  <c r="I75" i="8" s="1"/>
  <c r="C64" i="8"/>
  <c r="G53" i="8"/>
  <c r="I53" i="8" s="1"/>
  <c r="C44" i="8"/>
  <c r="D33" i="8"/>
  <c r="G23" i="8"/>
  <c r="I23" i="8" s="1"/>
  <c r="G13" i="8"/>
  <c r="I13" i="8" s="1"/>
  <c r="C493" i="7"/>
  <c r="E482" i="7"/>
  <c r="E458" i="7"/>
  <c r="C444" i="7"/>
  <c r="D438" i="7"/>
  <c r="E399" i="7"/>
  <c r="G360" i="7"/>
  <c r="I360" i="7" s="1"/>
  <c r="D345" i="7"/>
  <c r="G311" i="7"/>
  <c r="I311" i="7" s="1"/>
  <c r="G301" i="7"/>
  <c r="I301" i="7" s="1"/>
  <c r="G216" i="7"/>
  <c r="I216" i="7" s="1"/>
  <c r="G191" i="7"/>
  <c r="I191" i="7" s="1"/>
  <c r="E167" i="7"/>
  <c r="D100" i="7"/>
  <c r="E89" i="7"/>
  <c r="D191" i="16"/>
  <c r="E138" i="16"/>
  <c r="E101" i="16"/>
  <c r="E57" i="16"/>
  <c r="G24" i="16"/>
  <c r="C27" i="11"/>
  <c r="G210" i="10"/>
  <c r="I210" i="10" s="1"/>
  <c r="E95" i="10"/>
  <c r="C256" i="9"/>
  <c r="D225" i="9"/>
  <c r="G102" i="9"/>
  <c r="I102" i="9" s="1"/>
  <c r="E68" i="9"/>
  <c r="G23" i="9"/>
  <c r="I23" i="9" s="1"/>
  <c r="I24" i="9" s="1"/>
  <c r="G22" i="9" s="1"/>
  <c r="G551" i="8"/>
  <c r="I551" i="8" s="1"/>
  <c r="C510" i="8"/>
  <c r="C498" i="8"/>
  <c r="D414" i="8"/>
  <c r="C310" i="8"/>
  <c r="G263" i="8"/>
  <c r="I263" i="8" s="1"/>
  <c r="C230" i="8"/>
  <c r="C185" i="8"/>
  <c r="D143" i="8"/>
  <c r="E131" i="8"/>
  <c r="D75" i="8"/>
  <c r="E53" i="8"/>
  <c r="E42" i="8"/>
  <c r="D32" i="8"/>
  <c r="E13" i="8"/>
  <c r="C542" i="7"/>
  <c r="E492" i="7"/>
  <c r="D482" i="7"/>
  <c r="C458" i="7"/>
  <c r="C438" i="7"/>
  <c r="G408" i="7"/>
  <c r="I408" i="7" s="1"/>
  <c r="E360" i="7"/>
  <c r="C345" i="7"/>
  <c r="E301" i="7"/>
  <c r="D254" i="7"/>
  <c r="D216" i="7"/>
  <c r="G171" i="7"/>
  <c r="I171" i="7" s="1"/>
  <c r="C166" i="7"/>
  <c r="D89" i="7"/>
  <c r="G54" i="7"/>
  <c r="I54" i="7" s="1"/>
  <c r="I55" i="7" s="1"/>
  <c r="E188" i="16"/>
  <c r="D138" i="16"/>
  <c r="D57" i="16"/>
  <c r="C23" i="16"/>
  <c r="D26" i="11"/>
  <c r="E210" i="10"/>
  <c r="D95" i="10"/>
  <c r="E58" i="10"/>
  <c r="E102" i="9"/>
  <c r="G87" i="9"/>
  <c r="I87" i="9" s="1"/>
  <c r="C66" i="9"/>
  <c r="D551" i="8"/>
  <c r="D525" i="8"/>
  <c r="C441" i="8"/>
  <c r="C414" i="8"/>
  <c r="G404" i="8"/>
  <c r="I404" i="8" s="1"/>
  <c r="G377" i="8"/>
  <c r="I377" i="8" s="1"/>
  <c r="G298" i="8"/>
  <c r="I298" i="8" s="1"/>
  <c r="E262" i="8"/>
  <c r="E242" i="8"/>
  <c r="E229" i="8"/>
  <c r="G205" i="8"/>
  <c r="I205" i="8" s="1"/>
  <c r="E194" i="8"/>
  <c r="G155" i="8"/>
  <c r="I155" i="8" s="1"/>
  <c r="D84" i="8"/>
  <c r="D73" i="8"/>
  <c r="D53" i="8"/>
  <c r="G41" i="8"/>
  <c r="I41" i="8" s="1"/>
  <c r="G31" i="8"/>
  <c r="I31" i="8" s="1"/>
  <c r="G22" i="8"/>
  <c r="I22" i="8" s="1"/>
  <c r="D12" i="8"/>
  <c r="C116" i="16"/>
  <c r="G45" i="16"/>
  <c r="E158" i="10"/>
  <c r="G89" i="10"/>
  <c r="I89" i="10" s="1"/>
  <c r="D216" i="9"/>
  <c r="D101" i="9"/>
  <c r="G77" i="9"/>
  <c r="I77" i="9" s="1"/>
  <c r="G271" i="8"/>
  <c r="I271" i="8" s="1"/>
  <c r="E256" i="8"/>
  <c r="E205" i="8"/>
  <c r="E192" i="8"/>
  <c r="D160" i="8"/>
  <c r="D142" i="8"/>
  <c r="C128" i="8"/>
  <c r="E87" i="8"/>
  <c r="D41" i="8"/>
  <c r="D10" i="8"/>
  <c r="G551" i="7"/>
  <c r="I551" i="7" s="1"/>
  <c r="D442" i="7"/>
  <c r="D430" i="7"/>
  <c r="C408" i="7"/>
  <c r="D397" i="7"/>
  <c r="G329" i="7"/>
  <c r="I329" i="7" s="1"/>
  <c r="C214" i="7"/>
  <c r="G17" i="7"/>
  <c r="I17" i="7" s="1"/>
  <c r="C170" i="16"/>
  <c r="G108" i="16"/>
  <c r="C45" i="16"/>
  <c r="D258" i="10"/>
  <c r="C89" i="10"/>
  <c r="C23" i="10"/>
  <c r="D299" i="9"/>
  <c r="C280" i="9"/>
  <c r="E214" i="9"/>
  <c r="E145" i="9"/>
  <c r="E77" i="9"/>
  <c r="E43" i="9"/>
  <c r="G559" i="8"/>
  <c r="I559" i="8" s="1"/>
  <c r="G461" i="8"/>
  <c r="I461" i="8" s="1"/>
  <c r="E396" i="8"/>
  <c r="D360" i="8"/>
  <c r="E271" i="8"/>
  <c r="E239" i="8"/>
  <c r="E203" i="8"/>
  <c r="C192" i="8"/>
  <c r="C159" i="8"/>
  <c r="E140" i="8"/>
  <c r="D87" i="8"/>
  <c r="E55" i="8"/>
  <c r="C41" i="8"/>
  <c r="C10" i="8"/>
  <c r="E551" i="7"/>
  <c r="C442" i="7"/>
  <c r="C430" i="7"/>
  <c r="E357" i="7"/>
  <c r="G318" i="7"/>
  <c r="I318" i="7" s="1"/>
  <c r="C253" i="7"/>
  <c r="G192" i="7"/>
  <c r="I192" i="7" s="1"/>
  <c r="G168" i="7"/>
  <c r="I168" i="7" s="1"/>
  <c r="E17" i="7"/>
  <c r="D165" i="16"/>
  <c r="E88" i="16"/>
  <c r="G38" i="16"/>
  <c r="E50" i="11"/>
  <c r="G241" i="10"/>
  <c r="I241" i="10" s="1"/>
  <c r="D391" i="9"/>
  <c r="D279" i="9"/>
  <c r="G140" i="9"/>
  <c r="I140" i="9" s="1"/>
  <c r="I141" i="9" s="1"/>
  <c r="D77" i="9"/>
  <c r="D43" i="9"/>
  <c r="E559" i="8"/>
  <c r="E461" i="8"/>
  <c r="C298" i="8"/>
  <c r="D270" i="8"/>
  <c r="D239" i="8"/>
  <c r="D203" i="8"/>
  <c r="G171" i="8"/>
  <c r="I171" i="8" s="1"/>
  <c r="D140" i="8"/>
  <c r="C98" i="8"/>
  <c r="C87" i="8"/>
  <c r="G71" i="8"/>
  <c r="I71" i="8" s="1"/>
  <c r="E54" i="8"/>
  <c r="D357" i="7"/>
  <c r="E328" i="7"/>
  <c r="E192" i="7"/>
  <c r="D168" i="7"/>
  <c r="G145" i="7"/>
  <c r="I145" i="7" s="1"/>
  <c r="D120" i="7"/>
  <c r="G163" i="16"/>
  <c r="E76" i="16"/>
  <c r="C210" i="10"/>
  <c r="D423" i="9"/>
  <c r="D104" i="9"/>
  <c r="D28" i="9"/>
  <c r="G545" i="8"/>
  <c r="I545" i="8" s="1"/>
  <c r="D387" i="8"/>
  <c r="E169" i="8"/>
  <c r="G144" i="8"/>
  <c r="I144" i="8" s="1"/>
  <c r="G120" i="8"/>
  <c r="I120" i="8" s="1"/>
  <c r="G108" i="8"/>
  <c r="I108" i="8" s="1"/>
  <c r="G72" i="8"/>
  <c r="I72" i="8" s="1"/>
  <c r="C31" i="8"/>
  <c r="D530" i="7"/>
  <c r="G437" i="7"/>
  <c r="I437" i="7" s="1"/>
  <c r="E330" i="7"/>
  <c r="C215" i="7"/>
  <c r="C188" i="7"/>
  <c r="G176" i="7"/>
  <c r="I176" i="7" s="1"/>
  <c r="E155" i="7"/>
  <c r="E137" i="7"/>
  <c r="C54" i="7"/>
  <c r="E20" i="7"/>
  <c r="G290" i="9"/>
  <c r="I290" i="9" s="1"/>
  <c r="C230" i="9"/>
  <c r="D65" i="9"/>
  <c r="D536" i="8"/>
  <c r="C228" i="8"/>
  <c r="E182" i="8"/>
  <c r="E119" i="8"/>
  <c r="C107" i="8"/>
  <c r="C89" i="8"/>
  <c r="D45" i="8"/>
  <c r="C30" i="8"/>
  <c r="C540" i="7"/>
  <c r="G529" i="7"/>
  <c r="I529" i="7" s="1"/>
  <c r="D445" i="7"/>
  <c r="G429" i="7"/>
  <c r="I429" i="7" s="1"/>
  <c r="G398" i="7"/>
  <c r="I398" i="7" s="1"/>
  <c r="C187" i="7"/>
  <c r="E173" i="7"/>
  <c r="D161" i="8"/>
  <c r="G138" i="8"/>
  <c r="I138" i="8" s="1"/>
  <c r="C243" i="7"/>
  <c r="D161" i="16"/>
  <c r="C76" i="16"/>
  <c r="C99" i="11"/>
  <c r="C423" i="9"/>
  <c r="E267" i="9"/>
  <c r="D153" i="9"/>
  <c r="D423" i="8"/>
  <c r="E404" i="8"/>
  <c r="C270" i="8"/>
  <c r="D144" i="8"/>
  <c r="E120" i="8"/>
  <c r="E108" i="8"/>
  <c r="C71" i="8"/>
  <c r="C530" i="7"/>
  <c r="G430" i="7"/>
  <c r="I430" i="7" s="1"/>
  <c r="E213" i="7"/>
  <c r="D165" i="7"/>
  <c r="D137" i="7"/>
  <c r="C20" i="7"/>
  <c r="E137" i="16"/>
  <c r="C57" i="16"/>
  <c r="C23" i="12"/>
  <c r="D97" i="11"/>
  <c r="E192" i="10"/>
  <c r="E120" i="10"/>
  <c r="G387" i="9"/>
  <c r="I387" i="9" s="1"/>
  <c r="C9" i="8"/>
  <c r="C328" i="7"/>
  <c r="G101" i="7"/>
  <c r="I101" i="7" s="1"/>
  <c r="D30" i="7"/>
  <c r="C56" i="16"/>
  <c r="C97" i="11"/>
  <c r="D120" i="10"/>
  <c r="D262" i="8"/>
  <c r="E22" i="8"/>
  <c r="E529" i="7"/>
  <c r="E444" i="7"/>
  <c r="E75" i="16"/>
  <c r="E28" i="12"/>
  <c r="E97" i="11"/>
  <c r="G192" i="10"/>
  <c r="I192" i="10" s="1"/>
  <c r="D313" i="9"/>
  <c r="D230" i="9"/>
  <c r="C153" i="9"/>
  <c r="E65" i="9"/>
  <c r="C8" i="9"/>
  <c r="G494" i="8"/>
  <c r="I494" i="8" s="1"/>
  <c r="C423" i="8"/>
  <c r="G228" i="8"/>
  <c r="I228" i="8" s="1"/>
  <c r="G182" i="8"/>
  <c r="I182" i="8" s="1"/>
  <c r="G119" i="8"/>
  <c r="I119" i="8" s="1"/>
  <c r="D107" i="8"/>
  <c r="D30" i="8"/>
  <c r="D9" i="8"/>
  <c r="E541" i="7"/>
  <c r="G446" i="7"/>
  <c r="I446" i="7" s="1"/>
  <c r="E430" i="7"/>
  <c r="D328" i="7"/>
  <c r="D187" i="7"/>
  <c r="C137" i="7"/>
  <c r="C47" i="7"/>
  <c r="E30" i="7"/>
  <c r="D192" i="10"/>
  <c r="E387" i="9"/>
  <c r="C65" i="9"/>
  <c r="G535" i="8"/>
  <c r="I535" i="8" s="1"/>
  <c r="G282" i="8"/>
  <c r="I282" i="8" s="1"/>
  <c r="G245" i="8"/>
  <c r="I245" i="8" s="1"/>
  <c r="G44" i="8"/>
  <c r="I44" i="8" s="1"/>
  <c r="E429" i="7"/>
  <c r="C398" i="7"/>
  <c r="D173" i="7"/>
  <c r="G21" i="7"/>
  <c r="I21" i="7" s="1"/>
  <c r="C357" i="7"/>
  <c r="F21" i="4"/>
  <c r="F446" i="5"/>
  <c r="W446" i="5" s="1"/>
  <c r="D54" i="7"/>
  <c r="E111" i="7"/>
  <c r="C156" i="7"/>
  <c r="E177" i="7"/>
  <c r="G190" i="7"/>
  <c r="I190" i="7" s="1"/>
  <c r="D301" i="7"/>
  <c r="D344" i="7"/>
  <c r="E358" i="7"/>
  <c r="G500" i="7"/>
  <c r="I500" i="7" s="1"/>
  <c r="C77" i="8"/>
  <c r="C129" i="8"/>
  <c r="G169" i="8"/>
  <c r="I169" i="8" s="1"/>
  <c r="E318" i="8"/>
  <c r="E535" i="8"/>
  <c r="E216" i="9"/>
  <c r="C428" i="9"/>
  <c r="G85" i="16"/>
  <c r="N656" i="6"/>
  <c r="C189" i="7"/>
  <c r="E21" i="8"/>
  <c r="G97" i="8"/>
  <c r="I97" i="8" s="1"/>
  <c r="D155" i="8"/>
  <c r="E450" i="8"/>
  <c r="N150" i="6"/>
  <c r="N371" i="6"/>
  <c r="F201" i="4" s="1"/>
  <c r="N681" i="6"/>
  <c r="E54" i="7"/>
  <c r="G111" i="7"/>
  <c r="I111" i="7" s="1"/>
  <c r="E332" i="7"/>
  <c r="G344" i="7"/>
  <c r="I344" i="7" s="1"/>
  <c r="E530" i="7"/>
  <c r="C39" i="8"/>
  <c r="D77" i="8"/>
  <c r="E170" i="8"/>
  <c r="G318" i="8"/>
  <c r="I318" i="8" s="1"/>
  <c r="G432" i="8"/>
  <c r="I432" i="8" s="1"/>
  <c r="C460" i="8"/>
  <c r="G216" i="9"/>
  <c r="I216" i="9" s="1"/>
  <c r="D433" i="9"/>
  <c r="C120" i="10"/>
  <c r="G87" i="16"/>
  <c r="B57" i="3"/>
  <c r="F467" i="5"/>
  <c r="W467" i="5" s="1"/>
  <c r="B465" i="5"/>
  <c r="B459" i="5"/>
  <c r="F449" i="5"/>
  <c r="W449" i="5" s="1"/>
  <c r="B447" i="5"/>
  <c r="F437" i="5"/>
  <c r="W437" i="5" s="1"/>
  <c r="B435" i="5"/>
  <c r="B429" i="5"/>
  <c r="F425" i="5"/>
  <c r="W425" i="5" s="1"/>
  <c r="B423" i="5"/>
  <c r="B411" i="5"/>
  <c r="F407" i="5"/>
  <c r="W407" i="5" s="1"/>
  <c r="B399" i="5"/>
  <c r="B393" i="5"/>
  <c r="F383" i="5"/>
  <c r="T383" i="5" s="1"/>
  <c r="F377" i="5"/>
  <c r="T377" i="5" s="1"/>
  <c r="B375" i="5"/>
  <c r="F365" i="5"/>
  <c r="T365" i="5" s="1"/>
  <c r="B363" i="5"/>
  <c r="F353" i="5"/>
  <c r="T353" i="5" s="1"/>
  <c r="F341" i="5"/>
  <c r="T341" i="5" s="1"/>
  <c r="B339" i="5"/>
  <c r="F335" i="5"/>
  <c r="T335" i="5" s="1"/>
  <c r="B327" i="5"/>
  <c r="F311" i="5"/>
  <c r="Q311" i="5" s="1"/>
  <c r="B309" i="5"/>
  <c r="B303" i="5"/>
  <c r="F293" i="5"/>
  <c r="Q293" i="5" s="1"/>
  <c r="B291" i="5"/>
  <c r="F281" i="5"/>
  <c r="Q281" i="5" s="1"/>
  <c r="B279" i="5"/>
  <c r="B273" i="5"/>
  <c r="F269" i="5"/>
  <c r="Q269" i="5" s="1"/>
  <c r="B267" i="5"/>
  <c r="B255" i="5"/>
  <c r="F251" i="5"/>
  <c r="Q251" i="5" s="1"/>
  <c r="B450" i="5"/>
  <c r="F444" i="5"/>
  <c r="W444" i="5" s="1"/>
  <c r="F442" i="5"/>
  <c r="W442" i="5" s="1"/>
  <c r="B419" i="5"/>
  <c r="F410" i="5"/>
  <c r="W410" i="5" s="1"/>
  <c r="B405" i="5"/>
  <c r="F399" i="5"/>
  <c r="T399" i="5" s="1"/>
  <c r="F388" i="5"/>
  <c r="T388" i="5" s="1"/>
  <c r="B385" i="5"/>
  <c r="F379" i="5"/>
  <c r="T379" i="5" s="1"/>
  <c r="B376" i="5"/>
  <c r="B366" i="5"/>
  <c r="B345" i="5"/>
  <c r="F339" i="5"/>
  <c r="T339" i="5" s="1"/>
  <c r="B334" i="5"/>
  <c r="B332" i="5"/>
  <c r="B321" i="5"/>
  <c r="B312" i="5"/>
  <c r="F306" i="5"/>
  <c r="Q306" i="5" s="1"/>
  <c r="B301" i="5"/>
  <c r="B292" i="5"/>
  <c r="B282" i="5"/>
  <c r="F265" i="5"/>
  <c r="Q265" i="5" s="1"/>
  <c r="B261" i="5"/>
  <c r="F253" i="5"/>
  <c r="Q253" i="5" s="1"/>
  <c r="B243" i="5"/>
  <c r="B237" i="5"/>
  <c r="F227" i="5"/>
  <c r="N227" i="5" s="1"/>
  <c r="F221" i="5"/>
  <c r="N221" i="5" s="1"/>
  <c r="B219" i="5"/>
  <c r="F209" i="5"/>
  <c r="N209" i="5" s="1"/>
  <c r="B207" i="5"/>
  <c r="F197" i="5"/>
  <c r="N197" i="5" s="1"/>
  <c r="F185" i="5"/>
  <c r="N185" i="5" s="1"/>
  <c r="B183" i="5"/>
  <c r="F179" i="5"/>
  <c r="N179" i="5" s="1"/>
  <c r="B171" i="5"/>
  <c r="F155" i="5"/>
  <c r="K155" i="5" s="1"/>
  <c r="B153" i="5"/>
  <c r="B147" i="5"/>
  <c r="F137" i="5"/>
  <c r="K137" i="5" s="1"/>
  <c r="B135" i="5"/>
  <c r="F125" i="5"/>
  <c r="K125" i="5" s="1"/>
  <c r="B123" i="5"/>
  <c r="B117" i="5"/>
  <c r="F113" i="5"/>
  <c r="K113" i="5" s="1"/>
  <c r="B111" i="5"/>
  <c r="B99" i="5"/>
  <c r="F95" i="5"/>
  <c r="K95" i="5" s="1"/>
  <c r="B87" i="5"/>
  <c r="B81" i="5"/>
  <c r="F71" i="5"/>
  <c r="K71" i="5" s="1"/>
  <c r="F65" i="5"/>
  <c r="K65" i="5" s="1"/>
  <c r="B63" i="5"/>
  <c r="B478" i="5"/>
  <c r="F471" i="5"/>
  <c r="W471" i="5" s="1"/>
  <c r="B467" i="5"/>
  <c r="F461" i="5"/>
  <c r="W461" i="5" s="1"/>
  <c r="B458" i="5"/>
  <c r="F452" i="5"/>
  <c r="W452" i="5" s="1"/>
  <c r="B437" i="5"/>
  <c r="F431" i="5"/>
  <c r="W431" i="5" s="1"/>
  <c r="B427" i="5"/>
  <c r="B418" i="5"/>
  <c r="B416" i="5"/>
  <c r="F408" i="5"/>
  <c r="W408" i="5" s="1"/>
  <c r="B403" i="5"/>
  <c r="B383" i="5"/>
  <c r="B374" i="5"/>
  <c r="F368" i="5"/>
  <c r="T368" i="5" s="1"/>
  <c r="B364" i="5"/>
  <c r="B353" i="5"/>
  <c r="F347" i="5"/>
  <c r="T347" i="5" s="1"/>
  <c r="B344" i="5"/>
  <c r="F337" i="5"/>
  <c r="T337" i="5" s="1"/>
  <c r="B330" i="5"/>
  <c r="B320" i="5"/>
  <c r="F314" i="5"/>
  <c r="Q314" i="5" s="1"/>
  <c r="B310" i="5"/>
  <c r="B300" i="5"/>
  <c r="F294" i="5"/>
  <c r="Q294" i="5" s="1"/>
  <c r="B290" i="5"/>
  <c r="F284" i="5"/>
  <c r="Q284" i="5" s="1"/>
  <c r="B280" i="5"/>
  <c r="B269" i="5"/>
  <c r="F263" i="5"/>
  <c r="Q263" i="5" s="1"/>
  <c r="B259" i="5"/>
  <c r="B248" i="5"/>
  <c r="F244" i="5"/>
  <c r="Q244" i="5" s="1"/>
  <c r="B242" i="5"/>
  <c r="F232" i="5"/>
  <c r="N232" i="5" s="1"/>
  <c r="B230" i="5"/>
  <c r="B224" i="5"/>
  <c r="B212" i="5"/>
  <c r="B200" i="5"/>
  <c r="F190" i="5"/>
  <c r="N190" i="5" s="1"/>
  <c r="B176" i="5"/>
  <c r="F172" i="5"/>
  <c r="N172" i="5" s="1"/>
  <c r="B158" i="5"/>
  <c r="B140" i="5"/>
  <c r="F130" i="5"/>
  <c r="K130" i="5" s="1"/>
  <c r="B128" i="5"/>
  <c r="F118" i="5"/>
  <c r="K118" i="5" s="1"/>
  <c r="B116" i="5"/>
  <c r="B110" i="5"/>
  <c r="B104" i="5"/>
  <c r="F100" i="5"/>
  <c r="K100" i="5" s="1"/>
  <c r="B92" i="5"/>
  <c r="F88" i="5"/>
  <c r="B86" i="5"/>
  <c r="F76" i="5"/>
  <c r="K76" i="5" s="1"/>
  <c r="B74" i="5"/>
  <c r="B68" i="5"/>
  <c r="B56" i="5"/>
  <c r="F46" i="5"/>
  <c r="K46" i="5" s="1"/>
  <c r="B44" i="5"/>
  <c r="F34" i="5"/>
  <c r="K34" i="5" s="1"/>
  <c r="B20" i="5"/>
  <c r="F16" i="5"/>
  <c r="K16" i="5" s="1"/>
  <c r="F473" i="4"/>
  <c r="F449" i="4"/>
  <c r="B447" i="4"/>
  <c r="B441" i="4"/>
  <c r="B429" i="4"/>
  <c r="B411" i="4"/>
  <c r="F407" i="4"/>
  <c r="B399" i="4"/>
  <c r="B393" i="4"/>
  <c r="B125" i="2" s="1"/>
  <c r="B387" i="4"/>
  <c r="F383" i="4"/>
  <c r="B381" i="4"/>
  <c r="B122" i="3" s="1"/>
  <c r="B375" i="4"/>
  <c r="B357" i="4"/>
  <c r="B345" i="4"/>
  <c r="F341" i="4"/>
  <c r="B339" i="4"/>
  <c r="B106" i="2" s="1"/>
  <c r="F335" i="4"/>
  <c r="B327" i="4"/>
  <c r="F317" i="4"/>
  <c r="F293" i="4"/>
  <c r="B291" i="4"/>
  <c r="B285" i="4"/>
  <c r="B273" i="4"/>
  <c r="B255" i="4"/>
  <c r="F251" i="4"/>
  <c r="B243" i="4"/>
  <c r="B237" i="4"/>
  <c r="B231" i="4"/>
  <c r="F227" i="4"/>
  <c r="B225" i="4"/>
  <c r="B219" i="4"/>
  <c r="B71" i="3" s="1"/>
  <c r="F209" i="4"/>
  <c r="B201" i="4"/>
  <c r="B189" i="4"/>
  <c r="F185" i="4"/>
  <c r="B183" i="4"/>
  <c r="B58" i="2" s="1"/>
  <c r="F179" i="4"/>
  <c r="B171" i="4"/>
  <c r="F161" i="4"/>
  <c r="F137" i="4"/>
  <c r="B135" i="4"/>
  <c r="B129" i="4"/>
  <c r="B117" i="4"/>
  <c r="B99" i="4"/>
  <c r="F95" i="4"/>
  <c r="B87" i="4"/>
  <c r="B81" i="4"/>
  <c r="B29" i="2" s="1"/>
  <c r="B75" i="4"/>
  <c r="F71" i="4"/>
  <c r="B69" i="4"/>
  <c r="B63" i="4"/>
  <c r="F53" i="4"/>
  <c r="B45" i="4"/>
  <c r="B33" i="4"/>
  <c r="F29" i="4"/>
  <c r="B27" i="4"/>
  <c r="B11" i="3" s="1"/>
  <c r="F23" i="4"/>
  <c r="B15" i="4"/>
  <c r="F478" i="5"/>
  <c r="W478" i="5" s="1"/>
  <c r="F475" i="5"/>
  <c r="W475" i="5" s="1"/>
  <c r="B455" i="5"/>
  <c r="B451" i="5"/>
  <c r="B448" i="5"/>
  <c r="B445" i="5"/>
  <c r="B424" i="5"/>
  <c r="B420" i="5"/>
  <c r="B417" i="5"/>
  <c r="F412" i="5"/>
  <c r="W412" i="5" s="1"/>
  <c r="B408" i="5"/>
  <c r="F403" i="5"/>
  <c r="W403" i="5" s="1"/>
  <c r="B336" i="5"/>
  <c r="B323" i="5"/>
  <c r="F313" i="5"/>
  <c r="Q313" i="5" s="1"/>
  <c r="F310" i="5"/>
  <c r="Q310" i="5" s="1"/>
  <c r="B287" i="5"/>
  <c r="F264" i="5"/>
  <c r="Q264" i="5" s="1"/>
  <c r="F254" i="5"/>
  <c r="Q254" i="5" s="1"/>
  <c r="B226" i="5"/>
  <c r="F216" i="5"/>
  <c r="N216" i="5" s="1"/>
  <c r="F210" i="5"/>
  <c r="N210" i="5" s="1"/>
  <c r="F208" i="5"/>
  <c r="N208" i="5" s="1"/>
  <c r="B194" i="5"/>
  <c r="B174" i="5"/>
  <c r="B172" i="5"/>
  <c r="B170" i="5"/>
  <c r="F154" i="5"/>
  <c r="K154" i="5" s="1"/>
  <c r="B148" i="5"/>
  <c r="B144" i="5"/>
  <c r="F132" i="5"/>
  <c r="K132" i="5" s="1"/>
  <c r="F124" i="5"/>
  <c r="K124" i="5" s="1"/>
  <c r="B102" i="5"/>
  <c r="B100" i="5"/>
  <c r="B98" i="5"/>
  <c r="B96" i="5"/>
  <c r="B94" i="5"/>
  <c r="B88" i="5"/>
  <c r="F72" i="5"/>
  <c r="K72" i="5" s="1"/>
  <c r="B66" i="5"/>
  <c r="B60" i="5"/>
  <c r="F52" i="5"/>
  <c r="K52" i="5" s="1"/>
  <c r="B37" i="5"/>
  <c r="B28" i="5"/>
  <c r="F20" i="5"/>
  <c r="K20" i="5" s="1"/>
  <c r="B15" i="5"/>
  <c r="B13" i="5"/>
  <c r="B472" i="4"/>
  <c r="B150" i="2" s="1"/>
  <c r="F466" i="4"/>
  <c r="F457" i="4"/>
  <c r="B452" i="4"/>
  <c r="F446" i="4"/>
  <c r="B442" i="4"/>
  <c r="F436" i="4"/>
  <c r="B432" i="4"/>
  <c r="F426" i="4"/>
  <c r="F415" i="4"/>
  <c r="B410" i="4"/>
  <c r="F402" i="4"/>
  <c r="F392" i="4"/>
  <c r="B388" i="4"/>
  <c r="F382" i="4"/>
  <c r="B379" i="4"/>
  <c r="F373" i="4"/>
  <c r="B368" i="4"/>
  <c r="B358" i="4"/>
  <c r="F352" i="4"/>
  <c r="B348" i="4"/>
  <c r="B337" i="4"/>
  <c r="F329" i="4"/>
  <c r="B324" i="4"/>
  <c r="B314" i="4"/>
  <c r="B304" i="4"/>
  <c r="B295" i="4"/>
  <c r="F289" i="4"/>
  <c r="B284" i="4"/>
  <c r="B274" i="4"/>
  <c r="F268" i="4"/>
  <c r="B265" i="4"/>
  <c r="B84" i="3" s="1"/>
  <c r="F258" i="4"/>
  <c r="F256" i="4"/>
  <c r="B251" i="4"/>
  <c r="B241" i="4"/>
  <c r="F235" i="4"/>
  <c r="B230" i="4"/>
  <c r="B75" i="2" s="1"/>
  <c r="B221" i="4"/>
  <c r="F215" i="4"/>
  <c r="B211" i="4"/>
  <c r="F205" i="4"/>
  <c r="B200" i="4"/>
  <c r="B190" i="4"/>
  <c r="F184" i="4"/>
  <c r="B180" i="4"/>
  <c r="F170" i="4"/>
  <c r="B157" i="4"/>
  <c r="F151" i="4"/>
  <c r="B137" i="4"/>
  <c r="F131" i="4"/>
  <c r="B127" i="4"/>
  <c r="F121" i="4"/>
  <c r="B106" i="4"/>
  <c r="F99" i="4"/>
  <c r="B94" i="4"/>
  <c r="B92" i="4"/>
  <c r="F86" i="4"/>
  <c r="B73" i="4"/>
  <c r="B64" i="4"/>
  <c r="B53" i="4"/>
  <c r="B43" i="4"/>
  <c r="B32" i="4"/>
  <c r="B12" i="2" s="1"/>
  <c r="F26" i="4"/>
  <c r="B21" i="4"/>
  <c r="F13" i="4"/>
  <c r="B10" i="4"/>
  <c r="B8" i="4"/>
  <c r="B475" i="5"/>
  <c r="B469" i="5"/>
  <c r="B466" i="5"/>
  <c r="B462" i="5"/>
  <c r="B454" i="5"/>
  <c r="B426" i="5"/>
  <c r="B422" i="5"/>
  <c r="B410" i="5"/>
  <c r="F405" i="5"/>
  <c r="W405" i="5" s="1"/>
  <c r="B382" i="5"/>
  <c r="B379" i="5"/>
  <c r="B372" i="5"/>
  <c r="B369" i="5"/>
  <c r="F362" i="5"/>
  <c r="T362" i="5" s="1"/>
  <c r="F359" i="5"/>
  <c r="T359" i="5" s="1"/>
  <c r="F356" i="5"/>
  <c r="T356" i="5" s="1"/>
  <c r="B351" i="5"/>
  <c r="B341" i="5"/>
  <c r="B338" i="5"/>
  <c r="B329" i="5"/>
  <c r="F322" i="5"/>
  <c r="Q322" i="5" s="1"/>
  <c r="F319" i="5"/>
  <c r="Q319" i="5" s="1"/>
  <c r="F315" i="5"/>
  <c r="Q315" i="5" s="1"/>
  <c r="B289" i="5"/>
  <c r="F256" i="5"/>
  <c r="Q256" i="5" s="1"/>
  <c r="F237" i="5"/>
  <c r="N237" i="5" s="1"/>
  <c r="F235" i="5"/>
  <c r="N235" i="5" s="1"/>
  <c r="B225" i="5"/>
  <c r="B223" i="5"/>
  <c r="F205" i="5"/>
  <c r="N205" i="5" s="1"/>
  <c r="B191" i="5"/>
  <c r="B187" i="5"/>
  <c r="B185" i="5"/>
  <c r="B163" i="5"/>
  <c r="B141" i="5"/>
  <c r="F121" i="5"/>
  <c r="K121" i="5" s="1"/>
  <c r="B109" i="5"/>
  <c r="B107" i="5"/>
  <c r="F93" i="5"/>
  <c r="K93" i="5" s="1"/>
  <c r="F91" i="5"/>
  <c r="K91" i="5" s="1"/>
  <c r="B85" i="5"/>
  <c r="B79" i="5"/>
  <c r="B57" i="5"/>
  <c r="B47" i="5"/>
  <c r="F41" i="5"/>
  <c r="K41" i="5" s="1"/>
  <c r="F39" i="5"/>
  <c r="K39" i="5" s="1"/>
  <c r="B36" i="5"/>
  <c r="F30" i="5"/>
  <c r="K30" i="5" s="1"/>
  <c r="B26" i="5"/>
  <c r="F18" i="5"/>
  <c r="K18" i="5" s="1"/>
  <c r="B12" i="5"/>
  <c r="F474" i="4"/>
  <c r="B471" i="4"/>
  <c r="B149" i="2" s="1"/>
  <c r="B461" i="4"/>
  <c r="F454" i="4"/>
  <c r="B431" i="4"/>
  <c r="B136" i="3" s="1"/>
  <c r="F423" i="4"/>
  <c r="B420" i="4"/>
  <c r="F413" i="4"/>
  <c r="B408" i="4"/>
  <c r="B396" i="4"/>
  <c r="F390" i="4"/>
  <c r="F370" i="4"/>
  <c r="F360" i="4"/>
  <c r="F350" i="4"/>
  <c r="B347" i="4"/>
  <c r="B335" i="4"/>
  <c r="F327" i="4"/>
  <c r="B323" i="4"/>
  <c r="B312" i="4"/>
  <c r="B303" i="4"/>
  <c r="B97" i="2" s="1"/>
  <c r="B294" i="4"/>
  <c r="B94" i="3" s="1"/>
  <c r="F286" i="4"/>
  <c r="B282" i="4"/>
  <c r="F276" i="4"/>
  <c r="B272" i="4"/>
  <c r="B263" i="4"/>
  <c r="F254" i="4"/>
  <c r="B249" i="4"/>
  <c r="F243" i="4"/>
  <c r="B239" i="4"/>
  <c r="F232" i="4"/>
  <c r="F223" i="4"/>
  <c r="B210" i="4"/>
  <c r="F202" i="4"/>
  <c r="B198" i="4"/>
  <c r="F192" i="4"/>
  <c r="B178" i="4"/>
  <c r="B176" i="4"/>
  <c r="F168" i="4"/>
  <c r="B165" i="4"/>
  <c r="F148" i="4"/>
  <c r="B145" i="4"/>
  <c r="F139" i="4"/>
  <c r="F129" i="4"/>
  <c r="F118" i="4"/>
  <c r="B114" i="4"/>
  <c r="B105" i="4"/>
  <c r="F97" i="4"/>
  <c r="B90" i="4"/>
  <c r="F75" i="4"/>
  <c r="B72" i="4"/>
  <c r="F66" i="4"/>
  <c r="B61" i="4"/>
  <c r="F55" i="4"/>
  <c r="B51" i="4"/>
  <c r="F45" i="4"/>
  <c r="F34" i="4"/>
  <c r="B31" i="4"/>
  <c r="B11" i="2" s="1"/>
  <c r="F24" i="4"/>
  <c r="B19" i="4"/>
  <c r="B7" i="4"/>
  <c r="B471" i="5"/>
  <c r="B468" i="5"/>
  <c r="B433" i="5"/>
  <c r="B430" i="5"/>
  <c r="F414" i="5"/>
  <c r="W414" i="5" s="1"/>
  <c r="B412" i="5"/>
  <c r="B396" i="5"/>
  <c r="B386" i="5"/>
  <c r="B381" i="5"/>
  <c r="B378" i="5"/>
  <c r="B350" i="5"/>
  <c r="B347" i="5"/>
  <c r="B343" i="5"/>
  <c r="B340" i="5"/>
  <c r="B331" i="5"/>
  <c r="F326" i="5"/>
  <c r="T326" i="5" s="1"/>
  <c r="B306" i="5"/>
  <c r="B296" i="5"/>
  <c r="B293" i="5"/>
  <c r="F286" i="5"/>
  <c r="Q286" i="5" s="1"/>
  <c r="F283" i="5"/>
  <c r="Q283" i="5" s="1"/>
  <c r="F280" i="5"/>
  <c r="Q280" i="5" s="1"/>
  <c r="F277" i="5"/>
  <c r="Q277" i="5" s="1"/>
  <c r="B250" i="5"/>
  <c r="B244" i="5"/>
  <c r="F228" i="5"/>
  <c r="N228" i="5" s="1"/>
  <c r="B222" i="5"/>
  <c r="B216" i="5"/>
  <c r="F196" i="5"/>
  <c r="N196" i="5" s="1"/>
  <c r="B184" i="5"/>
  <c r="B182" i="5"/>
  <c r="B180" i="5"/>
  <c r="B178" i="5"/>
  <c r="B166" i="5"/>
  <c r="F150" i="5"/>
  <c r="K150" i="5" s="1"/>
  <c r="F146" i="5"/>
  <c r="K146" i="5" s="1"/>
  <c r="B138" i="5"/>
  <c r="B132" i="5"/>
  <c r="B130" i="5"/>
  <c r="F112" i="5"/>
  <c r="K112" i="5" s="1"/>
  <c r="B106" i="5"/>
  <c r="B78" i="5"/>
  <c r="B76" i="5"/>
  <c r="F68" i="5"/>
  <c r="K68" i="5" s="1"/>
  <c r="F62" i="5"/>
  <c r="K62" i="5" s="1"/>
  <c r="B472" i="5"/>
  <c r="B463" i="5"/>
  <c r="F458" i="5"/>
  <c r="W458" i="5" s="1"/>
  <c r="B441" i="5"/>
  <c r="B425" i="5"/>
  <c r="B400" i="5"/>
  <c r="B394" i="5"/>
  <c r="B391" i="5"/>
  <c r="F372" i="5"/>
  <c r="T372" i="5" s="1"/>
  <c r="B360" i="5"/>
  <c r="B356" i="5"/>
  <c r="F318" i="5"/>
  <c r="Q318" i="5" s="1"/>
  <c r="F287" i="5"/>
  <c r="Q287" i="5" s="1"/>
  <c r="F278" i="5"/>
  <c r="Q278" i="5" s="1"/>
  <c r="B270" i="5"/>
  <c r="B247" i="5"/>
  <c r="F233" i="5"/>
  <c r="N233" i="5" s="1"/>
  <c r="F224" i="5"/>
  <c r="N224" i="5" s="1"/>
  <c r="B221" i="5"/>
  <c r="B206" i="5"/>
  <c r="B202" i="5"/>
  <c r="F182" i="5"/>
  <c r="N182" i="5" s="1"/>
  <c r="B177" i="5"/>
  <c r="F174" i="5"/>
  <c r="N174" i="5" s="1"/>
  <c r="B167" i="5"/>
  <c r="B152" i="5"/>
  <c r="B143" i="5"/>
  <c r="F138" i="5"/>
  <c r="K138" i="5" s="1"/>
  <c r="F134" i="5"/>
  <c r="K134" i="5" s="1"/>
  <c r="B124" i="5"/>
  <c r="F119" i="5"/>
  <c r="K119" i="5" s="1"/>
  <c r="F104" i="5"/>
  <c r="K104" i="5" s="1"/>
  <c r="B89" i="5"/>
  <c r="F80" i="5"/>
  <c r="K80" i="5" s="1"/>
  <c r="F60" i="5"/>
  <c r="K60" i="5" s="1"/>
  <c r="F14" i="5"/>
  <c r="K14" i="5" s="1"/>
  <c r="B469" i="4"/>
  <c r="B466" i="4"/>
  <c r="B462" i="4"/>
  <c r="B459" i="4"/>
  <c r="B145" i="2" s="1"/>
  <c r="B456" i="4"/>
  <c r="F442" i="4"/>
  <c r="F439" i="4"/>
  <c r="B428" i="4"/>
  <c r="F405" i="4"/>
  <c r="F399" i="4"/>
  <c r="F396" i="4"/>
  <c r="B376" i="4"/>
  <c r="B372" i="4"/>
  <c r="B117" i="2" s="1"/>
  <c r="B369" i="4"/>
  <c r="B117" i="3" s="1"/>
  <c r="B366" i="4"/>
  <c r="B344" i="4"/>
  <c r="B341" i="4"/>
  <c r="B338" i="4"/>
  <c r="F333" i="4"/>
  <c r="B329" i="4"/>
  <c r="F324" i="4"/>
  <c r="F274" i="4"/>
  <c r="B257" i="4"/>
  <c r="B244" i="4"/>
  <c r="B80" i="2" s="1"/>
  <c r="F234" i="4"/>
  <c r="F231" i="4"/>
  <c r="B208" i="4"/>
  <c r="F175" i="4"/>
  <c r="B169" i="4"/>
  <c r="F144" i="4"/>
  <c r="F134" i="4"/>
  <c r="B126" i="4"/>
  <c r="B123" i="4"/>
  <c r="B120" i="4"/>
  <c r="F116" i="4"/>
  <c r="F106" i="4"/>
  <c r="F103" i="4"/>
  <c r="F94" i="4"/>
  <c r="B89" i="4"/>
  <c r="B33" i="2" s="1"/>
  <c r="B86" i="4"/>
  <c r="B83" i="4"/>
  <c r="B79" i="4"/>
  <c r="B76" i="4"/>
  <c r="B40" i="4"/>
  <c r="B30" i="4"/>
  <c r="B20" i="4"/>
  <c r="B477" i="5"/>
  <c r="B457" i="5"/>
  <c r="B438" i="5"/>
  <c r="B434" i="5"/>
  <c r="F429" i="5"/>
  <c r="W429" i="5" s="1"/>
  <c r="F419" i="5"/>
  <c r="W419" i="5" s="1"/>
  <c r="F415" i="5"/>
  <c r="W415" i="5" s="1"/>
  <c r="B387" i="5"/>
  <c r="B377" i="5"/>
  <c r="B354" i="5"/>
  <c r="F349" i="5"/>
  <c r="T349" i="5" s="1"/>
  <c r="F336" i="5"/>
  <c r="T336" i="5" s="1"/>
  <c r="B333" i="5"/>
  <c r="F321" i="5"/>
  <c r="Q321" i="5" s="1"/>
  <c r="B316" i="5"/>
  <c r="B307" i="5"/>
  <c r="F291" i="5"/>
  <c r="Q291" i="5" s="1"/>
  <c r="B274" i="5"/>
  <c r="F219" i="5"/>
  <c r="N219" i="5" s="1"/>
  <c r="B186" i="5"/>
  <c r="B179" i="5"/>
  <c r="B161" i="5"/>
  <c r="B156" i="5"/>
  <c r="B142" i="5"/>
  <c r="B122" i="5"/>
  <c r="F108" i="5"/>
  <c r="K108" i="5" s="1"/>
  <c r="F101" i="5"/>
  <c r="K101" i="5" s="1"/>
  <c r="F98" i="5"/>
  <c r="K98" i="5" s="1"/>
  <c r="B84" i="5"/>
  <c r="B71" i="5"/>
  <c r="F40" i="5"/>
  <c r="K40" i="5" s="1"/>
  <c r="B33" i="5"/>
  <c r="F26" i="5"/>
  <c r="K26" i="5" s="1"/>
  <c r="B24" i="5"/>
  <c r="F21" i="5"/>
  <c r="K21" i="5" s="1"/>
  <c r="F477" i="4"/>
  <c r="B470" i="4"/>
  <c r="F451" i="4"/>
  <c r="F438" i="4"/>
  <c r="F428" i="4"/>
  <c r="F424" i="4"/>
  <c r="F420" i="4"/>
  <c r="B417" i="4"/>
  <c r="B130" i="2" s="1"/>
  <c r="F414" i="4"/>
  <c r="F409" i="4"/>
  <c r="B395" i="4"/>
  <c r="F371" i="4"/>
  <c r="B355" i="4"/>
  <c r="F348" i="4"/>
  <c r="B328" i="4"/>
  <c r="F310" i="4"/>
  <c r="B302" i="4"/>
  <c r="B96" i="2" s="1"/>
  <c r="F295" i="4"/>
  <c r="B288" i="4"/>
  <c r="B91" i="2" s="1"/>
  <c r="F282" i="4"/>
  <c r="B279" i="4"/>
  <c r="B275" i="4"/>
  <c r="F272" i="4"/>
  <c r="B264" i="4"/>
  <c r="F253" i="4"/>
  <c r="F248" i="4"/>
  <c r="B212" i="4"/>
  <c r="B199" i="4"/>
  <c r="F195" i="4"/>
  <c r="B188" i="4"/>
  <c r="B179" i="4"/>
  <c r="B174" i="4"/>
  <c r="F157" i="4"/>
  <c r="B150" i="4"/>
  <c r="B50" i="2" s="1"/>
  <c r="B146" i="4"/>
  <c r="B48" i="2" s="1"/>
  <c r="B132" i="4"/>
  <c r="B122" i="4"/>
  <c r="B108" i="4"/>
  <c r="F104" i="4"/>
  <c r="F92" i="4"/>
  <c r="B88" i="4"/>
  <c r="B33" i="3" s="1"/>
  <c r="B74" i="4"/>
  <c r="B27" i="2" s="1"/>
  <c r="B56" i="4"/>
  <c r="F52" i="4"/>
  <c r="B46" i="4"/>
  <c r="F28" i="4"/>
  <c r="B23" i="4"/>
  <c r="B18" i="4"/>
  <c r="F15" i="4"/>
  <c r="F477" i="5"/>
  <c r="W477" i="5" s="1"/>
  <c r="B473" i="5"/>
  <c r="F436" i="5"/>
  <c r="W436" i="5" s="1"/>
  <c r="B421" i="5"/>
  <c r="B413" i="5"/>
  <c r="B409" i="5"/>
  <c r="B373" i="5"/>
  <c r="B359" i="5"/>
  <c r="F338" i="5"/>
  <c r="T338" i="5" s="1"/>
  <c r="F331" i="5"/>
  <c r="T331" i="5" s="1"/>
  <c r="B324" i="5"/>
  <c r="B313" i="5"/>
  <c r="B308" i="5"/>
  <c r="F301" i="5"/>
  <c r="Q301" i="5" s="1"/>
  <c r="F296" i="5"/>
  <c r="Q296" i="5" s="1"/>
  <c r="B272" i="5"/>
  <c r="B254" i="5"/>
  <c r="F250" i="5"/>
  <c r="Q250" i="5" s="1"/>
  <c r="B241" i="5"/>
  <c r="B232" i="5"/>
  <c r="B199" i="5"/>
  <c r="B195" i="5"/>
  <c r="B189" i="5"/>
  <c r="B157" i="5"/>
  <c r="B146" i="5"/>
  <c r="B137" i="5"/>
  <c r="B114" i="5"/>
  <c r="B105" i="5"/>
  <c r="B77" i="5"/>
  <c r="B62" i="5"/>
  <c r="F53" i="5"/>
  <c r="K53" i="5" s="1"/>
  <c r="B22" i="5"/>
  <c r="F9" i="5"/>
  <c r="W9" i="5" s="1"/>
  <c r="F456" i="4"/>
  <c r="F448" i="4"/>
  <c r="B445" i="4"/>
  <c r="B438" i="4"/>
  <c r="F433" i="4"/>
  <c r="B430" i="4"/>
  <c r="B423" i="4"/>
  <c r="F412" i="4"/>
  <c r="B407" i="4"/>
  <c r="F404" i="4"/>
  <c r="B400" i="4"/>
  <c r="B392" i="4"/>
  <c r="F388" i="4"/>
  <c r="B385" i="4"/>
  <c r="F376" i="4"/>
  <c r="F368" i="4"/>
  <c r="B336" i="4"/>
  <c r="B333" i="4"/>
  <c r="F330" i="4"/>
  <c r="B325" i="4"/>
  <c r="B317" i="4"/>
  <c r="B305" i="4"/>
  <c r="B296" i="4"/>
  <c r="B289" i="4"/>
  <c r="F285" i="4"/>
  <c r="B281" i="4"/>
  <c r="B89" i="2" s="1"/>
  <c r="F277" i="4"/>
  <c r="F270" i="4"/>
  <c r="F262" i="4"/>
  <c r="B245" i="4"/>
  <c r="B224" i="4"/>
  <c r="B73" i="3" s="1"/>
  <c r="B216" i="4"/>
  <c r="B69" i="2" s="1"/>
  <c r="B209" i="4"/>
  <c r="B186" i="4"/>
  <c r="F182" i="4"/>
  <c r="F164" i="4"/>
  <c r="F136" i="4"/>
  <c r="B125" i="4"/>
  <c r="B41" i="2" s="1"/>
  <c r="B118" i="4"/>
  <c r="B111" i="4"/>
  <c r="B103" i="4"/>
  <c r="B98" i="4"/>
  <c r="F84" i="4"/>
  <c r="B80" i="4"/>
  <c r="F76" i="4"/>
  <c r="F56" i="4"/>
  <c r="F49" i="4"/>
  <c r="F18" i="4"/>
  <c r="B16" i="4"/>
  <c r="B13" i="4"/>
  <c r="B446" i="5"/>
  <c r="F440" i="5"/>
  <c r="W440" i="5" s="1"/>
  <c r="B436" i="5"/>
  <c r="B431" i="5"/>
  <c r="F420" i="5"/>
  <c r="W420" i="5" s="1"/>
  <c r="F389" i="5"/>
  <c r="T389" i="5" s="1"/>
  <c r="B368" i="5"/>
  <c r="B349" i="5"/>
  <c r="F342" i="5"/>
  <c r="T342" i="5" s="1"/>
  <c r="B318" i="5"/>
  <c r="B295" i="5"/>
  <c r="F271" i="5"/>
  <c r="Q271" i="5" s="1"/>
  <c r="F260" i="5"/>
  <c r="Q260" i="5" s="1"/>
  <c r="F257" i="5"/>
  <c r="Q257" i="5" s="1"/>
  <c r="B246" i="5"/>
  <c r="B231" i="5"/>
  <c r="B208" i="5"/>
  <c r="B198" i="5"/>
  <c r="F193" i="5"/>
  <c r="N193" i="5" s="1"/>
  <c r="B188" i="5"/>
  <c r="F165" i="5"/>
  <c r="N165" i="5" s="1"/>
  <c r="B162" i="5"/>
  <c r="B151" i="5"/>
  <c r="B136" i="5"/>
  <c r="F122" i="5"/>
  <c r="K122" i="5" s="1"/>
  <c r="B119" i="5"/>
  <c r="B67" i="5"/>
  <c r="B61" i="5"/>
  <c r="B50" i="5"/>
  <c r="B43" i="5"/>
  <c r="B35" i="5"/>
  <c r="F24" i="5"/>
  <c r="K24" i="5" s="1"/>
  <c r="B19" i="5"/>
  <c r="F476" i="4"/>
  <c r="B473" i="4"/>
  <c r="F468" i="4"/>
  <c r="F460" i="4"/>
  <c r="B444" i="4"/>
  <c r="B140" i="3" s="1"/>
  <c r="B437" i="4"/>
  <c r="B137" i="2" s="1"/>
  <c r="B422" i="4"/>
  <c r="B133" i="3" s="1"/>
  <c r="F418" i="4"/>
  <c r="B415" i="4"/>
  <c r="B404" i="4"/>
  <c r="B384" i="4"/>
  <c r="F364" i="4"/>
  <c r="F357" i="4"/>
  <c r="B354" i="4"/>
  <c r="B342" i="4"/>
  <c r="F320" i="4"/>
  <c r="B316" i="4"/>
  <c r="B309" i="4"/>
  <c r="F300" i="4"/>
  <c r="F292" i="4"/>
  <c r="B267" i="4"/>
  <c r="B259" i="4"/>
  <c r="B236" i="4"/>
  <c r="B229" i="4"/>
  <c r="B205" i="4"/>
  <c r="B197" i="4"/>
  <c r="F194" i="4"/>
  <c r="B177" i="4"/>
  <c r="F174" i="4"/>
  <c r="F171" i="4"/>
  <c r="B161" i="4"/>
  <c r="F156" i="4"/>
  <c r="B149" i="4"/>
  <c r="B140" i="4"/>
  <c r="B133" i="4"/>
  <c r="B110" i="4"/>
  <c r="B36" i="2" s="1"/>
  <c r="B95" i="4"/>
  <c r="F67" i="4"/>
  <c r="B49" i="4"/>
  <c r="B42" i="4"/>
  <c r="F8" i="4"/>
  <c r="F466" i="5"/>
  <c r="W466" i="5" s="1"/>
  <c r="F455" i="5"/>
  <c r="W455" i="5" s="1"/>
  <c r="F393" i="5"/>
  <c r="T393" i="5" s="1"/>
  <c r="B389" i="5"/>
  <c r="B384" i="5"/>
  <c r="B367" i="5"/>
  <c r="B348" i="5"/>
  <c r="F334" i="5"/>
  <c r="T334" i="5" s="1"/>
  <c r="F327" i="5"/>
  <c r="T327" i="5" s="1"/>
  <c r="B322" i="5"/>
  <c r="B317" i="5"/>
  <c r="F290" i="5"/>
  <c r="Q290" i="5" s="1"/>
  <c r="B286" i="5"/>
  <c r="B281" i="5"/>
  <c r="F275" i="5"/>
  <c r="Q275" i="5" s="1"/>
  <c r="B271" i="5"/>
  <c r="B265" i="5"/>
  <c r="B257" i="5"/>
  <c r="F249" i="5"/>
  <c r="Q249" i="5" s="1"/>
  <c r="B245" i="5"/>
  <c r="B236" i="5"/>
  <c r="B227" i="5"/>
  <c r="B220" i="5"/>
  <c r="B211" i="5"/>
  <c r="F206" i="5"/>
  <c r="N206" i="5" s="1"/>
  <c r="B203" i="5"/>
  <c r="F183" i="5"/>
  <c r="N183" i="5" s="1"/>
  <c r="F180" i="5"/>
  <c r="N180" i="5" s="1"/>
  <c r="F173" i="5"/>
  <c r="N173" i="5" s="1"/>
  <c r="F170" i="5"/>
  <c r="N170" i="5" s="1"/>
  <c r="B160" i="5"/>
  <c r="F140" i="5"/>
  <c r="K140" i="5" s="1"/>
  <c r="F131" i="5"/>
  <c r="K131" i="5" s="1"/>
  <c r="F127" i="5"/>
  <c r="K127" i="5" s="1"/>
  <c r="B101" i="5"/>
  <c r="F97" i="5"/>
  <c r="K97" i="5" s="1"/>
  <c r="F94" i="5"/>
  <c r="K94" i="5" s="1"/>
  <c r="F85" i="5"/>
  <c r="F56" i="5"/>
  <c r="K56" i="5" s="1"/>
  <c r="F49" i="5"/>
  <c r="K49" i="5" s="1"/>
  <c r="B42" i="5"/>
  <c r="B39" i="5"/>
  <c r="B27" i="5"/>
  <c r="B16" i="5"/>
  <c r="F13" i="5"/>
  <c r="K13" i="5" s="1"/>
  <c r="B9" i="5"/>
  <c r="B465" i="4"/>
  <c r="F443" i="4"/>
  <c r="B433" i="4"/>
  <c r="B426" i="4"/>
  <c r="B421" i="4"/>
  <c r="B132" i="3" s="1"/>
  <c r="B412" i="4"/>
  <c r="F379" i="4"/>
  <c r="B361" i="4"/>
  <c r="B353" i="4"/>
  <c r="B346" i="4"/>
  <c r="F332" i="4"/>
  <c r="B330" i="4"/>
  <c r="B320" i="4"/>
  <c r="B315" i="4"/>
  <c r="B102" i="3" s="1"/>
  <c r="F312" i="4"/>
  <c r="B308" i="4"/>
  <c r="F304" i="4"/>
  <c r="B300" i="4"/>
  <c r="B292" i="4"/>
  <c r="F280" i="4"/>
  <c r="F273" i="4"/>
  <c r="B266" i="4"/>
  <c r="B85" i="3" s="1"/>
  <c r="B256" i="4"/>
  <c r="F250" i="4"/>
  <c r="B248" i="4"/>
  <c r="B240" i="4"/>
  <c r="B228" i="4"/>
  <c r="B75" i="3" s="1"/>
  <c r="B220" i="4"/>
  <c r="F208" i="4"/>
  <c r="B160" i="4"/>
  <c r="B153" i="4"/>
  <c r="B128" i="4"/>
  <c r="B43" i="3" s="1"/>
  <c r="B121" i="4"/>
  <c r="B109" i="4"/>
  <c r="B36" i="3" s="1"/>
  <c r="F87" i="4"/>
  <c r="F59" i="4"/>
  <c r="B41" i="4"/>
  <c r="B15" i="2" s="1"/>
  <c r="F38" i="4"/>
  <c r="B34" i="4"/>
  <c r="B26" i="4"/>
  <c r="F12" i="4"/>
  <c r="A245" i="7"/>
  <c r="B30" i="2"/>
  <c r="B57" i="2"/>
  <c r="B19" i="2"/>
  <c r="F5" i="2"/>
  <c r="B56" i="2"/>
  <c r="I5" i="15"/>
  <c r="N439" i="6"/>
  <c r="G166" i="8"/>
  <c r="I166" i="8" s="1"/>
  <c r="N72" i="6"/>
  <c r="F43" i="5" s="1"/>
  <c r="K43" i="5" s="1"/>
  <c r="N204" i="6"/>
  <c r="F114" i="4" s="1"/>
  <c r="B452" i="5"/>
  <c r="J5" i="11"/>
  <c r="I5" i="16"/>
  <c r="J5" i="12"/>
  <c r="J5" i="10"/>
  <c r="A475" i="7"/>
  <c r="A291" i="7"/>
  <c r="A270" i="7"/>
  <c r="F5" i="13"/>
  <c r="J5" i="9"/>
  <c r="A544" i="7"/>
  <c r="A390" i="7"/>
  <c r="A63" i="7"/>
  <c r="A56" i="7"/>
  <c r="A49" i="7"/>
  <c r="N5" i="6"/>
  <c r="F5" i="14"/>
  <c r="A362" i="7"/>
  <c r="A313" i="7"/>
  <c r="A226" i="7"/>
  <c r="A219" i="7"/>
  <c r="A513" i="7"/>
  <c r="A411" i="7"/>
  <c r="A235" i="7"/>
  <c r="A139" i="7"/>
  <c r="J5" i="7"/>
  <c r="A495" i="7"/>
  <c r="A485" i="7"/>
  <c r="A322" i="7"/>
  <c r="A122" i="7"/>
  <c r="A203" i="7"/>
  <c r="A403" i="7"/>
  <c r="A371" i="7"/>
  <c r="A347" i="7"/>
  <c r="A179" i="7"/>
  <c r="A158" i="7"/>
  <c r="A82" i="7"/>
  <c r="A23" i="7"/>
  <c r="A460" i="7"/>
  <c r="A432" i="7"/>
  <c r="A336" i="7"/>
  <c r="A420" i="7"/>
  <c r="A467" i="7"/>
  <c r="A32" i="7"/>
  <c r="J5" i="8"/>
  <c r="A380" i="7"/>
  <c r="A147" i="7"/>
  <c r="G5" i="20"/>
  <c r="A39" i="7"/>
  <c r="A72" i="7"/>
  <c r="A129" i="7"/>
  <c r="A504" i="7"/>
  <c r="A303" i="7"/>
  <c r="A115" i="7"/>
  <c r="N364" i="6"/>
  <c r="B58" i="3"/>
  <c r="A103" i="7"/>
  <c r="C43" i="14"/>
  <c r="B20" i="3"/>
  <c r="B62" i="2"/>
  <c r="B31" i="3"/>
  <c r="E858" i="6" l="1"/>
  <c r="E7" i="15"/>
  <c r="E9" i="15"/>
  <c r="K88" i="5"/>
  <c r="N88" i="5" s="1"/>
  <c r="K87" i="5"/>
  <c r="Q530" i="7" s="1"/>
  <c r="R530" i="7" s="1"/>
  <c r="D140" i="17" s="1"/>
  <c r="F140" i="17" s="1"/>
  <c r="K84" i="5"/>
  <c r="N84" i="5" s="1"/>
  <c r="K85" i="5"/>
  <c r="Q518" i="7" s="1"/>
  <c r="R518" i="7" s="1"/>
  <c r="E45" i="6"/>
  <c r="E28" i="4" s="1"/>
  <c r="C15" i="15"/>
  <c r="C211" i="6"/>
  <c r="C117" i="4" s="1"/>
  <c r="D312" i="6"/>
  <c r="D172" i="5" s="1"/>
  <c r="C758" i="6"/>
  <c r="C410" i="5" s="1"/>
  <c r="C700" i="6"/>
  <c r="C376" i="4" s="1"/>
  <c r="E766" i="6"/>
  <c r="E414" i="5" s="1"/>
  <c r="G182" i="9"/>
  <c r="I182" i="9" s="1"/>
  <c r="G575" i="8"/>
  <c r="I575" i="8" s="1"/>
  <c r="B60" i="3"/>
  <c r="B120" i="2"/>
  <c r="B46" i="2"/>
  <c r="B148" i="2"/>
  <c r="B23" i="2"/>
  <c r="B28" i="2"/>
  <c r="B101" i="2"/>
  <c r="D126" i="6"/>
  <c r="D71" i="5" s="1"/>
  <c r="B79" i="3"/>
  <c r="B121" i="2"/>
  <c r="E302" i="6"/>
  <c r="E165" i="4" s="1"/>
  <c r="B18" i="3"/>
  <c r="B99" i="3"/>
  <c r="B104" i="3"/>
  <c r="E122" i="6"/>
  <c r="E68" i="5" s="1"/>
  <c r="C354" i="6"/>
  <c r="C195" i="5" s="1"/>
  <c r="D324" i="6"/>
  <c r="D177" i="4" s="1"/>
  <c r="B128" i="3"/>
  <c r="E746" i="6"/>
  <c r="E404" i="5" s="1"/>
  <c r="E274" i="6"/>
  <c r="E149" i="4" s="1"/>
  <c r="B49" i="2"/>
  <c r="E371" i="6"/>
  <c r="E202" i="5" s="1"/>
  <c r="E162" i="6"/>
  <c r="E92" i="5" s="1"/>
  <c r="D48" i="15"/>
  <c r="E474" i="6"/>
  <c r="E257" i="4" s="1"/>
  <c r="G203" i="9"/>
  <c r="I203" i="9" s="1"/>
  <c r="E195" i="6"/>
  <c r="E109" i="5" s="1"/>
  <c r="C326" i="6"/>
  <c r="C179" i="5" s="1"/>
  <c r="D764" i="6"/>
  <c r="D413" i="5" s="1"/>
  <c r="E600" i="6"/>
  <c r="E325" i="4" s="1"/>
  <c r="C35" i="15"/>
  <c r="E456" i="6"/>
  <c r="E249" i="5" s="1"/>
  <c r="D217" i="4"/>
  <c r="L59" i="11"/>
  <c r="L57" i="10"/>
  <c r="L99" i="10"/>
  <c r="G581" i="8"/>
  <c r="I581" i="8" s="1"/>
  <c r="E442" i="6"/>
  <c r="E241" i="5" s="1"/>
  <c r="C52" i="15"/>
  <c r="C15" i="4"/>
  <c r="E414" i="6"/>
  <c r="E224" i="5" s="1"/>
  <c r="G211" i="8"/>
  <c r="I211" i="8" s="1"/>
  <c r="D466" i="6"/>
  <c r="D254" i="5" s="1"/>
  <c r="E852" i="6"/>
  <c r="E457" i="4" s="1"/>
  <c r="D856" i="6"/>
  <c r="D460" i="4" s="1"/>
  <c r="D44" i="15"/>
  <c r="E633" i="6"/>
  <c r="E342" i="4" s="1"/>
  <c r="C39" i="15"/>
  <c r="E180" i="6"/>
  <c r="E100" i="4" s="1"/>
  <c r="D38" i="15"/>
  <c r="B86" i="3"/>
  <c r="E146" i="5"/>
  <c r="D299" i="5"/>
  <c r="L62" i="10"/>
  <c r="E34" i="6"/>
  <c r="E22" i="4" s="1"/>
  <c r="C544" i="6"/>
  <c r="C292" i="4" s="1"/>
  <c r="D350" i="6"/>
  <c r="D192" i="4" s="1"/>
  <c r="C798" i="6"/>
  <c r="C430" i="4" s="1"/>
  <c r="C612" i="6"/>
  <c r="C331" i="4" s="1"/>
  <c r="E560" i="6"/>
  <c r="E301" i="4" s="1"/>
  <c r="G154" i="8"/>
  <c r="I154" i="8" s="1"/>
  <c r="I162" i="8" s="1"/>
  <c r="C546" i="6"/>
  <c r="C293" i="4" s="1"/>
  <c r="D23" i="15"/>
  <c r="C55" i="15"/>
  <c r="E740" i="6"/>
  <c r="E399" i="4" s="1"/>
  <c r="E45" i="15"/>
  <c r="E313" i="5"/>
  <c r="G199" i="10"/>
  <c r="I199" i="10" s="1"/>
  <c r="I200" i="10" s="1"/>
  <c r="G191" i="10" s="1"/>
  <c r="L191" i="10" s="1"/>
  <c r="G54" i="9"/>
  <c r="I54" i="9" s="1"/>
  <c r="C838" i="6"/>
  <c r="C449" i="4" s="1"/>
  <c r="E296" i="6"/>
  <c r="E162" i="4" s="1"/>
  <c r="E487" i="6"/>
  <c r="E264" i="4" s="1"/>
  <c r="E341" i="6"/>
  <c r="E186" i="4" s="1"/>
  <c r="C176" i="5"/>
  <c r="C143" i="6"/>
  <c r="C81" i="5" s="1"/>
  <c r="D549" i="6"/>
  <c r="D295" i="4" s="1"/>
  <c r="E48" i="15"/>
  <c r="C174" i="6"/>
  <c r="C97" i="4" s="1"/>
  <c r="D725" i="6"/>
  <c r="D391" i="4" s="1"/>
  <c r="E57" i="15"/>
  <c r="G456" i="8"/>
  <c r="I456" i="8" s="1"/>
  <c r="I464" i="8" s="1"/>
  <c r="G455" i="8" s="1"/>
  <c r="L455" i="8" s="1"/>
  <c r="C466" i="6"/>
  <c r="C254" i="5" s="1"/>
  <c r="D577" i="6"/>
  <c r="D312" i="4" s="1"/>
  <c r="E18" i="6"/>
  <c r="E15" i="5" s="1"/>
  <c r="E23" i="15"/>
  <c r="E750" i="6"/>
  <c r="E406" i="5" s="1"/>
  <c r="B12" i="3"/>
  <c r="G580" i="8"/>
  <c r="I580" i="8" s="1"/>
  <c r="G183" i="9"/>
  <c r="I183" i="9" s="1"/>
  <c r="C214" i="6"/>
  <c r="C118" i="4" s="1"/>
  <c r="E712" i="6"/>
  <c r="E383" i="4" s="1"/>
  <c r="G588" i="8"/>
  <c r="I588" i="8" s="1"/>
  <c r="D731" i="6"/>
  <c r="D395" i="4" s="1"/>
  <c r="E669" i="6"/>
  <c r="E358" i="4" s="1"/>
  <c r="C28" i="6"/>
  <c r="C20" i="5" s="1"/>
  <c r="E111" i="6"/>
  <c r="E62" i="5" s="1"/>
  <c r="B10" i="2"/>
  <c r="G188" i="9"/>
  <c r="I188" i="9" s="1"/>
  <c r="E128" i="6"/>
  <c r="E71" i="4" s="1"/>
  <c r="C408" i="6"/>
  <c r="C221" i="5" s="1"/>
  <c r="C51" i="15"/>
  <c r="B134" i="2"/>
  <c r="B144" i="2"/>
  <c r="B49" i="3"/>
  <c r="B37" i="3"/>
  <c r="E75" i="6"/>
  <c r="E43" i="4" s="1"/>
  <c r="D254" i="6"/>
  <c r="D137" i="4" s="1"/>
  <c r="E266" i="6"/>
  <c r="E145" i="5" s="1"/>
  <c r="B93" i="2"/>
  <c r="D160" i="6"/>
  <c r="D90" i="4" s="1"/>
  <c r="C280" i="6"/>
  <c r="C154" i="5" s="1"/>
  <c r="D314" i="6"/>
  <c r="D173" i="5" s="1"/>
  <c r="D21" i="15"/>
  <c r="D18" i="6"/>
  <c r="D15" i="5" s="1"/>
  <c r="D30" i="15"/>
  <c r="E690" i="6"/>
  <c r="E370" i="4" s="1"/>
  <c r="D600" i="6"/>
  <c r="D325" i="4" s="1"/>
  <c r="D283" i="5"/>
  <c r="E147" i="6"/>
  <c r="E84" i="5" s="1"/>
  <c r="D371" i="6"/>
  <c r="D202" i="5" s="1"/>
  <c r="C760" i="6"/>
  <c r="C411" i="5" s="1"/>
  <c r="E367" i="6"/>
  <c r="E199" i="4" s="1"/>
  <c r="B104" i="2"/>
  <c r="B69" i="3"/>
  <c r="D20" i="15"/>
  <c r="G243" i="9"/>
  <c r="I243" i="9" s="1"/>
  <c r="D614" i="6"/>
  <c r="D333" i="5" s="1"/>
  <c r="E393" i="6"/>
  <c r="E211" i="4" s="1"/>
  <c r="E22" i="15"/>
  <c r="B51" i="3"/>
  <c r="D414" i="6"/>
  <c r="D224" i="5" s="1"/>
  <c r="C47" i="6"/>
  <c r="C30" i="5" s="1"/>
  <c r="D598" i="6"/>
  <c r="D325" i="5" s="1"/>
  <c r="D122" i="6"/>
  <c r="D67" i="4" s="1"/>
  <c r="B113" i="2"/>
  <c r="D663" i="6"/>
  <c r="D358" i="5" s="1"/>
  <c r="C871" i="6"/>
  <c r="C469" i="4" s="1"/>
  <c r="C718" i="6"/>
  <c r="C387" i="4" s="1"/>
  <c r="E838" i="6"/>
  <c r="E449" i="4" s="1"/>
  <c r="D843" i="6"/>
  <c r="D453" i="5" s="1"/>
  <c r="G587" i="8"/>
  <c r="I587" i="8" s="1"/>
  <c r="C731" i="6"/>
  <c r="C395" i="4" s="1"/>
  <c r="E731" i="6"/>
  <c r="E396" i="5" s="1"/>
  <c r="D24" i="15"/>
  <c r="D746" i="6"/>
  <c r="D404" i="5" s="1"/>
  <c r="D838" i="6"/>
  <c r="D450" i="5" s="1"/>
  <c r="C32" i="15"/>
  <c r="C243" i="6"/>
  <c r="C132" i="5" s="1"/>
  <c r="B139" i="2"/>
  <c r="B142" i="2"/>
  <c r="B142" i="3"/>
  <c r="N502" i="7"/>
  <c r="O502" i="7" s="1"/>
  <c r="F13" i="16" s="1"/>
  <c r="H13" i="16" s="1"/>
  <c r="B147" i="2"/>
  <c r="B114" i="2"/>
  <c r="B59" i="3"/>
  <c r="B45" i="2"/>
  <c r="B123" i="2"/>
  <c r="B30" i="3"/>
  <c r="B15" i="3"/>
  <c r="B13" i="3"/>
  <c r="E160" i="6"/>
  <c r="E91" i="5" s="1"/>
  <c r="E775" i="6"/>
  <c r="E418" i="4" s="1"/>
  <c r="D258" i="4"/>
  <c r="G590" i="8"/>
  <c r="I590" i="8" s="1"/>
  <c r="B38" i="3"/>
  <c r="B131" i="2"/>
  <c r="D869" i="6"/>
  <c r="D469" i="5" s="1"/>
  <c r="B101" i="3"/>
  <c r="B89" i="3"/>
  <c r="B14" i="3"/>
  <c r="E483" i="6"/>
  <c r="E262" i="4" s="1"/>
  <c r="B9" i="2"/>
  <c r="B146" i="3"/>
  <c r="B52" i="2"/>
  <c r="G38" i="8"/>
  <c r="I38" i="8" s="1"/>
  <c r="I46" i="8" s="1"/>
  <c r="B54" i="3"/>
  <c r="D685" i="6"/>
  <c r="D367" i="4" s="1"/>
  <c r="C585" i="6"/>
  <c r="C317" i="4" s="1"/>
  <c r="D101" i="6"/>
  <c r="D56" i="5" s="1"/>
  <c r="B35" i="2"/>
  <c r="B61" i="2"/>
  <c r="B82" i="2"/>
  <c r="D330" i="6"/>
  <c r="D180" i="4" s="1"/>
  <c r="E470" i="6"/>
  <c r="E255" i="4" s="1"/>
  <c r="B28" i="3"/>
  <c r="E36" i="15"/>
  <c r="B40" i="3"/>
  <c r="C483" i="6"/>
  <c r="C262" i="4" s="1"/>
  <c r="B108" i="3"/>
  <c r="D40" i="15"/>
  <c r="C90" i="6"/>
  <c r="C49" i="4" s="1"/>
  <c r="C852" i="6"/>
  <c r="C457" i="4" s="1"/>
  <c r="C266" i="6"/>
  <c r="C144" i="4" s="1"/>
  <c r="E649" i="6"/>
  <c r="E352" i="5" s="1"/>
  <c r="E10" i="15"/>
  <c r="G125" i="8"/>
  <c r="I125" i="8" s="1"/>
  <c r="I133" i="8" s="1"/>
  <c r="B76" i="2"/>
  <c r="B126" i="2"/>
  <c r="G234" i="10"/>
  <c r="I234" i="10" s="1"/>
  <c r="C50" i="15"/>
  <c r="B150" i="3"/>
  <c r="B32" i="2"/>
  <c r="B34" i="3"/>
  <c r="D85" i="6"/>
  <c r="D47" i="5" s="1"/>
  <c r="B113" i="3"/>
  <c r="D296" i="6"/>
  <c r="D163" i="5" s="1"/>
  <c r="C558" i="6"/>
  <c r="C301" i="5" s="1"/>
  <c r="E39" i="15"/>
  <c r="B151" i="3"/>
  <c r="B138" i="3"/>
  <c r="G217" i="8"/>
  <c r="I217" i="8" s="1"/>
  <c r="B95" i="2"/>
  <c r="D302" i="5"/>
  <c r="G591" i="8"/>
  <c r="I591" i="8" s="1"/>
  <c r="B120" i="3"/>
  <c r="L49" i="11"/>
  <c r="G55" i="9"/>
  <c r="I55" i="9" s="1"/>
  <c r="E541" i="6"/>
  <c r="E290" i="4" s="1"/>
  <c r="B38" i="2"/>
  <c r="C464" i="6"/>
  <c r="C253" i="5" s="1"/>
  <c r="E172" i="6"/>
  <c r="E96" i="4" s="1"/>
  <c r="D170" i="6"/>
  <c r="E201" i="6"/>
  <c r="E112" i="4" s="1"/>
  <c r="G77" i="11"/>
  <c r="I77" i="11" s="1"/>
  <c r="D748" i="6"/>
  <c r="D405" i="5" s="1"/>
  <c r="D14" i="6"/>
  <c r="D13" i="5" s="1"/>
  <c r="C513" i="6"/>
  <c r="C278" i="5" s="1"/>
  <c r="C184" i="6"/>
  <c r="C103" i="5" s="1"/>
  <c r="C371" i="6"/>
  <c r="C202" i="5" s="1"/>
  <c r="E214" i="6"/>
  <c r="E119" i="5" s="1"/>
  <c r="E493" i="6"/>
  <c r="C31" i="15"/>
  <c r="E412" i="6"/>
  <c r="E223" i="5" s="1"/>
  <c r="B94" i="2"/>
  <c r="B87" i="3"/>
  <c r="B84" i="2"/>
  <c r="B17" i="3"/>
  <c r="B133" i="2"/>
  <c r="D16" i="6"/>
  <c r="D14" i="5" s="1"/>
  <c r="B129" i="2"/>
  <c r="G247" i="4"/>
  <c r="G248" i="5" s="1"/>
  <c r="B22" i="3"/>
  <c r="B144" i="3"/>
  <c r="E785" i="6"/>
  <c r="E424" i="4" s="1"/>
  <c r="E350" i="6"/>
  <c r="E192" i="4" s="1"/>
  <c r="D302" i="6"/>
  <c r="D166" i="5" s="1"/>
  <c r="G191" i="9"/>
  <c r="I191" i="9" s="1"/>
  <c r="D866" i="6"/>
  <c r="D466" i="4" s="1"/>
  <c r="C195" i="6"/>
  <c r="C108" i="4" s="1"/>
  <c r="C322" i="6"/>
  <c r="C177" i="5" s="1"/>
  <c r="E252" i="6"/>
  <c r="E137" i="5" s="1"/>
  <c r="E13" i="15"/>
  <c r="D13" i="15"/>
  <c r="E364" i="6"/>
  <c r="B126" i="3"/>
  <c r="B111" i="3"/>
  <c r="B19" i="3"/>
  <c r="D308" i="6"/>
  <c r="D170" i="5" s="1"/>
  <c r="L432" i="9"/>
  <c r="G178" i="8"/>
  <c r="I178" i="8" s="1"/>
  <c r="I186" i="8" s="1"/>
  <c r="B32" i="3"/>
  <c r="G76" i="11"/>
  <c r="I76" i="11" s="1"/>
  <c r="B25" i="3"/>
  <c r="E610" i="6"/>
  <c r="B131" i="3"/>
  <c r="E257" i="5"/>
  <c r="B136" i="2"/>
  <c r="C886" i="6"/>
  <c r="C477" i="4" s="1"/>
  <c r="C97" i="6"/>
  <c r="C54" i="5" s="1"/>
  <c r="D697" i="6"/>
  <c r="D375" i="5" s="1"/>
  <c r="D456" i="6"/>
  <c r="D249" i="5" s="1"/>
  <c r="E44" i="15"/>
  <c r="D310" i="6"/>
  <c r="D170" i="4" s="1"/>
  <c r="B70" i="3"/>
  <c r="E166" i="5"/>
  <c r="E300" i="4"/>
  <c r="D602" i="6"/>
  <c r="D326" i="4" s="1"/>
  <c r="E26" i="6"/>
  <c r="E19" i="5" s="1"/>
  <c r="E134" i="6"/>
  <c r="E75" i="4" s="1"/>
  <c r="G70" i="11"/>
  <c r="I70" i="11" s="1"/>
  <c r="E318" i="6"/>
  <c r="E175" i="5" s="1"/>
  <c r="E756" i="6"/>
  <c r="E408" i="4" s="1"/>
  <c r="D454" i="6"/>
  <c r="G78" i="11"/>
  <c r="I78" i="11" s="1"/>
  <c r="D836" i="6"/>
  <c r="D449" i="5" s="1"/>
  <c r="C17" i="15"/>
  <c r="B74" i="2"/>
  <c r="B51" i="2"/>
  <c r="D14" i="15"/>
  <c r="C234" i="6"/>
  <c r="C126" i="4" s="1"/>
  <c r="D712" i="6"/>
  <c r="D383" i="4" s="1"/>
  <c r="D26" i="15"/>
  <c r="D162" i="6"/>
  <c r="D92" i="5" s="1"/>
  <c r="E464" i="6"/>
  <c r="B152" i="3"/>
  <c r="B21" i="3"/>
  <c r="E318" i="5"/>
  <c r="C474" i="4"/>
  <c r="B66" i="2"/>
  <c r="E572" i="6"/>
  <c r="E309" i="4" s="1"/>
  <c r="C79" i="6"/>
  <c r="C45" i="4" s="1"/>
  <c r="D629" i="6"/>
  <c r="D341" i="5" s="1"/>
  <c r="E697" i="6"/>
  <c r="E375" i="5" s="1"/>
  <c r="D42" i="15"/>
  <c r="E217" i="4"/>
  <c r="G127" i="7"/>
  <c r="I127" i="7" s="1"/>
  <c r="I128" i="7" s="1"/>
  <c r="G180" i="4" s="1"/>
  <c r="G181" i="5" s="1"/>
  <c r="L161" i="9"/>
  <c r="F47" i="15"/>
  <c r="G175" i="10"/>
  <c r="I175" i="10" s="1"/>
  <c r="I176" i="10" s="1"/>
  <c r="E354" i="6"/>
  <c r="C47" i="15"/>
  <c r="G224" i="9"/>
  <c r="I224" i="9" s="1"/>
  <c r="I232" i="9" s="1"/>
  <c r="D235" i="4"/>
  <c r="D236" i="5"/>
  <c r="E283" i="5"/>
  <c r="E282" i="4"/>
  <c r="C313" i="5"/>
  <c r="C312" i="4"/>
  <c r="C165" i="5"/>
  <c r="C164" i="4"/>
  <c r="G7" i="10"/>
  <c r="L7" i="10" s="1"/>
  <c r="G56" i="9"/>
  <c r="I56" i="9" s="1"/>
  <c r="G48" i="9"/>
  <c r="I48" i="9" s="1"/>
  <c r="I50" i="9" s="1"/>
  <c r="G12" i="11"/>
  <c r="L12" i="11" s="1"/>
  <c r="G149" i="10"/>
  <c r="I149" i="10" s="1"/>
  <c r="G397" i="9"/>
  <c r="L397" i="9" s="1"/>
  <c r="G574" i="8"/>
  <c r="I574" i="8" s="1"/>
  <c r="G257" i="10"/>
  <c r="L257" i="10" s="1"/>
  <c r="G386" i="9"/>
  <c r="I386" i="9" s="1"/>
  <c r="I394" i="9" s="1"/>
  <c r="G582" i="8" s="1"/>
  <c r="I582" i="8" s="1"/>
  <c r="B54" i="2"/>
  <c r="B55" i="3"/>
  <c r="B105" i="2"/>
  <c r="B106" i="3"/>
  <c r="B116" i="2"/>
  <c r="N332" i="7"/>
  <c r="O332" i="7" s="1"/>
  <c r="F171" i="16" s="1"/>
  <c r="H171" i="16" s="1"/>
  <c r="N69" i="7"/>
  <c r="O69" i="7" s="1"/>
  <c r="N176" i="7"/>
  <c r="O176" i="7" s="1"/>
  <c r="F91" i="16" s="1"/>
  <c r="H91" i="16" s="1"/>
  <c r="G248" i="10"/>
  <c r="I248" i="10" s="1"/>
  <c r="I249" i="10" s="1"/>
  <c r="C289" i="6"/>
  <c r="C158" i="4" s="1"/>
  <c r="C574" i="6"/>
  <c r="C311" i="5" s="1"/>
  <c r="D624" i="6"/>
  <c r="D337" i="4" s="1"/>
  <c r="D18" i="15"/>
  <c r="B40" i="2"/>
  <c r="B41" i="3"/>
  <c r="B98" i="3"/>
  <c r="E408" i="6"/>
  <c r="E116" i="6"/>
  <c r="E15" i="15"/>
  <c r="E262" i="6"/>
  <c r="E143" i="5" s="1"/>
  <c r="E846" i="6"/>
  <c r="E631" i="6"/>
  <c r="E25" i="15"/>
  <c r="E387" i="6"/>
  <c r="E95" i="6"/>
  <c r="E825" i="6"/>
  <c r="E443" i="5" s="1"/>
  <c r="E51" i="15"/>
  <c r="E241" i="6"/>
  <c r="E131" i="5" s="1"/>
  <c r="B124" i="2"/>
  <c r="B125" i="3"/>
  <c r="C259" i="6"/>
  <c r="C750" i="6"/>
  <c r="C406" i="5" s="1"/>
  <c r="C637" i="6"/>
  <c r="C346" i="5" s="1"/>
  <c r="C199" i="6"/>
  <c r="C112" i="5" s="1"/>
  <c r="E17" i="15"/>
  <c r="E629" i="6"/>
  <c r="E341" i="5" s="1"/>
  <c r="C8" i="6"/>
  <c r="C11" i="15"/>
  <c r="D39" i="15"/>
  <c r="D389" i="6"/>
  <c r="D209" i="4" s="1"/>
  <c r="E337" i="6"/>
  <c r="E185" i="5" s="1"/>
  <c r="C626" i="6"/>
  <c r="C339" i="5" s="1"/>
  <c r="C188" i="6"/>
  <c r="C105" i="5" s="1"/>
  <c r="E236" i="6"/>
  <c r="E128" i="5" s="1"/>
  <c r="E90" i="6"/>
  <c r="E49" i="4" s="1"/>
  <c r="E820" i="6"/>
  <c r="E439" i="4" s="1"/>
  <c r="C357" i="6"/>
  <c r="C196" i="5" s="1"/>
  <c r="G7" i="12"/>
  <c r="L7" i="12" s="1"/>
  <c r="G30" i="11"/>
  <c r="I30" i="11" s="1"/>
  <c r="I31" i="11" s="1"/>
  <c r="G42" i="10"/>
  <c r="L42" i="10" s="1"/>
  <c r="G98" i="9"/>
  <c r="I98" i="9" s="1"/>
  <c r="I106" i="9" s="1"/>
  <c r="L42" i="9"/>
  <c r="C531" i="6"/>
  <c r="C285" i="4" s="1"/>
  <c r="D393" i="6"/>
  <c r="D211" i="4" s="1"/>
  <c r="G242" i="9"/>
  <c r="I242" i="9" s="1"/>
  <c r="E389" i="6"/>
  <c r="C22" i="15"/>
  <c r="C10" i="15"/>
  <c r="B97" i="3"/>
  <c r="E376" i="4"/>
  <c r="G17" i="11"/>
  <c r="L17" i="11" s="1"/>
  <c r="G141" i="10"/>
  <c r="I141" i="10" s="1"/>
  <c r="G190" i="9"/>
  <c r="I190" i="9" s="1"/>
  <c r="L412" i="9"/>
  <c r="L39" i="11"/>
  <c r="D8" i="6"/>
  <c r="D9" i="5" s="1"/>
  <c r="D11" i="15"/>
  <c r="D83" i="4"/>
  <c r="D84" i="5"/>
  <c r="G250" i="9"/>
  <c r="I250" i="9" s="1"/>
  <c r="I258" i="9" s="1"/>
  <c r="G140" i="10"/>
  <c r="I140" i="10" s="1"/>
  <c r="B111" i="2"/>
  <c r="B112" i="3"/>
  <c r="D141" i="6"/>
  <c r="D579" i="6"/>
  <c r="D313" i="4" s="1"/>
  <c r="D287" i="6"/>
  <c r="D158" i="5" s="1"/>
  <c r="D770" i="6"/>
  <c r="B70" i="2"/>
  <c r="E356" i="5"/>
  <c r="E410" i="5"/>
  <c r="E88" i="6"/>
  <c r="E24" i="6"/>
  <c r="E17" i="4" s="1"/>
  <c r="C97" i="5"/>
  <c r="E452" i="6"/>
  <c r="E598" i="6"/>
  <c r="E324" i="4" s="1"/>
  <c r="C128" i="6"/>
  <c r="C72" i="5" s="1"/>
  <c r="C420" i="6"/>
  <c r="C312" i="6"/>
  <c r="C171" i="4" s="1"/>
  <c r="C491" i="6"/>
  <c r="C267" i="4" s="1"/>
  <c r="C274" i="6"/>
  <c r="D111" i="6"/>
  <c r="E316" i="6"/>
  <c r="B76" i="3"/>
  <c r="D646" i="6"/>
  <c r="D350" i="4" s="1"/>
  <c r="D531" i="6"/>
  <c r="D286" i="5" s="1"/>
  <c r="D385" i="6"/>
  <c r="D208" i="5" s="1"/>
  <c r="D354" i="6"/>
  <c r="D195" i="5" s="1"/>
  <c r="G114" i="9"/>
  <c r="L114" i="9" s="1"/>
  <c r="G137" i="8"/>
  <c r="I137" i="8" s="1"/>
  <c r="I145" i="8" s="1"/>
  <c r="C727" i="6"/>
  <c r="C392" i="4" s="1"/>
  <c r="D493" i="6"/>
  <c r="E533" i="6"/>
  <c r="B47" i="2"/>
  <c r="D871" i="6"/>
  <c r="D470" i="5" s="1"/>
  <c r="E535" i="6"/>
  <c r="E287" i="4" s="1"/>
  <c r="C7" i="15"/>
  <c r="E744" i="6"/>
  <c r="G492" i="8"/>
  <c r="I492" i="8" s="1"/>
  <c r="I500" i="8" s="1"/>
  <c r="G565" i="8"/>
  <c r="I565" i="8" s="1"/>
  <c r="D231" i="6"/>
  <c r="D125" i="5" s="1"/>
  <c r="D9" i="15"/>
  <c r="C391" i="5"/>
  <c r="C390" i="4"/>
  <c r="B107" i="3"/>
  <c r="C444" i="5"/>
  <c r="B122" i="2"/>
  <c r="B123" i="3"/>
  <c r="G70" i="8"/>
  <c r="I70" i="8" s="1"/>
  <c r="I78" i="8" s="1"/>
  <c r="G77" i="7" s="1"/>
  <c r="I77" i="7" s="1"/>
  <c r="G37" i="10"/>
  <c r="L37" i="10" s="1"/>
  <c r="G86" i="9"/>
  <c r="I86" i="9" s="1"/>
  <c r="I94" i="9" s="1"/>
  <c r="G114" i="10"/>
  <c r="L114" i="10" s="1"/>
  <c r="G236" i="9"/>
  <c r="I236" i="9" s="1"/>
  <c r="G176" i="9"/>
  <c r="L176" i="9" s="1"/>
  <c r="G238" i="8"/>
  <c r="I238" i="8" s="1"/>
  <c r="I246" i="8" s="1"/>
  <c r="E107" i="5"/>
  <c r="E106" i="4"/>
  <c r="G7" i="11"/>
  <c r="L7" i="11" s="1"/>
  <c r="G90" i="10"/>
  <c r="I90" i="10" s="1"/>
  <c r="I91" i="10" s="1"/>
  <c r="G198" i="9" s="1"/>
  <c r="I198" i="9" s="1"/>
  <c r="G82" i="8"/>
  <c r="I82" i="8" s="1"/>
  <c r="I90" i="8" s="1"/>
  <c r="G78" i="7" s="1"/>
  <c r="I78" i="7" s="1"/>
  <c r="B56" i="3"/>
  <c r="B55" i="2"/>
  <c r="B90" i="3"/>
  <c r="L134" i="9"/>
  <c r="C551" i="6"/>
  <c r="C405" i="6"/>
  <c r="C697" i="6"/>
  <c r="C374" i="4" s="1"/>
  <c r="D10" i="6"/>
  <c r="D43" i="15"/>
  <c r="L134" i="10"/>
  <c r="C62" i="6"/>
  <c r="C792" i="6"/>
  <c r="C428" i="4" s="1"/>
  <c r="C646" i="6"/>
  <c r="C351" i="5" s="1"/>
  <c r="C282" i="6"/>
  <c r="C155" i="5" s="1"/>
  <c r="C385" i="6"/>
  <c r="C207" i="4" s="1"/>
  <c r="Q165" i="7"/>
  <c r="R165" i="7" s="1"/>
  <c r="D79" i="17" s="1"/>
  <c r="F79" i="17" s="1"/>
  <c r="E13" i="4"/>
  <c r="B73" i="2"/>
  <c r="B74" i="3"/>
  <c r="E466" i="6"/>
  <c r="E54" i="15"/>
  <c r="E594" i="6"/>
  <c r="E448" i="6"/>
  <c r="E886" i="6"/>
  <c r="E608" i="6"/>
  <c r="E330" i="5" s="1"/>
  <c r="E170" i="6"/>
  <c r="E96" i="5" s="1"/>
  <c r="E592" i="6"/>
  <c r="E884" i="6"/>
  <c r="E815" i="6"/>
  <c r="E50" i="15"/>
  <c r="E231" i="6"/>
  <c r="G189" i="9"/>
  <c r="I189" i="9" s="1"/>
  <c r="D55" i="6"/>
  <c r="B109" i="2"/>
  <c r="B110" i="3"/>
  <c r="B81" i="3"/>
  <c r="E762" i="6"/>
  <c r="E178" i="6"/>
  <c r="E100" i="5" s="1"/>
  <c r="E616" i="6"/>
  <c r="E334" i="5" s="1"/>
  <c r="E24" i="15"/>
  <c r="E32" i="6"/>
  <c r="E21" i="4" s="1"/>
  <c r="C30" i="15"/>
  <c r="C328" i="6"/>
  <c r="D681" i="6"/>
  <c r="D366" i="5" s="1"/>
  <c r="C454" i="6"/>
  <c r="C248" i="5" s="1"/>
  <c r="C456" i="6"/>
  <c r="C248" i="4" s="1"/>
  <c r="G190" i="8"/>
  <c r="I190" i="8" s="1"/>
  <c r="I198" i="8" s="1"/>
  <c r="B135" i="2"/>
  <c r="C275" i="5"/>
  <c r="C24" i="15"/>
  <c r="C616" i="6"/>
  <c r="C334" i="5" s="1"/>
  <c r="D377" i="6"/>
  <c r="D50" i="15"/>
  <c r="D768" i="6"/>
  <c r="D414" i="4" s="1"/>
  <c r="B138" i="2"/>
  <c r="C268" i="6"/>
  <c r="C146" i="5" s="1"/>
  <c r="C474" i="6"/>
  <c r="C257" i="4" s="1"/>
  <c r="E777" i="6"/>
  <c r="E420" i="5" s="1"/>
  <c r="E554" i="6"/>
  <c r="D41" i="15"/>
  <c r="B72" i="2"/>
  <c r="C823" i="6"/>
  <c r="C442" i="5" s="1"/>
  <c r="C539" i="6"/>
  <c r="E174" i="6"/>
  <c r="E382" i="6"/>
  <c r="D15" i="15"/>
  <c r="E14" i="15"/>
  <c r="F52" i="15"/>
  <c r="B65" i="2"/>
  <c r="B109" i="3"/>
  <c r="B108" i="2"/>
  <c r="E118" i="5"/>
  <c r="D292" i="4"/>
  <c r="G107" i="11"/>
  <c r="L107" i="11" s="1"/>
  <c r="G235" i="10"/>
  <c r="I235" i="10" s="1"/>
  <c r="D706" i="6"/>
  <c r="D852" i="6"/>
  <c r="D457" i="4" s="1"/>
  <c r="D268" i="6"/>
  <c r="C360" i="4"/>
  <c r="C361" i="5"/>
  <c r="D477" i="4"/>
  <c r="D478" i="5"/>
  <c r="G163" i="10"/>
  <c r="I163" i="10" s="1"/>
  <c r="I164" i="10" s="1"/>
  <c r="L94" i="10"/>
  <c r="L417" i="9"/>
  <c r="D337" i="6"/>
  <c r="D185" i="5" s="1"/>
  <c r="B118" i="3"/>
  <c r="D46" i="5"/>
  <c r="L348" i="9"/>
  <c r="L124" i="10"/>
  <c r="L72" i="10"/>
  <c r="L127" i="11"/>
  <c r="N215" i="7"/>
  <c r="O215" i="7" s="1"/>
  <c r="L343" i="9"/>
  <c r="L44" i="11"/>
  <c r="L402" i="9"/>
  <c r="L64" i="11"/>
  <c r="L12" i="9"/>
  <c r="L52" i="10"/>
  <c r="L144" i="9"/>
  <c r="G220" i="8"/>
  <c r="I220" i="8" s="1"/>
  <c r="G204" i="9"/>
  <c r="I204" i="9" s="1"/>
  <c r="E141" i="6"/>
  <c r="E80" i="5" s="1"/>
  <c r="G566" i="8"/>
  <c r="I566" i="8" s="1"/>
  <c r="L37" i="9"/>
  <c r="N224" i="7"/>
  <c r="O224" i="7" s="1"/>
  <c r="E155" i="5"/>
  <c r="E154" i="4"/>
  <c r="D284" i="5"/>
  <c r="D283" i="4"/>
  <c r="Q334" i="7"/>
  <c r="R334" i="7" s="1"/>
  <c r="Q265" i="7"/>
  <c r="R265" i="7" s="1"/>
  <c r="N190" i="7"/>
  <c r="O190" i="7" s="1"/>
  <c r="F180" i="16" s="1"/>
  <c r="H180" i="16" s="1"/>
  <c r="N465" i="7"/>
  <c r="O465" i="7" s="1"/>
  <c r="N37" i="7"/>
  <c r="O37" i="7" s="1"/>
  <c r="F19" i="16" s="1"/>
  <c r="H19" i="16" s="1"/>
  <c r="Q152" i="7"/>
  <c r="R152" i="7" s="1"/>
  <c r="Q45" i="7"/>
  <c r="R45" i="7" s="1"/>
  <c r="D253" i="5"/>
  <c r="D252" i="4"/>
  <c r="N369" i="7"/>
  <c r="O369" i="7" s="1"/>
  <c r="N70" i="7"/>
  <c r="O70" i="7" s="1"/>
  <c r="N440" i="7"/>
  <c r="O440" i="7" s="1"/>
  <c r="F93" i="16" s="1"/>
  <c r="H93" i="16" s="1"/>
  <c r="N551" i="7"/>
  <c r="O551" i="7" s="1"/>
  <c r="F56" i="16" s="1"/>
  <c r="H56" i="16" s="1"/>
  <c r="N145" i="7"/>
  <c r="O145" i="7" s="1"/>
  <c r="F95" i="16" s="1"/>
  <c r="H95" i="16" s="1"/>
  <c r="G170" i="4"/>
  <c r="G171" i="5" s="1"/>
  <c r="G16" i="15"/>
  <c r="G173" i="4"/>
  <c r="G174" i="5" s="1"/>
  <c r="G30" i="15"/>
  <c r="B68" i="3"/>
  <c r="B67" i="2"/>
  <c r="F115" i="5"/>
  <c r="K115" i="5" s="1"/>
  <c r="Q224" i="7" s="1"/>
  <c r="R224" i="7" s="1"/>
  <c r="Q176" i="7"/>
  <c r="R176" i="7" s="1"/>
  <c r="D50" i="17" s="1"/>
  <c r="F50" i="17" s="1"/>
  <c r="Q399" i="7"/>
  <c r="R399" i="7" s="1"/>
  <c r="D67" i="17" s="1"/>
  <c r="F67" i="17" s="1"/>
  <c r="C277" i="6"/>
  <c r="C131" i="6"/>
  <c r="C569" i="6"/>
  <c r="C861" i="6"/>
  <c r="C423" i="6"/>
  <c r="D364" i="6"/>
  <c r="D802" i="6"/>
  <c r="D72" i="6"/>
  <c r="D34" i="15"/>
  <c r="D218" i="6"/>
  <c r="D510" i="6"/>
  <c r="E461" i="4"/>
  <c r="E462" i="5"/>
  <c r="N444" i="7"/>
  <c r="O444" i="7" s="1"/>
  <c r="F81" i="16" s="1"/>
  <c r="H81" i="16" s="1"/>
  <c r="E350" i="4"/>
  <c r="D155" i="5"/>
  <c r="Q388" i="7"/>
  <c r="R388" i="7" s="1"/>
  <c r="D98" i="17" s="1"/>
  <c r="F98" i="17" s="1"/>
  <c r="Q285" i="7"/>
  <c r="R285" i="7" s="1"/>
  <c r="C624" i="6"/>
  <c r="C186" i="6"/>
  <c r="C332" i="6"/>
  <c r="C770" i="6"/>
  <c r="C40" i="6"/>
  <c r="C478" i="6"/>
  <c r="N527" i="7"/>
  <c r="O527" i="7" s="1"/>
  <c r="G16" i="4"/>
  <c r="G17" i="5" s="1"/>
  <c r="Q397" i="7"/>
  <c r="R397" i="7" s="1"/>
  <c r="Q61" i="7"/>
  <c r="R61" i="7" s="1"/>
  <c r="D92" i="17" s="1"/>
  <c r="F92" i="17" s="1"/>
  <c r="E186" i="6"/>
  <c r="E478" i="6"/>
  <c r="E40" i="6"/>
  <c r="E770" i="6"/>
  <c r="E18" i="15"/>
  <c r="E624" i="6"/>
  <c r="D208" i="4"/>
  <c r="D209" i="5"/>
  <c r="Q100" i="7"/>
  <c r="R100" i="7" s="1"/>
  <c r="Q29" i="7"/>
  <c r="R29" i="7" s="1"/>
  <c r="G169" i="4"/>
  <c r="G170" i="5" s="1"/>
  <c r="Q352" i="7"/>
  <c r="R352" i="7" s="1"/>
  <c r="Q283" i="7"/>
  <c r="R283" i="7" s="1"/>
  <c r="Q242" i="7"/>
  <c r="R242" i="7" s="1"/>
  <c r="D62" i="4"/>
  <c r="D63" i="5"/>
  <c r="N210" i="7"/>
  <c r="O210" i="7" s="1"/>
  <c r="N501" i="7"/>
  <c r="O501" i="7" s="1"/>
  <c r="Q37" i="7"/>
  <c r="R37" i="7" s="1"/>
  <c r="D133" i="17" s="1"/>
  <c r="F133" i="17" s="1"/>
  <c r="Q355" i="7"/>
  <c r="R355" i="7" s="1"/>
  <c r="N209" i="7"/>
  <c r="O209" i="7" s="1"/>
  <c r="N334" i="7"/>
  <c r="O334" i="7" s="1"/>
  <c r="Q232" i="7"/>
  <c r="R232" i="7" s="1"/>
  <c r="Q278" i="7"/>
  <c r="R278" i="7" s="1"/>
  <c r="C715" i="6"/>
  <c r="E365" i="5"/>
  <c r="E364" i="4"/>
  <c r="N46" i="7"/>
  <c r="O46" i="7" s="1"/>
  <c r="F40" i="15"/>
  <c r="G13" i="4"/>
  <c r="G14" i="5" s="1"/>
  <c r="Q280" i="7"/>
  <c r="R280" i="7" s="1"/>
  <c r="Q409" i="7"/>
  <c r="R409" i="7" s="1"/>
  <c r="E8" i="15"/>
  <c r="E723" i="6"/>
  <c r="E139" i="6"/>
  <c r="E431" i="6"/>
  <c r="E285" i="6"/>
  <c r="E869" i="6"/>
  <c r="D656" i="6"/>
  <c r="N311" i="7"/>
  <c r="O311" i="7" s="1"/>
  <c r="F85" i="16" s="1"/>
  <c r="H85" i="16" s="1"/>
  <c r="N187" i="7"/>
  <c r="O187" i="7" s="1"/>
  <c r="F161" i="16" s="1"/>
  <c r="H161" i="16" s="1"/>
  <c r="B8" i="2"/>
  <c r="B9" i="3"/>
  <c r="Q101" i="7"/>
  <c r="R101" i="7" s="1"/>
  <c r="D53" i="18" s="1"/>
  <c r="F53" i="18" s="1"/>
  <c r="Q311" i="7"/>
  <c r="R311" i="7" s="1"/>
  <c r="D58" i="17" s="1"/>
  <c r="F58" i="17" s="1"/>
  <c r="C642" i="6"/>
  <c r="C788" i="6"/>
  <c r="C710" i="6"/>
  <c r="C204" i="6"/>
  <c r="C418" i="6"/>
  <c r="C44" i="15"/>
  <c r="C564" i="6"/>
  <c r="C350" i="6"/>
  <c r="C272" i="6"/>
  <c r="C126" i="6"/>
  <c r="C856" i="6"/>
  <c r="C496" i="6"/>
  <c r="C452" i="6"/>
  <c r="C744" i="6"/>
  <c r="C598" i="6"/>
  <c r="C306" i="6"/>
  <c r="C14" i="6"/>
  <c r="C160" i="6"/>
  <c r="D858" i="6"/>
  <c r="D274" i="6"/>
  <c r="D566" i="6"/>
  <c r="D420" i="6"/>
  <c r="E727" i="6"/>
  <c r="N10" i="7"/>
  <c r="O10" i="7" s="1"/>
  <c r="Q446" i="7"/>
  <c r="R446" i="7" s="1"/>
  <c r="D55" i="17" s="1"/>
  <c r="F55" i="17" s="1"/>
  <c r="Q189" i="7"/>
  <c r="R189" i="7" s="1"/>
  <c r="D107" i="17" s="1"/>
  <c r="F107" i="17" s="1"/>
  <c r="N395" i="7"/>
  <c r="O395" i="7" s="1"/>
  <c r="F195" i="16" s="1"/>
  <c r="H195" i="16" s="1"/>
  <c r="F16" i="15"/>
  <c r="F43" i="15"/>
  <c r="B82" i="3"/>
  <c r="B81" i="2"/>
  <c r="Q250" i="7"/>
  <c r="R250" i="7" s="1"/>
  <c r="Q282" i="7"/>
  <c r="R282" i="7" s="1"/>
  <c r="Q443" i="7"/>
  <c r="R443" i="7" s="1"/>
  <c r="D49" i="17" s="1"/>
  <c r="F49" i="17" s="1"/>
  <c r="N97" i="7"/>
  <c r="O97" i="7" s="1"/>
  <c r="N378" i="7"/>
  <c r="O378" i="7" s="1"/>
  <c r="F28" i="15"/>
  <c r="N110" i="7"/>
  <c r="O110" i="7" s="1"/>
  <c r="F54" i="15"/>
  <c r="D409" i="4"/>
  <c r="Q417" i="7"/>
  <c r="R417" i="7" s="1"/>
  <c r="D130" i="17" s="1"/>
  <c r="F130" i="17" s="1"/>
  <c r="Q502" i="7"/>
  <c r="R502" i="7" s="1"/>
  <c r="D38" i="17" s="1"/>
  <c r="F38" i="17" s="1"/>
  <c r="Q398" i="7"/>
  <c r="R398" i="7" s="1"/>
  <c r="D64" i="17" s="1"/>
  <c r="F64" i="17" s="1"/>
  <c r="Q309" i="7"/>
  <c r="R309" i="7" s="1"/>
  <c r="Q98" i="7"/>
  <c r="R98" i="7" s="1"/>
  <c r="Q493" i="7"/>
  <c r="R493" i="7" s="1"/>
  <c r="D136" i="17" s="1"/>
  <c r="F136" i="17" s="1"/>
  <c r="Q345" i="7"/>
  <c r="R345" i="7" s="1"/>
  <c r="Q173" i="7"/>
  <c r="R173" i="7" s="1"/>
  <c r="D33" i="17" s="1"/>
  <c r="F33" i="17" s="1"/>
  <c r="Q539" i="7"/>
  <c r="R539" i="7" s="1"/>
  <c r="D138" i="17" s="1"/>
  <c r="F138" i="17" s="1"/>
  <c r="Q343" i="7"/>
  <c r="R343" i="7" s="1"/>
  <c r="Q377" i="7"/>
  <c r="R377" i="7" s="1"/>
  <c r="Q440" i="7"/>
  <c r="R440" i="7" s="1"/>
  <c r="D57" i="17" s="1"/>
  <c r="F57" i="17" s="1"/>
  <c r="Q275" i="7"/>
  <c r="R275" i="7" s="1"/>
  <c r="Q448" i="7"/>
  <c r="R448" i="7" s="1"/>
  <c r="Q80" i="7"/>
  <c r="R80" i="7" s="1"/>
  <c r="Q418" i="7"/>
  <c r="R418" i="7" s="1"/>
  <c r="Q458" i="7"/>
  <c r="R458" i="7" s="1"/>
  <c r="D34" i="17" s="1"/>
  <c r="F34" i="17" s="1"/>
  <c r="Q19" i="7"/>
  <c r="R19" i="7" s="1"/>
  <c r="D97" i="17" s="1"/>
  <c r="F97" i="17" s="1"/>
  <c r="Q296" i="7"/>
  <c r="R296" i="7" s="1"/>
  <c r="Q169" i="7"/>
  <c r="R169" i="7" s="1"/>
  <c r="D15" i="17" s="1"/>
  <c r="F15" i="17" s="1"/>
  <c r="Q457" i="7"/>
  <c r="R457" i="7" s="1"/>
  <c r="Q268" i="7"/>
  <c r="R268" i="7" s="1"/>
  <c r="Q276" i="7"/>
  <c r="R276" i="7" s="1"/>
  <c r="Q491" i="7"/>
  <c r="R491" i="7" s="1"/>
  <c r="Q298" i="7"/>
  <c r="R298" i="7" s="1"/>
  <c r="Q9" i="7"/>
  <c r="R9" i="7" s="1"/>
  <c r="Q368" i="7"/>
  <c r="R368" i="7" s="1"/>
  <c r="Q386" i="7"/>
  <c r="R386" i="7" s="1"/>
  <c r="Q262" i="7"/>
  <c r="R262" i="7" s="1"/>
  <c r="Q353" i="7"/>
  <c r="R353" i="7" s="1"/>
  <c r="Q44" i="7"/>
  <c r="R44" i="7" s="1"/>
  <c r="D49" i="18" s="1"/>
  <c r="F49" i="18" s="1"/>
  <c r="Q154" i="7"/>
  <c r="R154" i="7" s="1"/>
  <c r="Q284" i="7"/>
  <c r="R284" i="7" s="1"/>
  <c r="Q263" i="7"/>
  <c r="R263" i="7" s="1"/>
  <c r="Q172" i="7"/>
  <c r="R172" i="7" s="1"/>
  <c r="D95" i="17" s="1"/>
  <c r="F95" i="17" s="1"/>
  <c r="Q144" i="7"/>
  <c r="R144" i="7" s="1"/>
  <c r="Q319" i="7"/>
  <c r="R319" i="7" s="1"/>
  <c r="Q360" i="7"/>
  <c r="R360" i="7" s="1"/>
  <c r="Q254" i="7"/>
  <c r="R254" i="7" s="1"/>
  <c r="D125" i="17" s="1"/>
  <c r="F125" i="17" s="1"/>
  <c r="Q332" i="7"/>
  <c r="R332" i="7" s="1"/>
  <c r="D104" i="17" s="1"/>
  <c r="F104" i="17" s="1"/>
  <c r="Q21" i="7"/>
  <c r="R21" i="7" s="1"/>
  <c r="D62" i="17" s="1"/>
  <c r="F62" i="17" s="1"/>
  <c r="Q449" i="7"/>
  <c r="R449" i="7" s="1"/>
  <c r="Q28" i="7"/>
  <c r="R28" i="7" s="1"/>
  <c r="Q187" i="7"/>
  <c r="R187" i="7" s="1"/>
  <c r="D78" i="17" s="1"/>
  <c r="F78" i="17" s="1"/>
  <c r="Q134" i="7"/>
  <c r="R134" i="7" s="1"/>
  <c r="Q480" i="7"/>
  <c r="R480" i="7" s="1"/>
  <c r="Q308" i="7"/>
  <c r="R308" i="7" s="1"/>
  <c r="Q330" i="7"/>
  <c r="R330" i="7" s="1"/>
  <c r="D101" i="17" s="1"/>
  <c r="F101" i="17" s="1"/>
  <c r="Q251" i="7"/>
  <c r="R251" i="7" s="1"/>
  <c r="Q299" i="7"/>
  <c r="R299" i="7" s="1"/>
  <c r="Q444" i="7"/>
  <c r="R444" i="7" s="1"/>
  <c r="D35" i="17" s="1"/>
  <c r="F35" i="17" s="1"/>
  <c r="Q301" i="7"/>
  <c r="R301" i="7" s="1"/>
  <c r="D31" i="17" s="1"/>
  <c r="F31" i="17" s="1"/>
  <c r="Q395" i="7"/>
  <c r="R395" i="7" s="1"/>
  <c r="D21" i="17" s="1"/>
  <c r="F21" i="17" s="1"/>
  <c r="Q175" i="7"/>
  <c r="R175" i="7" s="1"/>
  <c r="D7" i="17" s="1"/>
  <c r="F7" i="17" s="1"/>
  <c r="Q551" i="7"/>
  <c r="R551" i="7" s="1"/>
  <c r="D39" i="17" s="1"/>
  <c r="F39" i="17" s="1"/>
  <c r="F355" i="5"/>
  <c r="T355" i="5" s="1"/>
  <c r="F354" i="4"/>
  <c r="D318" i="6"/>
  <c r="D756" i="6"/>
  <c r="D610" i="6"/>
  <c r="D26" i="6"/>
  <c r="D172" i="6"/>
  <c r="D32" i="15"/>
  <c r="Q79" i="7"/>
  <c r="R79" i="7" s="1"/>
  <c r="Q255" i="7"/>
  <c r="R255" i="7" s="1"/>
  <c r="D30" i="17" s="1"/>
  <c r="F30" i="17" s="1"/>
  <c r="Q318" i="7"/>
  <c r="R318" i="7" s="1"/>
  <c r="D128" i="17" s="1"/>
  <c r="F128" i="17" s="1"/>
  <c r="Q170" i="7"/>
  <c r="R170" i="7" s="1"/>
  <c r="D141" i="17" s="1"/>
  <c r="F141" i="17" s="1"/>
  <c r="Q252" i="7"/>
  <c r="R252" i="7" s="1"/>
  <c r="Q445" i="7"/>
  <c r="R445" i="7" s="1"/>
  <c r="D74" i="17" s="1"/>
  <c r="F74" i="17" s="1"/>
  <c r="D128" i="6"/>
  <c r="D358" i="4"/>
  <c r="D359" i="5"/>
  <c r="C91" i="4"/>
  <c r="C92" i="5"/>
  <c r="E280" i="4"/>
  <c r="E281" i="5"/>
  <c r="E466" i="5"/>
  <c r="E465" i="4"/>
  <c r="D112" i="4"/>
  <c r="D113" i="5"/>
  <c r="G91" i="11"/>
  <c r="I91" i="11" s="1"/>
  <c r="I92" i="11" s="1"/>
  <c r="F198" i="4"/>
  <c r="F199" i="5"/>
  <c r="N199" i="5" s="1"/>
  <c r="N458" i="7"/>
  <c r="O458" i="7" s="1"/>
  <c r="F27" i="16" s="1"/>
  <c r="H27" i="16" s="1"/>
  <c r="N233" i="7"/>
  <c r="O233" i="7" s="1"/>
  <c r="N188" i="7"/>
  <c r="O188" i="7" s="1"/>
  <c r="F141" i="16" s="1"/>
  <c r="H141" i="16" s="1"/>
  <c r="F30" i="15"/>
  <c r="N167" i="7"/>
  <c r="O167" i="7" s="1"/>
  <c r="F97" i="16" s="1"/>
  <c r="H97" i="16" s="1"/>
  <c r="F24" i="15"/>
  <c r="F8" i="15"/>
  <c r="N87" i="7"/>
  <c r="O87" i="7" s="1"/>
  <c r="G328" i="4"/>
  <c r="G329" i="5" s="1"/>
  <c r="B71" i="2"/>
  <c r="B72" i="3"/>
  <c r="B44" i="2"/>
  <c r="B45" i="3"/>
  <c r="E399" i="5"/>
  <c r="G403" i="4"/>
  <c r="G404" i="5" s="1"/>
  <c r="Q472" i="7"/>
  <c r="R472" i="7" s="1"/>
  <c r="Q378" i="7"/>
  <c r="R378" i="7" s="1"/>
  <c r="Q286" i="7"/>
  <c r="R286" i="7" s="1"/>
  <c r="Q329" i="7"/>
  <c r="R329" i="7" s="1"/>
  <c r="D36" i="17" s="1"/>
  <c r="F36" i="17" s="1"/>
  <c r="Q211" i="7"/>
  <c r="R211" i="7" s="1"/>
  <c r="Q266" i="7"/>
  <c r="R266" i="7" s="1"/>
  <c r="Q447" i="7"/>
  <c r="R447" i="7" s="1"/>
  <c r="Q538" i="7"/>
  <c r="R538" i="7" s="1"/>
  <c r="Q215" i="7"/>
  <c r="R215" i="7" s="1"/>
  <c r="D104" i="4"/>
  <c r="D105" i="5"/>
  <c r="N388" i="7"/>
  <c r="O388" i="7" s="1"/>
  <c r="F51" i="16" s="1"/>
  <c r="H51" i="16" s="1"/>
  <c r="G257" i="4"/>
  <c r="G258" i="5" s="1"/>
  <c r="Q300" i="7"/>
  <c r="R300" i="7" s="1"/>
  <c r="D126" i="17" s="1"/>
  <c r="F126" i="17" s="1"/>
  <c r="D275" i="5"/>
  <c r="D274" i="4"/>
  <c r="E112" i="5"/>
  <c r="E111" i="4"/>
  <c r="F35" i="15"/>
  <c r="F42" i="4"/>
  <c r="G251" i="4"/>
  <c r="G252" i="5" s="1"/>
  <c r="Q367" i="7"/>
  <c r="R367" i="7" s="1"/>
  <c r="Q54" i="7"/>
  <c r="R54" i="7" s="1"/>
  <c r="D93" i="17" s="1"/>
  <c r="F93" i="17" s="1"/>
  <c r="D378" i="4"/>
  <c r="D379" i="5"/>
  <c r="N297" i="7"/>
  <c r="O297" i="7" s="1"/>
  <c r="B147" i="3"/>
  <c r="B146" i="2"/>
  <c r="B141" i="3"/>
  <c r="B140" i="2"/>
  <c r="G77" i="10"/>
  <c r="L77" i="10" s="1"/>
  <c r="G197" i="9"/>
  <c r="I197" i="9" s="1"/>
  <c r="G206" i="9"/>
  <c r="I206" i="9" s="1"/>
  <c r="G112" i="11"/>
  <c r="L112" i="11" s="1"/>
  <c r="G228" i="10"/>
  <c r="I228" i="10" s="1"/>
  <c r="I229" i="10" s="1"/>
  <c r="G236" i="10"/>
  <c r="I236" i="10" s="1"/>
  <c r="G54" i="11"/>
  <c r="L54" i="11" s="1"/>
  <c r="G187" i="10"/>
  <c r="I187" i="10" s="1"/>
  <c r="I188" i="10" s="1"/>
  <c r="Q113" i="7"/>
  <c r="R113" i="7" s="1"/>
  <c r="D69" i="17" s="1"/>
  <c r="F69" i="17" s="1"/>
  <c r="D75" i="6"/>
  <c r="D513" i="6"/>
  <c r="D221" i="6"/>
  <c r="D659" i="6"/>
  <c r="D47" i="15"/>
  <c r="D367" i="6"/>
  <c r="E752" i="6"/>
  <c r="E314" i="6"/>
  <c r="E460" i="6"/>
  <c r="E168" i="6"/>
  <c r="E22" i="6"/>
  <c r="E16" i="15"/>
  <c r="E606" i="6"/>
  <c r="E183" i="5"/>
  <c r="E182" i="4"/>
  <c r="Q359" i="7"/>
  <c r="R359" i="7" s="1"/>
  <c r="D112" i="17" s="1"/>
  <c r="F112" i="17" s="1"/>
  <c r="G14" i="4"/>
  <c r="G15" i="5" s="1"/>
  <c r="D193" i="6"/>
  <c r="D485" i="6"/>
  <c r="D339" i="6"/>
  <c r="D631" i="6"/>
  <c r="D25" i="15"/>
  <c r="D777" i="6"/>
  <c r="D47" i="6"/>
  <c r="D798" i="6"/>
  <c r="D360" i="6"/>
  <c r="D652" i="6"/>
  <c r="D68" i="6"/>
  <c r="D214" i="6"/>
  <c r="D533" i="6"/>
  <c r="D825" i="6"/>
  <c r="D51" i="15"/>
  <c r="D241" i="6"/>
  <c r="D679" i="6"/>
  <c r="D37" i="5"/>
  <c r="D36" i="4"/>
  <c r="F46" i="15"/>
  <c r="F50" i="15"/>
  <c r="E768" i="6"/>
  <c r="E622" i="6"/>
  <c r="E38" i="6"/>
  <c r="E184" i="6"/>
  <c r="E40" i="15"/>
  <c r="E330" i="6"/>
  <c r="E42" i="15"/>
  <c r="E53" i="6"/>
  <c r="E637" i="6"/>
  <c r="E345" i="6"/>
  <c r="E783" i="6"/>
  <c r="E491" i="6"/>
  <c r="D52" i="15"/>
  <c r="E43" i="5"/>
  <c r="E42" i="4"/>
  <c r="N320" i="7"/>
  <c r="O320" i="7" s="1"/>
  <c r="N9" i="7"/>
  <c r="O9" i="7" s="1"/>
  <c r="F44" i="15"/>
  <c r="F202" i="5"/>
  <c r="N202" i="5" s="1"/>
  <c r="Q408" i="7"/>
  <c r="R408" i="7" s="1"/>
  <c r="D117" i="17" s="1"/>
  <c r="F117" i="17" s="1"/>
  <c r="Q442" i="7"/>
  <c r="R442" i="7" s="1"/>
  <c r="D106" i="17" s="1"/>
  <c r="F106" i="17" s="1"/>
  <c r="C18" i="15"/>
  <c r="E332" i="6"/>
  <c r="N89" i="7"/>
  <c r="O89" i="7" s="1"/>
  <c r="D333" i="4"/>
  <c r="Q110" i="7"/>
  <c r="R110" i="7" s="1"/>
  <c r="Q456" i="7"/>
  <c r="R456" i="7" s="1"/>
  <c r="Q208" i="7"/>
  <c r="R208" i="7" s="1"/>
  <c r="D179" i="5"/>
  <c r="D178" i="4"/>
  <c r="N172" i="7"/>
  <c r="O172" i="7" s="1"/>
  <c r="F158" i="16" s="1"/>
  <c r="H158" i="16" s="1"/>
  <c r="N472" i="7"/>
  <c r="O472" i="7" s="1"/>
  <c r="D262" i="4"/>
  <c r="C309" i="4"/>
  <c r="E366" i="5"/>
  <c r="E365" i="4"/>
  <c r="D165" i="5"/>
  <c r="D164" i="4"/>
  <c r="C367" i="4"/>
  <c r="C368" i="5"/>
  <c r="N165" i="7"/>
  <c r="O165" i="7" s="1"/>
  <c r="F82" i="16" s="1"/>
  <c r="H82" i="16" s="1"/>
  <c r="N491" i="7"/>
  <c r="O491" i="7" s="1"/>
  <c r="N285" i="7"/>
  <c r="O285" i="7" s="1"/>
  <c r="B115" i="2"/>
  <c r="B116" i="3"/>
  <c r="D345" i="4"/>
  <c r="G172" i="4"/>
  <c r="G173" i="5" s="1"/>
  <c r="G32" i="9"/>
  <c r="L32" i="9" s="1"/>
  <c r="G60" i="8"/>
  <c r="I60" i="8" s="1"/>
  <c r="I66" i="8" s="1"/>
  <c r="G17" i="12"/>
  <c r="L17" i="12" s="1"/>
  <c r="G71" i="11"/>
  <c r="I71" i="11" s="1"/>
  <c r="Q192" i="7"/>
  <c r="R192" i="7" s="1"/>
  <c r="D139" i="17" s="1"/>
  <c r="F139" i="17" s="1"/>
  <c r="Q500" i="7"/>
  <c r="R500" i="7" s="1"/>
  <c r="D26" i="17" s="1"/>
  <c r="F26" i="17" s="1"/>
  <c r="Q342" i="7"/>
  <c r="R342" i="7" s="1"/>
  <c r="Q297" i="7"/>
  <c r="R297" i="7" s="1"/>
  <c r="Q438" i="7"/>
  <c r="R438" i="7" s="1"/>
  <c r="D83" i="17" s="1"/>
  <c r="F83" i="17" s="1"/>
  <c r="E259" i="5"/>
  <c r="E258" i="4"/>
  <c r="E385" i="4"/>
  <c r="E386" i="5"/>
  <c r="Q288" i="7"/>
  <c r="R288" i="7" s="1"/>
  <c r="F366" i="5"/>
  <c r="T366" i="5" s="1"/>
  <c r="F365" i="4"/>
  <c r="N357" i="7" s="1"/>
  <c r="O357" i="7" s="1"/>
  <c r="Q111" i="7"/>
  <c r="R111" i="7" s="1"/>
  <c r="D216" i="5"/>
  <c r="D215" i="4"/>
  <c r="Q233" i="7"/>
  <c r="R233" i="7" s="1"/>
  <c r="E212" i="4"/>
  <c r="E213" i="5"/>
  <c r="N397" i="7"/>
  <c r="O397" i="7" s="1"/>
  <c r="N18" i="7"/>
  <c r="O18" i="7" s="1"/>
  <c r="Q439" i="7"/>
  <c r="R439" i="7" s="1"/>
  <c r="D70" i="17" s="1"/>
  <c r="F70" i="17" s="1"/>
  <c r="Q327" i="7"/>
  <c r="R327" i="7" s="1"/>
  <c r="D111" i="17" s="1"/>
  <c r="F111" i="17" s="1"/>
  <c r="Q385" i="7"/>
  <c r="R385" i="7" s="1"/>
  <c r="C177" i="4"/>
  <c r="C178" i="5"/>
  <c r="E348" i="4"/>
  <c r="E349" i="5"/>
  <c r="D23" i="4"/>
  <c r="D24" i="5"/>
  <c r="N186" i="7"/>
  <c r="O186" i="7" s="1"/>
  <c r="F167" i="16" s="1"/>
  <c r="H167" i="16" s="1"/>
  <c r="G47" i="10"/>
  <c r="L47" i="10" s="1"/>
  <c r="G150" i="9"/>
  <c r="I150" i="9" s="1"/>
  <c r="I158" i="9" s="1"/>
  <c r="G27" i="10"/>
  <c r="L27" i="10" s="1"/>
  <c r="G62" i="9"/>
  <c r="I62" i="9" s="1"/>
  <c r="I70" i="9" s="1"/>
  <c r="Q357" i="7"/>
  <c r="R357" i="7" s="1"/>
  <c r="E172" i="5"/>
  <c r="E171" i="4"/>
  <c r="N377" i="7"/>
  <c r="O377" i="7" s="1"/>
  <c r="N185" i="7"/>
  <c r="O185" i="7" s="1"/>
  <c r="F48" i="15"/>
  <c r="N154" i="7"/>
  <c r="O154" i="7" s="1"/>
  <c r="B99" i="2"/>
  <c r="B100" i="3"/>
  <c r="Q267" i="7"/>
  <c r="R267" i="7" s="1"/>
  <c r="D441" i="4"/>
  <c r="D442" i="5"/>
  <c r="C37" i="5"/>
  <c r="C36" i="4"/>
  <c r="F14" i="15"/>
  <c r="F37" i="15"/>
  <c r="Q331" i="7"/>
  <c r="R331" i="7" s="1"/>
  <c r="D103" i="17" s="1"/>
  <c r="F103" i="17" s="1"/>
  <c r="Q387" i="7"/>
  <c r="R387" i="7" s="1"/>
  <c r="D633" i="6"/>
  <c r="D487" i="6"/>
  <c r="D779" i="6"/>
  <c r="D49" i="6"/>
  <c r="D341" i="6"/>
  <c r="D195" i="6"/>
  <c r="E873" i="6"/>
  <c r="E720" i="6"/>
  <c r="E581" i="6"/>
  <c r="E289" i="6"/>
  <c r="E435" i="6"/>
  <c r="E574" i="6"/>
  <c r="E136" i="6"/>
  <c r="E428" i="6"/>
  <c r="E143" i="6"/>
  <c r="E866" i="6"/>
  <c r="E33" i="15"/>
  <c r="D95" i="6"/>
  <c r="E474" i="4"/>
  <c r="E475" i="5"/>
  <c r="N189" i="7"/>
  <c r="O189" i="7" s="1"/>
  <c r="F92" i="16" s="1"/>
  <c r="H92" i="16" s="1"/>
  <c r="C10" i="5"/>
  <c r="B23" i="3"/>
  <c r="B22" i="2"/>
  <c r="B92" i="2"/>
  <c r="B93" i="3"/>
  <c r="G326" i="4"/>
  <c r="G327" i="5" s="1"/>
  <c r="Q279" i="7"/>
  <c r="R279" i="7" s="1"/>
  <c r="Q396" i="7"/>
  <c r="R396" i="7" s="1"/>
  <c r="D27" i="17" s="1"/>
  <c r="F27" i="17" s="1"/>
  <c r="E59" i="4"/>
  <c r="E60" i="5"/>
  <c r="E186" i="5"/>
  <c r="E185" i="4"/>
  <c r="N29" i="7"/>
  <c r="O29" i="7" s="1"/>
  <c r="E275" i="5"/>
  <c r="E274" i="4"/>
  <c r="C27" i="15"/>
  <c r="C123" i="4"/>
  <c r="C124" i="5"/>
  <c r="D31" i="15"/>
  <c r="C186" i="4"/>
  <c r="C187" i="5"/>
  <c r="B42" i="3"/>
  <c r="N473" i="7"/>
  <c r="O473" i="7" s="1"/>
  <c r="N194" i="7"/>
  <c r="O194" i="7" s="1"/>
  <c r="F52" i="16" s="1"/>
  <c r="H52" i="16" s="1"/>
  <c r="F10" i="15"/>
  <c r="D94" i="5"/>
  <c r="D93" i="4"/>
  <c r="B83" i="2"/>
  <c r="N367" i="7"/>
  <c r="O367" i="7" s="1"/>
  <c r="N299" i="7"/>
  <c r="O299" i="7" s="1"/>
  <c r="N539" i="7"/>
  <c r="O539" i="7" s="1"/>
  <c r="F43" i="16" s="1"/>
  <c r="H43" i="16" s="1"/>
  <c r="F42" i="15"/>
  <c r="F57" i="15"/>
  <c r="B132" i="2"/>
  <c r="B88" i="3"/>
  <c r="B87" i="2"/>
  <c r="N17" i="7"/>
  <c r="O17" i="7" s="1"/>
  <c r="F100" i="16" s="1"/>
  <c r="H100" i="16" s="1"/>
  <c r="N500" i="7"/>
  <c r="O500" i="7" s="1"/>
  <c r="F8" i="16" s="1"/>
  <c r="H8" i="16" s="1"/>
  <c r="N437" i="7"/>
  <c r="O437" i="7" s="1"/>
  <c r="F31" i="16" s="1"/>
  <c r="H31" i="16" s="1"/>
  <c r="N308" i="7"/>
  <c r="O308" i="7" s="1"/>
  <c r="N45" i="7"/>
  <c r="O45" i="7" s="1"/>
  <c r="N401" i="7"/>
  <c r="O401" i="7" s="1"/>
  <c r="N327" i="7"/>
  <c r="O327" i="7" s="1"/>
  <c r="F124" i="16" s="1"/>
  <c r="H124" i="16" s="1"/>
  <c r="N319" i="7"/>
  <c r="O319" i="7" s="1"/>
  <c r="N152" i="7"/>
  <c r="O152" i="7" s="1"/>
  <c r="N127" i="7"/>
  <c r="O127" i="7" s="1"/>
  <c r="N149" i="8" s="1"/>
  <c r="O149" i="8" s="1"/>
  <c r="F55" i="16" s="1"/>
  <c r="H55" i="16" s="1"/>
  <c r="N20" i="7"/>
  <c r="O20" i="7" s="1"/>
  <c r="F174" i="16" s="1"/>
  <c r="H174" i="16" s="1"/>
  <c r="N155" i="7"/>
  <c r="O155" i="7" s="1"/>
  <c r="F98" i="16" s="1"/>
  <c r="H98" i="16" s="1"/>
  <c r="N343" i="7"/>
  <c r="O343" i="7" s="1"/>
  <c r="N279" i="7"/>
  <c r="O279" i="7" s="1"/>
  <c r="N519" i="7"/>
  <c r="O519" i="7" s="1"/>
  <c r="N217" i="7"/>
  <c r="O217" i="7" s="1"/>
  <c r="F130" i="16" s="1"/>
  <c r="H130" i="16" s="1"/>
  <c r="N184" i="7"/>
  <c r="O184" i="7" s="1"/>
  <c r="N144" i="7"/>
  <c r="O144" i="7" s="1"/>
  <c r="N530" i="7"/>
  <c r="O530" i="7" s="1"/>
  <c r="F7" i="16" s="1"/>
  <c r="H7" i="16" s="1"/>
  <c r="N345" i="7"/>
  <c r="O345" i="7" s="1"/>
  <c r="N163" i="7"/>
  <c r="O163" i="7" s="1"/>
  <c r="N333" i="7"/>
  <c r="O333" i="7" s="1"/>
  <c r="N289" i="7"/>
  <c r="O289" i="7" s="1"/>
  <c r="N457" i="7"/>
  <c r="O457" i="7" s="1"/>
  <c r="N61" i="7"/>
  <c r="O61" i="7" s="1"/>
  <c r="F9" i="16" s="1"/>
  <c r="H9" i="16" s="1"/>
  <c r="N386" i="7"/>
  <c r="O386" i="7" s="1"/>
  <c r="N518" i="7"/>
  <c r="O518" i="7" s="1"/>
  <c r="N164" i="7"/>
  <c r="O164" i="7" s="1"/>
  <c r="N329" i="7"/>
  <c r="O329" i="7" s="1"/>
  <c r="F77" i="16" s="1"/>
  <c r="H77" i="16" s="1"/>
  <c r="F27" i="15"/>
  <c r="N300" i="7"/>
  <c r="O300" i="7" s="1"/>
  <c r="F149" i="16" s="1"/>
  <c r="H149" i="16" s="1"/>
  <c r="N310" i="7"/>
  <c r="O310" i="7" s="1"/>
  <c r="N30" i="7"/>
  <c r="O30" i="7" s="1"/>
  <c r="N328" i="7"/>
  <c r="O328" i="7" s="1"/>
  <c r="F86" i="16" s="1"/>
  <c r="H86" i="16" s="1"/>
  <c r="N408" i="7"/>
  <c r="O408" i="7" s="1"/>
  <c r="F142" i="16" s="1"/>
  <c r="H142" i="16" s="1"/>
  <c r="N456" i="7"/>
  <c r="O456" i="7" s="1"/>
  <c r="N493" i="7"/>
  <c r="O493" i="7" s="1"/>
  <c r="F47" i="16" s="1"/>
  <c r="H47" i="16" s="1"/>
  <c r="N166" i="7"/>
  <c r="O166" i="7" s="1"/>
  <c r="F70" i="16" s="1"/>
  <c r="H70" i="16" s="1"/>
  <c r="N201" i="7"/>
  <c r="O201" i="7" s="1"/>
  <c r="N287" i="7"/>
  <c r="O287" i="7" s="1"/>
  <c r="N342" i="7"/>
  <c r="O342" i="7" s="1"/>
  <c r="N282" i="7"/>
  <c r="O282" i="7" s="1"/>
  <c r="N296" i="7"/>
  <c r="O296" i="7" s="1"/>
  <c r="N171" i="7"/>
  <c r="O171" i="7" s="1"/>
  <c r="F103" i="16" s="1"/>
  <c r="H103" i="16" s="1"/>
  <c r="N277" i="7"/>
  <c r="O277" i="7" s="1"/>
  <c r="N213" i="7"/>
  <c r="O213" i="7" s="1"/>
  <c r="F115" i="16" s="1"/>
  <c r="H115" i="16" s="1"/>
  <c r="N538" i="7"/>
  <c r="O538" i="7" s="1"/>
  <c r="F26" i="15"/>
  <c r="F9" i="15"/>
  <c r="N341" i="7"/>
  <c r="O341" i="7" s="1"/>
  <c r="N439" i="7"/>
  <c r="O439" i="7" s="1"/>
  <c r="F32" i="16" s="1"/>
  <c r="H32" i="16" s="1"/>
  <c r="N135" i="7"/>
  <c r="O135" i="7" s="1"/>
  <c r="N232" i="7"/>
  <c r="O232" i="7" s="1"/>
  <c r="N250" i="7"/>
  <c r="O250" i="7" s="1"/>
  <c r="F25" i="15"/>
  <c r="N212" i="7"/>
  <c r="O212" i="7" s="1"/>
  <c r="N448" i="7"/>
  <c r="O448" i="7" s="1"/>
  <c r="N137" i="7"/>
  <c r="O137" i="7" s="1"/>
  <c r="F24" i="16" s="1"/>
  <c r="H24" i="16" s="1"/>
  <c r="N79" i="7"/>
  <c r="O79" i="7" s="1"/>
  <c r="N168" i="7"/>
  <c r="O168" i="7" s="1"/>
  <c r="F105" i="16" s="1"/>
  <c r="H105" i="16" s="1"/>
  <c r="N101" i="7"/>
  <c r="O101" i="7" s="1"/>
  <c r="F178" i="16" s="1"/>
  <c r="H178" i="16" s="1"/>
  <c r="F31" i="15"/>
  <c r="F20" i="15"/>
  <c r="F22" i="15"/>
  <c r="N298" i="7"/>
  <c r="O298" i="7" s="1"/>
  <c r="N301" i="7"/>
  <c r="O301" i="7" s="1"/>
  <c r="F61" i="16" s="1"/>
  <c r="H61" i="16" s="1"/>
  <c r="F58" i="15"/>
  <c r="N288" i="7"/>
  <c r="O288" i="7" s="1"/>
  <c r="F33" i="15"/>
  <c r="N252" i="7"/>
  <c r="O252" i="7" s="1"/>
  <c r="F41" i="15"/>
  <c r="N387" i="7"/>
  <c r="O387" i="7" s="1"/>
  <c r="N417" i="7"/>
  <c r="O417" i="7" s="1"/>
  <c r="F137" i="16" s="1"/>
  <c r="H137" i="16" s="1"/>
  <c r="N442" i="7"/>
  <c r="O442" i="7" s="1"/>
  <c r="F80" i="16" s="1"/>
  <c r="H80" i="16" s="1"/>
  <c r="N120" i="7"/>
  <c r="O120" i="7" s="1"/>
  <c r="F39" i="16" s="1"/>
  <c r="H39" i="16" s="1"/>
  <c r="N153" i="7"/>
  <c r="O153" i="7" s="1"/>
  <c r="N170" i="7"/>
  <c r="O170" i="7" s="1"/>
  <c r="F101" i="16" s="1"/>
  <c r="H101" i="16" s="1"/>
  <c r="N330" i="7"/>
  <c r="O330" i="7" s="1"/>
  <c r="F153" i="16" s="1"/>
  <c r="H153" i="16" s="1"/>
  <c r="N111" i="7"/>
  <c r="O111" i="7" s="1"/>
  <c r="N275" i="7"/>
  <c r="O275" i="7" s="1"/>
  <c r="F29" i="15"/>
  <c r="N253" i="7"/>
  <c r="O253" i="7" s="1"/>
  <c r="N174" i="7"/>
  <c r="O174" i="7" s="1"/>
  <c r="N136" i="7"/>
  <c r="O136" i="7" s="1"/>
  <c r="F42" i="16" s="1"/>
  <c r="H42" i="16" s="1"/>
  <c r="N416" i="7"/>
  <c r="O416" i="7" s="1"/>
  <c r="N173" i="7"/>
  <c r="O173" i="7" s="1"/>
  <c r="F125" i="16" s="1"/>
  <c r="H125" i="16" s="1"/>
  <c r="N281" i="7"/>
  <c r="O281" i="7" s="1"/>
  <c r="N283" i="7"/>
  <c r="O283" i="7" s="1"/>
  <c r="N208" i="7"/>
  <c r="O208" i="7" s="1"/>
  <c r="F18" i="15"/>
  <c r="N99" i="7"/>
  <c r="O99" i="7" s="1"/>
  <c r="N134" i="7"/>
  <c r="O134" i="7" s="1"/>
  <c r="N98" i="7"/>
  <c r="O98" i="7" s="1"/>
  <c r="N443" i="7"/>
  <c r="O443" i="7" s="1"/>
  <c r="F138" i="16" s="1"/>
  <c r="H138" i="16" s="1"/>
  <c r="N156" i="7"/>
  <c r="O156" i="7" s="1"/>
  <c r="F21" i="16" s="1"/>
  <c r="H21" i="16" s="1"/>
  <c r="F51" i="15"/>
  <c r="N492" i="7"/>
  <c r="O492" i="7" s="1"/>
  <c r="N540" i="7"/>
  <c r="O540" i="7" s="1"/>
  <c r="F68" i="16" s="1"/>
  <c r="H68" i="16" s="1"/>
  <c r="N550" i="7"/>
  <c r="O550" i="7" s="1"/>
  <c r="N284" i="7"/>
  <c r="O284" i="7" s="1"/>
  <c r="N399" i="7"/>
  <c r="O399" i="7" s="1"/>
  <c r="F46" i="16" s="1"/>
  <c r="H46" i="16" s="1"/>
  <c r="N54" i="7"/>
  <c r="O54" i="7" s="1"/>
  <c r="F18" i="16" s="1"/>
  <c r="H18" i="16" s="1"/>
  <c r="N177" i="7"/>
  <c r="O177" i="7" s="1"/>
  <c r="F71" i="16" s="1"/>
  <c r="H71" i="16" s="1"/>
  <c r="N109" i="7"/>
  <c r="O109" i="7" s="1"/>
  <c r="N175" i="7"/>
  <c r="O175" i="7" s="1"/>
  <c r="F121" i="16" s="1"/>
  <c r="H121" i="16" s="1"/>
  <c r="N21" i="7"/>
  <c r="O21" i="7" s="1"/>
  <c r="F108" i="16" s="1"/>
  <c r="H108" i="16" s="1"/>
  <c r="N446" i="7"/>
  <c r="O446" i="7" s="1"/>
  <c r="F110" i="16" s="1"/>
  <c r="H110" i="16" s="1"/>
  <c r="F19" i="15"/>
  <c r="F53" i="15"/>
  <c r="N211" i="7"/>
  <c r="O211" i="7" s="1"/>
  <c r="N529" i="7"/>
  <c r="O529" i="7" s="1"/>
  <c r="F79" i="16" s="1"/>
  <c r="H79" i="16" s="1"/>
  <c r="N254" i="7"/>
  <c r="O254" i="7" s="1"/>
  <c r="F176" i="16" s="1"/>
  <c r="H176" i="16" s="1"/>
  <c r="F23" i="15"/>
  <c r="N276" i="7"/>
  <c r="O276" i="7" s="1"/>
  <c r="N169" i="7"/>
  <c r="O169" i="7" s="1"/>
  <c r="F123" i="16" s="1"/>
  <c r="H123" i="16" s="1"/>
  <c r="N318" i="7"/>
  <c r="O318" i="7" s="1"/>
  <c r="F75" i="16" s="1"/>
  <c r="H75" i="16" s="1"/>
  <c r="N286" i="7"/>
  <c r="O286" i="7" s="1"/>
  <c r="N409" i="7"/>
  <c r="O409" i="7" s="1"/>
  <c r="N88" i="7"/>
  <c r="O88" i="7" s="1"/>
  <c r="N78" i="7"/>
  <c r="O78" i="7" s="1"/>
  <c r="N214" i="7"/>
  <c r="O214" i="7" s="1"/>
  <c r="F163" i="16" s="1"/>
  <c r="H163" i="16" s="1"/>
  <c r="N77" i="7"/>
  <c r="O77" i="7" s="1"/>
  <c r="N216" i="7"/>
  <c r="O216" i="7" s="1"/>
  <c r="F102" i="16" s="1"/>
  <c r="H102" i="16" s="1"/>
  <c r="N398" i="7"/>
  <c r="O398" i="7" s="1"/>
  <c r="F118" i="16" s="1"/>
  <c r="H118" i="16" s="1"/>
  <c r="N192" i="7"/>
  <c r="O192" i="7" s="1"/>
  <c r="F150" i="16" s="1"/>
  <c r="H150" i="16" s="1"/>
  <c r="N68" i="7"/>
  <c r="O68" i="7" s="1"/>
  <c r="B8" i="3"/>
  <c r="N193" i="7"/>
  <c r="O193" i="7" s="1"/>
  <c r="F131" i="16" s="1"/>
  <c r="H131" i="16" s="1"/>
  <c r="N112" i="7"/>
  <c r="O112" i="7" s="1"/>
  <c r="F32" i="15"/>
  <c r="N231" i="7"/>
  <c r="O231" i="7" s="1"/>
  <c r="N44" i="7"/>
  <c r="O44" i="7" s="1"/>
  <c r="F38" i="16" s="1"/>
  <c r="H38" i="16" s="1"/>
  <c r="N331" i="7"/>
  <c r="O331" i="7" s="1"/>
  <c r="F160" i="16" s="1"/>
  <c r="H160" i="16" s="1"/>
  <c r="F7" i="15"/>
  <c r="F49" i="15"/>
  <c r="F12" i="15"/>
  <c r="N481" i="7"/>
  <c r="O481" i="7" s="1"/>
  <c r="N191" i="7"/>
  <c r="O191" i="7" s="1"/>
  <c r="F185" i="16" s="1"/>
  <c r="H185" i="16" s="1"/>
  <c r="N526" i="7"/>
  <c r="O526" i="7" s="1"/>
  <c r="N528" i="7"/>
  <c r="O528" i="7" s="1"/>
  <c r="N47" i="7"/>
  <c r="O47" i="7" s="1"/>
  <c r="F56" i="15"/>
  <c r="N278" i="7"/>
  <c r="O278" i="7" s="1"/>
  <c r="N385" i="7"/>
  <c r="O385" i="7" s="1"/>
  <c r="N8" i="7"/>
  <c r="O8" i="7" s="1"/>
  <c r="N19" i="7"/>
  <c r="O19" i="7" s="1"/>
  <c r="F89" i="16" s="1"/>
  <c r="H89" i="16" s="1"/>
  <c r="N280" i="7"/>
  <c r="O280" i="7" s="1"/>
  <c r="F45" i="15"/>
  <c r="F17" i="15"/>
  <c r="N449" i="7"/>
  <c r="O449" i="7" s="1"/>
  <c r="N490" i="7"/>
  <c r="O490" i="7" s="1"/>
  <c r="N445" i="7"/>
  <c r="O445" i="7" s="1"/>
  <c r="F120" i="16" s="1"/>
  <c r="H120" i="16" s="1"/>
  <c r="F11" i="15"/>
  <c r="N113" i="7"/>
  <c r="O113" i="7" s="1"/>
  <c r="F152" i="16" s="1"/>
  <c r="H152" i="16" s="1"/>
  <c r="N28" i="7"/>
  <c r="O28" i="7" s="1"/>
  <c r="N80" i="7"/>
  <c r="O80" i="7" s="1"/>
  <c r="N537" i="7"/>
  <c r="O537" i="7" s="1"/>
  <c r="N447" i="7"/>
  <c r="O447" i="7" s="1"/>
  <c r="N438" i="7"/>
  <c r="O438" i="7" s="1"/>
  <c r="F17" i="16" s="1"/>
  <c r="H17" i="16" s="1"/>
  <c r="N108" i="7"/>
  <c r="O108" i="7" s="1"/>
  <c r="N549" i="7"/>
  <c r="O549" i="7" s="1"/>
  <c r="F28" i="16" s="1"/>
  <c r="H28" i="16" s="1"/>
  <c r="N483" i="7"/>
  <c r="O483" i="7" s="1"/>
  <c r="F189" i="16" s="1"/>
  <c r="H189" i="16" s="1"/>
  <c r="N480" i="7"/>
  <c r="O480" i="7" s="1"/>
  <c r="N400" i="7"/>
  <c r="O400" i="7" s="1"/>
  <c r="N396" i="7"/>
  <c r="O396" i="7" s="1"/>
  <c r="F84" i="16" s="1"/>
  <c r="H84" i="16" s="1"/>
  <c r="N309" i="7"/>
  <c r="O309" i="7" s="1"/>
  <c r="F21" i="15"/>
  <c r="N376" i="7"/>
  <c r="O376" i="7" s="1"/>
  <c r="N418" i="7"/>
  <c r="O418" i="7" s="1"/>
  <c r="N441" i="7"/>
  <c r="O441" i="7" s="1"/>
  <c r="F104" i="16" s="1"/>
  <c r="H104" i="16" s="1"/>
  <c r="N541" i="7"/>
  <c r="O541" i="7" s="1"/>
  <c r="F119" i="16" s="1"/>
  <c r="H119" i="16" s="1"/>
  <c r="B7" i="2"/>
  <c r="F55" i="15"/>
  <c r="N482" i="7"/>
  <c r="O482" i="7" s="1"/>
  <c r="F63" i="16" s="1"/>
  <c r="H63" i="16" s="1"/>
  <c r="N344" i="7"/>
  <c r="O344" i="7" s="1"/>
  <c r="F145" i="16" s="1"/>
  <c r="H145" i="16" s="1"/>
  <c r="F38" i="15"/>
  <c r="N100" i="7"/>
  <c r="O100" i="7" s="1"/>
  <c r="N251" i="7"/>
  <c r="O251" i="7" s="1"/>
  <c r="N542" i="7"/>
  <c r="O542" i="7" s="1"/>
  <c r="F59" i="16" s="1"/>
  <c r="H59" i="16" s="1"/>
  <c r="N368" i="7"/>
  <c r="O368" i="7" s="1"/>
  <c r="N90" i="7"/>
  <c r="O90" i="7" s="1"/>
  <c r="F23" i="16" s="1"/>
  <c r="H23" i="16" s="1"/>
  <c r="N255" i="7"/>
  <c r="O255" i="7" s="1"/>
  <c r="F106" i="16" s="1"/>
  <c r="H106" i="16" s="1"/>
  <c r="B119" i="3"/>
  <c r="B118" i="2"/>
  <c r="D433" i="4"/>
  <c r="G413" i="4"/>
  <c r="G414" i="5" s="1"/>
  <c r="Q216" i="7"/>
  <c r="R216" i="7" s="1"/>
  <c r="D37" i="17" s="1"/>
  <c r="F37" i="17" s="1"/>
  <c r="Q328" i="7"/>
  <c r="R328" i="7" s="1"/>
  <c r="D144" i="17" s="1"/>
  <c r="F144" i="17" s="1"/>
  <c r="Q201" i="7"/>
  <c r="R201" i="7" s="1"/>
  <c r="Q20" i="7"/>
  <c r="R20" i="7" s="1"/>
  <c r="D99" i="17" s="1"/>
  <c r="F99" i="17" s="1"/>
  <c r="Q136" i="7"/>
  <c r="R136" i="7" s="1"/>
  <c r="D60" i="17" s="1"/>
  <c r="F60" i="17" s="1"/>
  <c r="C49" i="15"/>
  <c r="C393" i="6"/>
  <c r="C831" i="6"/>
  <c r="C101" i="6"/>
  <c r="C247" i="6"/>
  <c r="D176" i="6"/>
  <c r="D30" i="6"/>
  <c r="D468" i="6"/>
  <c r="D322" i="6"/>
  <c r="D760" i="6"/>
  <c r="D53" i="6"/>
  <c r="D783" i="6"/>
  <c r="D345" i="6"/>
  <c r="E792" i="6"/>
  <c r="E385" i="6"/>
  <c r="E208" i="6"/>
  <c r="E93" i="6"/>
  <c r="E531" i="6"/>
  <c r="E239" i="6"/>
  <c r="E677" i="6"/>
  <c r="E500" i="6"/>
  <c r="E62" i="6"/>
  <c r="E56" i="15"/>
  <c r="E823" i="6"/>
  <c r="E656" i="6"/>
  <c r="E218" i="6"/>
  <c r="E34" i="15"/>
  <c r="E802" i="6"/>
  <c r="C752" i="6"/>
  <c r="C460" i="6"/>
  <c r="C22" i="6"/>
  <c r="C168" i="6"/>
  <c r="C314" i="6"/>
  <c r="C606" i="6"/>
  <c r="D357" i="6"/>
  <c r="D795" i="6"/>
  <c r="D211" i="6"/>
  <c r="D503" i="6"/>
  <c r="D36" i="15"/>
  <c r="D65" i="6"/>
  <c r="D649" i="6"/>
  <c r="E480" i="6"/>
  <c r="E772" i="6"/>
  <c r="E188" i="6"/>
  <c r="E626" i="6"/>
  <c r="E42" i="6"/>
  <c r="E58" i="15"/>
  <c r="E423" i="6"/>
  <c r="E569" i="6"/>
  <c r="E861" i="6"/>
  <c r="E53" i="15"/>
  <c r="E277" i="6"/>
  <c r="E131" i="6"/>
  <c r="C695" i="6"/>
  <c r="C257" i="6"/>
  <c r="C841" i="6"/>
  <c r="C403" i="6"/>
  <c r="C549" i="6"/>
  <c r="C48" i="15"/>
  <c r="L122" i="11"/>
  <c r="G171" i="9"/>
  <c r="L171" i="9" s="1"/>
  <c r="G226" i="8"/>
  <c r="I226" i="8" s="1"/>
  <c r="I234" i="8" s="1"/>
  <c r="G12" i="10"/>
  <c r="L12" i="10" s="1"/>
  <c r="G57" i="9"/>
  <c r="I57" i="9" s="1"/>
  <c r="G7" i="9"/>
  <c r="L7" i="9" s="1"/>
  <c r="G8" i="8"/>
  <c r="I8" i="8" s="1"/>
  <c r="I14" i="8" s="1"/>
  <c r="G407" i="9"/>
  <c r="L407" i="9" s="1"/>
  <c r="G572" i="8"/>
  <c r="I572" i="8" s="1"/>
  <c r="G368" i="9"/>
  <c r="L368" i="9" s="1"/>
  <c r="G544" i="8"/>
  <c r="I544" i="8" s="1"/>
  <c r="I552" i="8" s="1"/>
  <c r="G117" i="11"/>
  <c r="L117" i="11" s="1"/>
  <c r="G233" i="10"/>
  <c r="I233" i="10" s="1"/>
  <c r="G212" i="9"/>
  <c r="I212" i="9" s="1"/>
  <c r="I220" i="9" s="1"/>
  <c r="E539" i="6"/>
  <c r="E247" i="6"/>
  <c r="E831" i="6"/>
  <c r="E49" i="15"/>
  <c r="E685" i="6"/>
  <c r="C526" i="6"/>
  <c r="C818" i="6"/>
  <c r="C88" i="6"/>
  <c r="C380" i="6"/>
  <c r="C46" i="15"/>
  <c r="D604" i="6"/>
  <c r="D20" i="6"/>
  <c r="D750" i="6"/>
  <c r="D458" i="6"/>
  <c r="C517" i="6"/>
  <c r="C663" i="6"/>
  <c r="C809" i="6"/>
  <c r="C26" i="15"/>
  <c r="C193" i="6"/>
  <c r="C485" i="6"/>
  <c r="C339" i="6"/>
  <c r="C631" i="6"/>
  <c r="C777" i="6"/>
  <c r="D692" i="6"/>
  <c r="D546" i="6"/>
  <c r="D108" i="6"/>
  <c r="D29" i="15"/>
  <c r="D448" i="6"/>
  <c r="D740" i="6"/>
  <c r="D156" i="6"/>
  <c r="D594" i="6"/>
  <c r="C775" i="6"/>
  <c r="C191" i="6"/>
  <c r="C629" i="6"/>
  <c r="C45" i="6"/>
  <c r="D674" i="6"/>
  <c r="D382" i="6"/>
  <c r="D820" i="6"/>
  <c r="D236" i="6"/>
  <c r="D37" i="15"/>
  <c r="D90" i="6"/>
  <c r="D608" i="6"/>
  <c r="D462" i="6"/>
  <c r="D316" i="6"/>
  <c r="D754" i="6"/>
  <c r="D24" i="6"/>
  <c r="E687" i="6"/>
  <c r="E833" i="6"/>
  <c r="E28" i="15"/>
  <c r="E249" i="6"/>
  <c r="E103" i="6"/>
  <c r="L104" i="10"/>
  <c r="E43" i="15"/>
  <c r="E10" i="6"/>
  <c r="C779" i="6"/>
  <c r="C49" i="6"/>
  <c r="C487" i="6"/>
  <c r="C633" i="6"/>
  <c r="C249" i="6"/>
  <c r="C687" i="6"/>
  <c r="C395" i="6"/>
  <c r="C103" i="6"/>
  <c r="C541" i="6"/>
  <c r="C833" i="6"/>
  <c r="C28" i="15"/>
  <c r="L109" i="10"/>
  <c r="D687" i="6"/>
  <c r="D103" i="6"/>
  <c r="D833" i="6"/>
  <c r="D541" i="6"/>
  <c r="D249" i="6"/>
  <c r="D395" i="6"/>
  <c r="G218" i="8"/>
  <c r="I218" i="8" s="1"/>
  <c r="E510" i="6"/>
  <c r="D234" i="4"/>
  <c r="D235" i="5"/>
  <c r="C62" i="4"/>
  <c r="C63" i="5"/>
  <c r="C358" i="4"/>
  <c r="C359" i="5"/>
  <c r="G27" i="9"/>
  <c r="L27" i="9" s="1"/>
  <c r="G50" i="8"/>
  <c r="I50" i="8" s="1"/>
  <c r="I56" i="8" s="1"/>
  <c r="C434" i="5"/>
  <c r="C433" i="4"/>
  <c r="C321" i="4"/>
  <c r="C322" i="5"/>
  <c r="E29" i="15"/>
  <c r="E254" i="6"/>
  <c r="E546" i="6"/>
  <c r="E400" i="6"/>
  <c r="E692" i="6"/>
  <c r="E871" i="6"/>
  <c r="E579" i="6"/>
  <c r="E287" i="6"/>
  <c r="E280" i="6"/>
  <c r="E433" i="6"/>
  <c r="E718" i="6"/>
  <c r="E725" i="6"/>
  <c r="E41" i="15"/>
  <c r="E426" i="6"/>
  <c r="D191" i="6"/>
  <c r="D45" i="6"/>
  <c r="D775" i="6"/>
  <c r="D17" i="15"/>
  <c r="C754" i="6"/>
  <c r="C462" i="6"/>
  <c r="C170" i="6"/>
  <c r="C608" i="6"/>
  <c r="C316" i="6"/>
  <c r="C24" i="6"/>
  <c r="C184" i="4"/>
  <c r="C185" i="5"/>
  <c r="C414" i="4"/>
  <c r="C415" i="5"/>
  <c r="E56" i="5"/>
  <c r="E55" i="4"/>
  <c r="I174" i="8"/>
  <c r="C111" i="6"/>
  <c r="D491" i="6"/>
  <c r="E284" i="5"/>
  <c r="E283" i="4"/>
  <c r="D199" i="6"/>
  <c r="B42" i="2"/>
  <c r="B102" i="2"/>
  <c r="B103" i="3"/>
  <c r="D403" i="5"/>
  <c r="G335" i="4"/>
  <c r="G336" i="5" s="1"/>
  <c r="G92" i="4"/>
  <c r="G93" i="5" s="1"/>
  <c r="G139" i="9"/>
  <c r="L139" i="9" s="1"/>
  <c r="G219" i="8"/>
  <c r="I219" i="8" s="1"/>
  <c r="G210" i="8"/>
  <c r="I210" i="8" s="1"/>
  <c r="G119" i="10"/>
  <c r="L119" i="10" s="1"/>
  <c r="G237" i="9"/>
  <c r="I237" i="9" s="1"/>
  <c r="H5" i="12"/>
  <c r="G5" i="16"/>
  <c r="H5" i="8"/>
  <c r="D5" i="14"/>
  <c r="H5" i="10"/>
  <c r="G5" i="15"/>
  <c r="O5" i="3"/>
  <c r="H5" i="7"/>
  <c r="G5" i="5"/>
  <c r="D5" i="2"/>
  <c r="D5" i="13"/>
  <c r="E5" i="20"/>
  <c r="H5" i="9"/>
  <c r="H5" i="11"/>
  <c r="G5" i="4"/>
  <c r="E5" i="19"/>
  <c r="L5" i="6"/>
  <c r="G374" i="9"/>
  <c r="I374" i="9" s="1"/>
  <c r="I382" i="9" s="1"/>
  <c r="G94" i="4"/>
  <c r="G95" i="5" s="1"/>
  <c r="G34" i="11"/>
  <c r="L34" i="11" s="1"/>
  <c r="G147" i="10"/>
  <c r="I147" i="10" s="1"/>
  <c r="G37" i="12"/>
  <c r="L37" i="12" s="1"/>
  <c r="G103" i="11"/>
  <c r="I103" i="11" s="1"/>
  <c r="I104" i="11" s="1"/>
  <c r="G32" i="10"/>
  <c r="L32" i="10" s="1"/>
  <c r="G74" i="9"/>
  <c r="I74" i="9" s="1"/>
  <c r="I82" i="9" s="1"/>
  <c r="E227" i="4"/>
  <c r="E228" i="5"/>
  <c r="D884" i="6"/>
  <c r="D154" i="6"/>
  <c r="D738" i="6"/>
  <c r="D539" i="6"/>
  <c r="D247" i="6"/>
  <c r="D831" i="6"/>
  <c r="C746" i="6"/>
  <c r="C600" i="6"/>
  <c r="C164" i="6"/>
  <c r="C18" i="6"/>
  <c r="C308" i="6"/>
  <c r="C16" i="6"/>
  <c r="C310" i="6"/>
  <c r="D93" i="6"/>
  <c r="D208" i="6"/>
  <c r="D677" i="6"/>
  <c r="D500" i="6"/>
  <c r="D239" i="6"/>
  <c r="E21" i="15"/>
  <c r="E20" i="6"/>
  <c r="D622" i="6"/>
  <c r="D38" i="6"/>
  <c r="C334" i="6"/>
  <c r="C480" i="6"/>
  <c r="C772" i="6"/>
  <c r="C42" i="6"/>
  <c r="E614" i="6"/>
  <c r="E176" i="6"/>
  <c r="E30" i="6"/>
  <c r="E19" i="15"/>
  <c r="E322" i="6"/>
  <c r="E760" i="6"/>
  <c r="D558" i="6"/>
  <c r="D850" i="6"/>
  <c r="D120" i="6"/>
  <c r="D412" i="6"/>
  <c r="C884" i="6"/>
  <c r="C154" i="6"/>
  <c r="C738" i="6"/>
  <c r="C592" i="6"/>
  <c r="C85" i="6"/>
  <c r="C815" i="6"/>
  <c r="C523" i="6"/>
  <c r="D277" i="6"/>
  <c r="D131" i="6"/>
  <c r="D569" i="6"/>
  <c r="D861" i="6"/>
  <c r="C364" i="6"/>
  <c r="C656" i="6"/>
  <c r="C72" i="6"/>
  <c r="C178" i="6"/>
  <c r="C32" i="6"/>
  <c r="C470" i="6"/>
  <c r="C528" i="6"/>
  <c r="C820" i="6"/>
  <c r="C674" i="6"/>
  <c r="C382" i="6"/>
  <c r="C414" i="6"/>
  <c r="C122" i="6"/>
  <c r="C706" i="6"/>
  <c r="C748" i="6"/>
  <c r="D56" i="15"/>
  <c r="D10" i="15"/>
  <c r="C454" i="4"/>
  <c r="C455" i="5"/>
  <c r="C58" i="4"/>
  <c r="C59" i="5"/>
  <c r="D574" i="6"/>
  <c r="D873" i="6"/>
  <c r="D428" i="6"/>
  <c r="D581" i="6"/>
  <c r="D143" i="6"/>
  <c r="D727" i="6"/>
  <c r="D720" i="6"/>
  <c r="D752" i="6"/>
  <c r="D460" i="6"/>
  <c r="D22" i="6"/>
  <c r="D168" i="6"/>
  <c r="D474" i="6"/>
  <c r="D766" i="6"/>
  <c r="D620" i="6"/>
  <c r="D328" i="6"/>
  <c r="D398" i="6"/>
  <c r="D106" i="6"/>
  <c r="D252" i="6"/>
  <c r="E496" i="6"/>
  <c r="E272" i="6"/>
  <c r="E710" i="6"/>
  <c r="E126" i="6"/>
  <c r="E204" i="6"/>
  <c r="E418" i="6"/>
  <c r="E564" i="6"/>
  <c r="D762" i="6"/>
  <c r="D470" i="6"/>
  <c r="D32" i="6"/>
  <c r="D178" i="6"/>
  <c r="E360" i="6"/>
  <c r="E652" i="6"/>
  <c r="E68" i="6"/>
  <c r="E106" i="6"/>
  <c r="E398" i="6"/>
  <c r="C614" i="6"/>
  <c r="C176" i="6"/>
  <c r="C30" i="6"/>
  <c r="C468" i="6"/>
  <c r="D182" i="6"/>
  <c r="D184" i="6"/>
  <c r="C377" i="6"/>
  <c r="C560" i="6"/>
  <c r="C602" i="6"/>
  <c r="C14" i="15"/>
  <c r="C231" i="6"/>
  <c r="C510" i="6"/>
  <c r="E788" i="6"/>
  <c r="E88" i="5"/>
  <c r="E87" i="4"/>
  <c r="E544" i="6"/>
  <c r="E674" i="6"/>
  <c r="E798" i="6"/>
  <c r="D35" i="15"/>
  <c r="E37" i="15"/>
  <c r="D33" i="15"/>
  <c r="G179" i="4"/>
  <c r="G180" i="5" s="1"/>
  <c r="B26" i="3"/>
  <c r="B25" i="2"/>
  <c r="E843" i="6"/>
  <c r="E551" i="6"/>
  <c r="E259" i="6"/>
  <c r="E113" i="6"/>
  <c r="Q87" i="7"/>
  <c r="R87" i="7" s="1"/>
  <c r="Q46" i="7"/>
  <c r="R46" i="7" s="1"/>
  <c r="Q549" i="7"/>
  <c r="R549" i="7" s="1"/>
  <c r="D25" i="17" s="1"/>
  <c r="F25" i="17" s="1"/>
  <c r="Q541" i="7"/>
  <c r="R541" i="7" s="1"/>
  <c r="D71" i="17" s="1"/>
  <c r="F71" i="17" s="1"/>
  <c r="Q210" i="7"/>
  <c r="R210" i="7" s="1"/>
  <c r="Q69" i="7"/>
  <c r="R69" i="7" s="1"/>
  <c r="Q109" i="7"/>
  <c r="R109" i="7" s="1"/>
  <c r="Q401" i="7"/>
  <c r="R401" i="7" s="1"/>
  <c r="Q70" i="7"/>
  <c r="R70" i="7" s="1"/>
  <c r="Q501" i="7"/>
  <c r="R501" i="7" s="1"/>
  <c r="Q281" i="7"/>
  <c r="R281" i="7" s="1"/>
  <c r="Q135" i="7"/>
  <c r="R135" i="7" s="1"/>
  <c r="Q473" i="7"/>
  <c r="R473" i="7" s="1"/>
  <c r="Q344" i="7"/>
  <c r="R344" i="7" s="1"/>
  <c r="D73" i="17" s="1"/>
  <c r="F73" i="17" s="1"/>
  <c r="Q483" i="7"/>
  <c r="R483" i="7" s="1"/>
  <c r="D66" i="17" s="1"/>
  <c r="F66" i="17" s="1"/>
  <c r="L22" i="12"/>
  <c r="C725" i="6"/>
  <c r="C579" i="6"/>
  <c r="C433" i="6"/>
  <c r="C134" i="6"/>
  <c r="C426" i="6"/>
  <c r="C287" i="6"/>
  <c r="C141" i="6"/>
  <c r="C864" i="6"/>
  <c r="C681" i="6"/>
  <c r="C535" i="6"/>
  <c r="E517" i="6"/>
  <c r="E225" i="6"/>
  <c r="E809" i="6"/>
  <c r="D27" i="15"/>
  <c r="D452" i="6"/>
  <c r="D306" i="6"/>
  <c r="E221" i="6"/>
  <c r="E805" i="6"/>
  <c r="C296" i="6"/>
  <c r="C588" i="6"/>
  <c r="C442" i="6"/>
  <c r="C734" i="6"/>
  <c r="D612" i="6"/>
  <c r="D320" i="6"/>
  <c r="D174" i="6"/>
  <c r="D877" i="6"/>
  <c r="D439" i="6"/>
  <c r="D293" i="6"/>
  <c r="L22" i="10"/>
  <c r="C38" i="15"/>
  <c r="C201" i="6"/>
  <c r="C55" i="6"/>
  <c r="C347" i="6"/>
  <c r="C639" i="6"/>
  <c r="C493" i="6"/>
  <c r="D551" i="6"/>
  <c r="D259" i="6"/>
  <c r="C472" i="6"/>
  <c r="C764" i="6"/>
  <c r="L22" i="9"/>
  <c r="L427" i="9"/>
  <c r="L27" i="12"/>
  <c r="G573" i="8"/>
  <c r="I573" i="8" s="1"/>
  <c r="C389" i="6"/>
  <c r="D405" i="6"/>
  <c r="D446" i="6"/>
  <c r="E663" i="6"/>
  <c r="E8" i="6"/>
  <c r="C150" i="6"/>
  <c r="D289" i="6"/>
  <c r="D715" i="6"/>
  <c r="E856" i="6"/>
  <c r="E166" i="6"/>
  <c r="C20" i="15"/>
  <c r="E47" i="15"/>
  <c r="F240" i="5"/>
  <c r="Q240" i="5" s="1"/>
  <c r="F239" i="4"/>
  <c r="N511" i="7" s="1"/>
  <c r="O511" i="7" s="1"/>
  <c r="B129" i="3"/>
  <c r="B128" i="2"/>
  <c r="E639" i="6"/>
  <c r="E55" i="6"/>
  <c r="E347" i="6"/>
  <c r="Q78" i="7"/>
  <c r="R78" i="7" s="1"/>
  <c r="Q164" i="7"/>
  <c r="R164" i="7" s="1"/>
  <c r="Q243" i="7"/>
  <c r="R243" i="7" s="1"/>
  <c r="Q145" i="7"/>
  <c r="R145" i="7" s="1"/>
  <c r="D122" i="17" s="1"/>
  <c r="F122" i="17" s="1"/>
  <c r="Q17" i="7"/>
  <c r="R17" i="7" s="1"/>
  <c r="D41" i="17" s="1"/>
  <c r="F41" i="17" s="1"/>
  <c r="Q537" i="7"/>
  <c r="R537" i="7" s="1"/>
  <c r="Q240" i="7"/>
  <c r="R240" i="7" s="1"/>
  <c r="Q90" i="7"/>
  <c r="R90" i="7" s="1"/>
  <c r="D35" i="18" s="1"/>
  <c r="F35" i="18" s="1"/>
  <c r="Q156" i="7"/>
  <c r="R156" i="7" s="1"/>
  <c r="D137" i="17" s="1"/>
  <c r="F137" i="17" s="1"/>
  <c r="Q482" i="7"/>
  <c r="R482" i="7" s="1"/>
  <c r="D109" i="17" s="1"/>
  <c r="F109" i="17" s="1"/>
  <c r="Q99" i="7"/>
  <c r="R99" i="7" s="1"/>
  <c r="Q10" i="7"/>
  <c r="R10" i="7" s="1"/>
  <c r="Q310" i="7"/>
  <c r="R310" i="7" s="1"/>
  <c r="Q171" i="7"/>
  <c r="R171" i="7" s="1"/>
  <c r="D81" i="17" s="1"/>
  <c r="F81" i="17" s="1"/>
  <c r="Q542" i="7"/>
  <c r="R542" i="7" s="1"/>
  <c r="D132" i="17" s="1"/>
  <c r="F132" i="17" s="1"/>
  <c r="Q492" i="7"/>
  <c r="R492" i="7" s="1"/>
  <c r="Q490" i="7"/>
  <c r="R490" i="7" s="1"/>
  <c r="C431" i="6"/>
  <c r="C139" i="6"/>
  <c r="C8" i="15"/>
  <c r="C285" i="6"/>
  <c r="D672" i="6"/>
  <c r="D88" i="6"/>
  <c r="D46" i="15"/>
  <c r="D818" i="6"/>
  <c r="D380" i="6"/>
  <c r="D234" i="6"/>
  <c r="C877" i="6"/>
  <c r="C293" i="6"/>
  <c r="C330" i="6"/>
  <c r="C476" i="6"/>
  <c r="C38" i="6"/>
  <c r="E704" i="6"/>
  <c r="E850" i="6"/>
  <c r="E120" i="6"/>
  <c r="C318" i="6"/>
  <c r="C756" i="6"/>
  <c r="C26" i="6"/>
  <c r="C610" i="6"/>
  <c r="C75" i="6"/>
  <c r="C221" i="6"/>
  <c r="C659" i="6"/>
  <c r="C367" i="6"/>
  <c r="C156" i="6"/>
  <c r="C448" i="6"/>
  <c r="C302" i="6"/>
  <c r="D517" i="6"/>
  <c r="D225" i="6"/>
  <c r="G23" i="4"/>
  <c r="G24" i="5" s="1"/>
  <c r="C379" i="5"/>
  <c r="E326" i="6"/>
  <c r="E764" i="6"/>
  <c r="E549" i="6"/>
  <c r="E841" i="6"/>
  <c r="E257" i="6"/>
  <c r="E602" i="6"/>
  <c r="E454" i="6"/>
  <c r="E748" i="6"/>
  <c r="E20" i="15"/>
  <c r="E164" i="6"/>
  <c r="E310" i="6"/>
  <c r="D334" i="6"/>
  <c r="D42" i="6"/>
  <c r="D58" i="15"/>
  <c r="D480" i="6"/>
  <c r="D626" i="6"/>
  <c r="D772" i="6"/>
  <c r="E620" i="6"/>
  <c r="E328" i="6"/>
  <c r="C398" i="6"/>
  <c r="C836" i="6"/>
  <c r="C690" i="6"/>
  <c r="C360" i="6"/>
  <c r="C68" i="6"/>
  <c r="E150" i="6"/>
  <c r="E734" i="6"/>
  <c r="D472" i="6"/>
  <c r="D180" i="6"/>
  <c r="L129" i="9"/>
  <c r="D642" i="6"/>
  <c r="D788" i="6"/>
  <c r="D496" i="6"/>
  <c r="D710" i="6"/>
  <c r="D204" i="6"/>
  <c r="D272" i="6"/>
  <c r="D418" i="6"/>
  <c r="D564" i="6"/>
  <c r="G28" i="8"/>
  <c r="I28" i="8" s="1"/>
  <c r="I34" i="8" s="1"/>
  <c r="C58" i="15"/>
  <c r="C34" i="6"/>
  <c r="D592" i="6"/>
  <c r="D34" i="6"/>
  <c r="D423" i="6"/>
  <c r="C785" i="6"/>
  <c r="C622" i="6"/>
  <c r="D55" i="15"/>
  <c r="E31" i="15"/>
  <c r="C365" i="5"/>
  <c r="C364" i="4"/>
  <c r="D585" i="6"/>
  <c r="E566" i="6"/>
  <c r="E695" i="6"/>
  <c r="C54" i="15"/>
  <c r="C41" i="15"/>
  <c r="C40" i="15"/>
  <c r="D288" i="5"/>
  <c r="D287" i="4"/>
  <c r="B92" i="3"/>
  <c r="G101" i="4"/>
  <c r="G102" i="5" s="1"/>
  <c r="B16" i="3"/>
  <c r="B61" i="3"/>
  <c r="B60" i="2"/>
  <c r="E420" i="4"/>
  <c r="G406" i="4"/>
  <c r="G407" i="5" s="1"/>
  <c r="Q289" i="7"/>
  <c r="R289" i="7" s="1"/>
  <c r="Q341" i="7"/>
  <c r="R341" i="7" s="1"/>
  <c r="Q264" i="7"/>
  <c r="R264" i="7" s="1"/>
  <c r="Q320" i="7"/>
  <c r="R320" i="7" s="1"/>
  <c r="Q177" i="7"/>
  <c r="R177" i="7" s="1"/>
  <c r="D134" i="17" s="1"/>
  <c r="F134" i="17" s="1"/>
  <c r="Q120" i="7"/>
  <c r="R120" i="7" s="1"/>
  <c r="D47" i="18" s="1"/>
  <c r="F47" i="18" s="1"/>
  <c r="Q356" i="7"/>
  <c r="R356" i="7" s="1"/>
  <c r="D127" i="17" s="1"/>
  <c r="F127" i="17" s="1"/>
  <c r="Q540" i="7"/>
  <c r="R540" i="7" s="1"/>
  <c r="D46" i="17" s="1"/>
  <c r="F46" i="17" s="1"/>
  <c r="D572" i="6"/>
  <c r="D426" i="6"/>
  <c r="D280" i="6"/>
  <c r="D718" i="6"/>
  <c r="D134" i="6"/>
  <c r="D864" i="6"/>
  <c r="E818" i="6"/>
  <c r="E46" i="15"/>
  <c r="E380" i="6"/>
  <c r="E672" i="6"/>
  <c r="E234" i="6"/>
  <c r="D639" i="6"/>
  <c r="D785" i="6"/>
  <c r="D347" i="6"/>
  <c r="C866" i="6"/>
  <c r="C720" i="6"/>
  <c r="C581" i="6"/>
  <c r="C136" i="6"/>
  <c r="C873" i="6"/>
  <c r="C428" i="6"/>
  <c r="L109" i="9"/>
  <c r="D332" i="6"/>
  <c r="D478" i="6"/>
  <c r="D186" i="6"/>
  <c r="D40" i="6"/>
  <c r="L422" i="9"/>
  <c r="C604" i="6"/>
  <c r="C458" i="6"/>
  <c r="C21" i="15"/>
  <c r="C166" i="6"/>
  <c r="L17" i="9"/>
  <c r="C677" i="6"/>
  <c r="C500" i="6"/>
  <c r="C93" i="6"/>
  <c r="C239" i="6"/>
  <c r="C208" i="6"/>
  <c r="C825" i="6"/>
  <c r="C387" i="6"/>
  <c r="C95" i="6"/>
  <c r="C533" i="6"/>
  <c r="C241" i="6"/>
  <c r="D695" i="6"/>
  <c r="D841" i="6"/>
  <c r="D257" i="6"/>
  <c r="G148" i="10"/>
  <c r="I148" i="10" s="1"/>
  <c r="C236" i="6"/>
  <c r="E604" i="6"/>
  <c r="D62" i="6"/>
  <c r="C252" i="6"/>
  <c r="C439" i="6"/>
  <c r="E618" i="6"/>
  <c r="E468" i="6"/>
  <c r="D809" i="6"/>
  <c r="C43" i="15"/>
  <c r="D266" i="6"/>
  <c r="E405" i="6"/>
  <c r="D690" i="6"/>
  <c r="D28" i="6"/>
  <c r="C740" i="6"/>
  <c r="E49" i="6"/>
  <c r="E182" i="6"/>
  <c r="E706" i="6"/>
  <c r="E836" i="6"/>
  <c r="E52" i="15"/>
  <c r="D45" i="15"/>
  <c r="C762" i="6"/>
  <c r="E513" i="6"/>
  <c r="G91" i="4"/>
  <c r="G92" i="5" s="1"/>
  <c r="G248" i="4"/>
  <c r="G249" i="5" s="1"/>
  <c r="G95" i="4"/>
  <c r="G96" i="5" s="1"/>
  <c r="G404" i="4"/>
  <c r="G405" i="5" s="1"/>
  <c r="G407" i="4"/>
  <c r="G408" i="5" s="1"/>
  <c r="B65" i="3"/>
  <c r="B64" i="2"/>
  <c r="I122" i="7"/>
  <c r="I123" i="7" s="1"/>
  <c r="G119" i="7"/>
  <c r="F352" i="5"/>
  <c r="T352" i="5" s="1"/>
  <c r="F351" i="4"/>
  <c r="F36" i="15" s="1"/>
  <c r="F143" i="5"/>
  <c r="K143" i="5" s="1"/>
  <c r="Q428" i="7" s="1"/>
  <c r="R428" i="7" s="1"/>
  <c r="D19" i="17" s="1"/>
  <c r="F19" i="17" s="1"/>
  <c r="F142" i="4"/>
  <c r="N427" i="7" s="1"/>
  <c r="O427" i="7" s="1"/>
  <c r="Q253" i="7"/>
  <c r="R253" i="7" s="1"/>
  <c r="Q188" i="7"/>
  <c r="R188" i="7" s="1"/>
  <c r="D51" i="17" s="1"/>
  <c r="F51" i="17" s="1"/>
  <c r="Q277" i="7"/>
  <c r="R277" i="7" s="1"/>
  <c r="Q213" i="7"/>
  <c r="R213" i="7" s="1"/>
  <c r="D118" i="17" s="1"/>
  <c r="F118" i="17" s="1"/>
  <c r="Q354" i="7"/>
  <c r="R354" i="7" s="1"/>
  <c r="Q167" i="7"/>
  <c r="R167" i="7" s="1"/>
  <c r="D108" i="17" s="1"/>
  <c r="F108" i="17" s="1"/>
  <c r="Q358" i="7"/>
  <c r="R358" i="7" s="1"/>
  <c r="Q137" i="7"/>
  <c r="R137" i="7" s="1"/>
  <c r="D135" i="17" s="1"/>
  <c r="F135" i="17" s="1"/>
  <c r="Q190" i="7"/>
  <c r="R190" i="7" s="1"/>
  <c r="D124" i="17" s="1"/>
  <c r="F124" i="17" s="1"/>
  <c r="Q88" i="7"/>
  <c r="R88" i="7" s="1"/>
  <c r="Q166" i="7"/>
  <c r="R166" i="7" s="1"/>
  <c r="D142" i="17" s="1"/>
  <c r="F142" i="17" s="1"/>
  <c r="Q77" i="7"/>
  <c r="R77" i="7" s="1"/>
  <c r="Q369" i="7"/>
  <c r="R369" i="7" s="1"/>
  <c r="Q217" i="7"/>
  <c r="R217" i="7" s="1"/>
  <c r="D115" i="17" s="1"/>
  <c r="F115" i="17" s="1"/>
  <c r="Q47" i="7"/>
  <c r="R47" i="7" s="1"/>
  <c r="Q550" i="7"/>
  <c r="R550" i="7" s="1"/>
  <c r="Q209" i="7"/>
  <c r="R209" i="7" s="1"/>
  <c r="G244" i="9"/>
  <c r="I244" i="9" s="1"/>
  <c r="G196" i="9"/>
  <c r="I196" i="9" s="1"/>
  <c r="G250" i="4"/>
  <c r="G251" i="5" s="1"/>
  <c r="E28" i="6"/>
  <c r="E612" i="6"/>
  <c r="E320" i="6"/>
  <c r="E193" i="6"/>
  <c r="E485" i="6"/>
  <c r="E47" i="6"/>
  <c r="E754" i="6"/>
  <c r="E462" i="6"/>
  <c r="D846" i="6"/>
  <c r="D700" i="6"/>
  <c r="D408" i="6"/>
  <c r="D262" i="6"/>
  <c r="D116" i="6"/>
  <c r="C795" i="6"/>
  <c r="C649" i="6"/>
  <c r="C503" i="6"/>
  <c r="C65" i="6"/>
  <c r="E300" i="6"/>
  <c r="E154" i="6"/>
  <c r="E446" i="6"/>
  <c r="E377" i="6"/>
  <c r="E85" i="6"/>
  <c r="L129" i="10"/>
  <c r="L119" i="9"/>
  <c r="L252" i="10"/>
  <c r="L32" i="12"/>
  <c r="G325" i="4"/>
  <c r="G326" i="5" s="1"/>
  <c r="G329" i="4"/>
  <c r="G330" i="5" s="1"/>
  <c r="I56" i="7"/>
  <c r="I57" i="7" s="1"/>
  <c r="H16" i="4" s="1"/>
  <c r="G53" i="7"/>
  <c r="C116" i="6"/>
  <c r="C554" i="6"/>
  <c r="C262" i="6"/>
  <c r="L166" i="9"/>
  <c r="C400" i="6"/>
  <c r="C692" i="6"/>
  <c r="C108" i="6"/>
  <c r="L17" i="10"/>
  <c r="G18" i="8"/>
  <c r="I18" i="8" s="1"/>
  <c r="I24" i="8" s="1"/>
  <c r="C218" i="6"/>
  <c r="D606" i="6"/>
  <c r="D792" i="6"/>
  <c r="C254" i="6"/>
  <c r="C446" i="6"/>
  <c r="C869" i="6"/>
  <c r="E308" i="6"/>
  <c r="Q481" i="7"/>
  <c r="R481" i="7" s="1"/>
  <c r="Q194" i="7"/>
  <c r="R194" i="7" s="1"/>
  <c r="D68" i="17" s="1"/>
  <c r="F68" i="17" s="1"/>
  <c r="Q163" i="7"/>
  <c r="R163" i="7" s="1"/>
  <c r="Q184" i="7"/>
  <c r="R184" i="7" s="1"/>
  <c r="D92" i="4"/>
  <c r="B63" i="2"/>
  <c r="B64" i="3"/>
  <c r="B43" i="2"/>
  <c r="B44" i="3"/>
  <c r="B34" i="2"/>
  <c r="B35" i="3"/>
  <c r="B80" i="3"/>
  <c r="B79" i="2"/>
  <c r="I63" i="7"/>
  <c r="I64" i="7" s="1"/>
  <c r="G60" i="7"/>
  <c r="E293" i="6"/>
  <c r="E877" i="6"/>
  <c r="E439" i="6"/>
  <c r="Q168" i="7"/>
  <c r="R168" i="7" s="1"/>
  <c r="D123" i="17" s="1"/>
  <c r="F123" i="17" s="1"/>
  <c r="Q212" i="7"/>
  <c r="R212" i="7" s="1"/>
  <c r="Q174" i="7"/>
  <c r="R174" i="7" s="1"/>
  <c r="Q89" i="7"/>
  <c r="R89" i="7" s="1"/>
  <c r="Q108" i="7"/>
  <c r="R108" i="7" s="1"/>
  <c r="Q8" i="7"/>
  <c r="R8" i="7" s="1"/>
  <c r="Q30" i="7"/>
  <c r="R30" i="7" s="1"/>
  <c r="Q191" i="7"/>
  <c r="R191" i="7" s="1"/>
  <c r="D72" i="17" s="1"/>
  <c r="F72" i="17" s="1"/>
  <c r="Q18" i="7"/>
  <c r="R18" i="7" s="1"/>
  <c r="Q437" i="7"/>
  <c r="R437" i="7" s="1"/>
  <c r="D32" i="17" s="1"/>
  <c r="F32" i="17" s="1"/>
  <c r="G205" i="9"/>
  <c r="I205" i="9" s="1"/>
  <c r="G211" i="10"/>
  <c r="I211" i="10" s="1"/>
  <c r="I212" i="10" s="1"/>
  <c r="E58" i="6"/>
  <c r="C435" i="6"/>
  <c r="C618" i="6"/>
  <c r="C802" i="6"/>
  <c r="D435" i="6"/>
  <c r="D618" i="6"/>
  <c r="E79" i="6"/>
  <c r="C147" i="6"/>
  <c r="C652" i="6"/>
  <c r="D136" i="6"/>
  <c r="C843" i="6"/>
  <c r="E36" i="6"/>
  <c r="C180" i="6"/>
  <c r="C9" i="15"/>
  <c r="E178" i="5"/>
  <c r="E177" i="4"/>
  <c r="E458" i="6"/>
  <c r="E588" i="6"/>
  <c r="D7" i="15"/>
  <c r="D54" i="15"/>
  <c r="G20" i="15"/>
  <c r="B26" i="2"/>
  <c r="B27" i="3"/>
  <c r="B90" i="2"/>
  <c r="B91" i="3"/>
  <c r="B78" i="3"/>
  <c r="B77" i="2"/>
  <c r="D475" i="5"/>
  <c r="G36" i="7"/>
  <c r="I39" i="7"/>
  <c r="I40" i="7" s="1"/>
  <c r="H13" i="4" s="1"/>
  <c r="Q333" i="7"/>
  <c r="R333" i="7" s="1"/>
  <c r="Q376" i="7"/>
  <c r="R376" i="7" s="1"/>
  <c r="Q127" i="7"/>
  <c r="R127" i="7" s="1"/>
  <c r="Q149" i="8" s="1"/>
  <c r="R149" i="8" s="1"/>
  <c r="D17" i="17" s="1"/>
  <c r="F17" i="17" s="1"/>
  <c r="Q287" i="7"/>
  <c r="R287" i="7" s="1"/>
  <c r="Q231" i="7"/>
  <c r="R231" i="7" s="1"/>
  <c r="Q416" i="7"/>
  <c r="R416" i="7" s="1"/>
  <c r="Q186" i="7"/>
  <c r="R186" i="7" s="1"/>
  <c r="D14" i="17" s="1"/>
  <c r="F14" i="17" s="1"/>
  <c r="Q465" i="7"/>
  <c r="R465" i="7" s="1"/>
  <c r="Q214" i="7"/>
  <c r="R214" i="7" s="1"/>
  <c r="D131" i="17" s="1"/>
  <c r="F131" i="17" s="1"/>
  <c r="Q193" i="7"/>
  <c r="R193" i="7" s="1"/>
  <c r="D47" i="17" s="1"/>
  <c r="F47" i="17" s="1"/>
  <c r="Q153" i="7"/>
  <c r="R153" i="7" s="1"/>
  <c r="Q185" i="7"/>
  <c r="R185" i="7" s="1"/>
  <c r="Q155" i="7"/>
  <c r="R155" i="7" s="1"/>
  <c r="D65" i="17" s="1"/>
  <c r="F65" i="17" s="1"/>
  <c r="Q400" i="7"/>
  <c r="R400" i="7" s="1"/>
  <c r="Q112" i="7"/>
  <c r="R112" i="7" s="1"/>
  <c r="Q68" i="7"/>
  <c r="R68" i="7" s="1"/>
  <c r="Q241" i="7"/>
  <c r="R241" i="7" s="1"/>
  <c r="Q441" i="7"/>
  <c r="R441" i="7" s="1"/>
  <c r="D56" i="17" s="1"/>
  <c r="F56" i="17" s="1"/>
  <c r="G17" i="4"/>
  <c r="G18" i="5" s="1"/>
  <c r="Q97" i="7"/>
  <c r="R97" i="7" s="1"/>
  <c r="D723" i="6"/>
  <c r="D8" i="15"/>
  <c r="D285" i="6"/>
  <c r="D139" i="6"/>
  <c r="E357" i="6"/>
  <c r="E65" i="6"/>
  <c r="E795" i="6"/>
  <c r="E503" i="6"/>
  <c r="C53" i="6"/>
  <c r="C783" i="6"/>
  <c r="C345" i="6"/>
  <c r="E306" i="6"/>
  <c r="E14" i="6"/>
  <c r="E243" i="6"/>
  <c r="E97" i="6"/>
  <c r="E827" i="6"/>
  <c r="L148" i="8"/>
  <c r="L67" i="10"/>
  <c r="D588" i="6"/>
  <c r="D442" i="6"/>
  <c r="D150" i="6"/>
  <c r="D734" i="6"/>
  <c r="C858" i="6"/>
  <c r="C712" i="6"/>
  <c r="C566" i="6"/>
  <c r="D523" i="6"/>
  <c r="D815" i="6"/>
  <c r="C412" i="6"/>
  <c r="C850" i="6"/>
  <c r="C120" i="6"/>
  <c r="C766" i="6"/>
  <c r="C182" i="6"/>
  <c r="C620" i="6"/>
  <c r="C36" i="6"/>
  <c r="D827" i="6"/>
  <c r="D243" i="6"/>
  <c r="D97" i="6"/>
  <c r="L12" i="12"/>
  <c r="Q510" i="7" l="1"/>
  <c r="R510" i="7" s="1"/>
  <c r="Q509" i="7"/>
  <c r="R509" i="7" s="1"/>
  <c r="F37" i="16"/>
  <c r="H37" i="16" s="1"/>
  <c r="D48" i="18"/>
  <c r="F48" i="18" s="1"/>
  <c r="E413" i="4"/>
  <c r="Q526" i="7"/>
  <c r="R526" i="7" s="1"/>
  <c r="Q529" i="7"/>
  <c r="R529" i="7" s="1"/>
  <c r="D85" i="17" s="1"/>
  <c r="F85" i="17" s="1"/>
  <c r="N87" i="5"/>
  <c r="Q527" i="7"/>
  <c r="R527" i="7" s="1"/>
  <c r="Q548" i="8" s="1"/>
  <c r="R548" i="8" s="1"/>
  <c r="N85" i="5"/>
  <c r="Q511" i="7"/>
  <c r="R511" i="7" s="1"/>
  <c r="Q571" i="8" s="1"/>
  <c r="R571" i="8" s="1"/>
  <c r="C377" i="5"/>
  <c r="C118" i="5"/>
  <c r="D171" i="4"/>
  <c r="Q425" i="7"/>
  <c r="R425" i="7" s="1"/>
  <c r="Q506" i="8" s="1"/>
  <c r="R506" i="8" s="1"/>
  <c r="C409" i="4"/>
  <c r="E29" i="5"/>
  <c r="Q519" i="7"/>
  <c r="R519" i="7" s="1"/>
  <c r="Q591" i="8" s="1"/>
  <c r="R591" i="8" s="1"/>
  <c r="Q433" i="9" s="1"/>
  <c r="R433" i="9" s="1"/>
  <c r="Q427" i="7"/>
  <c r="R427" i="7" s="1"/>
  <c r="Q75" i="8" s="1"/>
  <c r="R75" i="8" s="1"/>
  <c r="Q430" i="7"/>
  <c r="R430" i="7" s="1"/>
  <c r="D18" i="17" s="1"/>
  <c r="F18" i="17" s="1"/>
  <c r="Q528" i="7"/>
  <c r="R528" i="7" s="1"/>
  <c r="D16" i="17" s="1"/>
  <c r="F16" i="17" s="1"/>
  <c r="Q429" i="7"/>
  <c r="R429" i="7" s="1"/>
  <c r="D80" i="17" s="1"/>
  <c r="F80" i="17" s="1"/>
  <c r="Q426" i="7"/>
  <c r="R426" i="7" s="1"/>
  <c r="Q44" i="8" s="1"/>
  <c r="R44" i="8" s="1"/>
  <c r="E258" i="5"/>
  <c r="E374" i="4"/>
  <c r="E79" i="4"/>
  <c r="I184" i="9"/>
  <c r="G181" i="9" s="1"/>
  <c r="L181" i="9" s="1"/>
  <c r="C405" i="4"/>
  <c r="C286" i="5"/>
  <c r="E101" i="5"/>
  <c r="C263" i="5"/>
  <c r="D70" i="4"/>
  <c r="E150" i="5"/>
  <c r="E403" i="4"/>
  <c r="E113" i="5"/>
  <c r="D452" i="4"/>
  <c r="E212" i="5"/>
  <c r="D171" i="5"/>
  <c r="E395" i="4"/>
  <c r="C396" i="5"/>
  <c r="E265" i="5"/>
  <c r="D212" i="5"/>
  <c r="D313" i="5"/>
  <c r="E302" i="5"/>
  <c r="E163" i="5"/>
  <c r="C318" i="5"/>
  <c r="C253" i="4"/>
  <c r="C450" i="5"/>
  <c r="E359" i="5"/>
  <c r="D467" i="5"/>
  <c r="D223" i="4"/>
  <c r="C50" i="5"/>
  <c r="E44" i="5"/>
  <c r="C431" i="5"/>
  <c r="E201" i="4"/>
  <c r="D326" i="5"/>
  <c r="E371" i="5"/>
  <c r="E409" i="5"/>
  <c r="D368" i="5"/>
  <c r="I583" i="8"/>
  <c r="G579" i="8" s="1"/>
  <c r="L579" i="8" s="1"/>
  <c r="C294" i="5"/>
  <c r="C19" i="4"/>
  <c r="E72" i="5"/>
  <c r="D178" i="5"/>
  <c r="E83" i="4"/>
  <c r="E144" i="4"/>
  <c r="E240" i="4"/>
  <c r="D55" i="4"/>
  <c r="D449" i="4"/>
  <c r="E67" i="4"/>
  <c r="C194" i="4"/>
  <c r="E14" i="4"/>
  <c r="D201" i="4"/>
  <c r="E405" i="4"/>
  <c r="E61" i="4"/>
  <c r="E91" i="4"/>
  <c r="D138" i="5"/>
  <c r="E187" i="5"/>
  <c r="E343" i="5"/>
  <c r="C332" i="5"/>
  <c r="C410" i="4"/>
  <c r="D468" i="4"/>
  <c r="C178" i="4"/>
  <c r="E223" i="4"/>
  <c r="E108" i="4"/>
  <c r="D296" i="5"/>
  <c r="D332" i="4"/>
  <c r="C80" i="4"/>
  <c r="E400" i="5"/>
  <c r="C293" i="5"/>
  <c r="D340" i="4"/>
  <c r="D91" i="5"/>
  <c r="D193" i="5"/>
  <c r="E458" i="5"/>
  <c r="C98" i="5"/>
  <c r="E23" i="5"/>
  <c r="D396" i="5"/>
  <c r="E384" i="5"/>
  <c r="E248" i="4"/>
  <c r="C252" i="4"/>
  <c r="D253" i="4"/>
  <c r="G264" i="7"/>
  <c r="I264" i="7" s="1"/>
  <c r="E326" i="5"/>
  <c r="C220" i="4"/>
  <c r="D461" i="5"/>
  <c r="D392" i="5"/>
  <c r="C119" i="5"/>
  <c r="D412" i="4"/>
  <c r="C131" i="4"/>
  <c r="E419" i="5"/>
  <c r="C388" i="5"/>
  <c r="G387" i="7"/>
  <c r="I387" i="7" s="1"/>
  <c r="G68" i="7"/>
  <c r="I68" i="7" s="1"/>
  <c r="D14" i="4"/>
  <c r="C46" i="5"/>
  <c r="E450" i="5"/>
  <c r="E310" i="5"/>
  <c r="G354" i="7"/>
  <c r="I354" i="7" s="1"/>
  <c r="E97" i="5"/>
  <c r="C153" i="4"/>
  <c r="F172" i="16"/>
  <c r="H172" i="16" s="1"/>
  <c r="G251" i="7"/>
  <c r="I251" i="7" s="1"/>
  <c r="G242" i="7"/>
  <c r="I242" i="7" s="1"/>
  <c r="N354" i="7"/>
  <c r="O354" i="7" s="1"/>
  <c r="D172" i="4"/>
  <c r="G368" i="7"/>
  <c r="I368" i="7" s="1"/>
  <c r="D327" i="5"/>
  <c r="N262" i="7"/>
  <c r="O262" i="7" s="1"/>
  <c r="G310" i="7"/>
  <c r="I310" i="7" s="1"/>
  <c r="E425" i="5"/>
  <c r="C71" i="4"/>
  <c r="E90" i="4"/>
  <c r="D357" i="4"/>
  <c r="E200" i="5"/>
  <c r="E118" i="4"/>
  <c r="D403" i="4"/>
  <c r="C470" i="5"/>
  <c r="D324" i="4"/>
  <c r="D469" i="4"/>
  <c r="C201" i="4"/>
  <c r="E325" i="5"/>
  <c r="D207" i="4"/>
  <c r="D13" i="4"/>
  <c r="E256" i="5"/>
  <c r="E136" i="4"/>
  <c r="D68" i="5"/>
  <c r="C29" i="4"/>
  <c r="C458" i="5"/>
  <c r="E288" i="5"/>
  <c r="C350" i="4"/>
  <c r="C345" i="4"/>
  <c r="E291" i="5"/>
  <c r="E419" i="4"/>
  <c r="C300" i="4"/>
  <c r="D162" i="4"/>
  <c r="D8" i="4"/>
  <c r="C310" i="4"/>
  <c r="C111" i="4"/>
  <c r="C393" i="5"/>
  <c r="N265" i="7"/>
  <c r="O265" i="7" s="1"/>
  <c r="C145" i="5"/>
  <c r="E263" i="5"/>
  <c r="C102" i="4"/>
  <c r="D365" i="4"/>
  <c r="G298" i="9"/>
  <c r="I298" i="9" s="1"/>
  <c r="D46" i="4"/>
  <c r="E440" i="5"/>
  <c r="C195" i="4"/>
  <c r="D448" i="4"/>
  <c r="N264" i="7"/>
  <c r="O264" i="7" s="1"/>
  <c r="G385" i="9"/>
  <c r="L385" i="9" s="1"/>
  <c r="N88" i="8"/>
  <c r="O88" i="8" s="1"/>
  <c r="I80" i="11"/>
  <c r="G75" i="11" s="1"/>
  <c r="L75" i="11" s="1"/>
  <c r="D338" i="5"/>
  <c r="G319" i="9"/>
  <c r="I319" i="9" s="1"/>
  <c r="E50" i="5"/>
  <c r="N356" i="7"/>
  <c r="O356" i="7" s="1"/>
  <c r="F87" i="16" s="1"/>
  <c r="H87" i="16" s="1"/>
  <c r="N358" i="7"/>
  <c r="O358" i="7" s="1"/>
  <c r="I72" i="11"/>
  <c r="G69" i="11" s="1"/>
  <c r="L69" i="11" s="1"/>
  <c r="C176" i="4"/>
  <c r="D184" i="4"/>
  <c r="N359" i="7"/>
  <c r="O359" i="7" s="1"/>
  <c r="F169" i="16" s="1"/>
  <c r="H169" i="16" s="1"/>
  <c r="G312" i="9"/>
  <c r="I312" i="9" s="1"/>
  <c r="G564" i="8"/>
  <c r="I564" i="8" s="1"/>
  <c r="I567" i="8" s="1"/>
  <c r="E329" i="4"/>
  <c r="C258" i="5"/>
  <c r="I246" i="9"/>
  <c r="G241" i="9" s="1"/>
  <c r="L241" i="9" s="1"/>
  <c r="E351" i="4"/>
  <c r="C104" i="4"/>
  <c r="C172" i="5"/>
  <c r="G305" i="9"/>
  <c r="I305" i="9" s="1"/>
  <c r="C277" i="4"/>
  <c r="D181" i="5"/>
  <c r="G258" i="4"/>
  <c r="G259" i="5" s="1"/>
  <c r="C429" i="5"/>
  <c r="E174" i="4"/>
  <c r="I192" i="9"/>
  <c r="G251" i="8" s="1"/>
  <c r="I251" i="8" s="1"/>
  <c r="E127" i="4"/>
  <c r="N352" i="7"/>
  <c r="O352" i="7" s="1"/>
  <c r="N108" i="8" s="1"/>
  <c r="O108" i="8" s="1"/>
  <c r="G326" i="9"/>
  <c r="I326" i="9" s="1"/>
  <c r="G349" i="8"/>
  <c r="I349" i="8" s="1"/>
  <c r="G421" i="8"/>
  <c r="I421" i="8" s="1"/>
  <c r="G439" i="8"/>
  <c r="I439" i="8" s="1"/>
  <c r="G376" i="8"/>
  <c r="I376" i="8" s="1"/>
  <c r="G367" i="8"/>
  <c r="I367" i="8" s="1"/>
  <c r="G223" i="9"/>
  <c r="L223" i="9" s="1"/>
  <c r="G412" i="8"/>
  <c r="I412" i="8" s="1"/>
  <c r="C268" i="5"/>
  <c r="G102" i="4"/>
  <c r="G103" i="5" s="1"/>
  <c r="D194" i="4"/>
  <c r="G24" i="4"/>
  <c r="G25" i="5" s="1"/>
  <c r="D374" i="4"/>
  <c r="D12" i="4"/>
  <c r="I58" i="9"/>
  <c r="G469" i="8" s="1"/>
  <c r="I469" i="8" s="1"/>
  <c r="C53" i="4"/>
  <c r="D415" i="5"/>
  <c r="G126" i="7"/>
  <c r="C127" i="5"/>
  <c r="E76" i="5"/>
  <c r="G320" i="7"/>
  <c r="I320" i="7" s="1"/>
  <c r="E184" i="4"/>
  <c r="D95" i="4"/>
  <c r="D96" i="5"/>
  <c r="G336" i="4"/>
  <c r="G337" i="5" s="1"/>
  <c r="D91" i="4"/>
  <c r="N430" i="7"/>
  <c r="O430" i="7" s="1"/>
  <c r="F57" i="16" s="1"/>
  <c r="H57" i="16" s="1"/>
  <c r="C478" i="5"/>
  <c r="D285" i="4"/>
  <c r="E222" i="4"/>
  <c r="D384" i="5"/>
  <c r="D169" i="4"/>
  <c r="E198" i="4"/>
  <c r="E199" i="5"/>
  <c r="E268" i="4"/>
  <c r="E269" i="5"/>
  <c r="E252" i="4"/>
  <c r="E253" i="5"/>
  <c r="C247" i="4"/>
  <c r="C249" i="5"/>
  <c r="E142" i="4"/>
  <c r="I129" i="7"/>
  <c r="I130" i="7" s="1"/>
  <c r="G414" i="4"/>
  <c r="G415" i="5" s="1"/>
  <c r="C338" i="4"/>
  <c r="E195" i="5"/>
  <c r="E194" i="4"/>
  <c r="D404" i="4"/>
  <c r="D165" i="4"/>
  <c r="G40" i="15"/>
  <c r="E331" i="5"/>
  <c r="E330" i="4"/>
  <c r="E193" i="5"/>
  <c r="D458" i="5"/>
  <c r="D351" i="5"/>
  <c r="C109" i="5"/>
  <c r="C159" i="5"/>
  <c r="E18" i="4"/>
  <c r="D248" i="4"/>
  <c r="D247" i="4"/>
  <c r="D248" i="5"/>
  <c r="C218" i="4"/>
  <c r="C219" i="5"/>
  <c r="E124" i="4"/>
  <c r="E125" i="5"/>
  <c r="D52" i="18"/>
  <c r="F52" i="18" s="1"/>
  <c r="C141" i="5"/>
  <c r="C140" i="4"/>
  <c r="N85" i="8"/>
  <c r="O85" i="8" s="1"/>
  <c r="C179" i="4"/>
  <c r="C180" i="5"/>
  <c r="G237" i="8"/>
  <c r="L237" i="8" s="1"/>
  <c r="G212" i="7"/>
  <c r="I212" i="7" s="1"/>
  <c r="G333" i="7"/>
  <c r="I333" i="7" s="1"/>
  <c r="E246" i="4"/>
  <c r="E247" i="5"/>
  <c r="C441" i="4"/>
  <c r="E65" i="5"/>
  <c r="E64" i="4"/>
  <c r="C333" i="4"/>
  <c r="H172" i="4"/>
  <c r="H173" i="5" s="1"/>
  <c r="E321" i="5"/>
  <c r="E320" i="4"/>
  <c r="D269" i="5"/>
  <c r="D268" i="4"/>
  <c r="E436" i="4"/>
  <c r="E437" i="5"/>
  <c r="C297" i="5"/>
  <c r="C296" i="4"/>
  <c r="E220" i="4"/>
  <c r="E221" i="5"/>
  <c r="D210" i="5"/>
  <c r="D124" i="4"/>
  <c r="D62" i="5"/>
  <c r="D61" i="4"/>
  <c r="E49" i="5"/>
  <c r="E48" i="4"/>
  <c r="E95" i="4"/>
  <c r="D157" i="4"/>
  <c r="E130" i="4"/>
  <c r="C208" i="5"/>
  <c r="C375" i="5"/>
  <c r="E18" i="5"/>
  <c r="E333" i="4"/>
  <c r="F34" i="15"/>
  <c r="C145" i="4"/>
  <c r="H328" i="4"/>
  <c r="H329" i="5" s="1"/>
  <c r="I329" i="5" s="1"/>
  <c r="D146" i="5"/>
  <c r="D145" i="4"/>
  <c r="E244" i="5"/>
  <c r="E243" i="4"/>
  <c r="C38" i="4"/>
  <c r="C39" i="5"/>
  <c r="G340" i="8"/>
  <c r="I340" i="8" s="1"/>
  <c r="G385" i="8"/>
  <c r="I385" i="8" s="1"/>
  <c r="G403" i="8"/>
  <c r="I403" i="8" s="1"/>
  <c r="D314" i="5"/>
  <c r="E340" i="4"/>
  <c r="G358" i="8"/>
  <c r="I358" i="8" s="1"/>
  <c r="G342" i="7"/>
  <c r="I342" i="7" s="1"/>
  <c r="E206" i="5"/>
  <c r="E205" i="4"/>
  <c r="E321" i="4"/>
  <c r="E322" i="5"/>
  <c r="G81" i="8"/>
  <c r="L81" i="8" s="1"/>
  <c r="G69" i="7"/>
  <c r="I69" i="7" s="1"/>
  <c r="C228" i="5"/>
  <c r="C227" i="4"/>
  <c r="E341" i="4"/>
  <c r="E342" i="5"/>
  <c r="D79" i="4"/>
  <c r="D80" i="5"/>
  <c r="C8" i="4"/>
  <c r="C9" i="5"/>
  <c r="E99" i="4"/>
  <c r="G207" i="9"/>
  <c r="I207" i="9" s="1"/>
  <c r="I208" i="9" s="1"/>
  <c r="E411" i="4"/>
  <c r="E412" i="5"/>
  <c r="C150" i="5"/>
  <c r="C149" i="4"/>
  <c r="E442" i="4"/>
  <c r="I238" i="9"/>
  <c r="G235" i="9" s="1"/>
  <c r="L235" i="9" s="1"/>
  <c r="G82" i="10"/>
  <c r="L82" i="10" s="1"/>
  <c r="G377" i="7"/>
  <c r="I377" i="7" s="1"/>
  <c r="E477" i="4"/>
  <c r="E478" i="5"/>
  <c r="E403" i="5"/>
  <c r="E402" i="4"/>
  <c r="E208" i="4"/>
  <c r="E209" i="5"/>
  <c r="G400" i="7"/>
  <c r="I400" i="7" s="1"/>
  <c r="H91" i="4"/>
  <c r="H92" i="5" s="1"/>
  <c r="D94" i="17"/>
  <c r="F94" i="17" s="1"/>
  <c r="H250" i="4"/>
  <c r="H251" i="5" s="1"/>
  <c r="I251" i="5" s="1"/>
  <c r="N355" i="7"/>
  <c r="O355" i="7" s="1"/>
  <c r="N229" i="8" s="1"/>
  <c r="O229" i="8" s="1"/>
  <c r="G394" i="8"/>
  <c r="I394" i="8" s="1"/>
  <c r="G297" i="7"/>
  <c r="I297" i="7" s="1"/>
  <c r="G233" i="7"/>
  <c r="I233" i="7" s="1"/>
  <c r="C154" i="4"/>
  <c r="D380" i="5"/>
  <c r="D379" i="4"/>
  <c r="E98" i="5"/>
  <c r="E97" i="4"/>
  <c r="D34" i="4"/>
  <c r="D35" i="5"/>
  <c r="E454" i="4"/>
  <c r="E455" i="5"/>
  <c r="E298" i="4"/>
  <c r="E299" i="5"/>
  <c r="E476" i="4"/>
  <c r="E477" i="5"/>
  <c r="E286" i="4"/>
  <c r="E287" i="5"/>
  <c r="E174" i="5"/>
  <c r="E173" i="4"/>
  <c r="E209" i="4"/>
  <c r="E210" i="5"/>
  <c r="E52" i="4"/>
  <c r="E53" i="5"/>
  <c r="E22" i="5"/>
  <c r="G589" i="8"/>
  <c r="I589" i="8" s="1"/>
  <c r="I592" i="8" s="1"/>
  <c r="G586" i="8" s="1"/>
  <c r="L586" i="8" s="1"/>
  <c r="G571" i="8"/>
  <c r="I571" i="8" s="1"/>
  <c r="I576" i="8" s="1"/>
  <c r="H94" i="4"/>
  <c r="F109" i="16"/>
  <c r="H109" i="16" s="1"/>
  <c r="F34" i="16"/>
  <c r="H34" i="16" s="1"/>
  <c r="N360" i="7"/>
  <c r="O360" i="7" s="1"/>
  <c r="G288" i="8"/>
  <c r="I288" i="8" s="1"/>
  <c r="G427" i="7"/>
  <c r="I427" i="7" s="1"/>
  <c r="G69" i="8"/>
  <c r="L69" i="8" s="1"/>
  <c r="G430" i="8"/>
  <c r="I430" i="8" s="1"/>
  <c r="C289" i="4"/>
  <c r="C290" i="5"/>
  <c r="D202" i="4"/>
  <c r="D203" i="5"/>
  <c r="E254" i="5"/>
  <c r="E253" i="4"/>
  <c r="D10" i="5"/>
  <c r="D9" i="4"/>
  <c r="D415" i="4"/>
  <c r="D416" i="5"/>
  <c r="H14" i="5"/>
  <c r="I13" i="4"/>
  <c r="H173" i="4"/>
  <c r="H12" i="15"/>
  <c r="H329" i="4"/>
  <c r="H407" i="4"/>
  <c r="H17" i="4"/>
  <c r="H95" i="4"/>
  <c r="C363" i="4"/>
  <c r="C364" i="5"/>
  <c r="E178" i="4"/>
  <c r="E179" i="5"/>
  <c r="C100" i="5"/>
  <c r="C99" i="4"/>
  <c r="E229" i="4"/>
  <c r="E230" i="5"/>
  <c r="D117" i="4"/>
  <c r="D118" i="5"/>
  <c r="D41" i="5"/>
  <c r="D40" i="4"/>
  <c r="D451" i="4"/>
  <c r="D452" i="5"/>
  <c r="C371" i="5"/>
  <c r="C370" i="4"/>
  <c r="D129" i="4"/>
  <c r="D130" i="5"/>
  <c r="D229" i="4"/>
  <c r="D230" i="5"/>
  <c r="C243" i="4"/>
  <c r="C244" i="5"/>
  <c r="N132" i="8"/>
  <c r="O132" i="8" s="1"/>
  <c r="N128" i="8"/>
  <c r="O128" i="8" s="1"/>
  <c r="N125" i="8"/>
  <c r="O125" i="8" s="1"/>
  <c r="N110" i="9" s="1"/>
  <c r="O110" i="9" s="1"/>
  <c r="N129" i="8"/>
  <c r="O129" i="8" s="1"/>
  <c r="N127" i="8"/>
  <c r="O127" i="8" s="1"/>
  <c r="N126" i="8"/>
  <c r="O126" i="8" s="1"/>
  <c r="N131" i="8"/>
  <c r="O131" i="8" s="1"/>
  <c r="N130" i="8"/>
  <c r="O130" i="8" s="1"/>
  <c r="Q244" i="8"/>
  <c r="R244" i="8" s="1"/>
  <c r="Q245" i="8"/>
  <c r="R245" i="8" s="1"/>
  <c r="Q241" i="8"/>
  <c r="R241" i="8" s="1"/>
  <c r="Q242" i="8"/>
  <c r="R242" i="8" s="1"/>
  <c r="Q239" i="8"/>
  <c r="R239" i="8" s="1"/>
  <c r="Q243" i="8"/>
  <c r="R243" i="8" s="1"/>
  <c r="Q240" i="8"/>
  <c r="R240" i="8" s="1"/>
  <c r="Q238" i="8"/>
  <c r="R238" i="8" s="1"/>
  <c r="Q177" i="9" s="1"/>
  <c r="R177" i="9" s="1"/>
  <c r="Q220" i="8"/>
  <c r="R220" i="8" s="1"/>
  <c r="Q219" i="8"/>
  <c r="R219" i="8" s="1"/>
  <c r="Q218" i="8"/>
  <c r="R218" i="8" s="1"/>
  <c r="Q167" i="9" s="1"/>
  <c r="R167" i="9" s="1"/>
  <c r="Q221" i="8"/>
  <c r="R221" i="8" s="1"/>
  <c r="Q217" i="8"/>
  <c r="R217" i="8" s="1"/>
  <c r="Q162" i="9" s="1"/>
  <c r="R162" i="9" s="1"/>
  <c r="C18" i="5"/>
  <c r="C17" i="4"/>
  <c r="E391" i="4"/>
  <c r="E392" i="5"/>
  <c r="E57" i="5"/>
  <c r="E56" i="4"/>
  <c r="D243" i="4"/>
  <c r="D244" i="5"/>
  <c r="C435" i="4"/>
  <c r="C436" i="5"/>
  <c r="E367" i="4"/>
  <c r="E368" i="5"/>
  <c r="D43" i="5"/>
  <c r="D42" i="4"/>
  <c r="E107" i="4"/>
  <c r="E108" i="5"/>
  <c r="E116" i="4"/>
  <c r="E117" i="5"/>
  <c r="D421" i="5"/>
  <c r="D420" i="4"/>
  <c r="G179" i="10"/>
  <c r="L179" i="10" s="1"/>
  <c r="G311" i="9"/>
  <c r="I311" i="9" s="1"/>
  <c r="G318" i="9"/>
  <c r="I318" i="9" s="1"/>
  <c r="G338" i="9"/>
  <c r="I338" i="9" s="1"/>
  <c r="I340" i="9" s="1"/>
  <c r="G325" i="9"/>
  <c r="I325" i="9" s="1"/>
  <c r="G304" i="9"/>
  <c r="I304" i="9" s="1"/>
  <c r="G297" i="9"/>
  <c r="I297" i="9" s="1"/>
  <c r="G332" i="9"/>
  <c r="I332" i="9" s="1"/>
  <c r="I334" i="9" s="1"/>
  <c r="E416" i="5"/>
  <c r="E415" i="4"/>
  <c r="N28" i="8"/>
  <c r="O28" i="8" s="1"/>
  <c r="N18" i="9" s="1"/>
  <c r="O18" i="9" s="1"/>
  <c r="N29" i="8"/>
  <c r="O29" i="8" s="1"/>
  <c r="F111" i="16" s="1"/>
  <c r="H111" i="16" s="1"/>
  <c r="N32" i="8"/>
  <c r="O32" i="8" s="1"/>
  <c r="N30" i="8"/>
  <c r="O30" i="8" s="1"/>
  <c r="F177" i="16" s="1"/>
  <c r="H177" i="16" s="1"/>
  <c r="N33" i="8"/>
  <c r="O33" i="8" s="1"/>
  <c r="N31" i="8"/>
  <c r="O31" i="8" s="1"/>
  <c r="E469" i="5"/>
  <c r="E468" i="4"/>
  <c r="Q261" i="8"/>
  <c r="R261" i="8" s="1"/>
  <c r="Q263" i="8"/>
  <c r="R263" i="8" s="1"/>
  <c r="Q262" i="8"/>
  <c r="R262" i="8" s="1"/>
  <c r="E196" i="4"/>
  <c r="E197" i="5"/>
  <c r="D137" i="5"/>
  <c r="D136" i="4"/>
  <c r="D273" i="5"/>
  <c r="D272" i="4"/>
  <c r="D134" i="5"/>
  <c r="D133" i="4"/>
  <c r="E407" i="5"/>
  <c r="E406" i="4"/>
  <c r="G83" i="11"/>
  <c r="L83" i="11" s="1"/>
  <c r="G221" i="10"/>
  <c r="I221" i="10" s="1"/>
  <c r="D71" i="4"/>
  <c r="D72" i="5"/>
  <c r="E169" i="5"/>
  <c r="E168" i="4"/>
  <c r="E202" i="4"/>
  <c r="E203" i="5"/>
  <c r="D454" i="4"/>
  <c r="D455" i="5"/>
  <c r="D270" i="4"/>
  <c r="D271" i="5"/>
  <c r="E457" i="5"/>
  <c r="E456" i="4"/>
  <c r="D99" i="4"/>
  <c r="D100" i="5"/>
  <c r="D59" i="5"/>
  <c r="D58" i="4"/>
  <c r="C321" i="5"/>
  <c r="C320" i="4"/>
  <c r="H251" i="4"/>
  <c r="N572" i="8"/>
  <c r="O572" i="8" s="1"/>
  <c r="N408" i="9" s="1"/>
  <c r="O408" i="9" s="1"/>
  <c r="N573" i="8"/>
  <c r="O573" i="8" s="1"/>
  <c r="N413" i="9" s="1"/>
  <c r="O413" i="9" s="1"/>
  <c r="N575" i="8"/>
  <c r="O575" i="8" s="1"/>
  <c r="N571" i="8"/>
  <c r="O571" i="8" s="1"/>
  <c r="N574" i="8"/>
  <c r="O574" i="8" s="1"/>
  <c r="D386" i="5"/>
  <c r="D385" i="4"/>
  <c r="C399" i="5"/>
  <c r="C398" i="4"/>
  <c r="Q582" i="8"/>
  <c r="R582" i="8" s="1"/>
  <c r="Q581" i="8"/>
  <c r="R581" i="8" s="1"/>
  <c r="Q580" i="8"/>
  <c r="R580" i="8" s="1"/>
  <c r="C254" i="4"/>
  <c r="C255" i="5"/>
  <c r="C439" i="4"/>
  <c r="C440" i="5"/>
  <c r="C173" i="4"/>
  <c r="C174" i="5"/>
  <c r="E388" i="5"/>
  <c r="E387" i="4"/>
  <c r="C57" i="5"/>
  <c r="C56" i="4"/>
  <c r="E134" i="4"/>
  <c r="E135" i="5"/>
  <c r="D127" i="4"/>
  <c r="D128" i="5"/>
  <c r="C357" i="4"/>
  <c r="C358" i="5"/>
  <c r="D20" i="4"/>
  <c r="D21" i="5"/>
  <c r="Q309" i="8"/>
  <c r="R309" i="8" s="1"/>
  <c r="Q308" i="8"/>
  <c r="R308" i="8" s="1"/>
  <c r="Q310" i="8"/>
  <c r="R310" i="8" s="1"/>
  <c r="D48" i="17" s="1"/>
  <c r="F48" i="17" s="1"/>
  <c r="Q306" i="8"/>
  <c r="R306" i="8" s="1"/>
  <c r="Q307" i="8"/>
  <c r="R307" i="8" s="1"/>
  <c r="Q305" i="8"/>
  <c r="R305" i="8" s="1"/>
  <c r="D432" i="4"/>
  <c r="D433" i="5"/>
  <c r="E80" i="4"/>
  <c r="E81" i="5"/>
  <c r="C115" i="5"/>
  <c r="C114" i="4"/>
  <c r="D334" i="4"/>
  <c r="D335" i="5"/>
  <c r="E175" i="4"/>
  <c r="E176" i="5"/>
  <c r="E361" i="5"/>
  <c r="E360" i="4"/>
  <c r="G155" i="10"/>
  <c r="L155" i="10" s="1"/>
  <c r="G264" i="9"/>
  <c r="I264" i="9" s="1"/>
  <c r="G287" i="9"/>
  <c r="I287" i="9" s="1"/>
  <c r="G276" i="9"/>
  <c r="I276" i="9" s="1"/>
  <c r="N170" i="8"/>
  <c r="O170" i="8" s="1"/>
  <c r="N166" i="8"/>
  <c r="O166" i="8" s="1"/>
  <c r="N125" i="9" s="1"/>
  <c r="O125" i="9" s="1"/>
  <c r="N168" i="8"/>
  <c r="O168" i="8" s="1"/>
  <c r="N167" i="8"/>
  <c r="O167" i="8" s="1"/>
  <c r="N171" i="8"/>
  <c r="O171" i="8" s="1"/>
  <c r="N172" i="8"/>
  <c r="O172" i="8" s="1"/>
  <c r="N173" i="8"/>
  <c r="O173" i="8" s="1"/>
  <c r="N169" i="8"/>
  <c r="O169" i="8" s="1"/>
  <c r="D96" i="4"/>
  <c r="D97" i="5"/>
  <c r="C416" i="5"/>
  <c r="C415" i="4"/>
  <c r="D157" i="5"/>
  <c r="D156" i="4"/>
  <c r="C215" i="4"/>
  <c r="C216" i="5"/>
  <c r="D438" i="4"/>
  <c r="D439" i="5"/>
  <c r="D446" i="5"/>
  <c r="D445" i="4"/>
  <c r="G95" i="11"/>
  <c r="L95" i="11" s="1"/>
  <c r="G222" i="10"/>
  <c r="I222" i="10" s="1"/>
  <c r="D389" i="5"/>
  <c r="D388" i="4"/>
  <c r="E20" i="4"/>
  <c r="E21" i="5"/>
  <c r="G543" i="8"/>
  <c r="L543" i="8" s="1"/>
  <c r="G527" i="7"/>
  <c r="I527" i="7" s="1"/>
  <c r="G491" i="7"/>
  <c r="I491" i="7" s="1"/>
  <c r="N89" i="8"/>
  <c r="O89" i="8" s="1"/>
  <c r="N87" i="8"/>
  <c r="O87" i="8" s="1"/>
  <c r="N84" i="8"/>
  <c r="O84" i="8" s="1"/>
  <c r="N82" i="8"/>
  <c r="O82" i="8" s="1"/>
  <c r="N43" i="9" s="1"/>
  <c r="O43" i="9" s="1"/>
  <c r="N83" i="8"/>
  <c r="O83" i="8" s="1"/>
  <c r="C336" i="5"/>
  <c r="C335" i="4"/>
  <c r="D397" i="5"/>
  <c r="D396" i="4"/>
  <c r="G85" i="9"/>
  <c r="L85" i="9" s="1"/>
  <c r="G309" i="8"/>
  <c r="I309" i="8" s="1"/>
  <c r="G538" i="8"/>
  <c r="I538" i="8" s="1"/>
  <c r="G114" i="8"/>
  <c r="I114" i="8" s="1"/>
  <c r="G316" i="8"/>
  <c r="I316" i="8" s="1"/>
  <c r="G278" i="8"/>
  <c r="I278" i="8" s="1"/>
  <c r="G329" i="8"/>
  <c r="I329" i="8" s="1"/>
  <c r="C102" i="5"/>
  <c r="C101" i="4"/>
  <c r="G203" i="10"/>
  <c r="L203" i="10" s="1"/>
  <c r="G362" i="9"/>
  <c r="I362" i="9" s="1"/>
  <c r="G354" i="9"/>
  <c r="I354" i="9" s="1"/>
  <c r="I355" i="9" s="1"/>
  <c r="H247" i="4"/>
  <c r="H169" i="4"/>
  <c r="H170" i="4"/>
  <c r="H92" i="4"/>
  <c r="H14" i="4"/>
  <c r="H248" i="4"/>
  <c r="H325" i="4"/>
  <c r="H20" i="15"/>
  <c r="H404" i="4"/>
  <c r="H326" i="4"/>
  <c r="H403" i="4"/>
  <c r="D428" i="4"/>
  <c r="D429" i="5"/>
  <c r="D328" i="4"/>
  <c r="D329" i="5"/>
  <c r="H17" i="5"/>
  <c r="I16" i="4"/>
  <c r="C411" i="4"/>
  <c r="C412" i="5"/>
  <c r="D19" i="4"/>
  <c r="D20" i="5"/>
  <c r="C127" i="4"/>
  <c r="C128" i="5"/>
  <c r="D309" i="4"/>
  <c r="D310" i="5"/>
  <c r="C191" i="5"/>
  <c r="C190" i="4"/>
  <c r="C241" i="5"/>
  <c r="C240" i="4"/>
  <c r="C366" i="5"/>
  <c r="C365" i="4"/>
  <c r="C283" i="4"/>
  <c r="C284" i="5"/>
  <c r="C213" i="5"/>
  <c r="C212" i="4"/>
  <c r="D99" i="5"/>
  <c r="D98" i="4"/>
  <c r="N358" i="8"/>
  <c r="O358" i="8" s="1"/>
  <c r="N359" i="8"/>
  <c r="O359" i="8" s="1"/>
  <c r="N357" i="8"/>
  <c r="O357" i="8" s="1"/>
  <c r="N360" i="8"/>
  <c r="O360" i="8" s="1"/>
  <c r="N356" i="8"/>
  <c r="O356" i="8" s="1"/>
  <c r="N86" i="8"/>
  <c r="O86" i="8" s="1"/>
  <c r="E127" i="5"/>
  <c r="E126" i="4"/>
  <c r="E431" i="5"/>
  <c r="E430" i="4"/>
  <c r="E432" i="4"/>
  <c r="E433" i="5"/>
  <c r="Q280" i="8"/>
  <c r="R280" i="8" s="1"/>
  <c r="D121" i="17" s="1"/>
  <c r="F121" i="17" s="1"/>
  <c r="Q276" i="8"/>
  <c r="R276" i="8" s="1"/>
  <c r="Q279" i="8"/>
  <c r="R279" i="8" s="1"/>
  <c r="Q281" i="8"/>
  <c r="R281" i="8" s="1"/>
  <c r="Q282" i="8"/>
  <c r="R282" i="8" s="1"/>
  <c r="Q278" i="8"/>
  <c r="R278" i="8" s="1"/>
  <c r="Q277" i="8"/>
  <c r="R277" i="8" s="1"/>
  <c r="C168" i="4"/>
  <c r="C169" i="5"/>
  <c r="E234" i="4"/>
  <c r="E235" i="5"/>
  <c r="E318" i="4"/>
  <c r="E319" i="5"/>
  <c r="D182" i="5"/>
  <c r="D181" i="4"/>
  <c r="N116" i="8"/>
  <c r="O116" i="8" s="1"/>
  <c r="N118" i="8"/>
  <c r="O118" i="8" s="1"/>
  <c r="N120" i="8"/>
  <c r="O120" i="8" s="1"/>
  <c r="N115" i="8"/>
  <c r="O115" i="8" s="1"/>
  <c r="N114" i="8"/>
  <c r="O114" i="8" s="1"/>
  <c r="N117" i="8"/>
  <c r="O117" i="8" s="1"/>
  <c r="N119" i="8"/>
  <c r="O119" i="8" s="1"/>
  <c r="E249" i="4"/>
  <c r="E250" i="5"/>
  <c r="D236" i="4"/>
  <c r="D237" i="5"/>
  <c r="C22" i="5"/>
  <c r="C21" i="4"/>
  <c r="E308" i="5"/>
  <c r="E307" i="4"/>
  <c r="D273" i="4"/>
  <c r="D274" i="5"/>
  <c r="E180" i="4"/>
  <c r="E181" i="5"/>
  <c r="D352" i="4"/>
  <c r="D353" i="5"/>
  <c r="E173" i="5"/>
  <c r="E172" i="4"/>
  <c r="G226" i="10"/>
  <c r="L226" i="10" s="1"/>
  <c r="G360" i="9"/>
  <c r="I360" i="9" s="1"/>
  <c r="C181" i="4"/>
  <c r="C182" i="5"/>
  <c r="E47" i="5"/>
  <c r="E46" i="4"/>
  <c r="D377" i="5"/>
  <c r="D376" i="4"/>
  <c r="D374" i="5"/>
  <c r="D373" i="4"/>
  <c r="D382" i="4"/>
  <c r="D383" i="5"/>
  <c r="C449" i="5"/>
  <c r="C448" i="4"/>
  <c r="E170" i="4"/>
  <c r="E171" i="5"/>
  <c r="E67" i="5"/>
  <c r="E66" i="4"/>
  <c r="Q288" i="8"/>
  <c r="R288" i="8" s="1"/>
  <c r="Q289" i="8"/>
  <c r="R289" i="8" s="1"/>
  <c r="Q287" i="8"/>
  <c r="R287" i="8" s="1"/>
  <c r="C425" i="5"/>
  <c r="C424" i="4"/>
  <c r="C165" i="4"/>
  <c r="C166" i="5"/>
  <c r="E98" i="4"/>
  <c r="E99" i="5"/>
  <c r="H30" i="15"/>
  <c r="H179" i="4"/>
  <c r="H413" i="4"/>
  <c r="H335" i="4"/>
  <c r="H23" i="4"/>
  <c r="H257" i="4"/>
  <c r="H101" i="4"/>
  <c r="C288" i="5"/>
  <c r="C287" i="4"/>
  <c r="D370" i="4"/>
  <c r="D371" i="5"/>
  <c r="G153" i="8"/>
  <c r="L153" i="8" s="1"/>
  <c r="G480" i="7"/>
  <c r="I480" i="7" s="1"/>
  <c r="G153" i="7"/>
  <c r="I153" i="7" s="1"/>
  <c r="G184" i="7"/>
  <c r="I184" i="7" s="1"/>
  <c r="G144" i="7"/>
  <c r="I144" i="7" s="1"/>
  <c r="I146" i="7" s="1"/>
  <c r="G538" i="7"/>
  <c r="I538" i="7" s="1"/>
  <c r="C34" i="4"/>
  <c r="C35" i="5"/>
  <c r="C319" i="5"/>
  <c r="C318" i="4"/>
  <c r="C326" i="4"/>
  <c r="C327" i="5"/>
  <c r="E51" i="4"/>
  <c r="E52" i="5"/>
  <c r="E467" i="5"/>
  <c r="E466" i="4"/>
  <c r="D31" i="5"/>
  <c r="D30" i="4"/>
  <c r="Q516" i="8"/>
  <c r="R516" i="8" s="1"/>
  <c r="D90" i="17" s="1"/>
  <c r="F90" i="17" s="1"/>
  <c r="Q519" i="8"/>
  <c r="R519" i="8" s="1"/>
  <c r="Q354" i="9" s="1"/>
  <c r="R354" i="9" s="1"/>
  <c r="Q515" i="8"/>
  <c r="R515" i="8" s="1"/>
  <c r="D89" i="17" s="1"/>
  <c r="F89" i="17" s="1"/>
  <c r="Q517" i="8"/>
  <c r="R517" i="8" s="1"/>
  <c r="D91" i="17" s="1"/>
  <c r="F91" i="17" s="1"/>
  <c r="Q520" i="8"/>
  <c r="R520" i="8" s="1"/>
  <c r="Q518" i="8"/>
  <c r="R518" i="8" s="1"/>
  <c r="D84" i="17" s="1"/>
  <c r="F84" i="17" s="1"/>
  <c r="C12" i="4"/>
  <c r="C13" i="5"/>
  <c r="C226" i="4"/>
  <c r="C227" i="5"/>
  <c r="E156" i="4"/>
  <c r="E157" i="5"/>
  <c r="C142" i="4"/>
  <c r="C143" i="5"/>
  <c r="E243" i="5"/>
  <c r="E242" i="4"/>
  <c r="E332" i="5"/>
  <c r="E331" i="4"/>
  <c r="E218" i="4"/>
  <c r="E219" i="5"/>
  <c r="C233" i="5"/>
  <c r="C232" i="4"/>
  <c r="E204" i="4"/>
  <c r="E205" i="5"/>
  <c r="E362" i="5"/>
  <c r="E361" i="4"/>
  <c r="D265" i="5"/>
  <c r="D264" i="4"/>
  <c r="N23" i="8"/>
  <c r="O23" i="8" s="1"/>
  <c r="N22" i="8"/>
  <c r="O22" i="8" s="1"/>
  <c r="N19" i="8"/>
  <c r="O19" i="8" s="1"/>
  <c r="F96" i="16" s="1"/>
  <c r="H96" i="16" s="1"/>
  <c r="N20" i="8"/>
  <c r="O20" i="8" s="1"/>
  <c r="F170" i="16" s="1"/>
  <c r="H170" i="16" s="1"/>
  <c r="N21" i="8"/>
  <c r="O21" i="8" s="1"/>
  <c r="N18" i="8"/>
  <c r="O18" i="8" s="1"/>
  <c r="N13" i="9" s="1"/>
  <c r="O13" i="9" s="1"/>
  <c r="C23" i="4"/>
  <c r="C24" i="5"/>
  <c r="C462" i="5"/>
  <c r="C461" i="4"/>
  <c r="E12" i="4"/>
  <c r="E13" i="5"/>
  <c r="D79" i="5"/>
  <c r="D78" i="4"/>
  <c r="E46" i="5"/>
  <c r="E45" i="4"/>
  <c r="C137" i="4"/>
  <c r="C138" i="5"/>
  <c r="C371" i="4"/>
  <c r="C372" i="5"/>
  <c r="D220" i="4"/>
  <c r="D221" i="5"/>
  <c r="E263" i="4"/>
  <c r="E264" i="5"/>
  <c r="Q139" i="8"/>
  <c r="R139" i="8" s="1"/>
  <c r="Q137" i="8"/>
  <c r="R137" i="8" s="1"/>
  <c r="Q115" i="9" s="1"/>
  <c r="R115" i="9" s="1"/>
  <c r="Q142" i="8"/>
  <c r="R142" i="8" s="1"/>
  <c r="Q144" i="8"/>
  <c r="R144" i="8" s="1"/>
  <c r="Q140" i="8"/>
  <c r="R140" i="8" s="1"/>
  <c r="Q138" i="8"/>
  <c r="R138" i="8" s="1"/>
  <c r="Q141" i="8"/>
  <c r="R141" i="8" s="1"/>
  <c r="Q143" i="8"/>
  <c r="R143" i="8" s="1"/>
  <c r="E278" i="5"/>
  <c r="E277" i="4"/>
  <c r="E328" i="5"/>
  <c r="E327" i="4"/>
  <c r="D140" i="5"/>
  <c r="D139" i="4"/>
  <c r="C273" i="5"/>
  <c r="C272" i="4"/>
  <c r="D259" i="4"/>
  <c r="D260" i="5"/>
  <c r="D231" i="4"/>
  <c r="D232" i="5"/>
  <c r="Q462" i="8"/>
  <c r="R462" i="8" s="1"/>
  <c r="Q459" i="8"/>
  <c r="R459" i="8" s="1"/>
  <c r="Q463" i="8"/>
  <c r="R463" i="8" s="1"/>
  <c r="Q460" i="8"/>
  <c r="R460" i="8" s="1"/>
  <c r="Q461" i="8"/>
  <c r="R461" i="8" s="1"/>
  <c r="Q457" i="8"/>
  <c r="R457" i="8" s="1"/>
  <c r="Q458" i="8"/>
  <c r="R458" i="8" s="1"/>
  <c r="Q456" i="8"/>
  <c r="R456" i="8" s="1"/>
  <c r="Q344" i="9" s="1"/>
  <c r="R344" i="9" s="1"/>
  <c r="D115" i="5"/>
  <c r="D114" i="4"/>
  <c r="D183" i="5"/>
  <c r="D182" i="4"/>
  <c r="E413" i="5"/>
  <c r="E412" i="4"/>
  <c r="D204" i="4"/>
  <c r="D205" i="5"/>
  <c r="G240" i="10"/>
  <c r="L240" i="10" s="1"/>
  <c r="G363" i="9"/>
  <c r="I363" i="9" s="1"/>
  <c r="E461" i="5"/>
  <c r="E460" i="4"/>
  <c r="C209" i="4"/>
  <c r="C210" i="5"/>
  <c r="C346" i="4"/>
  <c r="C347" i="5"/>
  <c r="C396" i="4"/>
  <c r="C397" i="5"/>
  <c r="E280" i="5"/>
  <c r="E279" i="4"/>
  <c r="Q85" i="8"/>
  <c r="R85" i="8" s="1"/>
  <c r="Q89" i="8"/>
  <c r="R89" i="8" s="1"/>
  <c r="Q84" i="8"/>
  <c r="R84" i="8" s="1"/>
  <c r="Q87" i="8"/>
  <c r="R87" i="8" s="1"/>
  <c r="Q83" i="8"/>
  <c r="R83" i="8" s="1"/>
  <c r="Q82" i="8"/>
  <c r="R82" i="8" s="1"/>
  <c r="Q43" i="9" s="1"/>
  <c r="R43" i="9" s="1"/>
  <c r="Q86" i="8"/>
  <c r="R86" i="8" s="1"/>
  <c r="Q88" i="8"/>
  <c r="R88" i="8" s="1"/>
  <c r="E352" i="4"/>
  <c r="E353" i="5"/>
  <c r="E270" i="4"/>
  <c r="E271" i="5"/>
  <c r="C404" i="4"/>
  <c r="C405" i="5"/>
  <c r="C362" i="5"/>
  <c r="C361" i="4"/>
  <c r="C256" i="5"/>
  <c r="C255" i="4"/>
  <c r="C46" i="4"/>
  <c r="C47" i="5"/>
  <c r="C403" i="4"/>
  <c r="C404" i="5"/>
  <c r="C290" i="4"/>
  <c r="C291" i="5"/>
  <c r="D50" i="5"/>
  <c r="D49" i="4"/>
  <c r="D399" i="4"/>
  <c r="D400" i="5"/>
  <c r="C283" i="5"/>
  <c r="C282" i="4"/>
  <c r="E463" i="4"/>
  <c r="E464" i="5"/>
  <c r="E286" i="5"/>
  <c r="E285" i="4"/>
  <c r="D254" i="4"/>
  <c r="D255" i="5"/>
  <c r="N322" i="8"/>
  <c r="O322" i="8" s="1"/>
  <c r="N319" i="8"/>
  <c r="O319" i="8" s="1"/>
  <c r="F190" i="16" s="1"/>
  <c r="H190" i="16" s="1"/>
  <c r="N315" i="8"/>
  <c r="O315" i="8" s="1"/>
  <c r="N320" i="8"/>
  <c r="O320" i="8" s="1"/>
  <c r="F187" i="16" s="1"/>
  <c r="H187" i="16" s="1"/>
  <c r="N316" i="8"/>
  <c r="O316" i="8" s="1"/>
  <c r="N317" i="8"/>
  <c r="O317" i="8" s="1"/>
  <c r="N318" i="8"/>
  <c r="O318" i="8" s="1"/>
  <c r="N321" i="8"/>
  <c r="O321" i="8" s="1"/>
  <c r="F193" i="16" s="1"/>
  <c r="H193" i="16" s="1"/>
  <c r="N185" i="8"/>
  <c r="O185" i="8" s="1"/>
  <c r="N184" i="8"/>
  <c r="O184" i="8" s="1"/>
  <c r="N178" i="8"/>
  <c r="O178" i="8" s="1"/>
  <c r="N130" i="9" s="1"/>
  <c r="O130" i="9" s="1"/>
  <c r="N183" i="8"/>
  <c r="O183" i="8" s="1"/>
  <c r="N180" i="8"/>
  <c r="O180" i="8" s="1"/>
  <c r="N181" i="8"/>
  <c r="O181" i="8" s="1"/>
  <c r="N182" i="8"/>
  <c r="O182" i="8" s="1"/>
  <c r="N179" i="8"/>
  <c r="O179" i="8" s="1"/>
  <c r="D186" i="4"/>
  <c r="D187" i="5"/>
  <c r="F64" i="16"/>
  <c r="H64" i="16" s="1"/>
  <c r="F44" i="16"/>
  <c r="H44" i="16" s="1"/>
  <c r="E33" i="4"/>
  <c r="E34" i="5"/>
  <c r="D118" i="4"/>
  <c r="D119" i="5"/>
  <c r="D107" i="4"/>
  <c r="D108" i="5"/>
  <c r="E250" i="4"/>
  <c r="E251" i="5"/>
  <c r="Q449" i="8"/>
  <c r="R449" i="8" s="1"/>
  <c r="Q446" i="8"/>
  <c r="R446" i="8" s="1"/>
  <c r="Q450" i="8"/>
  <c r="R450" i="8" s="1"/>
  <c r="Q451" i="8"/>
  <c r="R451" i="8" s="1"/>
  <c r="Q448" i="8"/>
  <c r="R448" i="8" s="1"/>
  <c r="Q447" i="8"/>
  <c r="R447" i="8" s="1"/>
  <c r="Q156" i="8"/>
  <c r="R156" i="8" s="1"/>
  <c r="Q161" i="8"/>
  <c r="R161" i="8" s="1"/>
  <c r="Q154" i="8"/>
  <c r="R154" i="8" s="1"/>
  <c r="Q120" i="9" s="1"/>
  <c r="R120" i="9" s="1"/>
  <c r="Q158" i="8"/>
  <c r="R158" i="8" s="1"/>
  <c r="Q157" i="8"/>
  <c r="R157" i="8" s="1"/>
  <c r="Q159" i="8"/>
  <c r="R159" i="8" s="1"/>
  <c r="Q155" i="8"/>
  <c r="R155" i="8" s="1"/>
  <c r="Q160" i="8"/>
  <c r="R160" i="8" s="1"/>
  <c r="C90" i="4"/>
  <c r="C91" i="5"/>
  <c r="D355" i="5"/>
  <c r="D354" i="4"/>
  <c r="E337" i="4"/>
  <c r="E338" i="5"/>
  <c r="C25" i="4"/>
  <c r="C26" i="5"/>
  <c r="N477" i="8"/>
  <c r="O477" i="8" s="1"/>
  <c r="N479" i="8"/>
  <c r="O479" i="8" s="1"/>
  <c r="F157" i="16" s="1"/>
  <c r="H157" i="16" s="1"/>
  <c r="N478" i="8"/>
  <c r="O478" i="8" s="1"/>
  <c r="C413" i="4"/>
  <c r="C414" i="5"/>
  <c r="D85" i="5"/>
  <c r="D84" i="4"/>
  <c r="D390" i="4"/>
  <c r="D391" i="5"/>
  <c r="N196" i="8"/>
  <c r="O196" i="8" s="1"/>
  <c r="N197" i="8"/>
  <c r="O197" i="8" s="1"/>
  <c r="N193" i="8"/>
  <c r="O193" i="8" s="1"/>
  <c r="N190" i="8"/>
  <c r="O190" i="8" s="1"/>
  <c r="N135" i="9" s="1"/>
  <c r="O135" i="9" s="1"/>
  <c r="N195" i="8"/>
  <c r="O195" i="8" s="1"/>
  <c r="N194" i="8"/>
  <c r="O194" i="8" s="1"/>
  <c r="N192" i="8"/>
  <c r="O192" i="8" s="1"/>
  <c r="N191" i="8"/>
  <c r="O191" i="8" s="1"/>
  <c r="N342" i="8"/>
  <c r="O342" i="8" s="1"/>
  <c r="N340" i="8"/>
  <c r="O340" i="8" s="1"/>
  <c r="N341" i="8"/>
  <c r="O341" i="8" s="1"/>
  <c r="N338" i="8"/>
  <c r="O338" i="8" s="1"/>
  <c r="N339" i="8"/>
  <c r="O339" i="8" s="1"/>
  <c r="C31" i="5"/>
  <c r="C30" i="4"/>
  <c r="C419" i="4"/>
  <c r="C420" i="5"/>
  <c r="N426" i="7"/>
  <c r="O426" i="7" s="1"/>
  <c r="N428" i="7"/>
  <c r="O428" i="7" s="1"/>
  <c r="F114" i="16" s="1"/>
  <c r="H114" i="16" s="1"/>
  <c r="D51" i="18"/>
  <c r="F51" i="18" s="1"/>
  <c r="C399" i="4"/>
  <c r="C400" i="5"/>
  <c r="E334" i="4"/>
  <c r="E335" i="5"/>
  <c r="C443" i="5"/>
  <c r="C442" i="4"/>
  <c r="C327" i="4"/>
  <c r="C328" i="5"/>
  <c r="C466" i="4"/>
  <c r="C467" i="5"/>
  <c r="D465" i="4"/>
  <c r="D466" i="5"/>
  <c r="E397" i="5"/>
  <c r="E396" i="4"/>
  <c r="D243" i="5"/>
  <c r="D242" i="4"/>
  <c r="D474" i="5"/>
  <c r="D473" i="4"/>
  <c r="C235" i="4"/>
  <c r="C236" i="5"/>
  <c r="C183" i="5"/>
  <c r="C182" i="4"/>
  <c r="N429" i="7"/>
  <c r="O429" i="7" s="1"/>
  <c r="F41" i="16" s="1"/>
  <c r="H41" i="16" s="1"/>
  <c r="Q441" i="8"/>
  <c r="R441" i="8" s="1"/>
  <c r="Q437" i="8"/>
  <c r="R437" i="8" s="1"/>
  <c r="Q438" i="8"/>
  <c r="R438" i="8" s="1"/>
  <c r="Q440" i="8"/>
  <c r="R440" i="8" s="1"/>
  <c r="Q439" i="8"/>
  <c r="R439" i="8" s="1"/>
  <c r="E374" i="5"/>
  <c r="E373" i="4"/>
  <c r="D23" i="5"/>
  <c r="D22" i="4"/>
  <c r="D427" i="5"/>
  <c r="D426" i="4"/>
  <c r="C215" i="5"/>
  <c r="C214" i="4"/>
  <c r="E93" i="5"/>
  <c r="E92" i="4"/>
  <c r="C87" i="4"/>
  <c r="C88" i="5"/>
  <c r="E378" i="4"/>
  <c r="E379" i="5"/>
  <c r="D49" i="5"/>
  <c r="D48" i="4"/>
  <c r="C113" i="5"/>
  <c r="C112" i="4"/>
  <c r="C162" i="4"/>
  <c r="C163" i="5"/>
  <c r="C466" i="5"/>
  <c r="C465" i="4"/>
  <c r="N141" i="8"/>
  <c r="O141" i="8" s="1"/>
  <c r="N139" i="8"/>
  <c r="O139" i="8" s="1"/>
  <c r="N142" i="8"/>
  <c r="O142" i="8" s="1"/>
  <c r="N144" i="8"/>
  <c r="O144" i="8" s="1"/>
  <c r="N138" i="8"/>
  <c r="O138" i="8" s="1"/>
  <c r="N143" i="8"/>
  <c r="O143" i="8" s="1"/>
  <c r="N137" i="8"/>
  <c r="O137" i="8" s="1"/>
  <c r="N115" i="9" s="1"/>
  <c r="O115" i="9" s="1"/>
  <c r="N140" i="8"/>
  <c r="O140" i="8" s="1"/>
  <c r="N242" i="7"/>
  <c r="O242" i="7" s="1"/>
  <c r="E232" i="4"/>
  <c r="E233" i="5"/>
  <c r="D199" i="4"/>
  <c r="D200" i="5"/>
  <c r="Q392" i="8"/>
  <c r="R392" i="8" s="1"/>
  <c r="Q395" i="8"/>
  <c r="R395" i="8" s="1"/>
  <c r="Q394" i="8"/>
  <c r="R394" i="8" s="1"/>
  <c r="Q396" i="8"/>
  <c r="R396" i="8" s="1"/>
  <c r="Q393" i="8"/>
  <c r="R393" i="8" s="1"/>
  <c r="Q320" i="8"/>
  <c r="R320" i="8" s="1"/>
  <c r="D76" i="17" s="1"/>
  <c r="F76" i="17" s="1"/>
  <c r="Q322" i="8"/>
  <c r="R322" i="8" s="1"/>
  <c r="Q315" i="8"/>
  <c r="R315" i="8" s="1"/>
  <c r="Q316" i="8"/>
  <c r="R316" i="8" s="1"/>
  <c r="Q321" i="8"/>
  <c r="R321" i="8" s="1"/>
  <c r="D75" i="17" s="1"/>
  <c r="F75" i="17" s="1"/>
  <c r="Q319" i="8"/>
  <c r="R319" i="8" s="1"/>
  <c r="D50" i="18" s="1"/>
  <c r="F50" i="18" s="1"/>
  <c r="Q317" i="8"/>
  <c r="R317" i="8" s="1"/>
  <c r="Q318" i="8"/>
  <c r="R318" i="8" s="1"/>
  <c r="Q256" i="8"/>
  <c r="R256" i="8" s="1"/>
  <c r="Q251" i="8"/>
  <c r="R251" i="8" s="1"/>
  <c r="Q253" i="8"/>
  <c r="R253" i="8" s="1"/>
  <c r="Q254" i="8"/>
  <c r="R254" i="8" s="1"/>
  <c r="Q250" i="8"/>
  <c r="R250" i="8" s="1"/>
  <c r="Q252" i="8"/>
  <c r="R252" i="8" s="1"/>
  <c r="Q255" i="8"/>
  <c r="R255" i="8" s="1"/>
  <c r="C335" i="5"/>
  <c r="C334" i="4"/>
  <c r="G17" i="8"/>
  <c r="L17" i="8" s="1"/>
  <c r="G9" i="7"/>
  <c r="I9" i="7" s="1"/>
  <c r="C298" i="4"/>
  <c r="C299" i="5"/>
  <c r="E87" i="5"/>
  <c r="E86" i="4"/>
  <c r="E19" i="4"/>
  <c r="E20" i="5"/>
  <c r="E449" i="5"/>
  <c r="E448" i="4"/>
  <c r="C130" i="4"/>
  <c r="C131" i="5"/>
  <c r="E305" i="4"/>
  <c r="E306" i="5"/>
  <c r="D349" i="5"/>
  <c r="D348" i="4"/>
  <c r="C199" i="4"/>
  <c r="C200" i="5"/>
  <c r="C413" i="5"/>
  <c r="C412" i="4"/>
  <c r="E434" i="5"/>
  <c r="E433" i="4"/>
  <c r="E293" i="5"/>
  <c r="E292" i="4"/>
  <c r="C99" i="5"/>
  <c r="C98" i="4"/>
  <c r="D179" i="4"/>
  <c r="D180" i="5"/>
  <c r="C477" i="5"/>
  <c r="C476" i="4"/>
  <c r="D116" i="4"/>
  <c r="D117" i="5"/>
  <c r="C96" i="5"/>
  <c r="C95" i="4"/>
  <c r="C134" i="4"/>
  <c r="C135" i="5"/>
  <c r="E447" i="5"/>
  <c r="E446" i="4"/>
  <c r="D60" i="5"/>
  <c r="D59" i="4"/>
  <c r="C295" i="4"/>
  <c r="C296" i="5"/>
  <c r="D196" i="5"/>
  <c r="D195" i="4"/>
  <c r="E355" i="5"/>
  <c r="E354" i="4"/>
  <c r="E428" i="4"/>
  <c r="E429" i="5"/>
  <c r="C133" i="4"/>
  <c r="C134" i="5"/>
  <c r="N395" i="8"/>
  <c r="O395" i="8" s="1"/>
  <c r="N396" i="8"/>
  <c r="O396" i="8" s="1"/>
  <c r="N393" i="8"/>
  <c r="O393" i="8" s="1"/>
  <c r="N392" i="8"/>
  <c r="O392" i="8" s="1"/>
  <c r="N394" i="8"/>
  <c r="O394" i="8" s="1"/>
  <c r="E103" i="5"/>
  <c r="E102" i="4"/>
  <c r="D431" i="5"/>
  <c r="D430" i="4"/>
  <c r="Q471" i="8"/>
  <c r="R471" i="8" s="1"/>
  <c r="Q472" i="8"/>
  <c r="R472" i="8" s="1"/>
  <c r="Q469" i="8"/>
  <c r="R469" i="8" s="1"/>
  <c r="Q468" i="8"/>
  <c r="R468" i="8" s="1"/>
  <c r="Q470" i="8"/>
  <c r="R470" i="8" s="1"/>
  <c r="C229" i="4"/>
  <c r="C230" i="5"/>
  <c r="C94" i="5"/>
  <c r="C93" i="4"/>
  <c r="E438" i="4"/>
  <c r="E439" i="5"/>
  <c r="D318" i="5"/>
  <c r="D317" i="4"/>
  <c r="E404" i="4"/>
  <c r="E405" i="5"/>
  <c r="Q536" i="8"/>
  <c r="R536" i="8" s="1"/>
  <c r="D114" i="17" s="1"/>
  <c r="F114" i="17" s="1"/>
  <c r="Q538" i="8"/>
  <c r="R538" i="8" s="1"/>
  <c r="Q537" i="8"/>
  <c r="R537" i="8" s="1"/>
  <c r="D119" i="17" s="1"/>
  <c r="F119" i="17" s="1"/>
  <c r="Q534" i="8"/>
  <c r="R534" i="8" s="1"/>
  <c r="D52" i="17" s="1"/>
  <c r="F52" i="17" s="1"/>
  <c r="Q535" i="8"/>
  <c r="R535" i="8" s="1"/>
  <c r="D100" i="17" s="1"/>
  <c r="F100" i="17" s="1"/>
  <c r="Q539" i="8"/>
  <c r="R539" i="8" s="1"/>
  <c r="C333" i="5"/>
  <c r="C332" i="4"/>
  <c r="D336" i="5"/>
  <c r="D335" i="4"/>
  <c r="D223" i="5"/>
  <c r="D222" i="4"/>
  <c r="D52" i="5"/>
  <c r="D51" i="4"/>
  <c r="C251" i="4"/>
  <c r="C252" i="5"/>
  <c r="N241" i="7"/>
  <c r="O241" i="7" s="1"/>
  <c r="N268" i="7"/>
  <c r="O268" i="7" s="1"/>
  <c r="E311" i="5"/>
  <c r="E310" i="4"/>
  <c r="G61" i="9"/>
  <c r="L61" i="9" s="1"/>
  <c r="G506" i="8"/>
  <c r="I506" i="8" s="1"/>
  <c r="G252" i="8"/>
  <c r="I252" i="8" s="1"/>
  <c r="G470" i="8"/>
  <c r="I470" i="8" s="1"/>
  <c r="G296" i="8"/>
  <c r="I296" i="8" s="1"/>
  <c r="G448" i="8"/>
  <c r="I448" i="8" s="1"/>
  <c r="G96" i="8"/>
  <c r="I96" i="8" s="1"/>
  <c r="G105" i="8"/>
  <c r="I105" i="8" s="1"/>
  <c r="N460" i="8"/>
  <c r="O460" i="8" s="1"/>
  <c r="N456" i="8"/>
  <c r="O456" i="8" s="1"/>
  <c r="N344" i="9" s="1"/>
  <c r="O344" i="9" s="1"/>
  <c r="N459" i="8"/>
  <c r="O459" i="8" s="1"/>
  <c r="N462" i="8"/>
  <c r="O462" i="8" s="1"/>
  <c r="N461" i="8"/>
  <c r="O461" i="8" s="1"/>
  <c r="N463" i="8"/>
  <c r="O463" i="8" s="1"/>
  <c r="N458" i="8"/>
  <c r="O458" i="8" s="1"/>
  <c r="N457" i="8"/>
  <c r="O457" i="8" s="1"/>
  <c r="E103" i="4"/>
  <c r="E104" i="5"/>
  <c r="C464" i="5"/>
  <c r="C463" i="4"/>
  <c r="C457" i="5"/>
  <c r="C456" i="4"/>
  <c r="C424" i="5"/>
  <c r="C423" i="4"/>
  <c r="C101" i="5"/>
  <c r="C100" i="4"/>
  <c r="E36" i="4"/>
  <c r="E37" i="5"/>
  <c r="E239" i="4"/>
  <c r="E240" i="5"/>
  <c r="C39" i="4"/>
  <c r="C40" i="5"/>
  <c r="D435" i="4"/>
  <c r="D436" i="5"/>
  <c r="Q192" i="8"/>
  <c r="R192" i="8" s="1"/>
  <c r="Q190" i="8"/>
  <c r="R190" i="8" s="1"/>
  <c r="Q135" i="9" s="1"/>
  <c r="R135" i="9" s="1"/>
  <c r="Q191" i="8"/>
  <c r="R191" i="8" s="1"/>
  <c r="Q194" i="8"/>
  <c r="R194" i="8" s="1"/>
  <c r="Q195" i="8"/>
  <c r="R195" i="8" s="1"/>
  <c r="Q196" i="8"/>
  <c r="R196" i="8" s="1"/>
  <c r="Q193" i="8"/>
  <c r="R193" i="8" s="1"/>
  <c r="Q197" i="8"/>
  <c r="R197" i="8" s="1"/>
  <c r="D103" i="5"/>
  <c r="D102" i="4"/>
  <c r="D233" i="5"/>
  <c r="D232" i="4"/>
  <c r="D464" i="5"/>
  <c r="D463" i="4"/>
  <c r="C170" i="4"/>
  <c r="C171" i="5"/>
  <c r="D87" i="5"/>
  <c r="D86" i="4"/>
  <c r="C408" i="5"/>
  <c r="C407" i="4"/>
  <c r="D15" i="4"/>
  <c r="D16" i="5"/>
  <c r="N271" i="8"/>
  <c r="O271" i="8" s="1"/>
  <c r="N270" i="8"/>
  <c r="O270" i="8" s="1"/>
  <c r="N269" i="8"/>
  <c r="O269" i="8" s="1"/>
  <c r="N268" i="8"/>
  <c r="O268" i="8" s="1"/>
  <c r="Q269" i="8"/>
  <c r="R269" i="8" s="1"/>
  <c r="Q268" i="8"/>
  <c r="R268" i="8" s="1"/>
  <c r="Q271" i="8"/>
  <c r="R271" i="8" s="1"/>
  <c r="Q270" i="8"/>
  <c r="R270" i="8" s="1"/>
  <c r="D175" i="5"/>
  <c r="D174" i="4"/>
  <c r="E24" i="5"/>
  <c r="E23" i="4"/>
  <c r="G189" i="8"/>
  <c r="L189" i="8" s="1"/>
  <c r="G449" i="7"/>
  <c r="I449" i="7" s="1"/>
  <c r="G164" i="7"/>
  <c r="I164" i="7" s="1"/>
  <c r="G457" i="7"/>
  <c r="I457" i="7" s="1"/>
  <c r="C273" i="4"/>
  <c r="C274" i="5"/>
  <c r="E251" i="4"/>
  <c r="E252" i="5"/>
  <c r="G27" i="8"/>
  <c r="L27" i="8" s="1"/>
  <c r="G10" i="7"/>
  <c r="I10" i="7" s="1"/>
  <c r="D417" i="5"/>
  <c r="D416" i="4"/>
  <c r="E326" i="4"/>
  <c r="E327" i="5"/>
  <c r="C43" i="4"/>
  <c r="C44" i="5"/>
  <c r="C180" i="4"/>
  <c r="C181" i="5"/>
  <c r="C79" i="5"/>
  <c r="C78" i="4"/>
  <c r="N510" i="7"/>
  <c r="O510" i="7" s="1"/>
  <c r="N308" i="8"/>
  <c r="O308" i="8" s="1"/>
  <c r="N310" i="8"/>
  <c r="O310" i="8" s="1"/>
  <c r="F143" i="16" s="1"/>
  <c r="H143" i="16" s="1"/>
  <c r="N309" i="8"/>
  <c r="O309" i="8" s="1"/>
  <c r="N305" i="8"/>
  <c r="O305" i="8" s="1"/>
  <c r="N307" i="8"/>
  <c r="O307" i="8" s="1"/>
  <c r="N306" i="8"/>
  <c r="O306" i="8" s="1"/>
  <c r="N449" i="8"/>
  <c r="O449" i="8" s="1"/>
  <c r="N448" i="8"/>
  <c r="O448" i="8" s="1"/>
  <c r="N447" i="8"/>
  <c r="O447" i="8" s="1"/>
  <c r="N446" i="8"/>
  <c r="O446" i="8" s="1"/>
  <c r="N450" i="8"/>
  <c r="O450" i="8" s="1"/>
  <c r="N451" i="8"/>
  <c r="O451" i="8" s="1"/>
  <c r="E158" i="4"/>
  <c r="E159" i="5"/>
  <c r="G149" i="9"/>
  <c r="L149" i="9" s="1"/>
  <c r="G221" i="8"/>
  <c r="I221" i="8" s="1"/>
  <c r="I222" i="8" s="1"/>
  <c r="G212" i="8"/>
  <c r="I212" i="8" s="1"/>
  <c r="I213" i="8" s="1"/>
  <c r="D437" i="5"/>
  <c r="D436" i="4"/>
  <c r="E273" i="4"/>
  <c r="E274" i="5"/>
  <c r="C453" i="5"/>
  <c r="C452" i="4"/>
  <c r="E161" i="4"/>
  <c r="E162" i="5"/>
  <c r="C468" i="4"/>
  <c r="C469" i="5"/>
  <c r="C352" i="5"/>
  <c r="C351" i="4"/>
  <c r="E407" i="4"/>
  <c r="E408" i="5"/>
  <c r="F53" i="16"/>
  <c r="H53" i="16" s="1"/>
  <c r="F39" i="15"/>
  <c r="E314" i="4"/>
  <c r="E315" i="5"/>
  <c r="Q428" i="8"/>
  <c r="R428" i="8" s="1"/>
  <c r="Q431" i="8"/>
  <c r="R431" i="8" s="1"/>
  <c r="Q432" i="8"/>
  <c r="R432" i="8" s="1"/>
  <c r="Q430" i="8"/>
  <c r="R430" i="8" s="1"/>
  <c r="Q429" i="8"/>
  <c r="R429" i="8" s="1"/>
  <c r="N526" i="8"/>
  <c r="O526" i="8" s="1"/>
  <c r="F147" i="16" s="1"/>
  <c r="H147" i="16" s="1"/>
  <c r="N529" i="8"/>
  <c r="O529" i="8" s="1"/>
  <c r="N527" i="8"/>
  <c r="O527" i="8" s="1"/>
  <c r="F126" i="16" s="1"/>
  <c r="H126" i="16" s="1"/>
  <c r="N528" i="8"/>
  <c r="O528" i="8" s="1"/>
  <c r="F144" i="16" s="1"/>
  <c r="H144" i="16" s="1"/>
  <c r="N525" i="8"/>
  <c r="O525" i="8" s="1"/>
  <c r="F175" i="16" s="1"/>
  <c r="H175" i="16" s="1"/>
  <c r="E329" i="5"/>
  <c r="E328" i="4"/>
  <c r="Q375" i="8"/>
  <c r="R375" i="8" s="1"/>
  <c r="Q377" i="8"/>
  <c r="R377" i="8" s="1"/>
  <c r="Q376" i="8"/>
  <c r="R376" i="8" s="1"/>
  <c r="Q378" i="8"/>
  <c r="R378" i="8" s="1"/>
  <c r="Q374" i="8"/>
  <c r="R374" i="8" s="1"/>
  <c r="C151" i="4"/>
  <c r="C152" i="5"/>
  <c r="H16" i="15"/>
  <c r="D63" i="18"/>
  <c r="F63" i="18" s="1"/>
  <c r="Q181" i="8"/>
  <c r="R181" i="8" s="1"/>
  <c r="Q178" i="8"/>
  <c r="R178" i="8" s="1"/>
  <c r="Q130" i="9" s="1"/>
  <c r="R130" i="9" s="1"/>
  <c r="Q183" i="8"/>
  <c r="R183" i="8" s="1"/>
  <c r="Q185" i="8"/>
  <c r="R185" i="8" s="1"/>
  <c r="Q184" i="8"/>
  <c r="R184" i="8" s="1"/>
  <c r="Q182" i="8"/>
  <c r="R182" i="8" s="1"/>
  <c r="Q180" i="8"/>
  <c r="R180" i="8" s="1"/>
  <c r="Q179" i="8"/>
  <c r="R179" i="8" s="1"/>
  <c r="C243" i="5"/>
  <c r="C242" i="4"/>
  <c r="C429" i="4"/>
  <c r="C430" i="5"/>
  <c r="I199" i="9"/>
  <c r="C240" i="5"/>
  <c r="C239" i="4"/>
  <c r="D305" i="5"/>
  <c r="D304" i="4"/>
  <c r="D260" i="4"/>
  <c r="D261" i="5"/>
  <c r="E139" i="4"/>
  <c r="E140" i="5"/>
  <c r="C19" i="5"/>
  <c r="C18" i="4"/>
  <c r="C161" i="4"/>
  <c r="C162" i="5"/>
  <c r="E34" i="4"/>
  <c r="E35" i="5"/>
  <c r="D219" i="5"/>
  <c r="D218" i="4"/>
  <c r="D296" i="4"/>
  <c r="D297" i="5"/>
  <c r="D97" i="4"/>
  <c r="D98" i="5"/>
  <c r="C313" i="4"/>
  <c r="C314" i="5"/>
  <c r="E140" i="4"/>
  <c r="E141" i="5"/>
  <c r="E427" i="5"/>
  <c r="E426" i="4"/>
  <c r="D101" i="4"/>
  <c r="D102" i="5"/>
  <c r="E59" i="5"/>
  <c r="E58" i="4"/>
  <c r="E70" i="4"/>
  <c r="E71" i="5"/>
  <c r="D16" i="4"/>
  <c r="D17" i="5"/>
  <c r="C67" i="4"/>
  <c r="C68" i="5"/>
  <c r="C42" i="4"/>
  <c r="C43" i="5"/>
  <c r="D151" i="4"/>
  <c r="D152" i="5"/>
  <c r="D24" i="4"/>
  <c r="D25" i="5"/>
  <c r="C14" i="4"/>
  <c r="C15" i="5"/>
  <c r="D28" i="4"/>
  <c r="D29" i="5"/>
  <c r="E215" i="4"/>
  <c r="E216" i="5"/>
  <c r="G49" i="8"/>
  <c r="L49" i="8" s="1"/>
  <c r="G29" i="7"/>
  <c r="I29" i="7" s="1"/>
  <c r="I31" i="7" s="1"/>
  <c r="G45" i="7"/>
  <c r="I45" i="7" s="1"/>
  <c r="E10" i="5"/>
  <c r="E9" i="4"/>
  <c r="D252" i="5"/>
  <c r="D251" i="4"/>
  <c r="C419" i="5"/>
  <c r="C418" i="4"/>
  <c r="C185" i="4"/>
  <c r="C186" i="5"/>
  <c r="C204" i="4"/>
  <c r="C205" i="5"/>
  <c r="E74" i="5"/>
  <c r="E73" i="4"/>
  <c r="E260" i="4"/>
  <c r="E261" i="5"/>
  <c r="C16" i="4"/>
  <c r="C17" i="5"/>
  <c r="E273" i="5"/>
  <c r="E272" i="4"/>
  <c r="N425" i="7"/>
  <c r="O425" i="7" s="1"/>
  <c r="N520" i="8"/>
  <c r="O520" i="8" s="1"/>
  <c r="N516" i="8"/>
  <c r="O516" i="8" s="1"/>
  <c r="F200" i="16" s="1"/>
  <c r="H200" i="16" s="1"/>
  <c r="N515" i="8"/>
  <c r="O515" i="8" s="1"/>
  <c r="F199" i="16" s="1"/>
  <c r="H199" i="16" s="1"/>
  <c r="N518" i="8"/>
  <c r="O518" i="8" s="1"/>
  <c r="F201" i="16" s="1"/>
  <c r="H201" i="16" s="1"/>
  <c r="N517" i="8"/>
  <c r="O517" i="8" s="1"/>
  <c r="F198" i="16" s="1"/>
  <c r="H198" i="16" s="1"/>
  <c r="N519" i="8"/>
  <c r="O519" i="8" s="1"/>
  <c r="N354" i="9" s="1"/>
  <c r="O354" i="9" s="1"/>
  <c r="N367" i="8"/>
  <c r="O367" i="8" s="1"/>
  <c r="N366" i="8"/>
  <c r="O366" i="8" s="1"/>
  <c r="N365" i="8"/>
  <c r="O365" i="8" s="1"/>
  <c r="N369" i="8"/>
  <c r="O369" i="8" s="1"/>
  <c r="N368" i="8"/>
  <c r="O368" i="8" s="1"/>
  <c r="N420" i="8"/>
  <c r="O420" i="8" s="1"/>
  <c r="N422" i="8"/>
  <c r="O422" i="8" s="1"/>
  <c r="N423" i="8"/>
  <c r="O423" i="8" s="1"/>
  <c r="N419" i="8"/>
  <c r="O419" i="8" s="1"/>
  <c r="N421" i="8"/>
  <c r="O421" i="8" s="1"/>
  <c r="N52" i="8"/>
  <c r="O52" i="8" s="1"/>
  <c r="N54" i="8"/>
  <c r="O54" i="8" s="1"/>
  <c r="N51" i="8"/>
  <c r="O51" i="8" s="1"/>
  <c r="N50" i="8"/>
  <c r="O50" i="8" s="1"/>
  <c r="N28" i="9" s="1"/>
  <c r="O28" i="9" s="1"/>
  <c r="N53" i="8"/>
  <c r="O53" i="8" s="1"/>
  <c r="N55" i="8"/>
  <c r="O55" i="8" s="1"/>
  <c r="Q350" i="8"/>
  <c r="R350" i="8" s="1"/>
  <c r="Q348" i="8"/>
  <c r="R348" i="8" s="1"/>
  <c r="Q349" i="8"/>
  <c r="R349" i="8" s="1"/>
  <c r="Q347" i="8"/>
  <c r="R347" i="8" s="1"/>
  <c r="Q351" i="8"/>
  <c r="R351" i="8" s="1"/>
  <c r="E389" i="5"/>
  <c r="E388" i="4"/>
  <c r="Q202" i="8"/>
  <c r="R202" i="8" s="1"/>
  <c r="Q203" i="8"/>
  <c r="R203" i="8" s="1"/>
  <c r="Q205" i="8"/>
  <c r="R205" i="8" s="1"/>
  <c r="Q204" i="8"/>
  <c r="R204" i="8" s="1"/>
  <c r="E423" i="4"/>
  <c r="E424" i="5"/>
  <c r="D442" i="4"/>
  <c r="D443" i="5"/>
  <c r="D341" i="4"/>
  <c r="D342" i="5"/>
  <c r="D305" i="4"/>
  <c r="D306" i="5"/>
  <c r="C149" i="5"/>
  <c r="C148" i="4"/>
  <c r="C386" i="5"/>
  <c r="C385" i="4"/>
  <c r="N210" i="8"/>
  <c r="O210" i="8" s="1"/>
  <c r="N212" i="8"/>
  <c r="O212" i="8" s="1"/>
  <c r="N211" i="8"/>
  <c r="O211" i="8" s="1"/>
  <c r="N221" i="8"/>
  <c r="O221" i="8" s="1"/>
  <c r="N220" i="8"/>
  <c r="O220" i="8" s="1"/>
  <c r="N218" i="8"/>
  <c r="O218" i="8" s="1"/>
  <c r="N167" i="9" s="1"/>
  <c r="O167" i="9" s="1"/>
  <c r="N219" i="8"/>
  <c r="O219" i="8" s="1"/>
  <c r="N217" i="8"/>
  <c r="O217" i="8" s="1"/>
  <c r="N162" i="9" s="1"/>
  <c r="O162" i="9" s="1"/>
  <c r="C432" i="4"/>
  <c r="C433" i="5"/>
  <c r="C120" i="4"/>
  <c r="C121" i="5"/>
  <c r="C21" i="5"/>
  <c r="C20" i="4"/>
  <c r="D21" i="4"/>
  <c r="D22" i="5"/>
  <c r="D215" i="5"/>
  <c r="D214" i="4"/>
  <c r="D393" i="5"/>
  <c r="D392" i="4"/>
  <c r="C86" i="4"/>
  <c r="C87" i="5"/>
  <c r="E332" i="4"/>
  <c r="E333" i="5"/>
  <c r="D364" i="5"/>
  <c r="D363" i="4"/>
  <c r="D290" i="5"/>
  <c r="D289" i="4"/>
  <c r="G73" i="9"/>
  <c r="L73" i="9" s="1"/>
  <c r="G477" i="8"/>
  <c r="I477" i="8" s="1"/>
  <c r="I480" i="8" s="1"/>
  <c r="G253" i="8"/>
  <c r="I253" i="8" s="1"/>
  <c r="G106" i="8"/>
  <c r="I106" i="8" s="1"/>
  <c r="G268" i="8"/>
  <c r="I268" i="8" s="1"/>
  <c r="I272" i="8" s="1"/>
  <c r="G297" i="8"/>
  <c r="I297" i="8" s="1"/>
  <c r="G556" i="8"/>
  <c r="I556" i="8" s="1"/>
  <c r="G261" i="8"/>
  <c r="I261" i="8" s="1"/>
  <c r="I264" i="8" s="1"/>
  <c r="G202" i="8"/>
  <c r="I202" i="8" s="1"/>
  <c r="I206" i="8" s="1"/>
  <c r="G507" i="8"/>
  <c r="I507" i="8" s="1"/>
  <c r="G484" i="8"/>
  <c r="I484" i="8" s="1"/>
  <c r="I488" i="8" s="1"/>
  <c r="G307" i="8"/>
  <c r="I307" i="8" s="1"/>
  <c r="G449" i="8"/>
  <c r="I449" i="8" s="1"/>
  <c r="G529" i="8"/>
  <c r="I529" i="8" s="1"/>
  <c r="I530" i="8" s="1"/>
  <c r="D267" i="4"/>
  <c r="D268" i="5"/>
  <c r="C329" i="4"/>
  <c r="C330" i="5"/>
  <c r="E236" i="5"/>
  <c r="E235" i="4"/>
  <c r="D213" i="5"/>
  <c r="D212" i="4"/>
  <c r="C369" i="5"/>
  <c r="C368" i="4"/>
  <c r="D440" i="5"/>
  <c r="D439" i="4"/>
  <c r="C279" i="4"/>
  <c r="C280" i="5"/>
  <c r="E445" i="4"/>
  <c r="E446" i="5"/>
  <c r="D430" i="5"/>
  <c r="D429" i="4"/>
  <c r="E120" i="4"/>
  <c r="E121" i="5"/>
  <c r="E207" i="4"/>
  <c r="E208" i="5"/>
  <c r="N159" i="8"/>
  <c r="O159" i="8" s="1"/>
  <c r="N157" i="8"/>
  <c r="O157" i="8" s="1"/>
  <c r="N156" i="8"/>
  <c r="O156" i="8" s="1"/>
  <c r="N158" i="8"/>
  <c r="O158" i="8" s="1"/>
  <c r="N154" i="8"/>
  <c r="O154" i="8" s="1"/>
  <c r="N120" i="9" s="1"/>
  <c r="O120" i="9" s="1"/>
  <c r="N161" i="8"/>
  <c r="O161" i="8" s="1"/>
  <c r="N155" i="8"/>
  <c r="O155" i="8" s="1"/>
  <c r="N160" i="8"/>
  <c r="O160" i="8" s="1"/>
  <c r="G97" i="9"/>
  <c r="L97" i="9" s="1"/>
  <c r="G115" i="8"/>
  <c r="I115" i="8" s="1"/>
  <c r="G279" i="8"/>
  <c r="I279" i="8" s="1"/>
  <c r="G317" i="8"/>
  <c r="I317" i="8" s="1"/>
  <c r="G330" i="8"/>
  <c r="I330" i="8" s="1"/>
  <c r="G539" i="8"/>
  <c r="I539" i="8" s="1"/>
  <c r="D197" i="5"/>
  <c r="D196" i="4"/>
  <c r="D241" i="5"/>
  <c r="D240" i="4"/>
  <c r="C301" i="4"/>
  <c r="C302" i="5"/>
  <c r="D256" i="5"/>
  <c r="D255" i="4"/>
  <c r="D80" i="4"/>
  <c r="D81" i="5"/>
  <c r="E153" i="4"/>
  <c r="E154" i="5"/>
  <c r="D135" i="5"/>
  <c r="D134" i="4"/>
  <c r="D206" i="5"/>
  <c r="D205" i="4"/>
  <c r="D249" i="4"/>
  <c r="D250" i="5"/>
  <c r="E133" i="4"/>
  <c r="E134" i="5"/>
  <c r="F15" i="15"/>
  <c r="N8" i="8"/>
  <c r="O8" i="8" s="1"/>
  <c r="N8" i="9" s="1"/>
  <c r="O8" i="9" s="1"/>
  <c r="N13" i="8"/>
  <c r="O13" i="8" s="1"/>
  <c r="N12" i="8"/>
  <c r="O12" i="8" s="1"/>
  <c r="N10" i="8"/>
  <c r="O10" i="8" s="1"/>
  <c r="N9" i="8"/>
  <c r="O9" i="8" s="1"/>
  <c r="N11" i="8"/>
  <c r="O11" i="8" s="1"/>
  <c r="N240" i="7"/>
  <c r="O240" i="7" s="1"/>
  <c r="E77" i="5"/>
  <c r="E76" i="4"/>
  <c r="D342" i="4"/>
  <c r="D343" i="5"/>
  <c r="C402" i="4"/>
  <c r="C403" i="5"/>
  <c r="C427" i="5"/>
  <c r="C426" i="4"/>
  <c r="E390" i="4"/>
  <c r="E391" i="5"/>
  <c r="C337" i="4"/>
  <c r="C338" i="5"/>
  <c r="C66" i="4"/>
  <c r="C67" i="5"/>
  <c r="D318" i="4"/>
  <c r="D319" i="5"/>
  <c r="C189" i="4"/>
  <c r="C190" i="5"/>
  <c r="Q210" i="8"/>
  <c r="R210" i="8" s="1"/>
  <c r="Q212" i="8"/>
  <c r="R212" i="8" s="1"/>
  <c r="Q211" i="8"/>
  <c r="R211" i="8" s="1"/>
  <c r="E380" i="5"/>
  <c r="E379" i="4"/>
  <c r="C286" i="4"/>
  <c r="C287" i="5"/>
  <c r="C76" i="4"/>
  <c r="C77" i="5"/>
  <c r="C23" i="5"/>
  <c r="C22" i="4"/>
  <c r="E180" i="5"/>
  <c r="E179" i="4"/>
  <c r="C355" i="4"/>
  <c r="C356" i="5"/>
  <c r="C24" i="4"/>
  <c r="C25" i="5"/>
  <c r="C156" i="4"/>
  <c r="C157" i="5"/>
  <c r="N487" i="8"/>
  <c r="O487" i="8" s="1"/>
  <c r="N486" i="8"/>
  <c r="O486" i="8" s="1"/>
  <c r="N484" i="8"/>
  <c r="O484" i="8" s="1"/>
  <c r="N485" i="8"/>
  <c r="O485" i="8" s="1"/>
  <c r="N492" i="8"/>
  <c r="O492" i="8" s="1"/>
  <c r="N349" i="9" s="1"/>
  <c r="O349" i="9" s="1"/>
  <c r="N497" i="8"/>
  <c r="O497" i="8" s="1"/>
  <c r="N499" i="8"/>
  <c r="O499" i="8" s="1"/>
  <c r="N495" i="8"/>
  <c r="O495" i="8" s="1"/>
  <c r="N494" i="8"/>
  <c r="O494" i="8" s="1"/>
  <c r="N493" i="8"/>
  <c r="O493" i="8" s="1"/>
  <c r="N498" i="8"/>
  <c r="O498" i="8" s="1"/>
  <c r="N496" i="8"/>
  <c r="O496" i="8" s="1"/>
  <c r="D408" i="4"/>
  <c r="D409" i="5"/>
  <c r="N63" i="8"/>
  <c r="O63" i="8" s="1"/>
  <c r="N65" i="8"/>
  <c r="O65" i="8" s="1"/>
  <c r="N60" i="8"/>
  <c r="O60" i="8" s="1"/>
  <c r="N33" i="9" s="1"/>
  <c r="O33" i="9" s="1"/>
  <c r="N61" i="8"/>
  <c r="O61" i="8" s="1"/>
  <c r="N64" i="8"/>
  <c r="O64" i="8" s="1"/>
  <c r="N62" i="8"/>
  <c r="O62" i="8" s="1"/>
  <c r="E9" i="5"/>
  <c r="E8" i="4"/>
  <c r="D161" i="4"/>
  <c r="D162" i="5"/>
  <c r="D168" i="4"/>
  <c r="D169" i="5"/>
  <c r="C231" i="4"/>
  <c r="C232" i="5"/>
  <c r="E305" i="5"/>
  <c r="E304" i="4"/>
  <c r="C417" i="5"/>
  <c r="C416" i="4"/>
  <c r="D446" i="4"/>
  <c r="D447" i="5"/>
  <c r="C28" i="4"/>
  <c r="C29" i="5"/>
  <c r="G7" i="8"/>
  <c r="L7" i="8" s="1"/>
  <c r="G8" i="7"/>
  <c r="I8" i="7" s="1"/>
  <c r="E338" i="4"/>
  <c r="E339" i="5"/>
  <c r="E442" i="5"/>
  <c r="E441" i="4"/>
  <c r="C445" i="4"/>
  <c r="C446" i="5"/>
  <c r="E236" i="4"/>
  <c r="E237" i="5"/>
  <c r="E336" i="4"/>
  <c r="E337" i="5"/>
  <c r="D29" i="4"/>
  <c r="D30" i="5"/>
  <c r="C271" i="5"/>
  <c r="C270" i="4"/>
  <c r="Q498" i="8"/>
  <c r="R498" i="8" s="1"/>
  <c r="Q499" i="8"/>
  <c r="R499" i="8" s="1"/>
  <c r="Q493" i="8"/>
  <c r="R493" i="8" s="1"/>
  <c r="Q497" i="8"/>
  <c r="R497" i="8" s="1"/>
  <c r="Q494" i="8"/>
  <c r="R494" i="8" s="1"/>
  <c r="Q492" i="8"/>
  <c r="R492" i="8" s="1"/>
  <c r="Q349" i="9" s="1"/>
  <c r="R349" i="9" s="1"/>
  <c r="Q496" i="8"/>
  <c r="R496" i="8" s="1"/>
  <c r="Q495" i="8"/>
  <c r="R495" i="8" s="1"/>
  <c r="Q52" i="8"/>
  <c r="R52" i="8" s="1"/>
  <c r="Q54" i="8"/>
  <c r="R54" i="8" s="1"/>
  <c r="Q50" i="8"/>
  <c r="R50" i="8" s="1"/>
  <c r="Q28" i="9" s="1"/>
  <c r="R28" i="9" s="1"/>
  <c r="Q51" i="8"/>
  <c r="R51" i="8" s="1"/>
  <c r="Q55" i="8"/>
  <c r="R55" i="8" s="1"/>
  <c r="Q53" i="8"/>
  <c r="R53" i="8" s="1"/>
  <c r="C308" i="5"/>
  <c r="C307" i="4"/>
  <c r="E473" i="4"/>
  <c r="E474" i="5"/>
  <c r="E170" i="5"/>
  <c r="E169" i="4"/>
  <c r="Q328" i="8"/>
  <c r="R328" i="8" s="1"/>
  <c r="Q327" i="8"/>
  <c r="R327" i="8" s="1"/>
  <c r="Q332" i="8"/>
  <c r="R332" i="8" s="1"/>
  <c r="Q331" i="8"/>
  <c r="R331" i="8" s="1"/>
  <c r="Q329" i="8"/>
  <c r="R329" i="8" s="1"/>
  <c r="Q333" i="8"/>
  <c r="R333" i="8" s="1"/>
  <c r="Q330" i="8"/>
  <c r="R330" i="8" s="1"/>
  <c r="E30" i="4"/>
  <c r="E31" i="5"/>
  <c r="E254" i="4"/>
  <c r="E255" i="5"/>
  <c r="C209" i="5"/>
  <c r="C208" i="4"/>
  <c r="C249" i="4"/>
  <c r="C250" i="5"/>
  <c r="C388" i="4"/>
  <c r="C389" i="5"/>
  <c r="D257" i="5"/>
  <c r="D256" i="4"/>
  <c r="D239" i="4"/>
  <c r="D240" i="5"/>
  <c r="D246" i="4"/>
  <c r="D247" i="5"/>
  <c r="C75" i="4"/>
  <c r="C76" i="5"/>
  <c r="Q365" i="8"/>
  <c r="R365" i="8" s="1"/>
  <c r="Q369" i="8"/>
  <c r="R369" i="8" s="1"/>
  <c r="Q367" i="8"/>
  <c r="R367" i="8" s="1"/>
  <c r="Q366" i="8"/>
  <c r="R366" i="8" s="1"/>
  <c r="Q368" i="8"/>
  <c r="R368" i="8" s="1"/>
  <c r="D470" i="4"/>
  <c r="D471" i="5"/>
  <c r="D308" i="5"/>
  <c r="D307" i="4"/>
  <c r="C13" i="4"/>
  <c r="C14" i="5"/>
  <c r="Q485" i="8"/>
  <c r="R485" i="8" s="1"/>
  <c r="Q484" i="8"/>
  <c r="R484" i="8" s="1"/>
  <c r="Q486" i="8"/>
  <c r="R486" i="8" s="1"/>
  <c r="Q487" i="8"/>
  <c r="R487" i="8" s="1"/>
  <c r="Q358" i="8"/>
  <c r="R358" i="8" s="1"/>
  <c r="Q359" i="8"/>
  <c r="R359" i="8" s="1"/>
  <c r="Q360" i="8"/>
  <c r="R360" i="8" s="1"/>
  <c r="Q357" i="8"/>
  <c r="R357" i="8" s="1"/>
  <c r="Q356" i="8"/>
  <c r="R356" i="8" s="1"/>
  <c r="C74" i="5"/>
  <c r="C73" i="4"/>
  <c r="Q564" i="8"/>
  <c r="R564" i="8" s="1"/>
  <c r="Q566" i="8"/>
  <c r="R566" i="8" s="1"/>
  <c r="Q565" i="8"/>
  <c r="R565" i="8" s="1"/>
  <c r="Q31" i="8"/>
  <c r="R31" i="8" s="1"/>
  <c r="Q33" i="8"/>
  <c r="R33" i="8" s="1"/>
  <c r="Q32" i="8"/>
  <c r="R32" i="8" s="1"/>
  <c r="Q28" i="8"/>
  <c r="R28" i="8" s="1"/>
  <c r="Q18" i="9" s="1"/>
  <c r="R18" i="9" s="1"/>
  <c r="Q30" i="8"/>
  <c r="R30" i="8" s="1"/>
  <c r="D37" i="18" s="1"/>
  <c r="F37" i="18" s="1"/>
  <c r="Q29" i="8"/>
  <c r="R29" i="8" s="1"/>
  <c r="D25" i="18" s="1"/>
  <c r="F25" i="18" s="1"/>
  <c r="E191" i="5"/>
  <c r="E190" i="4"/>
  <c r="G167" i="10"/>
  <c r="L167" i="10" s="1"/>
  <c r="G277" i="9"/>
  <c r="I277" i="9" s="1"/>
  <c r="G265" i="9"/>
  <c r="I265" i="9" s="1"/>
  <c r="G288" i="9"/>
  <c r="I288" i="9" s="1"/>
  <c r="D141" i="5"/>
  <c r="D140" i="4"/>
  <c r="E63" i="5"/>
  <c r="E62" i="4"/>
  <c r="E115" i="5"/>
  <c r="E114" i="4"/>
  <c r="D310" i="4"/>
  <c r="D311" i="5"/>
  <c r="C379" i="4"/>
  <c r="C380" i="5"/>
  <c r="D74" i="5"/>
  <c r="D73" i="4"/>
  <c r="D419" i="5"/>
  <c r="D418" i="4"/>
  <c r="C421" i="5"/>
  <c r="C420" i="4"/>
  <c r="C106" i="4"/>
  <c r="C107" i="5"/>
  <c r="E417" i="5"/>
  <c r="E416" i="4"/>
  <c r="N383" i="8"/>
  <c r="O383" i="8" s="1"/>
  <c r="N385" i="8"/>
  <c r="O385" i="8" s="1"/>
  <c r="N384" i="8"/>
  <c r="O384" i="8" s="1"/>
  <c r="N386" i="8"/>
  <c r="O386" i="8" s="1"/>
  <c r="N387" i="8"/>
  <c r="O387" i="8" s="1"/>
  <c r="N430" i="8"/>
  <c r="O430" i="8" s="1"/>
  <c r="N431" i="8"/>
  <c r="O431" i="8" s="1"/>
  <c r="N432" i="8"/>
  <c r="O432" i="8" s="1"/>
  <c r="N429" i="8"/>
  <c r="O429" i="8" s="1"/>
  <c r="N428" i="8"/>
  <c r="O428" i="8" s="1"/>
  <c r="N469" i="8"/>
  <c r="O469" i="8" s="1"/>
  <c r="N471" i="8"/>
  <c r="O471" i="8" s="1"/>
  <c r="N472" i="8"/>
  <c r="O472" i="8" s="1"/>
  <c r="N468" i="8"/>
  <c r="O468" i="8" s="1"/>
  <c r="N470" i="8"/>
  <c r="O470" i="8" s="1"/>
  <c r="N353" i="7"/>
  <c r="O353" i="7" s="1"/>
  <c r="D228" i="5"/>
  <c r="D227" i="4"/>
  <c r="C71" i="5"/>
  <c r="C70" i="4"/>
  <c r="Q166" i="8"/>
  <c r="R166" i="8" s="1"/>
  <c r="Q125" i="9" s="1"/>
  <c r="R125" i="9" s="1"/>
  <c r="Q173" i="8"/>
  <c r="R173" i="8" s="1"/>
  <c r="Q168" i="8"/>
  <c r="R168" i="8" s="1"/>
  <c r="Q171" i="8"/>
  <c r="R171" i="8" s="1"/>
  <c r="Q170" i="8"/>
  <c r="R170" i="8" s="1"/>
  <c r="Q169" i="8"/>
  <c r="R169" i="8" s="1"/>
  <c r="Q167" i="8"/>
  <c r="R167" i="8" s="1"/>
  <c r="Q172" i="8"/>
  <c r="R172" i="8" s="1"/>
  <c r="C352" i="4"/>
  <c r="C353" i="5"/>
  <c r="Q11" i="8"/>
  <c r="R11" i="8" s="1"/>
  <c r="Q13" i="8"/>
  <c r="R13" i="8" s="1"/>
  <c r="Q10" i="8"/>
  <c r="R10" i="8" s="1"/>
  <c r="Q8" i="8"/>
  <c r="R8" i="8" s="1"/>
  <c r="Q8" i="9" s="1"/>
  <c r="R8" i="9" s="1"/>
  <c r="Q9" i="8"/>
  <c r="R9" i="8" s="1"/>
  <c r="Q12" i="8"/>
  <c r="R12" i="8" s="1"/>
  <c r="D65" i="5"/>
  <c r="D64" i="4"/>
  <c r="H406" i="4"/>
  <c r="G491" i="8"/>
  <c r="L491" i="8" s="1"/>
  <c r="G416" i="7"/>
  <c r="I416" i="7" s="1"/>
  <c r="I419" i="7" s="1"/>
  <c r="G409" i="7"/>
  <c r="I409" i="7" s="1"/>
  <c r="I410" i="7" s="1"/>
  <c r="C137" i="5"/>
  <c r="C136" i="4"/>
  <c r="C129" i="4"/>
  <c r="C130" i="5"/>
  <c r="D26" i="5"/>
  <c r="D25" i="4"/>
  <c r="D424" i="4"/>
  <c r="D425" i="5"/>
  <c r="D388" i="5"/>
  <c r="D387" i="4"/>
  <c r="C336" i="4"/>
  <c r="C337" i="5"/>
  <c r="D226" i="4"/>
  <c r="D227" i="5"/>
  <c r="C41" i="5"/>
  <c r="C40" i="4"/>
  <c r="E452" i="5"/>
  <c r="E451" i="4"/>
  <c r="D123" i="4"/>
  <c r="D124" i="5"/>
  <c r="C408" i="4"/>
  <c r="C409" i="5"/>
  <c r="C473" i="4"/>
  <c r="C474" i="5"/>
  <c r="E347" i="5"/>
  <c r="E346" i="4"/>
  <c r="D175" i="4"/>
  <c r="D176" i="5"/>
  <c r="E435" i="4"/>
  <c r="E436" i="5"/>
  <c r="C391" i="4"/>
  <c r="C392" i="5"/>
  <c r="E296" i="4"/>
  <c r="E297" i="5"/>
  <c r="C276" i="4"/>
  <c r="C277" i="5"/>
  <c r="E383" i="5"/>
  <c r="E382" i="4"/>
  <c r="D251" i="5"/>
  <c r="D250" i="4"/>
  <c r="C223" i="4"/>
  <c r="C224" i="5"/>
  <c r="C355" i="5"/>
  <c r="C354" i="4"/>
  <c r="C280" i="4"/>
  <c r="C281" i="5"/>
  <c r="E411" i="5"/>
  <c r="E410" i="4"/>
  <c r="D336" i="4"/>
  <c r="D337" i="5"/>
  <c r="C92" i="4"/>
  <c r="C93" i="5"/>
  <c r="D111" i="4"/>
  <c r="D112" i="5"/>
  <c r="D107" i="5"/>
  <c r="D106" i="4"/>
  <c r="E293" i="4"/>
  <c r="E294" i="5"/>
  <c r="E276" i="4"/>
  <c r="E277" i="5"/>
  <c r="D330" i="5"/>
  <c r="D329" i="4"/>
  <c r="D322" i="5"/>
  <c r="D321" i="4"/>
  <c r="C263" i="4"/>
  <c r="C264" i="5"/>
  <c r="C48" i="4"/>
  <c r="C49" i="5"/>
  <c r="G225" i="8"/>
  <c r="L225" i="8" s="1"/>
  <c r="G355" i="7"/>
  <c r="I355" i="7" s="1"/>
  <c r="G211" i="7"/>
  <c r="I211" i="7" s="1"/>
  <c r="G334" i="7"/>
  <c r="I334" i="7" s="1"/>
  <c r="E152" i="5"/>
  <c r="E151" i="4"/>
  <c r="D352" i="5"/>
  <c r="D351" i="4"/>
  <c r="C251" i="5"/>
  <c r="C250" i="4"/>
  <c r="E364" i="5"/>
  <c r="E363" i="4"/>
  <c r="D411" i="5"/>
  <c r="D410" i="4"/>
  <c r="N253" i="8"/>
  <c r="O253" i="8" s="1"/>
  <c r="N250" i="8"/>
  <c r="O250" i="8" s="1"/>
  <c r="N254" i="8"/>
  <c r="O254" i="8" s="1"/>
  <c r="N251" i="8"/>
  <c r="O251" i="8" s="1"/>
  <c r="N255" i="8"/>
  <c r="O255" i="8" s="1"/>
  <c r="N252" i="8"/>
  <c r="O252" i="8" s="1"/>
  <c r="N256" i="8"/>
  <c r="O256" i="8" s="1"/>
  <c r="N243" i="7"/>
  <c r="O243" i="7" s="1"/>
  <c r="N437" i="8"/>
  <c r="O437" i="8" s="1"/>
  <c r="N441" i="8"/>
  <c r="O441" i="8" s="1"/>
  <c r="N439" i="8"/>
  <c r="O439" i="8" s="1"/>
  <c r="N440" i="8"/>
  <c r="O440" i="8" s="1"/>
  <c r="N438" i="8"/>
  <c r="O438" i="8" s="1"/>
  <c r="D52" i="4"/>
  <c r="D53" i="5"/>
  <c r="E470" i="4"/>
  <c r="E471" i="5"/>
  <c r="N401" i="8"/>
  <c r="O401" i="8" s="1"/>
  <c r="N405" i="8"/>
  <c r="O405" i="8" s="1"/>
  <c r="N403" i="8"/>
  <c r="O403" i="8" s="1"/>
  <c r="N404" i="8"/>
  <c r="O404" i="8" s="1"/>
  <c r="N402" i="8"/>
  <c r="O402" i="8" s="1"/>
  <c r="E189" i="4"/>
  <c r="E190" i="5"/>
  <c r="D286" i="4"/>
  <c r="D287" i="5"/>
  <c r="D185" i="4"/>
  <c r="D186" i="5"/>
  <c r="E16" i="4"/>
  <c r="E17" i="5"/>
  <c r="Q106" i="8"/>
  <c r="R106" i="8" s="1"/>
  <c r="Q108" i="8"/>
  <c r="R108" i="8" s="1"/>
  <c r="Q105" i="8"/>
  <c r="R105" i="8" s="1"/>
  <c r="Q103" i="8"/>
  <c r="R103" i="8" s="1"/>
  <c r="Q104" i="8"/>
  <c r="R104" i="8" s="1"/>
  <c r="Q109" i="8"/>
  <c r="R109" i="8" s="1"/>
  <c r="Q107" i="8"/>
  <c r="R107" i="8" s="1"/>
  <c r="D149" i="4"/>
  <c r="D150" i="5"/>
  <c r="C193" i="5"/>
  <c r="C192" i="4"/>
  <c r="Q404" i="8"/>
  <c r="R404" i="8" s="1"/>
  <c r="Q401" i="8"/>
  <c r="R401" i="8" s="1"/>
  <c r="Q402" i="8"/>
  <c r="R402" i="8" s="1"/>
  <c r="Q405" i="8"/>
  <c r="R405" i="8" s="1"/>
  <c r="Q403" i="8"/>
  <c r="R403" i="8" s="1"/>
  <c r="D276" i="4"/>
  <c r="D277" i="5"/>
  <c r="Q227" i="8"/>
  <c r="R227" i="8" s="1"/>
  <c r="Q228" i="8"/>
  <c r="R228" i="8" s="1"/>
  <c r="Q226" i="8"/>
  <c r="R226" i="8" s="1"/>
  <c r="Q172" i="9" s="1"/>
  <c r="R172" i="9" s="1"/>
  <c r="Q232" i="8"/>
  <c r="R232" i="8" s="1"/>
  <c r="Q233" i="8"/>
  <c r="R233" i="8" s="1"/>
  <c r="Q230" i="8"/>
  <c r="R230" i="8" s="1"/>
  <c r="Q229" i="8"/>
  <c r="R229" i="8" s="1"/>
  <c r="Q231" i="8"/>
  <c r="R231" i="8" s="1"/>
  <c r="D18" i="4"/>
  <c r="D19" i="5"/>
  <c r="E393" i="5"/>
  <c r="E392" i="4"/>
  <c r="C325" i="5"/>
  <c r="C324" i="4"/>
  <c r="C382" i="4"/>
  <c r="C383" i="5"/>
  <c r="E78" i="4"/>
  <c r="E79" i="5"/>
  <c r="E26" i="5"/>
  <c r="E25" i="4"/>
  <c r="C103" i="4"/>
  <c r="C104" i="5"/>
  <c r="D199" i="5"/>
  <c r="D198" i="4"/>
  <c r="D144" i="4"/>
  <c r="D145" i="5"/>
  <c r="C470" i="4"/>
  <c r="C471" i="5"/>
  <c r="D321" i="5"/>
  <c r="D320" i="4"/>
  <c r="D360" i="4"/>
  <c r="D361" i="5"/>
  <c r="F13" i="15"/>
  <c r="D158" i="4"/>
  <c r="D159" i="5"/>
  <c r="C80" i="5"/>
  <c r="C79" i="4"/>
  <c r="N328" i="8"/>
  <c r="O328" i="8" s="1"/>
  <c r="N329" i="8"/>
  <c r="O329" i="8" s="1"/>
  <c r="N327" i="8"/>
  <c r="O327" i="8" s="1"/>
  <c r="N331" i="8"/>
  <c r="O331" i="8" s="1"/>
  <c r="N332" i="8"/>
  <c r="O332" i="8" s="1"/>
  <c r="N330" i="8"/>
  <c r="O330" i="8" s="1"/>
  <c r="N333" i="8"/>
  <c r="O333" i="8" s="1"/>
  <c r="G59" i="8"/>
  <c r="L59" i="8" s="1"/>
  <c r="G46" i="7"/>
  <c r="I46" i="7" s="1"/>
  <c r="D331" i="5"/>
  <c r="D330" i="4"/>
  <c r="D77" i="17"/>
  <c r="F77" i="17" s="1"/>
  <c r="Q298" i="8"/>
  <c r="R298" i="8" s="1"/>
  <c r="Q294" i="8"/>
  <c r="R294" i="8" s="1"/>
  <c r="Q300" i="8"/>
  <c r="R300" i="8" s="1"/>
  <c r="Q296" i="8"/>
  <c r="R296" i="8" s="1"/>
  <c r="Q297" i="8"/>
  <c r="R297" i="8" s="1"/>
  <c r="Q295" i="8"/>
  <c r="R295" i="8" s="1"/>
  <c r="Q299" i="8"/>
  <c r="R299" i="8" s="1"/>
  <c r="Q341" i="8"/>
  <c r="R341" i="8" s="1"/>
  <c r="Q339" i="8"/>
  <c r="R339" i="8" s="1"/>
  <c r="Q338" i="8"/>
  <c r="R338" i="8" s="1"/>
  <c r="Q340" i="8"/>
  <c r="R340" i="8" s="1"/>
  <c r="Q342" i="8"/>
  <c r="R342" i="8" s="1"/>
  <c r="E259" i="4"/>
  <c r="E260" i="5"/>
  <c r="Q423" i="8"/>
  <c r="R423" i="8" s="1"/>
  <c r="Q422" i="8"/>
  <c r="R422" i="8" s="1"/>
  <c r="Q420" i="8"/>
  <c r="R420" i="8" s="1"/>
  <c r="Q421" i="8"/>
  <c r="R421" i="8" s="1"/>
  <c r="Q419" i="8"/>
  <c r="R419" i="8" s="1"/>
  <c r="C236" i="4"/>
  <c r="C237" i="5"/>
  <c r="C64" i="4"/>
  <c r="C65" i="5"/>
  <c r="E165" i="5"/>
  <c r="E164" i="4"/>
  <c r="C84" i="4"/>
  <c r="C85" i="5"/>
  <c r="C257" i="5"/>
  <c r="C256" i="4"/>
  <c r="E122" i="5"/>
  <c r="E121" i="4"/>
  <c r="C157" i="4"/>
  <c r="C158" i="5"/>
  <c r="Q63" i="8"/>
  <c r="R63" i="8" s="1"/>
  <c r="Q64" i="8"/>
  <c r="R64" i="8" s="1"/>
  <c r="Q61" i="8"/>
  <c r="R61" i="8" s="1"/>
  <c r="Q60" i="8"/>
  <c r="R60" i="8" s="1"/>
  <c r="Q33" i="9" s="1"/>
  <c r="R33" i="9" s="1"/>
  <c r="Q62" i="8"/>
  <c r="R62" i="8" s="1"/>
  <c r="Q65" i="8"/>
  <c r="R65" i="8" s="1"/>
  <c r="G22" i="11"/>
  <c r="L22" i="11" s="1"/>
  <c r="G151" i="10"/>
  <c r="I151" i="10" s="1"/>
  <c r="I152" i="10" s="1"/>
  <c r="G142" i="10"/>
  <c r="I142" i="10" s="1"/>
  <c r="I143" i="10" s="1"/>
  <c r="C203" i="5"/>
  <c r="C202" i="4"/>
  <c r="D411" i="4"/>
  <c r="D412" i="5"/>
  <c r="D315" i="5"/>
  <c r="D314" i="4"/>
  <c r="G177" i="8"/>
  <c r="L177" i="8" s="1"/>
  <c r="G163" i="7"/>
  <c r="I163" i="7" s="1"/>
  <c r="G456" i="7"/>
  <c r="I456" i="7" s="1"/>
  <c r="G448" i="7"/>
  <c r="I448" i="7" s="1"/>
  <c r="C26" i="4"/>
  <c r="C27" i="5"/>
  <c r="D398" i="4"/>
  <c r="D399" i="5"/>
  <c r="G165" i="8"/>
  <c r="L165" i="8" s="1"/>
  <c r="G481" i="7"/>
  <c r="I481" i="7" s="1"/>
  <c r="G152" i="7"/>
  <c r="I152" i="7" s="1"/>
  <c r="G185" i="7"/>
  <c r="I185" i="7" s="1"/>
  <c r="E157" i="4"/>
  <c r="E158" i="5"/>
  <c r="D290" i="4"/>
  <c r="D291" i="5"/>
  <c r="C342" i="4"/>
  <c r="C343" i="5"/>
  <c r="E369" i="5"/>
  <c r="E368" i="4"/>
  <c r="D361" i="4"/>
  <c r="D362" i="5"/>
  <c r="D294" i="5"/>
  <c r="D293" i="4"/>
  <c r="D406" i="5"/>
  <c r="D405" i="4"/>
  <c r="E290" i="5"/>
  <c r="E289" i="4"/>
  <c r="C217" i="4"/>
  <c r="C218" i="5"/>
  <c r="E27" i="5"/>
  <c r="E26" i="4"/>
  <c r="D189" i="4"/>
  <c r="D190" i="5"/>
  <c r="C56" i="5"/>
  <c r="C55" i="4"/>
  <c r="N266" i="7"/>
  <c r="O266" i="7" s="1"/>
  <c r="E25" i="5"/>
  <c r="E24" i="4"/>
  <c r="D356" i="5"/>
  <c r="D355" i="4"/>
  <c r="Q410" i="8"/>
  <c r="R410" i="8" s="1"/>
  <c r="Q411" i="8"/>
  <c r="R411" i="8" s="1"/>
  <c r="Q413" i="8"/>
  <c r="R413" i="8" s="1"/>
  <c r="Q412" i="8"/>
  <c r="R412" i="8" s="1"/>
  <c r="Q414" i="8"/>
  <c r="R414" i="8" s="1"/>
  <c r="C246" i="4"/>
  <c r="C247" i="5"/>
  <c r="C348" i="4"/>
  <c r="C349" i="5"/>
  <c r="E101" i="4"/>
  <c r="E102" i="5"/>
  <c r="C52" i="4"/>
  <c r="C53" i="5"/>
  <c r="C315" i="5"/>
  <c r="C314" i="4"/>
  <c r="D100" i="4"/>
  <c r="D101" i="5"/>
  <c r="E336" i="5"/>
  <c r="E335" i="4"/>
  <c r="E248" i="5"/>
  <c r="E247" i="4"/>
  <c r="C122" i="5"/>
  <c r="C121" i="4"/>
  <c r="C258" i="4"/>
  <c r="C259" i="5"/>
  <c r="Q130" i="8"/>
  <c r="R130" i="8" s="1"/>
  <c r="Q128" i="8"/>
  <c r="R128" i="8" s="1"/>
  <c r="Q131" i="8"/>
  <c r="R131" i="8" s="1"/>
  <c r="Q125" i="8"/>
  <c r="R125" i="8" s="1"/>
  <c r="Q110" i="9" s="1"/>
  <c r="R110" i="9" s="1"/>
  <c r="Q126" i="8"/>
  <c r="R126" i="8" s="1"/>
  <c r="Q132" i="8"/>
  <c r="R132" i="8" s="1"/>
  <c r="Q129" i="8"/>
  <c r="R129" i="8" s="1"/>
  <c r="Q127" i="8"/>
  <c r="R127" i="8" s="1"/>
  <c r="D413" i="4"/>
  <c r="D414" i="5"/>
  <c r="D67" i="5"/>
  <c r="D66" i="4"/>
  <c r="E314" i="5"/>
  <c r="E313" i="4"/>
  <c r="C264" i="4"/>
  <c r="C265" i="5"/>
  <c r="D17" i="4"/>
  <c r="D18" i="5"/>
  <c r="D372" i="5"/>
  <c r="D371" i="4"/>
  <c r="C451" i="4"/>
  <c r="C452" i="5"/>
  <c r="C328" i="4"/>
  <c r="C329" i="5"/>
  <c r="D423" i="4"/>
  <c r="D424" i="5"/>
  <c r="N411" i="8"/>
  <c r="O411" i="8" s="1"/>
  <c r="N414" i="8"/>
  <c r="O414" i="8" s="1"/>
  <c r="N410" i="8"/>
  <c r="O410" i="8" s="1"/>
  <c r="N412" i="8"/>
  <c r="O412" i="8" s="1"/>
  <c r="N413" i="8"/>
  <c r="O413" i="8" s="1"/>
  <c r="N580" i="8"/>
  <c r="O580" i="8" s="1"/>
  <c r="N582" i="8"/>
  <c r="O582" i="8" s="1"/>
  <c r="N581" i="8"/>
  <c r="O581" i="8" s="1"/>
  <c r="N588" i="8"/>
  <c r="O588" i="8" s="1"/>
  <c r="N589" i="8"/>
  <c r="O589" i="8" s="1"/>
  <c r="N591" i="8"/>
  <c r="O591" i="8" s="1"/>
  <c r="N433" i="9" s="1"/>
  <c r="O433" i="9" s="1"/>
  <c r="N587" i="8"/>
  <c r="O587" i="8" s="1"/>
  <c r="N590" i="8"/>
  <c r="O590" i="8" s="1"/>
  <c r="N428" i="9" s="1"/>
  <c r="O428" i="9" s="1"/>
  <c r="G249" i="9"/>
  <c r="L249" i="9" s="1"/>
  <c r="G308" i="8"/>
  <c r="I308" i="8" s="1"/>
  <c r="D365" i="5"/>
  <c r="D364" i="4"/>
  <c r="D122" i="5"/>
  <c r="D121" i="4"/>
  <c r="C222" i="4"/>
  <c r="C223" i="5"/>
  <c r="C33" i="4"/>
  <c r="C34" i="5"/>
  <c r="E357" i="4"/>
  <c r="E358" i="5"/>
  <c r="E226" i="4"/>
  <c r="E227" i="5"/>
  <c r="D257" i="4"/>
  <c r="D258" i="5"/>
  <c r="D457" i="5"/>
  <c r="D456" i="4"/>
  <c r="C260" i="4"/>
  <c r="C261" i="5"/>
  <c r="D477" i="5"/>
  <c r="D476" i="4"/>
  <c r="G373" i="9"/>
  <c r="L373" i="9" s="1"/>
  <c r="G557" i="8"/>
  <c r="I557" i="8" s="1"/>
  <c r="G136" i="8"/>
  <c r="L136" i="8" s="1"/>
  <c r="G88" i="7"/>
  <c r="I88" i="7" s="1"/>
  <c r="G109" i="7"/>
  <c r="I109" i="7" s="1"/>
  <c r="G98" i="7"/>
  <c r="I98" i="7" s="1"/>
  <c r="E470" i="5"/>
  <c r="E469" i="4"/>
  <c r="G124" i="8"/>
  <c r="L124" i="8" s="1"/>
  <c r="G97" i="7"/>
  <c r="I97" i="7" s="1"/>
  <c r="G134" i="7"/>
  <c r="I134" i="7" s="1"/>
  <c r="G108" i="7"/>
  <c r="I108" i="7" s="1"/>
  <c r="G87" i="7"/>
  <c r="I87" i="7" s="1"/>
  <c r="D56" i="4"/>
  <c r="D57" i="5"/>
  <c r="D408" i="5"/>
  <c r="D407" i="4"/>
  <c r="C340" i="4"/>
  <c r="C341" i="5"/>
  <c r="D328" i="5"/>
  <c r="D327" i="4"/>
  <c r="C139" i="4"/>
  <c r="C140" i="5"/>
  <c r="E104" i="4"/>
  <c r="E105" i="5"/>
  <c r="C172" i="4"/>
  <c r="C173" i="5"/>
  <c r="D33" i="4"/>
  <c r="D34" i="5"/>
  <c r="C211" i="4"/>
  <c r="C212" i="5"/>
  <c r="N203" i="8"/>
  <c r="O203" i="8" s="1"/>
  <c r="N205" i="8"/>
  <c r="O205" i="8" s="1"/>
  <c r="N202" i="8"/>
  <c r="O202" i="8" s="1"/>
  <c r="N204" i="8"/>
  <c r="O204" i="8" s="1"/>
  <c r="N377" i="8"/>
  <c r="O377" i="8" s="1"/>
  <c r="N376" i="8"/>
  <c r="O376" i="8" s="1"/>
  <c r="N375" i="8"/>
  <c r="O375" i="8" s="1"/>
  <c r="N378" i="8"/>
  <c r="O378" i="8" s="1"/>
  <c r="N374" i="8"/>
  <c r="O374" i="8" s="1"/>
  <c r="N348" i="8"/>
  <c r="O348" i="8" s="1"/>
  <c r="N349" i="8"/>
  <c r="O349" i="8" s="1"/>
  <c r="N351" i="8"/>
  <c r="O351" i="8" s="1"/>
  <c r="N350" i="8"/>
  <c r="O350" i="8" s="1"/>
  <c r="N347" i="8"/>
  <c r="O347" i="8" s="1"/>
  <c r="G37" i="8"/>
  <c r="L37" i="8" s="1"/>
  <c r="G376" i="7"/>
  <c r="I376" i="7" s="1"/>
  <c r="G110" i="7"/>
  <c r="I110" i="7" s="1"/>
  <c r="G341" i="7"/>
  <c r="I341" i="7" s="1"/>
  <c r="G319" i="7"/>
  <c r="I319" i="7" s="1"/>
  <c r="G201" i="7"/>
  <c r="I201" i="7" s="1"/>
  <c r="I202" i="7" s="1"/>
  <c r="G265" i="7"/>
  <c r="I265" i="7" s="1"/>
  <c r="G309" i="7"/>
  <c r="I309" i="7" s="1"/>
  <c r="G224" i="7"/>
  <c r="I224" i="7" s="1"/>
  <c r="I225" i="7" s="1"/>
  <c r="G465" i="7"/>
  <c r="I465" i="7" s="1"/>
  <c r="I466" i="7" s="1"/>
  <c r="G509" i="7"/>
  <c r="I509" i="7" s="1"/>
  <c r="G250" i="7"/>
  <c r="I250" i="7" s="1"/>
  <c r="G241" i="7"/>
  <c r="I241" i="7" s="1"/>
  <c r="G386" i="7"/>
  <c r="I386" i="7" s="1"/>
  <c r="G353" i="7"/>
  <c r="I353" i="7" s="1"/>
  <c r="G232" i="7"/>
  <c r="I232" i="7" s="1"/>
  <c r="G135" i="7"/>
  <c r="I135" i="7" s="1"/>
  <c r="G537" i="7"/>
  <c r="I537" i="7" s="1"/>
  <c r="G296" i="7"/>
  <c r="I296" i="7" s="1"/>
  <c r="G367" i="7"/>
  <c r="I367" i="7" s="1"/>
  <c r="G526" i="7"/>
  <c r="I526" i="7" s="1"/>
  <c r="G426" i="7"/>
  <c r="I426" i="7" s="1"/>
  <c r="G18" i="7"/>
  <c r="I18" i="7" s="1"/>
  <c r="I22" i="7" s="1"/>
  <c r="G490" i="7"/>
  <c r="I490" i="7" s="1"/>
  <c r="G401" i="7"/>
  <c r="I401" i="7" s="1"/>
  <c r="E182" i="5"/>
  <c r="E181" i="4"/>
  <c r="E415" i="5"/>
  <c r="E414" i="4"/>
  <c r="D130" i="4"/>
  <c r="D131" i="5"/>
  <c r="D419" i="4"/>
  <c r="D420" i="5"/>
  <c r="D278" i="5"/>
  <c r="D277" i="4"/>
  <c r="Q528" i="8"/>
  <c r="R528" i="8" s="1"/>
  <c r="D88" i="17" s="1"/>
  <c r="F88" i="17" s="1"/>
  <c r="Q525" i="8"/>
  <c r="R525" i="8" s="1"/>
  <c r="D17" i="18" s="1"/>
  <c r="F17" i="18" s="1"/>
  <c r="Q529" i="8"/>
  <c r="R529" i="8" s="1"/>
  <c r="Q526" i="8"/>
  <c r="R526" i="8" s="1"/>
  <c r="D23" i="17" s="1"/>
  <c r="F23" i="17" s="1"/>
  <c r="Q527" i="8"/>
  <c r="R527" i="8" s="1"/>
  <c r="D44" i="17" s="1"/>
  <c r="F44" i="17" s="1"/>
  <c r="C460" i="4"/>
  <c r="C461" i="5"/>
  <c r="Q387" i="8"/>
  <c r="R387" i="8" s="1"/>
  <c r="Q384" i="8"/>
  <c r="R384" i="8" s="1"/>
  <c r="Q383" i="8"/>
  <c r="R383" i="8" s="1"/>
  <c r="Q385" i="8"/>
  <c r="R385" i="8" s="1"/>
  <c r="Q386" i="8"/>
  <c r="R386" i="8" s="1"/>
  <c r="D339" i="5"/>
  <c r="D338" i="4"/>
  <c r="C331" i="5"/>
  <c r="C330" i="4"/>
  <c r="C234" i="4"/>
  <c r="C235" i="5"/>
  <c r="Q558" i="8"/>
  <c r="R558" i="8" s="1"/>
  <c r="D129" i="17" s="1"/>
  <c r="F129" i="17" s="1"/>
  <c r="Q557" i="8"/>
  <c r="R557" i="8" s="1"/>
  <c r="Q556" i="8"/>
  <c r="R556" i="8" s="1"/>
  <c r="Q559" i="8"/>
  <c r="R559" i="8" s="1"/>
  <c r="D54" i="17" s="1"/>
  <c r="F54" i="17" s="1"/>
  <c r="E214" i="4"/>
  <c r="E215" i="5"/>
  <c r="D94" i="4"/>
  <c r="D95" i="5"/>
  <c r="D300" i="4"/>
  <c r="D301" i="5"/>
  <c r="C170" i="5"/>
  <c r="C169" i="4"/>
  <c r="G47" i="9"/>
  <c r="L47" i="9" s="1"/>
  <c r="G468" i="8"/>
  <c r="I468" i="8" s="1"/>
  <c r="G94" i="8"/>
  <c r="I94" i="8" s="1"/>
  <c r="G103" i="8"/>
  <c r="I103" i="8" s="1"/>
  <c r="G504" i="8"/>
  <c r="I504" i="8" s="1"/>
  <c r="C62" i="5"/>
  <c r="C61" i="4"/>
  <c r="E372" i="5"/>
  <c r="E371" i="4"/>
  <c r="D369" i="5"/>
  <c r="D368" i="4"/>
  <c r="D173" i="4"/>
  <c r="D174" i="5"/>
  <c r="C341" i="4"/>
  <c r="C342" i="5"/>
  <c r="G211" i="9"/>
  <c r="L211" i="9" s="1"/>
  <c r="G357" i="8"/>
  <c r="I357" i="8" s="1"/>
  <c r="G287" i="8"/>
  <c r="I287" i="8" s="1"/>
  <c r="G375" i="8"/>
  <c r="I375" i="8" s="1"/>
  <c r="G384" i="8"/>
  <c r="I384" i="8" s="1"/>
  <c r="G366" i="8"/>
  <c r="I366" i="8" s="1"/>
  <c r="G438" i="8"/>
  <c r="I438" i="8" s="1"/>
  <c r="G429" i="8"/>
  <c r="I429" i="8" s="1"/>
  <c r="G339" i="8"/>
  <c r="I339" i="8" s="1"/>
  <c r="G411" i="8"/>
  <c r="I411" i="8" s="1"/>
  <c r="G393" i="8"/>
  <c r="I393" i="8" s="1"/>
  <c r="G402" i="8"/>
  <c r="I402" i="8" s="1"/>
  <c r="G348" i="8"/>
  <c r="I348" i="8" s="1"/>
  <c r="G420" i="8"/>
  <c r="I420" i="8" s="1"/>
  <c r="C373" i="4"/>
  <c r="C374" i="5"/>
  <c r="C94" i="4"/>
  <c r="C95" i="5"/>
  <c r="E38" i="4"/>
  <c r="E39" i="5"/>
  <c r="E267" i="4"/>
  <c r="E268" i="5"/>
  <c r="D44" i="5"/>
  <c r="D43" i="4"/>
  <c r="N557" i="8"/>
  <c r="O557" i="8" s="1"/>
  <c r="N558" i="8"/>
  <c r="O558" i="8" s="1"/>
  <c r="F173" i="16" s="1"/>
  <c r="H173" i="16" s="1"/>
  <c r="N559" i="8"/>
  <c r="O559" i="8" s="1"/>
  <c r="F182" i="16" s="1"/>
  <c r="H182" i="16" s="1"/>
  <c r="N556" i="8"/>
  <c r="O556" i="8" s="1"/>
  <c r="D53" i="4"/>
  <c r="D54" i="5"/>
  <c r="D280" i="4"/>
  <c r="D281" i="5"/>
  <c r="E443" i="4"/>
  <c r="E444" i="5"/>
  <c r="E430" i="5"/>
  <c r="E429" i="4"/>
  <c r="D77" i="5"/>
  <c r="D76" i="4"/>
  <c r="Q478" i="8"/>
  <c r="R478" i="8" s="1"/>
  <c r="Q479" i="8"/>
  <c r="R479" i="8" s="1"/>
  <c r="D22" i="17" s="1"/>
  <c r="F22" i="17" s="1"/>
  <c r="Q477" i="8"/>
  <c r="R477" i="8" s="1"/>
  <c r="C117" i="5"/>
  <c r="C116" i="4"/>
  <c r="D191" i="5"/>
  <c r="D190" i="4"/>
  <c r="D75" i="4"/>
  <c r="D76" i="5"/>
  <c r="E85" i="5"/>
  <c r="E84" i="4"/>
  <c r="Q96" i="8"/>
  <c r="R96" i="8" s="1"/>
  <c r="Q97" i="8"/>
  <c r="R97" i="8" s="1"/>
  <c r="Q94" i="8"/>
  <c r="R94" i="8" s="1"/>
  <c r="Q95" i="8"/>
  <c r="R95" i="8" s="1"/>
  <c r="Q98" i="8"/>
  <c r="R98" i="8" s="1"/>
  <c r="D131" i="4"/>
  <c r="D132" i="5"/>
  <c r="C305" i="4"/>
  <c r="C306" i="5"/>
  <c r="E53" i="4"/>
  <c r="E54" i="5"/>
  <c r="E39" i="4"/>
  <c r="E40" i="5"/>
  <c r="D443" i="4"/>
  <c r="D444" i="5"/>
  <c r="C383" i="4"/>
  <c r="C384" i="5"/>
  <c r="E131" i="4"/>
  <c r="E132" i="5"/>
  <c r="E196" i="5"/>
  <c r="E195" i="4"/>
  <c r="C83" i="4"/>
  <c r="C84" i="5"/>
  <c r="C60" i="5"/>
  <c r="C59" i="4"/>
  <c r="D143" i="5"/>
  <c r="D142" i="4"/>
  <c r="E29" i="4"/>
  <c r="E30" i="5"/>
  <c r="D39" i="5"/>
  <c r="D38" i="4"/>
  <c r="C52" i="5"/>
  <c r="C51" i="4"/>
  <c r="D104" i="5"/>
  <c r="D103" i="4"/>
  <c r="D347" i="5"/>
  <c r="D346" i="4"/>
  <c r="D154" i="5"/>
  <c r="D153" i="4"/>
  <c r="D149" i="5"/>
  <c r="D148" i="4"/>
  <c r="C197" i="5"/>
  <c r="C196" i="4"/>
  <c r="D26" i="4"/>
  <c r="D27" i="5"/>
  <c r="E295" i="4"/>
  <c r="E296" i="5"/>
  <c r="D280" i="5"/>
  <c r="D279" i="4"/>
  <c r="C175" i="5"/>
  <c r="C174" i="4"/>
  <c r="D126" i="4"/>
  <c r="D127" i="5"/>
  <c r="E94" i="5"/>
  <c r="E93" i="4"/>
  <c r="C269" i="5"/>
  <c r="C268" i="4"/>
  <c r="D332" i="5"/>
  <c r="D331" i="4"/>
  <c r="E123" i="4"/>
  <c r="E124" i="5"/>
  <c r="E452" i="4"/>
  <c r="E453" i="5"/>
  <c r="C125" i="5"/>
  <c r="C124" i="4"/>
  <c r="E40" i="4"/>
  <c r="E41" i="5"/>
  <c r="E149" i="5"/>
  <c r="E148" i="4"/>
  <c r="D406" i="4"/>
  <c r="D407" i="5"/>
  <c r="C206" i="5"/>
  <c r="C205" i="4"/>
  <c r="C198" i="4"/>
  <c r="C199" i="5"/>
  <c r="C436" i="4"/>
  <c r="C437" i="5"/>
  <c r="E176" i="4"/>
  <c r="E177" i="5"/>
  <c r="E15" i="4"/>
  <c r="E16" i="5"/>
  <c r="C325" i="4"/>
  <c r="C326" i="5"/>
  <c r="E231" i="4"/>
  <c r="E232" i="5"/>
  <c r="E138" i="5"/>
  <c r="E137" i="4"/>
  <c r="C446" i="4"/>
  <c r="C447" i="5"/>
  <c r="D88" i="5"/>
  <c r="D87" i="4"/>
  <c r="C107" i="4"/>
  <c r="C108" i="5"/>
  <c r="C438" i="4"/>
  <c r="C439" i="5"/>
  <c r="I237" i="10"/>
  <c r="D40" i="5"/>
  <c r="D39" i="4"/>
  <c r="C407" i="5"/>
  <c r="C406" i="4"/>
  <c r="E129" i="4"/>
  <c r="E130" i="5"/>
  <c r="D177" i="5"/>
  <c r="D176" i="4"/>
  <c r="N263" i="7"/>
  <c r="O263" i="7" s="1"/>
  <c r="N245" i="8"/>
  <c r="O245" i="8" s="1"/>
  <c r="N243" i="8"/>
  <c r="O243" i="8" s="1"/>
  <c r="N238" i="8"/>
  <c r="O238" i="8" s="1"/>
  <c r="N177" i="9" s="1"/>
  <c r="O177" i="9" s="1"/>
  <c r="N241" i="8"/>
  <c r="O241" i="8" s="1"/>
  <c r="N239" i="8"/>
  <c r="O239" i="8" s="1"/>
  <c r="N244" i="8"/>
  <c r="O244" i="8" s="1"/>
  <c r="N240" i="8"/>
  <c r="O240" i="8" s="1"/>
  <c r="N242" i="8"/>
  <c r="O242" i="8" s="1"/>
  <c r="N267" i="7"/>
  <c r="O267" i="7" s="1"/>
  <c r="N539" i="8"/>
  <c r="O539" i="8" s="1"/>
  <c r="N536" i="8"/>
  <c r="O536" i="8" s="1"/>
  <c r="F183" i="16" s="1"/>
  <c r="H183" i="16" s="1"/>
  <c r="N538" i="8"/>
  <c r="O538" i="8" s="1"/>
  <c r="N534" i="8"/>
  <c r="O534" i="8" s="1"/>
  <c r="F181" i="16" s="1"/>
  <c r="H181" i="16" s="1"/>
  <c r="N535" i="8"/>
  <c r="O535" i="8" s="1"/>
  <c r="F186" i="16" s="1"/>
  <c r="H186" i="16" s="1"/>
  <c r="N537" i="8"/>
  <c r="O537" i="8" s="1"/>
  <c r="F155" i="16" s="1"/>
  <c r="H155" i="16" s="1"/>
  <c r="D108" i="4"/>
  <c r="D109" i="5"/>
  <c r="N544" i="8"/>
  <c r="O544" i="8" s="1"/>
  <c r="N369" i="9" s="1"/>
  <c r="O369" i="9" s="1"/>
  <c r="N549" i="8"/>
  <c r="O549" i="8" s="1"/>
  <c r="N548" i="8"/>
  <c r="O548" i="8" s="1"/>
  <c r="N547" i="8"/>
  <c r="O547" i="8" s="1"/>
  <c r="N551" i="8"/>
  <c r="O551" i="8" s="1"/>
  <c r="N545" i="8"/>
  <c r="O545" i="8" s="1"/>
  <c r="N546" i="8"/>
  <c r="O546" i="8" s="1"/>
  <c r="N550" i="8"/>
  <c r="O550" i="8" s="1"/>
  <c r="E346" i="5"/>
  <c r="E345" i="4"/>
  <c r="D263" i="4"/>
  <c r="D264" i="5"/>
  <c r="N509" i="7"/>
  <c r="O509" i="7" s="1"/>
  <c r="E94" i="4"/>
  <c r="E95" i="5"/>
  <c r="Q19" i="8"/>
  <c r="R19" i="8" s="1"/>
  <c r="D29" i="18" s="1"/>
  <c r="F29" i="18" s="1"/>
  <c r="Q22" i="8"/>
  <c r="R22" i="8" s="1"/>
  <c r="Q20" i="8"/>
  <c r="R20" i="8" s="1"/>
  <c r="D41" i="18" s="1"/>
  <c r="F41" i="18" s="1"/>
  <c r="Q18" i="8"/>
  <c r="R18" i="8" s="1"/>
  <c r="Q13" i="9" s="1"/>
  <c r="R13" i="9" s="1"/>
  <c r="Q21" i="8"/>
  <c r="R21" i="8" s="1"/>
  <c r="Q23" i="8"/>
  <c r="R23" i="8" s="1"/>
  <c r="Q115" i="8"/>
  <c r="R115" i="8" s="1"/>
  <c r="Q118" i="8"/>
  <c r="R118" i="8" s="1"/>
  <c r="Q119" i="8"/>
  <c r="R119" i="8" s="1"/>
  <c r="Q114" i="8"/>
  <c r="R114" i="8" s="1"/>
  <c r="Q116" i="8"/>
  <c r="R116" i="8" s="1"/>
  <c r="Q117" i="8"/>
  <c r="R117" i="8" s="1"/>
  <c r="Q120" i="8"/>
  <c r="R120" i="8" s="1"/>
  <c r="D461" i="4"/>
  <c r="D462" i="5"/>
  <c r="C305" i="5"/>
  <c r="C304" i="4"/>
  <c r="C259" i="4"/>
  <c r="C260" i="5"/>
  <c r="D120" i="4"/>
  <c r="D121" i="5"/>
  <c r="N96" i="8"/>
  <c r="O96" i="8" s="1"/>
  <c r="N94" i="8"/>
  <c r="O94" i="8" s="1"/>
  <c r="N97" i="8"/>
  <c r="O97" i="8" s="1"/>
  <c r="N98" i="8"/>
  <c r="O98" i="8" s="1"/>
  <c r="N95" i="8"/>
  <c r="O95" i="8" s="1"/>
  <c r="Q551" i="8" l="1"/>
  <c r="R551" i="8" s="1"/>
  <c r="Q546" i="8"/>
  <c r="R546" i="8" s="1"/>
  <c r="Q550" i="8"/>
  <c r="R550" i="8" s="1"/>
  <c r="Q544" i="8"/>
  <c r="R544" i="8" s="1"/>
  <c r="Q369" i="9" s="1"/>
  <c r="R369" i="9" s="1"/>
  <c r="Q545" i="8"/>
  <c r="R545" i="8" s="1"/>
  <c r="Q547" i="8"/>
  <c r="R547" i="8" s="1"/>
  <c r="Q573" i="8"/>
  <c r="R573" i="8" s="1"/>
  <c r="Q413" i="9" s="1"/>
  <c r="R413" i="9" s="1"/>
  <c r="Q549" i="8"/>
  <c r="R549" i="8" s="1"/>
  <c r="Q575" i="8"/>
  <c r="R575" i="8" s="1"/>
  <c r="Q403" i="9" s="1"/>
  <c r="R403" i="9" s="1"/>
  <c r="G294" i="8"/>
  <c r="I294" i="8" s="1"/>
  <c r="Q507" i="8"/>
  <c r="R507" i="8" s="1"/>
  <c r="Q76" i="9" s="1"/>
  <c r="R76" i="9" s="1"/>
  <c r="G250" i="8"/>
  <c r="I250" i="8" s="1"/>
  <c r="I257" i="8" s="1"/>
  <c r="Q509" i="8"/>
  <c r="R509" i="8" s="1"/>
  <c r="G446" i="8"/>
  <c r="I446" i="8" s="1"/>
  <c r="Q508" i="8"/>
  <c r="R508" i="8" s="1"/>
  <c r="Q510" i="8"/>
  <c r="R510" i="8" s="1"/>
  <c r="Q504" i="8"/>
  <c r="R504" i="8" s="1"/>
  <c r="Q48" i="9" s="1"/>
  <c r="R48" i="9" s="1"/>
  <c r="Q574" i="8"/>
  <c r="R574" i="8" s="1"/>
  <c r="Q398" i="9" s="1"/>
  <c r="R398" i="9" s="1"/>
  <c r="Q572" i="8"/>
  <c r="R572" i="8" s="1"/>
  <c r="Q408" i="9" s="1"/>
  <c r="R408" i="9" s="1"/>
  <c r="Q505" i="8"/>
  <c r="R505" i="8" s="1"/>
  <c r="Q54" i="9" s="1"/>
  <c r="R54" i="9" s="1"/>
  <c r="Q18" i="10" s="1"/>
  <c r="R18" i="10" s="1"/>
  <c r="Q589" i="8"/>
  <c r="R589" i="8" s="1"/>
  <c r="Q390" i="9" s="1"/>
  <c r="R390" i="9" s="1"/>
  <c r="Q588" i="8"/>
  <c r="R588" i="8" s="1"/>
  <c r="Q423" i="9" s="1"/>
  <c r="R423" i="9" s="1"/>
  <c r="Q590" i="8"/>
  <c r="R590" i="8" s="1"/>
  <c r="Q428" i="9" s="1"/>
  <c r="R428" i="9" s="1"/>
  <c r="Q587" i="8"/>
  <c r="R587" i="8" s="1"/>
  <c r="Q418" i="9" s="1"/>
  <c r="R418" i="9" s="1"/>
  <c r="Q70" i="8"/>
  <c r="R70" i="8" s="1"/>
  <c r="Q38" i="9" s="1"/>
  <c r="R38" i="9" s="1"/>
  <c r="Q77" i="8"/>
  <c r="R77" i="8" s="1"/>
  <c r="Q71" i="8"/>
  <c r="R71" i="8" s="1"/>
  <c r="Q74" i="8"/>
  <c r="R74" i="8" s="1"/>
  <c r="Q72" i="8"/>
  <c r="R72" i="8" s="1"/>
  <c r="Q76" i="8"/>
  <c r="R76" i="8" s="1"/>
  <c r="Q73" i="8"/>
  <c r="R73" i="8" s="1"/>
  <c r="Q45" i="8"/>
  <c r="R45" i="8" s="1"/>
  <c r="Q39" i="8"/>
  <c r="R39" i="8" s="1"/>
  <c r="Q41" i="8"/>
  <c r="R41" i="8" s="1"/>
  <c r="Q40" i="8"/>
  <c r="R40" i="8" s="1"/>
  <c r="Q38" i="8"/>
  <c r="R38" i="8" s="1"/>
  <c r="Q23" i="9" s="1"/>
  <c r="R23" i="9" s="1"/>
  <c r="Q43" i="8"/>
  <c r="R43" i="8" s="1"/>
  <c r="Q42" i="8"/>
  <c r="R42" i="8" s="1"/>
  <c r="G219" i="10"/>
  <c r="I219" i="10" s="1"/>
  <c r="I321" i="9"/>
  <c r="G317" i="9" s="1"/>
  <c r="L317" i="9" s="1"/>
  <c r="G518" i="7"/>
  <c r="I518" i="7" s="1"/>
  <c r="I543" i="7"/>
  <c r="G14" i="15" s="1"/>
  <c r="I307" i="9"/>
  <c r="G303" i="9" s="1"/>
  <c r="L303" i="9" s="1"/>
  <c r="M251" i="5"/>
  <c r="O251" i="5" s="1"/>
  <c r="I328" i="9"/>
  <c r="G437" i="8" s="1"/>
  <c r="I437" i="8" s="1"/>
  <c r="I442" i="8" s="1"/>
  <c r="G277" i="8"/>
  <c r="I277" i="8" s="1"/>
  <c r="G202" i="9"/>
  <c r="L202" i="9" s="1"/>
  <c r="N226" i="8"/>
  <c r="O226" i="8" s="1"/>
  <c r="N172" i="9" s="1"/>
  <c r="O172" i="9" s="1"/>
  <c r="N232" i="8"/>
  <c r="O232" i="8" s="1"/>
  <c r="N103" i="8"/>
  <c r="O103" i="8" s="1"/>
  <c r="D14" i="18"/>
  <c r="F14" i="18" s="1"/>
  <c r="N106" i="8"/>
  <c r="O106" i="8" s="1"/>
  <c r="N230" i="8"/>
  <c r="O230" i="8" s="1"/>
  <c r="N231" i="8"/>
  <c r="O231" i="8" s="1"/>
  <c r="N105" i="8"/>
  <c r="O105" i="8" s="1"/>
  <c r="I335" i="7"/>
  <c r="G37" i="15" s="1"/>
  <c r="N107" i="8"/>
  <c r="O107" i="8" s="1"/>
  <c r="S251" i="5"/>
  <c r="U251" i="5" s="1"/>
  <c r="G104" i="8"/>
  <c r="I104" i="8" s="1"/>
  <c r="I110" i="8" s="1"/>
  <c r="N104" i="8"/>
  <c r="O104" i="8" s="1"/>
  <c r="V251" i="5"/>
  <c r="X251" i="5" s="1"/>
  <c r="G53" i="9"/>
  <c r="L53" i="9" s="1"/>
  <c r="N109" i="8"/>
  <c r="O109" i="8" s="1"/>
  <c r="P251" i="5"/>
  <c r="R251" i="5" s="1"/>
  <c r="G306" i="8"/>
  <c r="I306" i="8" s="1"/>
  <c r="I300" i="9"/>
  <c r="G338" i="8" s="1"/>
  <c r="I338" i="8" s="1"/>
  <c r="I343" i="8" s="1"/>
  <c r="J251" i="5"/>
  <c r="L251" i="5" s="1"/>
  <c r="D12" i="18"/>
  <c r="F12" i="18" s="1"/>
  <c r="F140" i="16"/>
  <c r="H140" i="16" s="1"/>
  <c r="N228" i="8"/>
  <c r="O228" i="8" s="1"/>
  <c r="N233" i="8"/>
  <c r="O233" i="8" s="1"/>
  <c r="G510" i="7"/>
  <c r="I510" i="7" s="1"/>
  <c r="G563" i="8"/>
  <c r="L563" i="8" s="1"/>
  <c r="N42" i="8"/>
  <c r="O42" i="8" s="1"/>
  <c r="F29" i="16"/>
  <c r="H29" i="16" s="1"/>
  <c r="G95" i="8"/>
  <c r="I95" i="8" s="1"/>
  <c r="I99" i="8" s="1"/>
  <c r="G93" i="8" s="1"/>
  <c r="L93" i="8" s="1"/>
  <c r="G295" i="8"/>
  <c r="I295" i="8" s="1"/>
  <c r="G220" i="10"/>
  <c r="I220" i="10" s="1"/>
  <c r="G447" i="8"/>
  <c r="I447" i="8" s="1"/>
  <c r="G187" i="9"/>
  <c r="L187" i="9" s="1"/>
  <c r="I321" i="7"/>
  <c r="G360" i="4" s="1"/>
  <c r="G361" i="5" s="1"/>
  <c r="D16" i="18"/>
  <c r="F16" i="18" s="1"/>
  <c r="N70" i="8"/>
  <c r="O70" i="8" s="1"/>
  <c r="N38" i="9" s="1"/>
  <c r="O38" i="9" s="1"/>
  <c r="G505" i="8"/>
  <c r="I505" i="8" s="1"/>
  <c r="I511" i="8" s="1"/>
  <c r="G425" i="7" s="1"/>
  <c r="I425" i="7" s="1"/>
  <c r="I431" i="7" s="1"/>
  <c r="G519" i="7"/>
  <c r="I519" i="7" s="1"/>
  <c r="I314" i="9"/>
  <c r="G310" i="9" s="1"/>
  <c r="L310" i="9" s="1"/>
  <c r="D39" i="18"/>
  <c r="F39" i="18" s="1"/>
  <c r="F36" i="16"/>
  <c r="H36" i="16" s="1"/>
  <c r="H24" i="4"/>
  <c r="H180" i="4"/>
  <c r="I180" i="4" s="1"/>
  <c r="H40" i="15"/>
  <c r="H258" i="4"/>
  <c r="I258" i="4" s="1"/>
  <c r="H414" i="4"/>
  <c r="I414" i="4" s="1"/>
  <c r="H102" i="4"/>
  <c r="H103" i="5" s="1"/>
  <c r="H336" i="4"/>
  <c r="S329" i="5"/>
  <c r="U329" i="5" s="1"/>
  <c r="D28" i="18"/>
  <c r="F28" i="18" s="1"/>
  <c r="I290" i="8"/>
  <c r="G286" i="8" s="1"/>
  <c r="L286" i="8" s="1"/>
  <c r="F62" i="16"/>
  <c r="H62" i="16" s="1"/>
  <c r="N227" i="8"/>
  <c r="O227" i="8" s="1"/>
  <c r="F33" i="16"/>
  <c r="H33" i="16" s="1"/>
  <c r="I531" i="7"/>
  <c r="G164" i="4" s="1"/>
  <c r="G165" i="5" s="1"/>
  <c r="N40" i="8"/>
  <c r="O40" i="8" s="1"/>
  <c r="I195" i="7"/>
  <c r="G31" i="15" s="1"/>
  <c r="M329" i="5"/>
  <c r="O329" i="5" s="1"/>
  <c r="V329" i="5"/>
  <c r="X329" i="5" s="1"/>
  <c r="P329" i="5"/>
  <c r="R329" i="5" s="1"/>
  <c r="I328" i="4"/>
  <c r="I11" i="7"/>
  <c r="I12" i="7" s="1"/>
  <c r="G305" i="8"/>
  <c r="I305" i="8" s="1"/>
  <c r="I484" i="7"/>
  <c r="G153" i="4" s="1"/>
  <c r="G154" i="5" s="1"/>
  <c r="F60" i="16"/>
  <c r="H60" i="16" s="1"/>
  <c r="F194" i="16"/>
  <c r="H194" i="16" s="1"/>
  <c r="N44" i="8"/>
  <c r="O44" i="8" s="1"/>
  <c r="G570" i="8"/>
  <c r="L570" i="8" s="1"/>
  <c r="G511" i="7"/>
  <c r="I511" i="7" s="1"/>
  <c r="D27" i="18"/>
  <c r="F27" i="18" s="1"/>
  <c r="D53" i="17"/>
  <c r="F53" i="17" s="1"/>
  <c r="I178" i="7"/>
  <c r="G162" i="7" s="1"/>
  <c r="D8" i="18"/>
  <c r="F8" i="18" s="1"/>
  <c r="F128" i="16"/>
  <c r="H128" i="16" s="1"/>
  <c r="I91" i="4"/>
  <c r="F132" i="16"/>
  <c r="H132" i="16" s="1"/>
  <c r="H95" i="5"/>
  <c r="I94" i="4"/>
  <c r="N45" i="8"/>
  <c r="O45" i="8" s="1"/>
  <c r="I172" i="4"/>
  <c r="Q140" i="9"/>
  <c r="R140" i="9" s="1"/>
  <c r="F22" i="16"/>
  <c r="H22" i="16" s="1"/>
  <c r="F65" i="16"/>
  <c r="H65" i="16" s="1"/>
  <c r="I402" i="7"/>
  <c r="G59" i="4" s="1"/>
  <c r="G60" i="5" s="1"/>
  <c r="I102" i="7"/>
  <c r="I103" i="7" s="1"/>
  <c r="D63" i="17"/>
  <c r="F63" i="17" s="1"/>
  <c r="D20" i="18"/>
  <c r="F20" i="18" s="1"/>
  <c r="I250" i="4"/>
  <c r="N38" i="8"/>
  <c r="O38" i="8" s="1"/>
  <c r="N23" i="9" s="1"/>
  <c r="O23" i="9" s="1"/>
  <c r="J329" i="5"/>
  <c r="D40" i="18"/>
  <c r="F40" i="18" s="1"/>
  <c r="D61" i="18"/>
  <c r="F61" i="18" s="1"/>
  <c r="F16" i="16"/>
  <c r="H16" i="16" s="1"/>
  <c r="G146" i="10"/>
  <c r="L146" i="10" s="1"/>
  <c r="G275" i="9"/>
  <c r="I275" i="9" s="1"/>
  <c r="G263" i="9"/>
  <c r="I263" i="9" s="1"/>
  <c r="G286" i="9"/>
  <c r="I286" i="9" s="1"/>
  <c r="N298" i="9"/>
  <c r="O298" i="9" s="1"/>
  <c r="N299" i="9"/>
  <c r="O299" i="9" s="1"/>
  <c r="F166" i="16" s="1"/>
  <c r="H166" i="16" s="1"/>
  <c r="N297" i="9"/>
  <c r="O297" i="9" s="1"/>
  <c r="I411" i="7"/>
  <c r="I412" i="7" s="1"/>
  <c r="G407" i="7"/>
  <c r="G451" i="4"/>
  <c r="G452" i="5" s="1"/>
  <c r="G217" i="4"/>
  <c r="G218" i="5" s="1"/>
  <c r="G61" i="4"/>
  <c r="G62" i="5" s="1"/>
  <c r="G48" i="15"/>
  <c r="G373" i="4"/>
  <c r="G374" i="5" s="1"/>
  <c r="G139" i="4"/>
  <c r="G140" i="5" s="1"/>
  <c r="G295" i="4"/>
  <c r="G296" i="5" s="1"/>
  <c r="G476" i="8"/>
  <c r="L476" i="8" s="1"/>
  <c r="G369" i="7"/>
  <c r="I369" i="7" s="1"/>
  <c r="I370" i="7" s="1"/>
  <c r="N254" i="9"/>
  <c r="O254" i="9" s="1"/>
  <c r="N256" i="9"/>
  <c r="O256" i="9" s="1"/>
  <c r="N257" i="9"/>
  <c r="O257" i="9" s="1"/>
  <c r="N255" i="9"/>
  <c r="O255" i="9" s="1"/>
  <c r="N253" i="9"/>
  <c r="O253" i="9" s="1"/>
  <c r="N250" i="9"/>
  <c r="O250" i="9" s="1"/>
  <c r="N135" i="10" s="1"/>
  <c r="O135" i="10" s="1"/>
  <c r="N251" i="9"/>
  <c r="O251" i="9" s="1"/>
  <c r="N252" i="9"/>
  <c r="O252" i="9" s="1"/>
  <c r="Q183" i="9"/>
  <c r="R183" i="9" s="1"/>
  <c r="Q182" i="9"/>
  <c r="R182" i="9" s="1"/>
  <c r="Q197" i="9"/>
  <c r="R197" i="9" s="1"/>
  <c r="Q198" i="9"/>
  <c r="R198" i="9" s="1"/>
  <c r="Q196" i="9"/>
  <c r="R196" i="9" s="1"/>
  <c r="H248" i="5"/>
  <c r="I247" i="4"/>
  <c r="N75" i="8"/>
  <c r="O75" i="8" s="1"/>
  <c r="Q212" i="9"/>
  <c r="R212" i="9" s="1"/>
  <c r="Q105" i="10" s="1"/>
  <c r="R105" i="10" s="1"/>
  <c r="Q213" i="9"/>
  <c r="R213" i="9" s="1"/>
  <c r="Q219" i="9"/>
  <c r="R219" i="9" s="1"/>
  <c r="Q214" i="9"/>
  <c r="R214" i="9" s="1"/>
  <c r="Q218" i="9"/>
  <c r="R218" i="9" s="1"/>
  <c r="Q215" i="9"/>
  <c r="R215" i="9" s="1"/>
  <c r="Q216" i="9"/>
  <c r="R216" i="9" s="1"/>
  <c r="Q217" i="9"/>
  <c r="R217" i="9" s="1"/>
  <c r="I157" i="7"/>
  <c r="Q306" i="9"/>
  <c r="R306" i="9" s="1"/>
  <c r="D11" i="17" s="1"/>
  <c r="F11" i="17" s="1"/>
  <c r="Q305" i="9"/>
  <c r="R305" i="9" s="1"/>
  <c r="Q304" i="9"/>
  <c r="R304" i="9" s="1"/>
  <c r="I473" i="8"/>
  <c r="N43" i="8"/>
  <c r="O43" i="8" s="1"/>
  <c r="N71" i="8"/>
  <c r="O71" i="8" s="1"/>
  <c r="F35" i="16"/>
  <c r="H35" i="16" s="1"/>
  <c r="Q189" i="9"/>
  <c r="R189" i="9" s="1"/>
  <c r="Q68" i="10" s="1"/>
  <c r="R68" i="10" s="1"/>
  <c r="Q191" i="9"/>
  <c r="R191" i="9" s="1"/>
  <c r="Q188" i="9"/>
  <c r="R188" i="9" s="1"/>
  <c r="Q63" i="10" s="1"/>
  <c r="R63" i="10" s="1"/>
  <c r="Q190" i="9"/>
  <c r="R190" i="9" s="1"/>
  <c r="Q66" i="9"/>
  <c r="R66" i="9" s="1"/>
  <c r="Q68" i="9"/>
  <c r="R68" i="9" s="1"/>
  <c r="Q65" i="9"/>
  <c r="R65" i="9" s="1"/>
  <c r="Q62" i="9"/>
  <c r="R62" i="9" s="1"/>
  <c r="Q28" i="10" s="1"/>
  <c r="R28" i="10" s="1"/>
  <c r="Q69" i="9"/>
  <c r="R69" i="9" s="1"/>
  <c r="Q67" i="9"/>
  <c r="R67" i="9" s="1"/>
  <c r="Q63" i="9"/>
  <c r="R63" i="9" s="1"/>
  <c r="Q64" i="9"/>
  <c r="R64" i="9" s="1"/>
  <c r="F40" i="16"/>
  <c r="H40" i="16" s="1"/>
  <c r="D21" i="18"/>
  <c r="F21" i="18" s="1"/>
  <c r="F58" i="16"/>
  <c r="H58" i="16" s="1"/>
  <c r="Q244" i="9"/>
  <c r="R244" i="9" s="1"/>
  <c r="Q243" i="9"/>
  <c r="R243" i="9" s="1"/>
  <c r="Q130" i="10" s="1"/>
  <c r="R130" i="10" s="1"/>
  <c r="Q245" i="9"/>
  <c r="R245" i="9" s="1"/>
  <c r="Q242" i="9"/>
  <c r="R242" i="9" s="1"/>
  <c r="Q125" i="10" s="1"/>
  <c r="R125" i="10" s="1"/>
  <c r="G337" i="9"/>
  <c r="L337" i="9" s="1"/>
  <c r="G392" i="8"/>
  <c r="I392" i="8" s="1"/>
  <c r="I397" i="8" s="1"/>
  <c r="I467" i="7"/>
  <c r="I468" i="7" s="1"/>
  <c r="G464" i="7"/>
  <c r="G383" i="4"/>
  <c r="G384" i="5" s="1"/>
  <c r="G57" i="15"/>
  <c r="G71" i="4"/>
  <c r="G72" i="5" s="1"/>
  <c r="G305" i="4"/>
  <c r="G306" i="5" s="1"/>
  <c r="G227" i="4"/>
  <c r="G228" i="5" s="1"/>
  <c r="G149" i="4"/>
  <c r="G150" i="5" s="1"/>
  <c r="G461" i="4"/>
  <c r="G462" i="5" s="1"/>
  <c r="N292" i="9"/>
  <c r="O292" i="9" s="1"/>
  <c r="N290" i="9"/>
  <c r="O290" i="9" s="1"/>
  <c r="N287" i="9"/>
  <c r="O287" i="9" s="1"/>
  <c r="N288" i="9"/>
  <c r="O288" i="9" s="1"/>
  <c r="N289" i="9"/>
  <c r="O289" i="9" s="1"/>
  <c r="N285" i="9"/>
  <c r="O285" i="9" s="1"/>
  <c r="N291" i="9"/>
  <c r="O291" i="9" s="1"/>
  <c r="N286" i="9"/>
  <c r="O286" i="9" s="1"/>
  <c r="G524" i="8"/>
  <c r="G472" i="7"/>
  <c r="I472" i="7" s="1"/>
  <c r="G353" i="9"/>
  <c r="L353" i="9" s="1"/>
  <c r="G519" i="8"/>
  <c r="I519" i="8" s="1"/>
  <c r="H96" i="5"/>
  <c r="I95" i="4"/>
  <c r="Q49" i="9"/>
  <c r="R49" i="9" s="1"/>
  <c r="Q292" i="9"/>
  <c r="R292" i="9" s="1"/>
  <c r="Q290" i="9"/>
  <c r="R290" i="9" s="1"/>
  <c r="Q286" i="9"/>
  <c r="R286" i="9" s="1"/>
  <c r="Q287" i="9"/>
  <c r="R287" i="9" s="1"/>
  <c r="Q291" i="9"/>
  <c r="R291" i="9" s="1"/>
  <c r="Q285" i="9"/>
  <c r="R285" i="9" s="1"/>
  <c r="Q288" i="9"/>
  <c r="R288" i="9" s="1"/>
  <c r="Q289" i="9"/>
  <c r="R289" i="9" s="1"/>
  <c r="N294" i="8"/>
  <c r="O294" i="8" s="1"/>
  <c r="N182" i="9" s="1"/>
  <c r="O182" i="9" s="1"/>
  <c r="N296" i="8"/>
  <c r="O296" i="8" s="1"/>
  <c r="N300" i="8"/>
  <c r="O300" i="8" s="1"/>
  <c r="N299" i="8"/>
  <c r="O299" i="8" s="1"/>
  <c r="N298" i="8"/>
  <c r="O298" i="8" s="1"/>
  <c r="N295" i="8"/>
  <c r="O295" i="8" s="1"/>
  <c r="N189" i="9" s="1"/>
  <c r="O189" i="9" s="1"/>
  <c r="N68" i="10" s="1"/>
  <c r="O68" i="10" s="1"/>
  <c r="N297" i="8"/>
  <c r="O297" i="8" s="1"/>
  <c r="Q380" i="9"/>
  <c r="R380" i="9" s="1"/>
  <c r="Q378" i="9"/>
  <c r="R378" i="9" s="1"/>
  <c r="Q376" i="9"/>
  <c r="R376" i="9" s="1"/>
  <c r="D45" i="18" s="1"/>
  <c r="F45" i="18" s="1"/>
  <c r="Q374" i="9"/>
  <c r="R374" i="9" s="1"/>
  <c r="Q253" i="10" s="1"/>
  <c r="R253" i="10" s="1"/>
  <c r="Q379" i="9"/>
  <c r="R379" i="9" s="1"/>
  <c r="Q375" i="9"/>
  <c r="R375" i="9" s="1"/>
  <c r="D33" i="18" s="1"/>
  <c r="F33" i="18" s="1"/>
  <c r="Q377" i="9"/>
  <c r="R377" i="9" s="1"/>
  <c r="Q381" i="9"/>
  <c r="R381" i="9" s="1"/>
  <c r="I406" i="4"/>
  <c r="H407" i="5"/>
  <c r="G483" i="8"/>
  <c r="L483" i="8" s="1"/>
  <c r="G385" i="7"/>
  <c r="I385" i="7" s="1"/>
  <c r="I389" i="7" s="1"/>
  <c r="H408" i="5"/>
  <c r="I407" i="4"/>
  <c r="N326" i="9"/>
  <c r="O326" i="9" s="1"/>
  <c r="N325" i="9"/>
  <c r="O325" i="9" s="1"/>
  <c r="N327" i="9"/>
  <c r="O327" i="9" s="1"/>
  <c r="Q325" i="9"/>
  <c r="R325" i="9" s="1"/>
  <c r="Q326" i="9"/>
  <c r="R326" i="9" s="1"/>
  <c r="Q327" i="9"/>
  <c r="R327" i="9" s="1"/>
  <c r="F88" i="16"/>
  <c r="H88" i="16" s="1"/>
  <c r="G201" i="8"/>
  <c r="L201" i="8" s="1"/>
  <c r="G208" i="7"/>
  <c r="I208" i="7" s="1"/>
  <c r="G260" i="8"/>
  <c r="L260" i="8" s="1"/>
  <c r="G240" i="7"/>
  <c r="I240" i="7" s="1"/>
  <c r="I244" i="7" s="1"/>
  <c r="N338" i="9"/>
  <c r="O338" i="9" s="1"/>
  <c r="N339" i="9"/>
  <c r="O339" i="9" s="1"/>
  <c r="F159" i="16" s="1"/>
  <c r="H159" i="16" s="1"/>
  <c r="V92" i="5"/>
  <c r="P92" i="5"/>
  <c r="M92" i="5"/>
  <c r="S92" i="5"/>
  <c r="J92" i="5"/>
  <c r="I92" i="5"/>
  <c r="I325" i="4"/>
  <c r="H326" i="5"/>
  <c r="H174" i="5"/>
  <c r="I173" i="4"/>
  <c r="I23" i="7"/>
  <c r="I24" i="7" s="1"/>
  <c r="G16" i="7"/>
  <c r="G9" i="4"/>
  <c r="G10" i="5" s="1"/>
  <c r="G43" i="15"/>
  <c r="N276" i="8"/>
  <c r="O276" i="8" s="1"/>
  <c r="N282" i="8"/>
  <c r="O282" i="8" s="1"/>
  <c r="N279" i="8"/>
  <c r="O279" i="8" s="1"/>
  <c r="N101" i="9" s="1"/>
  <c r="O101" i="9" s="1"/>
  <c r="N281" i="8"/>
  <c r="O281" i="8" s="1"/>
  <c r="N280" i="8"/>
  <c r="O280" i="8" s="1"/>
  <c r="F74" i="16" s="1"/>
  <c r="H74" i="16" s="1"/>
  <c r="N278" i="8"/>
  <c r="O278" i="8" s="1"/>
  <c r="N92" i="9" s="1"/>
  <c r="O92" i="9" s="1"/>
  <c r="N277" i="8"/>
  <c r="O277" i="8" s="1"/>
  <c r="N319" i="9"/>
  <c r="O319" i="9" s="1"/>
  <c r="N320" i="9"/>
  <c r="O320" i="9" s="1"/>
  <c r="F116" i="16" s="1"/>
  <c r="H116" i="16" s="1"/>
  <c r="N318" i="9"/>
  <c r="O318" i="9" s="1"/>
  <c r="I169" i="4"/>
  <c r="H170" i="5"/>
  <c r="Q151" i="9"/>
  <c r="R151" i="9" s="1"/>
  <c r="Q156" i="9"/>
  <c r="R156" i="9" s="1"/>
  <c r="Q152" i="9"/>
  <c r="R152" i="9" s="1"/>
  <c r="Q154" i="9"/>
  <c r="R154" i="9" s="1"/>
  <c r="Q155" i="9"/>
  <c r="R155" i="9" s="1"/>
  <c r="Q153" i="9"/>
  <c r="R153" i="9" s="1"/>
  <c r="Q150" i="9"/>
  <c r="R150" i="9" s="1"/>
  <c r="Q48" i="10" s="1"/>
  <c r="R48" i="10" s="1"/>
  <c r="Q157" i="9"/>
  <c r="R157" i="9" s="1"/>
  <c r="N264" i="9"/>
  <c r="O264" i="9" s="1"/>
  <c r="N267" i="9"/>
  <c r="O267" i="9" s="1"/>
  <c r="N269" i="9"/>
  <c r="O269" i="9" s="1"/>
  <c r="N266" i="9"/>
  <c r="O266" i="9" s="1"/>
  <c r="N268" i="9"/>
  <c r="O268" i="9" s="1"/>
  <c r="N265" i="9"/>
  <c r="O265" i="9" s="1"/>
  <c r="N262" i="9"/>
  <c r="O262" i="9" s="1"/>
  <c r="N263" i="9"/>
  <c r="O263" i="9" s="1"/>
  <c r="N263" i="8"/>
  <c r="O263" i="8" s="1"/>
  <c r="N261" i="8"/>
  <c r="O261" i="8" s="1"/>
  <c r="N262" i="8"/>
  <c r="O262" i="8" s="1"/>
  <c r="N156" i="9"/>
  <c r="O156" i="9" s="1"/>
  <c r="N153" i="9"/>
  <c r="O153" i="9" s="1"/>
  <c r="N150" i="9"/>
  <c r="O150" i="9" s="1"/>
  <c r="N48" i="10" s="1"/>
  <c r="O48" i="10" s="1"/>
  <c r="N151" i="9"/>
  <c r="O151" i="9" s="1"/>
  <c r="N155" i="9"/>
  <c r="O155" i="9" s="1"/>
  <c r="N157" i="9"/>
  <c r="O157" i="9" s="1"/>
  <c r="N152" i="9"/>
  <c r="O152" i="9" s="1"/>
  <c r="N154" i="9"/>
  <c r="O154" i="9" s="1"/>
  <c r="D40" i="17"/>
  <c r="F40" i="17" s="1"/>
  <c r="F156" i="16"/>
  <c r="H156" i="16" s="1"/>
  <c r="N72" i="8"/>
  <c r="O72" i="8" s="1"/>
  <c r="G139" i="10"/>
  <c r="L139" i="10" s="1"/>
  <c r="G262" i="9"/>
  <c r="I262" i="9" s="1"/>
  <c r="G285" i="9"/>
  <c r="I285" i="9" s="1"/>
  <c r="G274" i="9"/>
  <c r="I274" i="9" s="1"/>
  <c r="D30" i="18"/>
  <c r="F30" i="18" s="1"/>
  <c r="N74" i="8"/>
  <c r="O74" i="8" s="1"/>
  <c r="D13" i="18"/>
  <c r="F13" i="18" s="1"/>
  <c r="F192" i="16"/>
  <c r="H192" i="16" s="1"/>
  <c r="I560" i="8"/>
  <c r="I48" i="7"/>
  <c r="N245" i="9"/>
  <c r="O245" i="9" s="1"/>
  <c r="N242" i="9"/>
  <c r="O242" i="9" s="1"/>
  <c r="N125" i="10" s="1"/>
  <c r="O125" i="10" s="1"/>
  <c r="N244" i="9"/>
  <c r="O244" i="9" s="1"/>
  <c r="N243" i="9"/>
  <c r="O243" i="9" s="1"/>
  <c r="N130" i="10" s="1"/>
  <c r="O130" i="10" s="1"/>
  <c r="Q362" i="9"/>
  <c r="R362" i="9" s="1"/>
  <c r="Q208" i="10" s="1"/>
  <c r="R208" i="10" s="1"/>
  <c r="Q363" i="9"/>
  <c r="R363" i="9" s="1"/>
  <c r="Q360" i="9"/>
  <c r="R360" i="9" s="1"/>
  <c r="Q364" i="9"/>
  <c r="R364" i="9" s="1"/>
  <c r="D87" i="17" s="1"/>
  <c r="F87" i="17" s="1"/>
  <c r="Q359" i="9"/>
  <c r="R359" i="9" s="1"/>
  <c r="Q361" i="9"/>
  <c r="R361" i="9" s="1"/>
  <c r="Q203" i="9"/>
  <c r="R203" i="9" s="1"/>
  <c r="Q95" i="10" s="1"/>
  <c r="R95" i="10" s="1"/>
  <c r="Q206" i="9"/>
  <c r="R206" i="9" s="1"/>
  <c r="Q205" i="9"/>
  <c r="R205" i="9" s="1"/>
  <c r="Q207" i="9"/>
  <c r="R207" i="9" s="1"/>
  <c r="Q204" i="9"/>
  <c r="R204" i="9" s="1"/>
  <c r="Q100" i="10" s="1"/>
  <c r="R100" i="10" s="1"/>
  <c r="N312" i="9"/>
  <c r="O312" i="9" s="1"/>
  <c r="N311" i="9"/>
  <c r="O311" i="9" s="1"/>
  <c r="N313" i="9"/>
  <c r="O313" i="9" s="1"/>
  <c r="H249" i="5"/>
  <c r="I248" i="4"/>
  <c r="Q251" i="9"/>
  <c r="R251" i="9" s="1"/>
  <c r="Q256" i="9"/>
  <c r="R256" i="9" s="1"/>
  <c r="Q254" i="9"/>
  <c r="R254" i="9" s="1"/>
  <c r="Q255" i="9"/>
  <c r="R255" i="9" s="1"/>
  <c r="Q252" i="9"/>
  <c r="R252" i="9" s="1"/>
  <c r="Q250" i="9"/>
  <c r="R250" i="9" s="1"/>
  <c r="Q135" i="10" s="1"/>
  <c r="R135" i="10" s="1"/>
  <c r="Q253" i="9"/>
  <c r="R253" i="9" s="1"/>
  <c r="Q257" i="9"/>
  <c r="R257" i="9" s="1"/>
  <c r="H102" i="5"/>
  <c r="I101" i="4"/>
  <c r="H15" i="5"/>
  <c r="I14" i="4"/>
  <c r="I147" i="7"/>
  <c r="I148" i="7" s="1"/>
  <c r="G143" i="7"/>
  <c r="G58" i="15"/>
  <c r="G26" i="4"/>
  <c r="G27" i="5" s="1"/>
  <c r="G338" i="4"/>
  <c r="G339" i="5" s="1"/>
  <c r="G260" i="4"/>
  <c r="G261" i="5" s="1"/>
  <c r="G104" i="4"/>
  <c r="G105" i="5" s="1"/>
  <c r="G182" i="4"/>
  <c r="G183" i="5" s="1"/>
  <c r="G416" i="4"/>
  <c r="G417" i="5" s="1"/>
  <c r="N332" i="9"/>
  <c r="O332" i="9" s="1"/>
  <c r="N333" i="9"/>
  <c r="O333" i="9" s="1"/>
  <c r="F165" i="16"/>
  <c r="H165" i="16" s="1"/>
  <c r="H414" i="5"/>
  <c r="I413" i="4"/>
  <c r="H252" i="5"/>
  <c r="I251" i="4"/>
  <c r="M173" i="5"/>
  <c r="V173" i="5"/>
  <c r="S173" i="5"/>
  <c r="J173" i="5"/>
  <c r="P173" i="5"/>
  <c r="I173" i="5"/>
  <c r="Q332" i="9"/>
  <c r="R332" i="9" s="1"/>
  <c r="Q333" i="9"/>
  <c r="R333" i="9" s="1"/>
  <c r="I226" i="7"/>
  <c r="I227" i="7" s="1"/>
  <c r="G223" i="7"/>
  <c r="L223" i="7" s="1"/>
  <c r="G44" i="15"/>
  <c r="G382" i="4"/>
  <c r="G383" i="5" s="1"/>
  <c r="G426" i="4"/>
  <c r="G427" i="5" s="1"/>
  <c r="G114" i="4"/>
  <c r="G115" i="5" s="1"/>
  <c r="G270" i="4"/>
  <c r="G271" i="5" s="1"/>
  <c r="G460" i="4"/>
  <c r="G461" i="5" s="1"/>
  <c r="G70" i="4"/>
  <c r="G71" i="5" s="1"/>
  <c r="G226" i="4"/>
  <c r="G227" i="5" s="1"/>
  <c r="G148" i="4"/>
  <c r="G149" i="5" s="1"/>
  <c r="G192" i="4"/>
  <c r="G193" i="5" s="1"/>
  <c r="G36" i="4"/>
  <c r="G37" i="5" s="1"/>
  <c r="G348" i="4"/>
  <c r="G349" i="5" s="1"/>
  <c r="G304" i="4"/>
  <c r="G305" i="5" s="1"/>
  <c r="I420" i="7"/>
  <c r="I421" i="7" s="1"/>
  <c r="G415" i="7"/>
  <c r="L415" i="7" s="1"/>
  <c r="G296" i="4"/>
  <c r="G297" i="5" s="1"/>
  <c r="G140" i="4"/>
  <c r="G141" i="5" s="1"/>
  <c r="G218" i="4"/>
  <c r="G219" i="5" s="1"/>
  <c r="G62" i="4"/>
  <c r="G63" i="5" s="1"/>
  <c r="G55" i="15"/>
  <c r="G374" i="4"/>
  <c r="G375" i="5" s="1"/>
  <c r="G452" i="4"/>
  <c r="G453" i="5" s="1"/>
  <c r="Q319" i="9"/>
  <c r="R319" i="9" s="1"/>
  <c r="Q320" i="9"/>
  <c r="R320" i="9" s="1"/>
  <c r="D8" i="17" s="1"/>
  <c r="F8" i="17" s="1"/>
  <c r="Q318" i="9"/>
  <c r="R318" i="9" s="1"/>
  <c r="Q279" i="9"/>
  <c r="R279" i="9" s="1"/>
  <c r="Q275" i="9"/>
  <c r="R275" i="9" s="1"/>
  <c r="Q276" i="9"/>
  <c r="R276" i="9" s="1"/>
  <c r="Q274" i="9"/>
  <c r="R274" i="9" s="1"/>
  <c r="Q278" i="9"/>
  <c r="R278" i="9" s="1"/>
  <c r="Q280" i="9"/>
  <c r="R280" i="9" s="1"/>
  <c r="D42" i="17" s="1"/>
  <c r="F42" i="17" s="1"/>
  <c r="Q277" i="9"/>
  <c r="R277" i="9" s="1"/>
  <c r="N566" i="8"/>
  <c r="O566" i="8" s="1"/>
  <c r="N403" i="9" s="1"/>
  <c r="O403" i="9" s="1"/>
  <c r="N564" i="8"/>
  <c r="O564" i="8" s="1"/>
  <c r="N565" i="8"/>
  <c r="O565" i="8" s="1"/>
  <c r="N398" i="9" s="1"/>
  <c r="O398" i="9" s="1"/>
  <c r="G331" i="9"/>
  <c r="L331" i="9" s="1"/>
  <c r="G383" i="8"/>
  <c r="I383" i="8" s="1"/>
  <c r="I388" i="8" s="1"/>
  <c r="N73" i="8"/>
  <c r="O73" i="8" s="1"/>
  <c r="H404" i="5"/>
  <c r="I403" i="4"/>
  <c r="H18" i="5"/>
  <c r="I17" i="4"/>
  <c r="Q225" i="9"/>
  <c r="R225" i="9" s="1"/>
  <c r="Q230" i="9"/>
  <c r="R230" i="9" s="1"/>
  <c r="Q228" i="9"/>
  <c r="R228" i="9" s="1"/>
  <c r="Q226" i="9"/>
  <c r="R226" i="9" s="1"/>
  <c r="Q229" i="9"/>
  <c r="R229" i="9" s="1"/>
  <c r="Q231" i="9"/>
  <c r="R231" i="9" s="1"/>
  <c r="Q224" i="9"/>
  <c r="R224" i="9" s="1"/>
  <c r="Q110" i="10" s="1"/>
  <c r="R110" i="10" s="1"/>
  <c r="Q227" i="9"/>
  <c r="R227" i="9" s="1"/>
  <c r="I326" i="4"/>
  <c r="H327" i="5"/>
  <c r="Q237" i="9"/>
  <c r="R237" i="9" s="1"/>
  <c r="Q236" i="9"/>
  <c r="R236" i="9" s="1"/>
  <c r="I203" i="7"/>
  <c r="I204" i="7" s="1"/>
  <c r="G200" i="7"/>
  <c r="L200" i="7" s="1"/>
  <c r="G42" i="15"/>
  <c r="G423" i="4"/>
  <c r="G424" i="5" s="1"/>
  <c r="G111" i="4"/>
  <c r="G112" i="5" s="1"/>
  <c r="G33" i="4"/>
  <c r="G34" i="5" s="1"/>
  <c r="G267" i="4"/>
  <c r="G268" i="5" s="1"/>
  <c r="G345" i="4"/>
  <c r="G346" i="5" s="1"/>
  <c r="G189" i="4"/>
  <c r="G190" i="5" s="1"/>
  <c r="N39" i="8"/>
  <c r="O39" i="8" s="1"/>
  <c r="N77" i="8"/>
  <c r="O77" i="8" s="1"/>
  <c r="H405" i="5"/>
  <c r="I404" i="4"/>
  <c r="N41" i="8"/>
  <c r="O41" i="8" s="1"/>
  <c r="Q339" i="9"/>
  <c r="R339" i="9" s="1"/>
  <c r="D10" i="17" s="1"/>
  <c r="F10" i="17" s="1"/>
  <c r="Q338" i="9"/>
  <c r="R338" i="9" s="1"/>
  <c r="N289" i="8"/>
  <c r="O289" i="8" s="1"/>
  <c r="N287" i="8"/>
  <c r="O287" i="8" s="1"/>
  <c r="N288" i="8"/>
  <c r="O288" i="8" s="1"/>
  <c r="G209" i="8"/>
  <c r="L209" i="8" s="1"/>
  <c r="G209" i="7"/>
  <c r="I209" i="7" s="1"/>
  <c r="F117" i="16"/>
  <c r="H117" i="16" s="1"/>
  <c r="I91" i="7"/>
  <c r="N418" i="9"/>
  <c r="O418" i="9" s="1"/>
  <c r="D20" i="17"/>
  <c r="F20" i="17" s="1"/>
  <c r="N76" i="8"/>
  <c r="O76" i="8" s="1"/>
  <c r="G27" i="7"/>
  <c r="I32" i="7"/>
  <c r="I33" i="7" s="1"/>
  <c r="G402" i="4"/>
  <c r="G403" i="5" s="1"/>
  <c r="G27" i="15"/>
  <c r="G168" i="4"/>
  <c r="G169" i="5" s="1"/>
  <c r="G12" i="4"/>
  <c r="G13" i="5" s="1"/>
  <c r="G90" i="4"/>
  <c r="G91" i="5" s="1"/>
  <c r="G246" i="4"/>
  <c r="G247" i="5" s="1"/>
  <c r="G324" i="4"/>
  <c r="G325" i="5" s="1"/>
  <c r="Q105" i="9"/>
  <c r="R105" i="9" s="1"/>
  <c r="Q104" i="9"/>
  <c r="R104" i="9" s="1"/>
  <c r="Q102" i="9"/>
  <c r="R102" i="9" s="1"/>
  <c r="Q99" i="9"/>
  <c r="R99" i="9" s="1"/>
  <c r="Q101" i="9"/>
  <c r="R101" i="9" s="1"/>
  <c r="Q103" i="9"/>
  <c r="R103" i="9" s="1"/>
  <c r="Q100" i="9"/>
  <c r="R100" i="9" s="1"/>
  <c r="Q98" i="9"/>
  <c r="R98" i="9" s="1"/>
  <c r="Q43" i="10" s="1"/>
  <c r="R43" i="10" s="1"/>
  <c r="I114" i="7"/>
  <c r="D42" i="18"/>
  <c r="F42" i="18" s="1"/>
  <c r="F12" i="16"/>
  <c r="H12" i="16" s="1"/>
  <c r="F129" i="16"/>
  <c r="H129" i="16" s="1"/>
  <c r="G267" i="8"/>
  <c r="L267" i="8" s="1"/>
  <c r="G378" i="7"/>
  <c r="I378" i="7" s="1"/>
  <c r="I379" i="7" s="1"/>
  <c r="G298" i="7"/>
  <c r="I298" i="7" s="1"/>
  <c r="I302" i="7" s="1"/>
  <c r="G252" i="7"/>
  <c r="I252" i="7" s="1"/>
  <c r="I256" i="7" s="1"/>
  <c r="N362" i="9"/>
  <c r="O362" i="9" s="1"/>
  <c r="N210" i="10" s="1"/>
  <c r="O210" i="10" s="1"/>
  <c r="N361" i="9"/>
  <c r="O361" i="9" s="1"/>
  <c r="N363" i="9"/>
  <c r="O363" i="9" s="1"/>
  <c r="N360" i="9"/>
  <c r="O360" i="9" s="1"/>
  <c r="N359" i="9"/>
  <c r="O359" i="9" s="1"/>
  <c r="N364" i="9"/>
  <c r="O364" i="9" s="1"/>
  <c r="F83" i="16" s="1"/>
  <c r="H83" i="16" s="1"/>
  <c r="G216" i="8"/>
  <c r="L216" i="8" s="1"/>
  <c r="G210" i="7"/>
  <c r="I210" i="7" s="1"/>
  <c r="N236" i="9"/>
  <c r="O236" i="9" s="1"/>
  <c r="N237" i="9"/>
  <c r="O237" i="9" s="1"/>
  <c r="D15" i="18"/>
  <c r="F15" i="18" s="1"/>
  <c r="H258" i="5"/>
  <c r="I257" i="4"/>
  <c r="M17" i="5"/>
  <c r="P17" i="5"/>
  <c r="J17" i="5"/>
  <c r="S17" i="5"/>
  <c r="V17" i="5"/>
  <c r="I17" i="5"/>
  <c r="H93" i="5"/>
  <c r="I92" i="4"/>
  <c r="I121" i="8"/>
  <c r="H336" i="5"/>
  <c r="I335" i="4"/>
  <c r="Q145" i="9"/>
  <c r="R145" i="9" s="1"/>
  <c r="H180" i="5"/>
  <c r="I179" i="4"/>
  <c r="Q312" i="9"/>
  <c r="R312" i="9" s="1"/>
  <c r="Q311" i="9"/>
  <c r="R311" i="9" s="1"/>
  <c r="Q313" i="9"/>
  <c r="R313" i="9" s="1"/>
  <c r="D12" i="17" s="1"/>
  <c r="F12" i="17" s="1"/>
  <c r="N145" i="9"/>
  <c r="O145" i="9" s="1"/>
  <c r="H330" i="5"/>
  <c r="I329" i="4"/>
  <c r="D120" i="17"/>
  <c r="F120" i="17" s="1"/>
  <c r="G232" i="10"/>
  <c r="L232" i="10" s="1"/>
  <c r="G361" i="9"/>
  <c r="I361" i="9" s="1"/>
  <c r="N140" i="9"/>
  <c r="O140" i="9" s="1"/>
  <c r="D105" i="17"/>
  <c r="F105" i="17" s="1"/>
  <c r="Q93" i="9"/>
  <c r="R93" i="9" s="1"/>
  <c r="Q89" i="9"/>
  <c r="R89" i="9" s="1"/>
  <c r="Q91" i="9"/>
  <c r="R91" i="9" s="1"/>
  <c r="Q92" i="9"/>
  <c r="R92" i="9" s="1"/>
  <c r="Q88" i="9"/>
  <c r="R88" i="9" s="1"/>
  <c r="Q90" i="9"/>
  <c r="R90" i="9" s="1"/>
  <c r="Q87" i="9"/>
  <c r="R87" i="9" s="1"/>
  <c r="Q86" i="9"/>
  <c r="R86" i="9" s="1"/>
  <c r="Q38" i="10" s="1"/>
  <c r="R38" i="10" s="1"/>
  <c r="N381" i="9"/>
  <c r="O381" i="9" s="1"/>
  <c r="N375" i="9"/>
  <c r="O375" i="9" s="1"/>
  <c r="F136" i="16" s="1"/>
  <c r="H136" i="16" s="1"/>
  <c r="N377" i="9"/>
  <c r="O377" i="9" s="1"/>
  <c r="N374" i="9"/>
  <c r="O374" i="9" s="1"/>
  <c r="N253" i="10" s="1"/>
  <c r="O253" i="10" s="1"/>
  <c r="N379" i="9"/>
  <c r="O379" i="9" s="1"/>
  <c r="N376" i="9"/>
  <c r="O376" i="9" s="1"/>
  <c r="F134" i="16" s="1"/>
  <c r="H134" i="16" s="1"/>
  <c r="N380" i="9"/>
  <c r="O380" i="9" s="1"/>
  <c r="N378" i="9"/>
  <c r="O378" i="9" s="1"/>
  <c r="N423" i="9"/>
  <c r="O423" i="9" s="1"/>
  <c r="Q298" i="9"/>
  <c r="R298" i="9" s="1"/>
  <c r="Q299" i="9"/>
  <c r="R299" i="9" s="1"/>
  <c r="D13" i="17" s="1"/>
  <c r="F13" i="17" s="1"/>
  <c r="Q297" i="9"/>
  <c r="R297" i="9" s="1"/>
  <c r="D22" i="18"/>
  <c r="F22" i="18" s="1"/>
  <c r="I494" i="7"/>
  <c r="N305" i="9"/>
  <c r="O305" i="9" s="1"/>
  <c r="N304" i="9"/>
  <c r="O304" i="9" s="1"/>
  <c r="N306" i="9"/>
  <c r="O306" i="9" s="1"/>
  <c r="F162" i="16" s="1"/>
  <c r="H162" i="16" s="1"/>
  <c r="I138" i="7"/>
  <c r="I459" i="7"/>
  <c r="D24" i="18"/>
  <c r="F24" i="18" s="1"/>
  <c r="N276" i="9"/>
  <c r="O276" i="9" s="1"/>
  <c r="N280" i="9"/>
  <c r="O280" i="9" s="1"/>
  <c r="F146" i="16" s="1"/>
  <c r="H146" i="16" s="1"/>
  <c r="N277" i="9"/>
  <c r="O277" i="9" s="1"/>
  <c r="N279" i="9"/>
  <c r="O279" i="9" s="1"/>
  <c r="N274" i="9"/>
  <c r="O274" i="9" s="1"/>
  <c r="N278" i="9"/>
  <c r="O278" i="9" s="1"/>
  <c r="N275" i="9"/>
  <c r="O275" i="9" s="1"/>
  <c r="D23" i="18"/>
  <c r="F23" i="18" s="1"/>
  <c r="N505" i="8"/>
  <c r="O505" i="8" s="1"/>
  <c r="N509" i="8"/>
  <c r="O509" i="8" s="1"/>
  <c r="N508" i="8"/>
  <c r="O508" i="8" s="1"/>
  <c r="N506" i="8"/>
  <c r="O506" i="8" s="1"/>
  <c r="N510" i="8"/>
  <c r="O510" i="8" s="1"/>
  <c r="N507" i="8"/>
  <c r="O507" i="8" s="1"/>
  <c r="N504" i="8"/>
  <c r="O504" i="8" s="1"/>
  <c r="G195" i="9"/>
  <c r="L195" i="9" s="1"/>
  <c r="G276" i="8"/>
  <c r="I276" i="8" s="1"/>
  <c r="F72" i="16"/>
  <c r="H72" i="16" s="1"/>
  <c r="Q265" i="9"/>
  <c r="R265" i="9" s="1"/>
  <c r="Q268" i="9"/>
  <c r="R268" i="9" s="1"/>
  <c r="Q263" i="9"/>
  <c r="R263" i="9" s="1"/>
  <c r="Q266" i="9"/>
  <c r="R266" i="9" s="1"/>
  <c r="Q262" i="9"/>
  <c r="R262" i="9" s="1"/>
  <c r="Q269" i="9"/>
  <c r="R269" i="9" s="1"/>
  <c r="Q267" i="9"/>
  <c r="R267" i="9" s="1"/>
  <c r="Q264" i="9"/>
  <c r="R264" i="9" s="1"/>
  <c r="F113" i="16"/>
  <c r="H113" i="16" s="1"/>
  <c r="F191" i="16"/>
  <c r="H191" i="16" s="1"/>
  <c r="H24" i="5"/>
  <c r="I23" i="4"/>
  <c r="F151" i="16"/>
  <c r="H151" i="16" s="1"/>
  <c r="H171" i="5"/>
  <c r="I170" i="4"/>
  <c r="I540" i="8"/>
  <c r="V14" i="5"/>
  <c r="M14" i="5"/>
  <c r="J14" i="5"/>
  <c r="P14" i="5"/>
  <c r="S14" i="5"/>
  <c r="I14" i="5"/>
  <c r="Q55" i="9" l="1"/>
  <c r="R55" i="9" s="1"/>
  <c r="Q23" i="10" s="1"/>
  <c r="R23" i="10" s="1"/>
  <c r="Q56" i="9"/>
  <c r="R56" i="9" s="1"/>
  <c r="Q8" i="10" s="1"/>
  <c r="R8" i="10" s="1"/>
  <c r="Q57" i="9"/>
  <c r="R57" i="9" s="1"/>
  <c r="I301" i="8"/>
  <c r="Q75" i="9"/>
  <c r="R75" i="9" s="1"/>
  <c r="Q79" i="9"/>
  <c r="R79" i="9" s="1"/>
  <c r="Q78" i="9"/>
  <c r="R78" i="9" s="1"/>
  <c r="D11" i="18"/>
  <c r="F11" i="18" s="1"/>
  <c r="Q77" i="9"/>
  <c r="R77" i="9" s="1"/>
  <c r="Q393" i="9"/>
  <c r="R393" i="9" s="1"/>
  <c r="Q81" i="9"/>
  <c r="R81" i="9" s="1"/>
  <c r="Q80" i="9"/>
  <c r="R80" i="9" s="1"/>
  <c r="Q74" i="9"/>
  <c r="R74" i="9" s="1"/>
  <c r="Q33" i="10" s="1"/>
  <c r="R33" i="10" s="1"/>
  <c r="I452" i="8"/>
  <c r="G445" i="8" s="1"/>
  <c r="L445" i="8" s="1"/>
  <c r="Q386" i="9"/>
  <c r="R386" i="9" s="1"/>
  <c r="Q258" i="10" s="1"/>
  <c r="R258" i="10" s="1"/>
  <c r="Q388" i="9"/>
  <c r="R388" i="9" s="1"/>
  <c r="Q391" i="9"/>
  <c r="R391" i="9" s="1"/>
  <c r="Q387" i="9"/>
  <c r="R387" i="9" s="1"/>
  <c r="Q389" i="9"/>
  <c r="R389" i="9" s="1"/>
  <c r="Q392" i="9"/>
  <c r="R392" i="9" s="1"/>
  <c r="I544" i="7"/>
  <c r="I545" i="7" s="1"/>
  <c r="H14" i="15" s="1"/>
  <c r="D82" i="17"/>
  <c r="F82" i="17" s="1"/>
  <c r="G536" i="7"/>
  <c r="G410" i="8"/>
  <c r="I410" i="8" s="1"/>
  <c r="I415" i="8" s="1"/>
  <c r="G409" i="8" s="1"/>
  <c r="L409" i="8" s="1"/>
  <c r="G243" i="4"/>
  <c r="G244" i="5" s="1"/>
  <c r="G477" i="4"/>
  <c r="G478" i="5" s="1"/>
  <c r="G347" i="8"/>
  <c r="I347" i="8" s="1"/>
  <c r="I352" i="8" s="1"/>
  <c r="G365" i="8"/>
  <c r="I365" i="8" s="1"/>
  <c r="I370" i="8" s="1"/>
  <c r="G281" i="7" s="1"/>
  <c r="I281" i="7" s="1"/>
  <c r="G428" i="8"/>
  <c r="I428" i="8" s="1"/>
  <c r="I433" i="8" s="1"/>
  <c r="G288" i="7" s="1"/>
  <c r="I288" i="7" s="1"/>
  <c r="G399" i="4"/>
  <c r="G400" i="5" s="1"/>
  <c r="G87" i="4"/>
  <c r="G88" i="5" s="1"/>
  <c r="G321" i="4"/>
  <c r="G322" i="5" s="1"/>
  <c r="G165" i="4"/>
  <c r="G166" i="5" s="1"/>
  <c r="I223" i="10"/>
  <c r="G215" i="10" s="1"/>
  <c r="L215" i="10" s="1"/>
  <c r="I283" i="8"/>
  <c r="G275" i="8" s="1"/>
  <c r="L275" i="8" s="1"/>
  <c r="G374" i="8"/>
  <c r="I374" i="8" s="1"/>
  <c r="I379" i="8" s="1"/>
  <c r="G282" i="7" s="1"/>
  <c r="I282" i="7" s="1"/>
  <c r="G7" i="7"/>
  <c r="I520" i="7"/>
  <c r="G517" i="7" s="1"/>
  <c r="G25" i="15"/>
  <c r="G419" i="4"/>
  <c r="G420" i="5" s="1"/>
  <c r="G324" i="9"/>
  <c r="L324" i="9" s="1"/>
  <c r="N56" i="9"/>
  <c r="O56" i="9" s="1"/>
  <c r="G157" i="4"/>
  <c r="G158" i="5" s="1"/>
  <c r="G465" i="4"/>
  <c r="G466" i="5" s="1"/>
  <c r="G469" i="4"/>
  <c r="G470" i="5" s="1"/>
  <c r="G419" i="8"/>
  <c r="I419" i="8" s="1"/>
  <c r="I424" i="8" s="1"/>
  <c r="G418" i="8" s="1"/>
  <c r="L418" i="8" s="1"/>
  <c r="G356" i="8"/>
  <c r="I356" i="8" s="1"/>
  <c r="I361" i="8" s="1"/>
  <c r="G355" i="8" s="1"/>
  <c r="L355" i="8" s="1"/>
  <c r="G41" i="15"/>
  <c r="G75" i="4"/>
  <c r="G76" i="5" s="1"/>
  <c r="G371" i="4"/>
  <c r="G372" i="5" s="1"/>
  <c r="G79" i="4"/>
  <c r="G80" i="5" s="1"/>
  <c r="G293" i="4"/>
  <c r="G294" i="5" s="1"/>
  <c r="N48" i="9"/>
  <c r="O48" i="9" s="1"/>
  <c r="G420" i="4"/>
  <c r="G421" i="5" s="1"/>
  <c r="G283" i="4"/>
  <c r="G284" i="5" s="1"/>
  <c r="I196" i="7"/>
  <c r="I197" i="7" s="1"/>
  <c r="G361" i="4"/>
  <c r="G362" i="5" s="1"/>
  <c r="I311" i="8"/>
  <c r="G304" i="8" s="1"/>
  <c r="L304" i="8" s="1"/>
  <c r="G49" i="4"/>
  <c r="G50" i="5" s="1"/>
  <c r="G127" i="4"/>
  <c r="G128" i="5" s="1"/>
  <c r="G7" i="15"/>
  <c r="G320" i="4"/>
  <c r="G321" i="5" s="1"/>
  <c r="G401" i="8"/>
  <c r="I401" i="8" s="1"/>
  <c r="I406" i="8" s="1"/>
  <c r="G285" i="7" s="1"/>
  <c r="I285" i="7" s="1"/>
  <c r="G525" i="7"/>
  <c r="G326" i="7"/>
  <c r="G296" i="9"/>
  <c r="L296" i="9" s="1"/>
  <c r="G242" i="4"/>
  <c r="G243" i="5" s="1"/>
  <c r="G439" i="4"/>
  <c r="G440" i="5" s="1"/>
  <c r="G205" i="4"/>
  <c r="G206" i="5" s="1"/>
  <c r="G235" i="4"/>
  <c r="G236" i="5" s="1"/>
  <c r="I336" i="7"/>
  <c r="I337" i="7" s="1"/>
  <c r="H283" i="4" s="1"/>
  <c r="G282" i="4"/>
  <c r="G283" i="5" s="1"/>
  <c r="G309" i="4"/>
  <c r="G310" i="5" s="1"/>
  <c r="G126" i="4"/>
  <c r="G127" i="5" s="1"/>
  <c r="H415" i="5"/>
  <c r="M415" i="5" s="1"/>
  <c r="Q53" i="10"/>
  <c r="R53" i="10" s="1"/>
  <c r="N77" i="9"/>
  <c r="O77" i="9" s="1"/>
  <c r="G333" i="4"/>
  <c r="G334" i="5" s="1"/>
  <c r="D110" i="17"/>
  <c r="F110" i="17" s="1"/>
  <c r="F67" i="16"/>
  <c r="H67" i="16" s="1"/>
  <c r="N98" i="9"/>
  <c r="O98" i="9" s="1"/>
  <c r="N43" i="10" s="1"/>
  <c r="O43" i="10" s="1"/>
  <c r="F133" i="16"/>
  <c r="H133" i="16" s="1"/>
  <c r="Y251" i="5"/>
  <c r="I512" i="7"/>
  <c r="G317" i="4" s="1"/>
  <c r="G318" i="5" s="1"/>
  <c r="F14" i="16"/>
  <c r="H14" i="16" s="1"/>
  <c r="N207" i="10"/>
  <c r="O207" i="10" s="1"/>
  <c r="G341" i="4"/>
  <c r="G342" i="5" s="1"/>
  <c r="Z251" i="5"/>
  <c r="O173" i="5"/>
  <c r="G48" i="4"/>
  <c r="G49" i="5" s="1"/>
  <c r="Q115" i="10"/>
  <c r="R115" i="10" s="1"/>
  <c r="H181" i="5"/>
  <c r="I181" i="5" s="1"/>
  <c r="G186" i="4"/>
  <c r="G187" i="5" s="1"/>
  <c r="G391" i="4"/>
  <c r="G392" i="5" s="1"/>
  <c r="G317" i="7"/>
  <c r="G476" i="4"/>
  <c r="G477" i="5" s="1"/>
  <c r="H259" i="5"/>
  <c r="M259" i="5" s="1"/>
  <c r="G313" i="4"/>
  <c r="G314" i="5" s="1"/>
  <c r="I485" i="7"/>
  <c r="I486" i="7" s="1"/>
  <c r="H469" i="4" s="1"/>
  <c r="G108" i="4"/>
  <c r="G109" i="5" s="1"/>
  <c r="I322" i="7"/>
  <c r="I323" i="7" s="1"/>
  <c r="G183" i="7"/>
  <c r="G438" i="4"/>
  <c r="G439" i="5" s="1"/>
  <c r="I532" i="7"/>
  <c r="I533" i="7" s="1"/>
  <c r="H398" i="4" s="1"/>
  <c r="G479" i="7"/>
  <c r="L479" i="7" s="1"/>
  <c r="G30" i="4"/>
  <c r="G31" i="5" s="1"/>
  <c r="G86" i="4"/>
  <c r="G87" i="5" s="1"/>
  <c r="I281" i="9"/>
  <c r="G273" i="9" s="1"/>
  <c r="L273" i="9" s="1"/>
  <c r="G387" i="4"/>
  <c r="G388" i="5" s="1"/>
  <c r="G264" i="4"/>
  <c r="G265" i="5" s="1"/>
  <c r="G46" i="15"/>
  <c r="G204" i="4"/>
  <c r="G205" i="5" s="1"/>
  <c r="G398" i="4"/>
  <c r="G399" i="5" s="1"/>
  <c r="G231" i="4"/>
  <c r="G232" i="5" s="1"/>
  <c r="G342" i="4"/>
  <c r="G343" i="5" s="1"/>
  <c r="Y329" i="5"/>
  <c r="G215" i="4"/>
  <c r="G216" i="5" s="1"/>
  <c r="G449" i="4"/>
  <c r="G450" i="5" s="1"/>
  <c r="G503" i="8"/>
  <c r="L503" i="8" s="1"/>
  <c r="Q207" i="10"/>
  <c r="R207" i="10" s="1"/>
  <c r="N102" i="9"/>
  <c r="O102" i="9" s="1"/>
  <c r="Q204" i="10"/>
  <c r="R204" i="10" s="1"/>
  <c r="G267" i="7"/>
  <c r="I267" i="7" s="1"/>
  <c r="Q210" i="10"/>
  <c r="R210" i="10" s="1"/>
  <c r="G8" i="4"/>
  <c r="G9" i="5" s="1"/>
  <c r="L329" i="5"/>
  <c r="Z329" i="5" s="1"/>
  <c r="D61" i="17"/>
  <c r="F61" i="17" s="1"/>
  <c r="G107" i="4"/>
  <c r="G108" i="5" s="1"/>
  <c r="G11" i="15"/>
  <c r="I16" i="15"/>
  <c r="G70" i="7"/>
  <c r="I70" i="7" s="1"/>
  <c r="I71" i="7" s="1"/>
  <c r="G330" i="4" s="1"/>
  <c r="G331" i="5" s="1"/>
  <c r="Q211" i="10"/>
  <c r="R211" i="10" s="1"/>
  <c r="Q65" i="11" s="1"/>
  <c r="R65" i="11" s="1"/>
  <c r="N104" i="9"/>
  <c r="O104" i="9" s="1"/>
  <c r="Q209" i="10"/>
  <c r="R209" i="10" s="1"/>
  <c r="U173" i="5"/>
  <c r="I13" i="7"/>
  <c r="H8" i="4" s="1"/>
  <c r="I102" i="4"/>
  <c r="D58" i="18"/>
  <c r="F58" i="18" s="1"/>
  <c r="I179" i="7"/>
  <c r="I180" i="7" s="1"/>
  <c r="H185" i="4" s="1"/>
  <c r="H337" i="5"/>
  <c r="I336" i="4"/>
  <c r="Q205" i="10"/>
  <c r="R205" i="10" s="1"/>
  <c r="Q206" i="10"/>
  <c r="R206" i="10" s="1"/>
  <c r="X173" i="5"/>
  <c r="N208" i="10"/>
  <c r="O208" i="10" s="1"/>
  <c r="N66" i="9"/>
  <c r="O66" i="9" s="1"/>
  <c r="I24" i="4"/>
  <c r="H25" i="5"/>
  <c r="D102" i="17"/>
  <c r="F102" i="17" s="1"/>
  <c r="N103" i="9"/>
  <c r="O103" i="9" s="1"/>
  <c r="N64" i="9"/>
  <c r="O64" i="9" s="1"/>
  <c r="G99" i="4"/>
  <c r="G100" i="5" s="1"/>
  <c r="N69" i="9"/>
  <c r="O69" i="9" s="1"/>
  <c r="G255" i="4"/>
  <c r="G256" i="5" s="1"/>
  <c r="O14" i="5"/>
  <c r="F127" i="16"/>
  <c r="H127" i="16" s="1"/>
  <c r="N80" i="9"/>
  <c r="O80" i="9" s="1"/>
  <c r="G263" i="4"/>
  <c r="G264" i="5" s="1"/>
  <c r="G96" i="7"/>
  <c r="N115" i="10"/>
  <c r="O115" i="10" s="1"/>
  <c r="F135" i="16"/>
  <c r="H135" i="16" s="1"/>
  <c r="N183" i="9"/>
  <c r="O183" i="9" s="1"/>
  <c r="G394" i="7"/>
  <c r="F112" i="16"/>
  <c r="H112" i="16" s="1"/>
  <c r="R14" i="5"/>
  <c r="I403" i="7"/>
  <c r="I404" i="7" s="1"/>
  <c r="N88" i="9"/>
  <c r="O88" i="9" s="1"/>
  <c r="I218" i="7"/>
  <c r="G207" i="7" s="1"/>
  <c r="L207" i="7" s="1"/>
  <c r="G185" i="4"/>
  <c r="G186" i="5" s="1"/>
  <c r="G137" i="4"/>
  <c r="G138" i="5" s="1"/>
  <c r="N74" i="9"/>
  <c r="O74" i="9" s="1"/>
  <c r="N33" i="10" s="1"/>
  <c r="O33" i="10" s="1"/>
  <c r="G29" i="4"/>
  <c r="G30" i="5" s="1"/>
  <c r="I104" i="7"/>
  <c r="H99" i="4" s="1"/>
  <c r="I20" i="15"/>
  <c r="M95" i="5"/>
  <c r="S95" i="5"/>
  <c r="V95" i="5"/>
  <c r="J95" i="5"/>
  <c r="P95" i="5"/>
  <c r="I95" i="5"/>
  <c r="I293" i="9"/>
  <c r="G284" i="9" s="1"/>
  <c r="L284" i="9" s="1"/>
  <c r="G21" i="4"/>
  <c r="G22" i="5" s="1"/>
  <c r="D96" i="17"/>
  <c r="F96" i="17" s="1"/>
  <c r="I270" i="9"/>
  <c r="G261" i="9" s="1"/>
  <c r="L261" i="9" s="1"/>
  <c r="G411" i="4"/>
  <c r="G412" i="5" s="1"/>
  <c r="G177" i="4"/>
  <c r="G178" i="5" s="1"/>
  <c r="N63" i="9"/>
  <c r="O63" i="9" s="1"/>
  <c r="G24" i="15"/>
  <c r="X14" i="5"/>
  <c r="G29" i="15"/>
  <c r="H9" i="4"/>
  <c r="H43" i="15"/>
  <c r="I380" i="7"/>
  <c r="I381" i="7" s="1"/>
  <c r="G375" i="7"/>
  <c r="L375" i="7" s="1"/>
  <c r="G290" i="4"/>
  <c r="G291" i="5" s="1"/>
  <c r="G368" i="4"/>
  <c r="G369" i="5" s="1"/>
  <c r="G28" i="15"/>
  <c r="G134" i="4"/>
  <c r="G135" i="5" s="1"/>
  <c r="G212" i="4"/>
  <c r="G213" i="5" s="1"/>
  <c r="G56" i="4"/>
  <c r="G57" i="5" s="1"/>
  <c r="G446" i="4"/>
  <c r="G447" i="5" s="1"/>
  <c r="H227" i="4"/>
  <c r="H383" i="4"/>
  <c r="H305" i="4"/>
  <c r="H71" i="4"/>
  <c r="H57" i="15"/>
  <c r="H149" i="4"/>
  <c r="H461" i="4"/>
  <c r="H70" i="4"/>
  <c r="H426" i="4"/>
  <c r="H192" i="4"/>
  <c r="H460" i="4"/>
  <c r="H226" i="4"/>
  <c r="H148" i="4"/>
  <c r="H382" i="4"/>
  <c r="H44" i="15"/>
  <c r="H348" i="4"/>
  <c r="H304" i="4"/>
  <c r="H270" i="4"/>
  <c r="H114" i="4"/>
  <c r="H36" i="4"/>
  <c r="H267" i="4"/>
  <c r="H189" i="4"/>
  <c r="H345" i="4"/>
  <c r="H423" i="4"/>
  <c r="H111" i="4"/>
  <c r="H33" i="4"/>
  <c r="H42" i="15"/>
  <c r="G249" i="7"/>
  <c r="L249" i="7" s="1"/>
  <c r="I257" i="7"/>
  <c r="I258" i="7" s="1"/>
  <c r="G196" i="4"/>
  <c r="G197" i="5" s="1"/>
  <c r="G352" i="4"/>
  <c r="G353" i="5" s="1"/>
  <c r="G118" i="4"/>
  <c r="G119" i="5" s="1"/>
  <c r="G430" i="4"/>
  <c r="G431" i="5" s="1"/>
  <c r="G274" i="4"/>
  <c r="G275" i="5" s="1"/>
  <c r="G52" i="15"/>
  <c r="G40" i="4"/>
  <c r="G41" i="5" s="1"/>
  <c r="I303" i="7"/>
  <c r="I304" i="7" s="1"/>
  <c r="G295" i="7"/>
  <c r="L295" i="7" s="1"/>
  <c r="G45" i="4"/>
  <c r="G46" i="5" s="1"/>
  <c r="G279" i="4"/>
  <c r="G280" i="5" s="1"/>
  <c r="G435" i="4"/>
  <c r="G436" i="5" s="1"/>
  <c r="G26" i="15"/>
  <c r="G357" i="4"/>
  <c r="G358" i="5" s="1"/>
  <c r="G123" i="4"/>
  <c r="G124" i="5" s="1"/>
  <c r="G201" i="4"/>
  <c r="G202" i="5" s="1"/>
  <c r="L14" i="5"/>
  <c r="Y14" i="5"/>
  <c r="I371" i="7"/>
  <c r="I372" i="7" s="1"/>
  <c r="G366" i="7"/>
  <c r="L366" i="7" s="1"/>
  <c r="G445" i="4"/>
  <c r="G446" i="5" s="1"/>
  <c r="G367" i="4"/>
  <c r="G368" i="5" s="1"/>
  <c r="G289" i="4"/>
  <c r="G290" i="5" s="1"/>
  <c r="G211" i="4"/>
  <c r="G212" i="5" s="1"/>
  <c r="G49" i="15"/>
  <c r="G55" i="4"/>
  <c r="G56" i="5" s="1"/>
  <c r="G133" i="4"/>
  <c r="G134" i="5" s="1"/>
  <c r="J258" i="5"/>
  <c r="M258" i="5"/>
  <c r="V258" i="5"/>
  <c r="S258" i="5"/>
  <c r="P258" i="5"/>
  <c r="I258" i="5"/>
  <c r="N140" i="10"/>
  <c r="O140" i="10" s="1"/>
  <c r="N141" i="10"/>
  <c r="O141" i="10" s="1"/>
  <c r="N142" i="10"/>
  <c r="O142" i="10" s="1"/>
  <c r="J174" i="5"/>
  <c r="V174" i="5"/>
  <c r="S174" i="5"/>
  <c r="P174" i="5"/>
  <c r="M174" i="5"/>
  <c r="I174" i="5"/>
  <c r="N78" i="9"/>
  <c r="O78" i="9" s="1"/>
  <c r="Q199" i="10"/>
  <c r="R199" i="10" s="1"/>
  <c r="Q60" i="11" s="1"/>
  <c r="R60" i="11" s="1"/>
  <c r="Q194" i="10"/>
  <c r="R194" i="10" s="1"/>
  <c r="Q193" i="10"/>
  <c r="R193" i="10" s="1"/>
  <c r="Q196" i="10"/>
  <c r="R196" i="10" s="1"/>
  <c r="Q198" i="10"/>
  <c r="R198" i="10" s="1"/>
  <c r="Q195" i="10"/>
  <c r="R195" i="10" s="1"/>
  <c r="Q192" i="10"/>
  <c r="R192" i="10" s="1"/>
  <c r="Q197" i="10"/>
  <c r="R197" i="10" s="1"/>
  <c r="I158" i="7"/>
  <c r="I159" i="7" s="1"/>
  <c r="G151" i="7"/>
  <c r="G418" i="4"/>
  <c r="G419" i="5" s="1"/>
  <c r="G262" i="4"/>
  <c r="G263" i="5" s="1"/>
  <c r="G28" i="4"/>
  <c r="G29" i="5" s="1"/>
  <c r="G340" i="4"/>
  <c r="G341" i="5" s="1"/>
  <c r="G17" i="15"/>
  <c r="G184" i="4"/>
  <c r="G185" i="5" s="1"/>
  <c r="G106" i="4"/>
  <c r="G107" i="5" s="1"/>
  <c r="D113" i="17"/>
  <c r="F113" i="17" s="1"/>
  <c r="M404" i="5"/>
  <c r="J404" i="5"/>
  <c r="V404" i="5"/>
  <c r="S404" i="5"/>
  <c r="P404" i="5"/>
  <c r="I404" i="5"/>
  <c r="N205" i="10"/>
  <c r="O205" i="10" s="1"/>
  <c r="N195" i="10"/>
  <c r="O195" i="10" s="1"/>
  <c r="N197" i="10"/>
  <c r="O197" i="10" s="1"/>
  <c r="N198" i="10"/>
  <c r="O198" i="10" s="1"/>
  <c r="N193" i="10"/>
  <c r="O193" i="10" s="1"/>
  <c r="N192" i="10"/>
  <c r="O192" i="10" s="1"/>
  <c r="N199" i="10"/>
  <c r="O199" i="10" s="1"/>
  <c r="N60" i="11" s="1"/>
  <c r="O60" i="11" s="1"/>
  <c r="N196" i="10"/>
  <c r="O196" i="10" s="1"/>
  <c r="N194" i="10"/>
  <c r="O194" i="10" s="1"/>
  <c r="F11" i="16"/>
  <c r="H11" i="16" s="1"/>
  <c r="I245" i="7"/>
  <c r="I246" i="7" s="1"/>
  <c r="G239" i="7"/>
  <c r="L239" i="7" s="1"/>
  <c r="G117" i="4"/>
  <c r="G118" i="5" s="1"/>
  <c r="G39" i="4"/>
  <c r="G40" i="5" s="1"/>
  <c r="G273" i="4"/>
  <c r="G274" i="5" s="1"/>
  <c r="G195" i="4"/>
  <c r="G196" i="5" s="1"/>
  <c r="G351" i="4"/>
  <c r="G352" i="5" s="1"/>
  <c r="G429" i="4"/>
  <c r="G430" i="5" s="1"/>
  <c r="G36" i="15"/>
  <c r="N76" i="9"/>
  <c r="O76" i="9" s="1"/>
  <c r="I139" i="7"/>
  <c r="I140" i="7" s="1"/>
  <c r="G133" i="7"/>
  <c r="G259" i="4"/>
  <c r="G260" i="5" s="1"/>
  <c r="G25" i="4"/>
  <c r="G26" i="5" s="1"/>
  <c r="G18" i="15"/>
  <c r="G337" i="4"/>
  <c r="G338" i="5" s="1"/>
  <c r="G181" i="4"/>
  <c r="G182" i="5" s="1"/>
  <c r="G103" i="4"/>
  <c r="G104" i="5" s="1"/>
  <c r="G415" i="4"/>
  <c r="G416" i="5" s="1"/>
  <c r="D9" i="17"/>
  <c r="F9" i="17" s="1"/>
  <c r="I30" i="15"/>
  <c r="Q151" i="10"/>
  <c r="R151" i="10" s="1"/>
  <c r="Q150" i="10"/>
  <c r="R150" i="10" s="1"/>
  <c r="Q149" i="10"/>
  <c r="R149" i="10" s="1"/>
  <c r="Q147" i="10"/>
  <c r="R147" i="10" s="1"/>
  <c r="Q35" i="11" s="1"/>
  <c r="R35" i="11" s="1"/>
  <c r="Q148" i="10"/>
  <c r="R148" i="10" s="1"/>
  <c r="Q40" i="11" s="1"/>
  <c r="R40" i="11" s="1"/>
  <c r="H12" i="4"/>
  <c r="H402" i="4"/>
  <c r="H246" i="4"/>
  <c r="H324" i="4"/>
  <c r="H27" i="15"/>
  <c r="H90" i="4"/>
  <c r="H168" i="4"/>
  <c r="N68" i="9"/>
  <c r="O68" i="9" s="1"/>
  <c r="Q13" i="10"/>
  <c r="R13" i="10" s="1"/>
  <c r="J24" i="5"/>
  <c r="S24" i="5"/>
  <c r="P24" i="5"/>
  <c r="V24" i="5"/>
  <c r="M24" i="5"/>
  <c r="I24" i="5"/>
  <c r="L17" i="5"/>
  <c r="Y17" i="5"/>
  <c r="N54" i="9"/>
  <c r="O54" i="9" s="1"/>
  <c r="N18" i="10" s="1"/>
  <c r="O18" i="10" s="1"/>
  <c r="N105" i="9"/>
  <c r="O105" i="9" s="1"/>
  <c r="Q241" i="10"/>
  <c r="R241" i="10" s="1"/>
  <c r="Q248" i="10"/>
  <c r="R248" i="10" s="1"/>
  <c r="Q243" i="10"/>
  <c r="R243" i="10" s="1"/>
  <c r="Q246" i="10"/>
  <c r="R246" i="10" s="1"/>
  <c r="Q242" i="10"/>
  <c r="R242" i="10" s="1"/>
  <c r="Q244" i="10"/>
  <c r="R244" i="10" s="1"/>
  <c r="Q247" i="10"/>
  <c r="R247" i="10" s="1"/>
  <c r="Q245" i="10"/>
  <c r="R245" i="10" s="1"/>
  <c r="V326" i="5"/>
  <c r="S326" i="5"/>
  <c r="J326" i="5"/>
  <c r="M326" i="5"/>
  <c r="P326" i="5"/>
  <c r="I326" i="5"/>
  <c r="U92" i="5"/>
  <c r="N65" i="9"/>
  <c r="O65" i="9" s="1"/>
  <c r="V248" i="5"/>
  <c r="S248" i="5"/>
  <c r="P248" i="5"/>
  <c r="M248" i="5"/>
  <c r="J248" i="5"/>
  <c r="I248" i="5"/>
  <c r="M405" i="5"/>
  <c r="J405" i="5"/>
  <c r="V405" i="5"/>
  <c r="S405" i="5"/>
  <c r="P405" i="5"/>
  <c r="I405" i="5"/>
  <c r="F107" i="16"/>
  <c r="H107" i="16" s="1"/>
  <c r="G391" i="8"/>
  <c r="L391" i="8" s="1"/>
  <c r="G284" i="7"/>
  <c r="I284" i="7" s="1"/>
  <c r="G533" i="8"/>
  <c r="G473" i="7"/>
  <c r="I473" i="7" s="1"/>
  <c r="I474" i="7" s="1"/>
  <c r="G364" i="8"/>
  <c r="L364" i="8" s="1"/>
  <c r="J252" i="5"/>
  <c r="P252" i="5"/>
  <c r="M252" i="5"/>
  <c r="S252" i="5"/>
  <c r="V252" i="5"/>
  <c r="I252" i="5"/>
  <c r="G86" i="7"/>
  <c r="I92" i="7"/>
  <c r="I93" i="7" s="1"/>
  <c r="G332" i="4"/>
  <c r="G333" i="5" s="1"/>
  <c r="G19" i="15"/>
  <c r="G176" i="4"/>
  <c r="G177" i="5" s="1"/>
  <c r="G254" i="4"/>
  <c r="G255" i="5" s="1"/>
  <c r="G20" i="4"/>
  <c r="G21" i="5" s="1"/>
  <c r="G98" i="4"/>
  <c r="G99" i="5" s="1"/>
  <c r="G410" i="4"/>
  <c r="G411" i="5" s="1"/>
  <c r="N393" i="9"/>
  <c r="O393" i="9" s="1"/>
  <c r="N386" i="9"/>
  <c r="O386" i="9" s="1"/>
  <c r="N258" i="10" s="1"/>
  <c r="O258" i="10" s="1"/>
  <c r="N392" i="9"/>
  <c r="O392" i="9" s="1"/>
  <c r="N389" i="9"/>
  <c r="O389" i="9" s="1"/>
  <c r="N388" i="9"/>
  <c r="O388" i="9" s="1"/>
  <c r="N390" i="9"/>
  <c r="O390" i="9" s="1"/>
  <c r="N391" i="9"/>
  <c r="O391" i="9" s="1"/>
  <c r="N387" i="9"/>
  <c r="O387" i="9" s="1"/>
  <c r="G293" i="8"/>
  <c r="L293" i="8" s="1"/>
  <c r="G268" i="7"/>
  <c r="I268" i="7" s="1"/>
  <c r="N86" i="9"/>
  <c r="O86" i="9" s="1"/>
  <c r="N38" i="10" s="1"/>
  <c r="O38" i="10" s="1"/>
  <c r="X17" i="5"/>
  <c r="S414" i="5"/>
  <c r="P414" i="5"/>
  <c r="V414" i="5"/>
  <c r="M414" i="5"/>
  <c r="J414" i="5"/>
  <c r="I414" i="5"/>
  <c r="N163" i="10"/>
  <c r="O163" i="10" s="1"/>
  <c r="N45" i="11" s="1"/>
  <c r="O45" i="11" s="1"/>
  <c r="N157" i="10"/>
  <c r="O157" i="10" s="1"/>
  <c r="N161" i="10"/>
  <c r="O161" i="10" s="1"/>
  <c r="N156" i="10"/>
  <c r="O156" i="10" s="1"/>
  <c r="N158" i="10"/>
  <c r="O158" i="10" s="1"/>
  <c r="N160" i="10"/>
  <c r="O160" i="10" s="1"/>
  <c r="N159" i="10"/>
  <c r="O159" i="10" s="1"/>
  <c r="N162" i="10"/>
  <c r="O162" i="10" s="1"/>
  <c r="Q175" i="10"/>
  <c r="R175" i="10" s="1"/>
  <c r="Q50" i="11" s="1"/>
  <c r="R50" i="11" s="1"/>
  <c r="Q170" i="10"/>
  <c r="R170" i="10" s="1"/>
  <c r="Q174" i="10"/>
  <c r="R174" i="10" s="1"/>
  <c r="Q173" i="10"/>
  <c r="R173" i="10" s="1"/>
  <c r="Q168" i="10"/>
  <c r="R168" i="10" s="1"/>
  <c r="Q171" i="10"/>
  <c r="R171" i="10" s="1"/>
  <c r="Q169" i="10"/>
  <c r="R169" i="10" s="1"/>
  <c r="Q172" i="10"/>
  <c r="R172" i="10" s="1"/>
  <c r="Q120" i="10"/>
  <c r="R120" i="10" s="1"/>
  <c r="I12" i="15"/>
  <c r="N55" i="9"/>
  <c r="O55" i="9" s="1"/>
  <c r="N23" i="10" s="1"/>
  <c r="O23" i="10" s="1"/>
  <c r="R173" i="5"/>
  <c r="N100" i="9"/>
  <c r="O100" i="9" s="1"/>
  <c r="V170" i="5"/>
  <c r="S170" i="5"/>
  <c r="P170" i="5"/>
  <c r="J170" i="5"/>
  <c r="M170" i="5"/>
  <c r="I170" i="5"/>
  <c r="O92" i="5"/>
  <c r="N67" i="9"/>
  <c r="O67" i="9" s="1"/>
  <c r="N209" i="10"/>
  <c r="O209" i="10" s="1"/>
  <c r="P408" i="5"/>
  <c r="M408" i="5"/>
  <c r="J408" i="5"/>
  <c r="V408" i="5"/>
  <c r="S408" i="5"/>
  <c r="I408" i="5"/>
  <c r="J96" i="5"/>
  <c r="P96" i="5"/>
  <c r="S96" i="5"/>
  <c r="V96" i="5"/>
  <c r="M96" i="5"/>
  <c r="I96" i="5"/>
  <c r="Q73" i="10"/>
  <c r="R73" i="10" s="1"/>
  <c r="H48" i="15"/>
  <c r="H61" i="4"/>
  <c r="H451" i="4"/>
  <c r="H217" i="4"/>
  <c r="H295" i="4"/>
  <c r="H139" i="4"/>
  <c r="H373" i="4"/>
  <c r="Q186" i="10"/>
  <c r="R186" i="10" s="1"/>
  <c r="Q184" i="10"/>
  <c r="R184" i="10" s="1"/>
  <c r="Q182" i="10"/>
  <c r="R182" i="10" s="1"/>
  <c r="Q187" i="10"/>
  <c r="R187" i="10" s="1"/>
  <c r="Q55" i="11" s="1"/>
  <c r="R55" i="11" s="1"/>
  <c r="Q183" i="10"/>
  <c r="R183" i="10" s="1"/>
  <c r="Q180" i="10"/>
  <c r="R180" i="10" s="1"/>
  <c r="Q185" i="10"/>
  <c r="R185" i="10" s="1"/>
  <c r="Q181" i="10"/>
  <c r="R181" i="10" s="1"/>
  <c r="N246" i="10"/>
  <c r="O246" i="10" s="1"/>
  <c r="N241" i="10"/>
  <c r="O241" i="10" s="1"/>
  <c r="N243" i="10"/>
  <c r="O243" i="10" s="1"/>
  <c r="N247" i="10"/>
  <c r="O247" i="10" s="1"/>
  <c r="N242" i="10"/>
  <c r="O242" i="10" s="1"/>
  <c r="N245" i="10"/>
  <c r="O245" i="10" s="1"/>
  <c r="N248" i="10"/>
  <c r="O248" i="10" s="1"/>
  <c r="N128" i="11" s="1"/>
  <c r="O128" i="11" s="1"/>
  <c r="N244" i="10"/>
  <c r="O244" i="10" s="1"/>
  <c r="N229" i="9"/>
  <c r="O229" i="9" s="1"/>
  <c r="N224" i="9"/>
  <c r="O224" i="9" s="1"/>
  <c r="N110" i="10" s="1"/>
  <c r="O110" i="10" s="1"/>
  <c r="N230" i="9"/>
  <c r="O230" i="9" s="1"/>
  <c r="N225" i="9"/>
  <c r="O225" i="9" s="1"/>
  <c r="N231" i="9"/>
  <c r="O231" i="9" s="1"/>
  <c r="N226" i="9"/>
  <c r="O226" i="9" s="1"/>
  <c r="N227" i="9"/>
  <c r="O227" i="9" s="1"/>
  <c r="N228" i="9"/>
  <c r="O228" i="9" s="1"/>
  <c r="G382" i="8"/>
  <c r="L382" i="8" s="1"/>
  <c r="G283" i="7"/>
  <c r="I283" i="7" s="1"/>
  <c r="N205" i="9"/>
  <c r="O205" i="9" s="1"/>
  <c r="N206" i="9"/>
  <c r="O206" i="9" s="1"/>
  <c r="N207" i="9"/>
  <c r="O207" i="9" s="1"/>
  <c r="N204" i="9"/>
  <c r="O204" i="9" s="1"/>
  <c r="N100" i="10" s="1"/>
  <c r="O100" i="10" s="1"/>
  <c r="N203" i="9"/>
  <c r="O203" i="9" s="1"/>
  <c r="N95" i="10" s="1"/>
  <c r="O95" i="10" s="1"/>
  <c r="H165" i="4"/>
  <c r="N75" i="9"/>
  <c r="O75" i="9" s="1"/>
  <c r="N233" i="10"/>
  <c r="O233" i="10" s="1"/>
  <c r="N118" i="11" s="1"/>
  <c r="O118" i="11" s="1"/>
  <c r="N234" i="10"/>
  <c r="O234" i="10" s="1"/>
  <c r="N123" i="11" s="1"/>
  <c r="O123" i="11" s="1"/>
  <c r="N236" i="10"/>
  <c r="O236" i="10" s="1"/>
  <c r="N235" i="10"/>
  <c r="O235" i="10" s="1"/>
  <c r="N91" i="9"/>
  <c r="O91" i="9" s="1"/>
  <c r="J407" i="5"/>
  <c r="M407" i="5"/>
  <c r="P407" i="5"/>
  <c r="V407" i="5"/>
  <c r="S407" i="5"/>
  <c r="I407" i="5"/>
  <c r="G102" i="8"/>
  <c r="L102" i="8" s="1"/>
  <c r="G352" i="7"/>
  <c r="I352" i="7" s="1"/>
  <c r="I361" i="7" s="1"/>
  <c r="G79" i="7"/>
  <c r="I79" i="7" s="1"/>
  <c r="Q58" i="10"/>
  <c r="R58" i="10" s="1"/>
  <c r="N181" i="10"/>
  <c r="O181" i="10" s="1"/>
  <c r="N185" i="10"/>
  <c r="O185" i="10" s="1"/>
  <c r="N180" i="10"/>
  <c r="O180" i="10" s="1"/>
  <c r="N186" i="10"/>
  <c r="O186" i="10" s="1"/>
  <c r="N184" i="10"/>
  <c r="O184" i="10" s="1"/>
  <c r="N182" i="10"/>
  <c r="O182" i="10" s="1"/>
  <c r="N183" i="10"/>
  <c r="O183" i="10" s="1"/>
  <c r="N187" i="10"/>
  <c r="O187" i="10" s="1"/>
  <c r="N55" i="11" s="1"/>
  <c r="O55" i="11" s="1"/>
  <c r="Q159" i="10"/>
  <c r="R159" i="10" s="1"/>
  <c r="Q157" i="10"/>
  <c r="R157" i="10" s="1"/>
  <c r="Q160" i="10"/>
  <c r="R160" i="10" s="1"/>
  <c r="Q163" i="10"/>
  <c r="R163" i="10" s="1"/>
  <c r="Q45" i="11" s="1"/>
  <c r="R45" i="11" s="1"/>
  <c r="Q162" i="10"/>
  <c r="R162" i="10" s="1"/>
  <c r="Q156" i="10"/>
  <c r="R156" i="10" s="1"/>
  <c r="Q158" i="10"/>
  <c r="R158" i="10" s="1"/>
  <c r="Q161" i="10"/>
  <c r="R161" i="10" s="1"/>
  <c r="N188" i="9"/>
  <c r="O188" i="9" s="1"/>
  <c r="N63" i="10" s="1"/>
  <c r="O63" i="10" s="1"/>
  <c r="N211" i="10"/>
  <c r="O211" i="10" s="1"/>
  <c r="N65" i="11" s="1"/>
  <c r="O65" i="11" s="1"/>
  <c r="J180" i="5"/>
  <c r="V180" i="5"/>
  <c r="P180" i="5"/>
  <c r="S180" i="5"/>
  <c r="M180" i="5"/>
  <c r="I180" i="5"/>
  <c r="I115" i="7"/>
  <c r="I116" i="7" s="1"/>
  <c r="G107" i="7"/>
  <c r="G100" i="4"/>
  <c r="G101" i="5" s="1"/>
  <c r="G45" i="15"/>
  <c r="G178" i="4"/>
  <c r="G179" i="5" s="1"/>
  <c r="G256" i="4"/>
  <c r="G257" i="5" s="1"/>
  <c r="G412" i="4"/>
  <c r="G413" i="5" s="1"/>
  <c r="G334" i="4"/>
  <c r="G335" i="5" s="1"/>
  <c r="G22" i="4"/>
  <c r="G23" i="5" s="1"/>
  <c r="H104" i="4"/>
  <c r="H182" i="4"/>
  <c r="H260" i="4"/>
  <c r="H26" i="4"/>
  <c r="H58" i="15"/>
  <c r="H338" i="4"/>
  <c r="H416" i="4"/>
  <c r="N89" i="9"/>
  <c r="O89" i="9" s="1"/>
  <c r="D43" i="17"/>
  <c r="F43" i="17" s="1"/>
  <c r="N79" i="9"/>
  <c r="O79" i="9" s="1"/>
  <c r="I460" i="7"/>
  <c r="I461" i="7" s="1"/>
  <c r="G455" i="7"/>
  <c r="G379" i="4"/>
  <c r="G380" i="5" s="1"/>
  <c r="G301" i="4"/>
  <c r="G302" i="5" s="1"/>
  <c r="G67" i="4"/>
  <c r="G68" i="5" s="1"/>
  <c r="G23" i="15"/>
  <c r="G223" i="4"/>
  <c r="G224" i="5" s="1"/>
  <c r="G145" i="4"/>
  <c r="G146" i="5" s="1"/>
  <c r="G457" i="4"/>
  <c r="G458" i="5" s="1"/>
  <c r="S93" i="5"/>
  <c r="P93" i="5"/>
  <c r="M93" i="5"/>
  <c r="V93" i="5"/>
  <c r="J93" i="5"/>
  <c r="I93" i="5"/>
  <c r="N191" i="9"/>
  <c r="O191" i="9" s="1"/>
  <c r="Q235" i="10"/>
  <c r="R235" i="10" s="1"/>
  <c r="Q233" i="10"/>
  <c r="R233" i="10" s="1"/>
  <c r="Q118" i="11" s="1"/>
  <c r="R118" i="11" s="1"/>
  <c r="Q234" i="10"/>
  <c r="R234" i="10" s="1"/>
  <c r="Q123" i="11" s="1"/>
  <c r="R123" i="11" s="1"/>
  <c r="Q236" i="10"/>
  <c r="R236" i="10" s="1"/>
  <c r="G555" i="8"/>
  <c r="G501" i="7"/>
  <c r="I501" i="7" s="1"/>
  <c r="I503" i="7" s="1"/>
  <c r="G550" i="7"/>
  <c r="I550" i="7" s="1"/>
  <c r="I552" i="7" s="1"/>
  <c r="N87" i="9"/>
  <c r="O87" i="9" s="1"/>
  <c r="S171" i="5"/>
  <c r="V171" i="5"/>
  <c r="P171" i="5"/>
  <c r="M171" i="5"/>
  <c r="J171" i="5"/>
  <c r="I171" i="5"/>
  <c r="N120" i="10"/>
  <c r="O120" i="10" s="1"/>
  <c r="N190" i="9"/>
  <c r="O190" i="9" s="1"/>
  <c r="N53" i="10" s="1"/>
  <c r="O53" i="10" s="1"/>
  <c r="G346" i="8"/>
  <c r="L346" i="8" s="1"/>
  <c r="G279" i="7"/>
  <c r="I279" i="7" s="1"/>
  <c r="Q216" i="10"/>
  <c r="R216" i="10" s="1"/>
  <c r="D86" i="17" s="1"/>
  <c r="F86" i="17" s="1"/>
  <c r="Q217" i="10"/>
  <c r="R217" i="10" s="1"/>
  <c r="Q218" i="10"/>
  <c r="R218" i="10" s="1"/>
  <c r="D24" i="17" s="1"/>
  <c r="F24" i="17" s="1"/>
  <c r="Q222" i="10"/>
  <c r="R222" i="10" s="1"/>
  <c r="Q220" i="10"/>
  <c r="R220" i="10" s="1"/>
  <c r="Q221" i="10"/>
  <c r="R221" i="10" s="1"/>
  <c r="Q219" i="10"/>
  <c r="R219" i="10" s="1"/>
  <c r="F139" i="16"/>
  <c r="H139" i="16" s="1"/>
  <c r="G467" i="8"/>
  <c r="L467" i="8" s="1"/>
  <c r="G343" i="7"/>
  <c r="I343" i="7" s="1"/>
  <c r="I346" i="7" s="1"/>
  <c r="U17" i="5"/>
  <c r="Q227" i="10"/>
  <c r="R227" i="10" s="1"/>
  <c r="Q228" i="10"/>
  <c r="R228" i="10" s="1"/>
  <c r="Y92" i="5"/>
  <c r="L92" i="5"/>
  <c r="R17" i="5"/>
  <c r="U14" i="5"/>
  <c r="I495" i="7"/>
  <c r="I496" i="7" s="1"/>
  <c r="G489" i="7"/>
  <c r="G33" i="15"/>
  <c r="G388" i="4"/>
  <c r="G389" i="5" s="1"/>
  <c r="G314" i="4"/>
  <c r="G315" i="5" s="1"/>
  <c r="G310" i="4"/>
  <c r="G311" i="5" s="1"/>
  <c r="G466" i="4"/>
  <c r="G467" i="5" s="1"/>
  <c r="G236" i="4"/>
  <c r="G237" i="5" s="1"/>
  <c r="G76" i="4"/>
  <c r="G77" i="5" s="1"/>
  <c r="G154" i="4"/>
  <c r="G155" i="5" s="1"/>
  <c r="G392" i="4"/>
  <c r="G393" i="5" s="1"/>
  <c r="G80" i="4"/>
  <c r="G81" i="5" s="1"/>
  <c r="G232" i="4"/>
  <c r="G233" i="5" s="1"/>
  <c r="G470" i="4"/>
  <c r="G471" i="5" s="1"/>
  <c r="G158" i="4"/>
  <c r="G159" i="5" s="1"/>
  <c r="J336" i="5"/>
  <c r="V336" i="5"/>
  <c r="S336" i="5"/>
  <c r="M336" i="5"/>
  <c r="P336" i="5"/>
  <c r="I336" i="5"/>
  <c r="O17" i="5"/>
  <c r="N221" i="10"/>
  <c r="O221" i="10" s="1"/>
  <c r="N216" i="10"/>
  <c r="O216" i="10" s="1"/>
  <c r="N222" i="10"/>
  <c r="O222" i="10" s="1"/>
  <c r="N217" i="10"/>
  <c r="O217" i="10" s="1"/>
  <c r="F25" i="16" s="1"/>
  <c r="H25" i="16" s="1"/>
  <c r="N218" i="10"/>
  <c r="O218" i="10" s="1"/>
  <c r="N219" i="10"/>
  <c r="O219" i="10" s="1"/>
  <c r="N220" i="10"/>
  <c r="O220" i="10" s="1"/>
  <c r="N49" i="9"/>
  <c r="O49" i="9" s="1"/>
  <c r="S327" i="5"/>
  <c r="M327" i="5"/>
  <c r="J327" i="5"/>
  <c r="P327" i="5"/>
  <c r="V327" i="5"/>
  <c r="I327" i="5"/>
  <c r="J18" i="5"/>
  <c r="P18" i="5"/>
  <c r="M18" i="5"/>
  <c r="V18" i="5"/>
  <c r="S18" i="5"/>
  <c r="I18" i="5"/>
  <c r="N57" i="9"/>
  <c r="O57" i="9" s="1"/>
  <c r="L173" i="5"/>
  <c r="Y173" i="5"/>
  <c r="N99" i="9"/>
  <c r="O99" i="9" s="1"/>
  <c r="N90" i="9"/>
  <c r="O90" i="9" s="1"/>
  <c r="R92" i="5"/>
  <c r="N62" i="9"/>
  <c r="O62" i="9" s="1"/>
  <c r="N28" i="10" s="1"/>
  <c r="O28" i="10" s="1"/>
  <c r="N204" i="10"/>
  <c r="O204" i="10" s="1"/>
  <c r="I432" i="7"/>
  <c r="I433" i="7" s="1"/>
  <c r="G424" i="7"/>
  <c r="L424" i="7" s="1"/>
  <c r="G376" i="4"/>
  <c r="G377" i="5" s="1"/>
  <c r="G454" i="4"/>
  <c r="G455" i="5" s="1"/>
  <c r="G15" i="15"/>
  <c r="G142" i="4"/>
  <c r="G143" i="5" s="1"/>
  <c r="G220" i="4"/>
  <c r="G221" i="5" s="1"/>
  <c r="G298" i="4"/>
  <c r="G299" i="5" s="1"/>
  <c r="G64" i="4"/>
  <c r="G65" i="5" s="1"/>
  <c r="Q85" i="10"/>
  <c r="R85" i="10" s="1"/>
  <c r="Q83" i="10"/>
  <c r="R83" i="10" s="1"/>
  <c r="Q88" i="10"/>
  <c r="R88" i="10" s="1"/>
  <c r="Q89" i="10"/>
  <c r="R89" i="10" s="1"/>
  <c r="Q90" i="10"/>
  <c r="R90" i="10" s="1"/>
  <c r="Q8" i="11" s="1"/>
  <c r="R8" i="11" s="1"/>
  <c r="Q86" i="10"/>
  <c r="R86" i="10" s="1"/>
  <c r="Q87" i="10"/>
  <c r="R87" i="10" s="1"/>
  <c r="Q84" i="10"/>
  <c r="R84" i="10" s="1"/>
  <c r="G337" i="8"/>
  <c r="L337" i="8" s="1"/>
  <c r="G278" i="7"/>
  <c r="I278" i="7" s="1"/>
  <c r="G249" i="8"/>
  <c r="L249" i="8" s="1"/>
  <c r="G231" i="7"/>
  <c r="I231" i="7" s="1"/>
  <c r="I234" i="7" s="1"/>
  <c r="N149" i="10"/>
  <c r="O149" i="10" s="1"/>
  <c r="N147" i="10"/>
  <c r="O147" i="10" s="1"/>
  <c r="N35" i="11" s="1"/>
  <c r="O35" i="11" s="1"/>
  <c r="N151" i="10"/>
  <c r="O151" i="10" s="1"/>
  <c r="N148" i="10"/>
  <c r="O148" i="10" s="1"/>
  <c r="N40" i="11" s="1"/>
  <c r="O40" i="11" s="1"/>
  <c r="N150" i="10"/>
  <c r="O150" i="10" s="1"/>
  <c r="N217" i="9"/>
  <c r="O217" i="9" s="1"/>
  <c r="N216" i="9"/>
  <c r="O216" i="9" s="1"/>
  <c r="N219" i="9"/>
  <c r="O219" i="9" s="1"/>
  <c r="N212" i="9"/>
  <c r="O212" i="9" s="1"/>
  <c r="N105" i="10" s="1"/>
  <c r="O105" i="10" s="1"/>
  <c r="N218" i="9"/>
  <c r="O218" i="9" s="1"/>
  <c r="N214" i="9"/>
  <c r="O214" i="9" s="1"/>
  <c r="N215" i="9"/>
  <c r="O215" i="9" s="1"/>
  <c r="N213" i="9"/>
  <c r="O213" i="9" s="1"/>
  <c r="H374" i="4"/>
  <c r="H140" i="4"/>
  <c r="H218" i="4"/>
  <c r="H296" i="4"/>
  <c r="H452" i="4"/>
  <c r="H62" i="4"/>
  <c r="H55" i="15"/>
  <c r="G113" i="8"/>
  <c r="L113" i="8" s="1"/>
  <c r="G80" i="7"/>
  <c r="I80" i="7" s="1"/>
  <c r="J102" i="5"/>
  <c r="V102" i="5"/>
  <c r="S102" i="5"/>
  <c r="M102" i="5"/>
  <c r="P102" i="5"/>
  <c r="I102" i="5"/>
  <c r="I49" i="7"/>
  <c r="I50" i="7" s="1"/>
  <c r="G43" i="7"/>
  <c r="G15" i="4"/>
  <c r="G16" i="5" s="1"/>
  <c r="G93" i="4"/>
  <c r="G94" i="5" s="1"/>
  <c r="G405" i="4"/>
  <c r="G406" i="5" s="1"/>
  <c r="G249" i="4"/>
  <c r="G250" i="5" s="1"/>
  <c r="G21" i="15"/>
  <c r="G327" i="4"/>
  <c r="G328" i="5" s="1"/>
  <c r="G171" i="4"/>
  <c r="G172" i="5" s="1"/>
  <c r="G308" i="7"/>
  <c r="I308" i="7" s="1"/>
  <c r="I312" i="7" s="1"/>
  <c r="V103" i="5"/>
  <c r="S103" i="5"/>
  <c r="M103" i="5"/>
  <c r="P103" i="5"/>
  <c r="J103" i="5"/>
  <c r="I103" i="5"/>
  <c r="N168" i="10"/>
  <c r="O168" i="10" s="1"/>
  <c r="N170" i="10"/>
  <c r="O170" i="10" s="1"/>
  <c r="N171" i="10"/>
  <c r="O171" i="10" s="1"/>
  <c r="N174" i="10"/>
  <c r="O174" i="10" s="1"/>
  <c r="N175" i="10"/>
  <c r="O175" i="10" s="1"/>
  <c r="N50" i="11" s="1"/>
  <c r="O50" i="11" s="1"/>
  <c r="N173" i="10"/>
  <c r="O173" i="10" s="1"/>
  <c r="N169" i="10"/>
  <c r="O169" i="10" s="1"/>
  <c r="N172" i="10"/>
  <c r="O172" i="10" s="1"/>
  <c r="N93" i="9"/>
  <c r="O93" i="9" s="1"/>
  <c r="P330" i="5"/>
  <c r="M330" i="5"/>
  <c r="S330" i="5"/>
  <c r="V330" i="5"/>
  <c r="J330" i="5"/>
  <c r="I330" i="5"/>
  <c r="N206" i="10"/>
  <c r="O206" i="10" s="1"/>
  <c r="Q142" i="10"/>
  <c r="R142" i="10" s="1"/>
  <c r="Q140" i="10"/>
  <c r="R140" i="10" s="1"/>
  <c r="Q141" i="10"/>
  <c r="R141" i="10" s="1"/>
  <c r="N81" i="9"/>
  <c r="O81" i="9" s="1"/>
  <c r="N198" i="9"/>
  <c r="O198" i="9" s="1"/>
  <c r="N196" i="9"/>
  <c r="O196" i="9" s="1"/>
  <c r="N197" i="9"/>
  <c r="O197" i="9" s="1"/>
  <c r="N227" i="10"/>
  <c r="O227" i="10" s="1"/>
  <c r="N228" i="10"/>
  <c r="O228" i="10" s="1"/>
  <c r="S15" i="5"/>
  <c r="M15" i="5"/>
  <c r="J15" i="5"/>
  <c r="V15" i="5"/>
  <c r="P15" i="5"/>
  <c r="I15" i="5"/>
  <c r="S249" i="5"/>
  <c r="P249" i="5"/>
  <c r="J249" i="5"/>
  <c r="M249" i="5"/>
  <c r="V249" i="5"/>
  <c r="I249" i="5"/>
  <c r="X92" i="5"/>
  <c r="I390" i="7"/>
  <c r="I391" i="7" s="1"/>
  <c r="G384" i="7"/>
  <c r="L384" i="7" s="1"/>
  <c r="G448" i="4"/>
  <c r="G449" i="5" s="1"/>
  <c r="G214" i="4"/>
  <c r="G215" i="5" s="1"/>
  <c r="G136" i="4"/>
  <c r="G137" i="5" s="1"/>
  <c r="G35" i="15"/>
  <c r="G58" i="4"/>
  <c r="G59" i="5" s="1"/>
  <c r="G292" i="4"/>
  <c r="G293" i="5" s="1"/>
  <c r="G370" i="4"/>
  <c r="G371" i="5" s="1"/>
  <c r="G436" i="8"/>
  <c r="L436" i="8" s="1"/>
  <c r="G289" i="7"/>
  <c r="I289" i="7" s="1"/>
  <c r="Q78" i="10"/>
  <c r="R78" i="10" s="1"/>
  <c r="H399" i="4" l="1"/>
  <c r="H321" i="4"/>
  <c r="H243" i="4"/>
  <c r="I243" i="4" s="1"/>
  <c r="H87" i="4"/>
  <c r="H88" i="5" s="1"/>
  <c r="H477" i="4"/>
  <c r="H478" i="5" s="1"/>
  <c r="D55" i="18"/>
  <c r="F55" i="18" s="1"/>
  <c r="G373" i="8"/>
  <c r="L373" i="8" s="1"/>
  <c r="G286" i="7"/>
  <c r="I286" i="7" s="1"/>
  <c r="G427" i="8"/>
  <c r="L427" i="8" s="1"/>
  <c r="G396" i="4"/>
  <c r="G397" i="5" s="1"/>
  <c r="G240" i="4"/>
  <c r="G241" i="5" s="1"/>
  <c r="I521" i="7"/>
  <c r="I522" i="7" s="1"/>
  <c r="H84" i="4" s="1"/>
  <c r="G318" i="4"/>
  <c r="G319" i="5" s="1"/>
  <c r="G9" i="15"/>
  <c r="G474" i="4"/>
  <c r="G475" i="5" s="1"/>
  <c r="G359" i="9"/>
  <c r="I359" i="9" s="1"/>
  <c r="I365" i="9" s="1"/>
  <c r="G358" i="9" s="1"/>
  <c r="L358" i="9" s="1"/>
  <c r="G84" i="4"/>
  <c r="G85" i="5" s="1"/>
  <c r="G266" i="7"/>
  <c r="I266" i="7" s="1"/>
  <c r="I269" i="7" s="1"/>
  <c r="I270" i="7" s="1"/>
  <c r="G162" i="4"/>
  <c r="G163" i="5" s="1"/>
  <c r="G400" i="8"/>
  <c r="L400" i="8" s="1"/>
  <c r="G67" i="7"/>
  <c r="H127" i="4"/>
  <c r="I127" i="4" s="1"/>
  <c r="G287" i="7"/>
  <c r="I287" i="7" s="1"/>
  <c r="H439" i="4"/>
  <c r="I439" i="4" s="1"/>
  <c r="G275" i="7"/>
  <c r="I275" i="7" s="1"/>
  <c r="G280" i="7"/>
  <c r="I280" i="7" s="1"/>
  <c r="M181" i="5"/>
  <c r="O181" i="5" s="1"/>
  <c r="J181" i="5"/>
  <c r="L181" i="5" s="1"/>
  <c r="P181" i="5"/>
  <c r="R181" i="5" s="1"/>
  <c r="I72" i="7"/>
  <c r="I73" i="7" s="1"/>
  <c r="H18" i="4" s="1"/>
  <c r="V181" i="5"/>
  <c r="X181" i="5" s="1"/>
  <c r="G32" i="15"/>
  <c r="N8" i="10"/>
  <c r="O8" i="10" s="1"/>
  <c r="H411" i="4"/>
  <c r="H412" i="5" s="1"/>
  <c r="H255" i="4"/>
  <c r="I255" i="4" s="1"/>
  <c r="H264" i="4"/>
  <c r="H265" i="5" s="1"/>
  <c r="H420" i="4"/>
  <c r="H421" i="5" s="1"/>
  <c r="H30" i="4"/>
  <c r="H31" i="5" s="1"/>
  <c r="H31" i="15"/>
  <c r="H342" i="4"/>
  <c r="I342" i="4" s="1"/>
  <c r="H186" i="4"/>
  <c r="H187" i="5" s="1"/>
  <c r="D29" i="17"/>
  <c r="F29" i="17" s="1"/>
  <c r="G315" i="8"/>
  <c r="I315" i="8" s="1"/>
  <c r="I323" i="8" s="1"/>
  <c r="G314" i="8" s="1"/>
  <c r="L314" i="8" s="1"/>
  <c r="S181" i="5"/>
  <c r="U181" i="5" s="1"/>
  <c r="J415" i="5"/>
  <c r="V415" i="5"/>
  <c r="H108" i="4"/>
  <c r="H109" i="5" s="1"/>
  <c r="H41" i="15"/>
  <c r="H205" i="4"/>
  <c r="I205" i="4" s="1"/>
  <c r="V259" i="5"/>
  <c r="H37" i="15"/>
  <c r="H79" i="4"/>
  <c r="H80" i="5" s="1"/>
  <c r="H309" i="4"/>
  <c r="I309" i="4" s="1"/>
  <c r="S415" i="5"/>
  <c r="H49" i="4"/>
  <c r="I49" i="4" s="1"/>
  <c r="H361" i="4"/>
  <c r="I361" i="4" s="1"/>
  <c r="P415" i="5"/>
  <c r="I415" i="5"/>
  <c r="G327" i="8"/>
  <c r="I327" i="8" s="1"/>
  <c r="G473" i="4"/>
  <c r="G474" i="5" s="1"/>
  <c r="H320" i="4"/>
  <c r="H321" i="5" s="1"/>
  <c r="G395" i="4"/>
  <c r="G396" i="5" s="1"/>
  <c r="I513" i="7"/>
  <c r="I514" i="7" s="1"/>
  <c r="H7" i="15"/>
  <c r="G13" i="15"/>
  <c r="G346" i="4"/>
  <c r="G347" i="5" s="1"/>
  <c r="H476" i="4"/>
  <c r="H477" i="5" s="1"/>
  <c r="H164" i="4"/>
  <c r="H165" i="5" s="1"/>
  <c r="G161" i="4"/>
  <c r="G162" i="5" s="1"/>
  <c r="H242" i="4"/>
  <c r="H243" i="5" s="1"/>
  <c r="G83" i="4"/>
  <c r="G84" i="5" s="1"/>
  <c r="H86" i="4"/>
  <c r="I86" i="4" s="1"/>
  <c r="U15" i="5"/>
  <c r="G508" i="7"/>
  <c r="L508" i="7" s="1"/>
  <c r="G239" i="4"/>
  <c r="G240" i="5" s="1"/>
  <c r="G328" i="8"/>
  <c r="I328" i="8" s="1"/>
  <c r="H333" i="4"/>
  <c r="H334" i="5" s="1"/>
  <c r="N58" i="10"/>
  <c r="O58" i="10" s="1"/>
  <c r="F188" i="16" s="1"/>
  <c r="H188" i="16" s="1"/>
  <c r="H438" i="4"/>
  <c r="I438" i="4" s="1"/>
  <c r="H48" i="4"/>
  <c r="I48" i="4" s="1"/>
  <c r="H360" i="4"/>
  <c r="I360" i="4" s="1"/>
  <c r="H126" i="4"/>
  <c r="I126" i="4" s="1"/>
  <c r="H204" i="4"/>
  <c r="H205" i="5" s="1"/>
  <c r="H282" i="4"/>
  <c r="I282" i="4" s="1"/>
  <c r="H46" i="15"/>
  <c r="H391" i="4"/>
  <c r="H392" i="5" s="1"/>
  <c r="H313" i="4"/>
  <c r="I313" i="4" s="1"/>
  <c r="G174" i="4"/>
  <c r="G175" i="5" s="1"/>
  <c r="H157" i="4"/>
  <c r="I157" i="4" s="1"/>
  <c r="G96" i="4"/>
  <c r="G97" i="5" s="1"/>
  <c r="S259" i="5"/>
  <c r="H387" i="4"/>
  <c r="I387" i="4" s="1"/>
  <c r="I40" i="15"/>
  <c r="H21" i="4"/>
  <c r="H22" i="5" s="1"/>
  <c r="H75" i="4"/>
  <c r="H76" i="5" s="1"/>
  <c r="G18" i="4"/>
  <c r="G19" i="5" s="1"/>
  <c r="G408" i="4"/>
  <c r="G409" i="5" s="1"/>
  <c r="P259" i="5"/>
  <c r="H235" i="4"/>
  <c r="H236" i="5" s="1"/>
  <c r="H25" i="15"/>
  <c r="N78" i="10"/>
  <c r="O78" i="10" s="1"/>
  <c r="G252" i="4"/>
  <c r="G253" i="5" s="1"/>
  <c r="J259" i="5"/>
  <c r="H231" i="4"/>
  <c r="H232" i="5" s="1"/>
  <c r="Q113" i="11"/>
  <c r="R113" i="11" s="1"/>
  <c r="H153" i="4"/>
  <c r="H154" i="5" s="1"/>
  <c r="I259" i="5"/>
  <c r="H465" i="4"/>
  <c r="H466" i="5" s="1"/>
  <c r="R180" i="5"/>
  <c r="G424" i="4"/>
  <c r="G425" i="5" s="1"/>
  <c r="G268" i="4"/>
  <c r="G269" i="5" s="1"/>
  <c r="X180" i="5"/>
  <c r="R252" i="5"/>
  <c r="X258" i="5"/>
  <c r="O95" i="5"/>
  <c r="H341" i="4"/>
  <c r="H342" i="5" s="1"/>
  <c r="M25" i="5"/>
  <c r="V25" i="5"/>
  <c r="S25" i="5"/>
  <c r="I25" i="5"/>
  <c r="P25" i="5"/>
  <c r="J25" i="5"/>
  <c r="R15" i="5"/>
  <c r="G190" i="4"/>
  <c r="G191" i="5" s="1"/>
  <c r="X171" i="5"/>
  <c r="D32" i="18"/>
  <c r="F32" i="18" s="1"/>
  <c r="O258" i="5"/>
  <c r="H107" i="4"/>
  <c r="I107" i="4" s="1"/>
  <c r="U171" i="5"/>
  <c r="R96" i="5"/>
  <c r="H419" i="4"/>
  <c r="I419" i="4" s="1"/>
  <c r="H29" i="4"/>
  <c r="H30" i="5" s="1"/>
  <c r="G112" i="4"/>
  <c r="G113" i="5" s="1"/>
  <c r="H11" i="15"/>
  <c r="X95" i="5"/>
  <c r="X15" i="5"/>
  <c r="G38" i="15"/>
  <c r="I219" i="7"/>
  <c r="I220" i="7" s="1"/>
  <c r="H268" i="4" s="1"/>
  <c r="N18" i="11"/>
  <c r="O18" i="11" s="1"/>
  <c r="H263" i="4"/>
  <c r="H264" i="5" s="1"/>
  <c r="G34" i="4"/>
  <c r="G35" i="5" s="1"/>
  <c r="F154" i="16"/>
  <c r="H154" i="16" s="1"/>
  <c r="O252" i="5"/>
  <c r="U95" i="5"/>
  <c r="O15" i="5"/>
  <c r="Z173" i="5"/>
  <c r="F26" i="16"/>
  <c r="H26" i="16" s="1"/>
  <c r="N13" i="11"/>
  <c r="O13" i="11" s="1"/>
  <c r="J337" i="5"/>
  <c r="M337" i="5"/>
  <c r="V337" i="5"/>
  <c r="I337" i="5"/>
  <c r="S337" i="5"/>
  <c r="P337" i="5"/>
  <c r="H449" i="4"/>
  <c r="H450" i="5" s="1"/>
  <c r="H29" i="15"/>
  <c r="H371" i="4"/>
  <c r="H372" i="5" s="1"/>
  <c r="H293" i="4"/>
  <c r="H294" i="5" s="1"/>
  <c r="H215" i="4"/>
  <c r="H216" i="5" s="1"/>
  <c r="H59" i="4"/>
  <c r="I59" i="4" s="1"/>
  <c r="H137" i="4"/>
  <c r="I137" i="4" s="1"/>
  <c r="X102" i="5"/>
  <c r="U170" i="5"/>
  <c r="R407" i="5"/>
  <c r="H24" i="15"/>
  <c r="F99" i="16"/>
  <c r="H99" i="16" s="1"/>
  <c r="O170" i="5"/>
  <c r="R170" i="5"/>
  <c r="X330" i="5"/>
  <c r="O407" i="5"/>
  <c r="H177" i="4"/>
  <c r="H178" i="5" s="1"/>
  <c r="O180" i="5"/>
  <c r="X252" i="5"/>
  <c r="D19" i="18"/>
  <c r="F19" i="18" s="1"/>
  <c r="R258" i="5"/>
  <c r="L95" i="5"/>
  <c r="Y95" i="5"/>
  <c r="F90" i="16"/>
  <c r="H90" i="16" s="1"/>
  <c r="D10" i="18"/>
  <c r="F10" i="18" s="1"/>
  <c r="X170" i="5"/>
  <c r="U330" i="5"/>
  <c r="F54" i="16"/>
  <c r="H54" i="16" s="1"/>
  <c r="O330" i="5"/>
  <c r="R330" i="5"/>
  <c r="U180" i="5"/>
  <c r="U252" i="5"/>
  <c r="D7" i="18"/>
  <c r="F7" i="18" s="1"/>
  <c r="U258" i="5"/>
  <c r="R95" i="5"/>
  <c r="H232" i="4"/>
  <c r="H310" i="4"/>
  <c r="H314" i="4"/>
  <c r="H158" i="4"/>
  <c r="H388" i="4"/>
  <c r="H466" i="4"/>
  <c r="H236" i="4"/>
  <c r="H76" i="4"/>
  <c r="H80" i="4"/>
  <c r="H33" i="15"/>
  <c r="H154" i="4"/>
  <c r="H392" i="4"/>
  <c r="H470" i="4"/>
  <c r="H301" i="4"/>
  <c r="H223" i="4"/>
  <c r="H23" i="15"/>
  <c r="H67" i="4"/>
  <c r="H145" i="4"/>
  <c r="H457" i="4"/>
  <c r="H379" i="4"/>
  <c r="H454" i="4"/>
  <c r="H220" i="4"/>
  <c r="H64" i="4"/>
  <c r="H298" i="4"/>
  <c r="H142" i="4"/>
  <c r="H376" i="4"/>
  <c r="H15" i="15"/>
  <c r="H181" i="4"/>
  <c r="H259" i="4"/>
  <c r="H337" i="4"/>
  <c r="H25" i="4"/>
  <c r="H18" i="15"/>
  <c r="H103" i="4"/>
  <c r="H415" i="4"/>
  <c r="H19" i="15"/>
  <c r="H410" i="4"/>
  <c r="H176" i="4"/>
  <c r="H254" i="4"/>
  <c r="H332" i="4"/>
  <c r="H20" i="4"/>
  <c r="H98" i="4"/>
  <c r="H40" i="4"/>
  <c r="H118" i="4"/>
  <c r="H430" i="4"/>
  <c r="H196" i="4"/>
  <c r="H52" i="15"/>
  <c r="H274" i="4"/>
  <c r="H352" i="4"/>
  <c r="H166" i="5"/>
  <c r="I165" i="4"/>
  <c r="I374" i="4"/>
  <c r="H375" i="5"/>
  <c r="Q90" i="11"/>
  <c r="R90" i="11" s="1"/>
  <c r="Q86" i="11"/>
  <c r="R86" i="11" s="1"/>
  <c r="Q91" i="11"/>
  <c r="R91" i="11" s="1"/>
  <c r="Q33" i="12" s="1"/>
  <c r="R33" i="12" s="1"/>
  <c r="Q88" i="11"/>
  <c r="R88" i="11" s="1"/>
  <c r="Q87" i="11"/>
  <c r="R87" i="11" s="1"/>
  <c r="Q89" i="11"/>
  <c r="R89" i="11" s="1"/>
  <c r="Q85" i="11"/>
  <c r="R85" i="11" s="1"/>
  <c r="Q84" i="11"/>
  <c r="R84" i="11" s="1"/>
  <c r="H305" i="5"/>
  <c r="I304" i="4"/>
  <c r="Q77" i="11"/>
  <c r="R77" i="11" s="1"/>
  <c r="Q28" i="12" s="1"/>
  <c r="R28" i="12" s="1"/>
  <c r="Q76" i="11"/>
  <c r="R76" i="11" s="1"/>
  <c r="Q23" i="12" s="1"/>
  <c r="R23" i="12" s="1"/>
  <c r="Q78" i="11"/>
  <c r="R78" i="11" s="1"/>
  <c r="Q79" i="11"/>
  <c r="R79" i="11" s="1"/>
  <c r="N89" i="10"/>
  <c r="O89" i="10" s="1"/>
  <c r="N85" i="10"/>
  <c r="O85" i="10" s="1"/>
  <c r="N86" i="10"/>
  <c r="O86" i="10" s="1"/>
  <c r="N83" i="10"/>
  <c r="O83" i="10" s="1"/>
  <c r="N87" i="10"/>
  <c r="O87" i="10" s="1"/>
  <c r="N88" i="10"/>
  <c r="O88" i="10" s="1"/>
  <c r="N90" i="10"/>
  <c r="O90" i="10" s="1"/>
  <c r="N8" i="11" s="1"/>
  <c r="O8" i="11" s="1"/>
  <c r="N84" i="10"/>
  <c r="O84" i="10" s="1"/>
  <c r="Y103" i="5"/>
  <c r="L103" i="5"/>
  <c r="Q102" i="11"/>
  <c r="R102" i="11" s="1"/>
  <c r="Q99" i="11"/>
  <c r="R99" i="11" s="1"/>
  <c r="Q98" i="11"/>
  <c r="R98" i="11" s="1"/>
  <c r="Q97" i="11"/>
  <c r="R97" i="11" s="1"/>
  <c r="Q103" i="11"/>
  <c r="R103" i="11" s="1"/>
  <c r="Q38" i="12" s="1"/>
  <c r="R38" i="12" s="1"/>
  <c r="Q101" i="11"/>
  <c r="R101" i="11" s="1"/>
  <c r="Q96" i="11"/>
  <c r="R96" i="11" s="1"/>
  <c r="Q100" i="11"/>
  <c r="R100" i="11" s="1"/>
  <c r="R405" i="5"/>
  <c r="R326" i="5"/>
  <c r="I235" i="7"/>
  <c r="I236" i="7" s="1"/>
  <c r="G230" i="7"/>
  <c r="L230" i="7" s="1"/>
  <c r="G116" i="4"/>
  <c r="G117" i="5" s="1"/>
  <c r="G194" i="4"/>
  <c r="G195" i="5" s="1"/>
  <c r="G363" i="4"/>
  <c r="G364" i="5" s="1"/>
  <c r="G350" i="4"/>
  <c r="G351" i="5" s="1"/>
  <c r="G272" i="4"/>
  <c r="G273" i="5" s="1"/>
  <c r="G285" i="4"/>
  <c r="G286" i="5" s="1"/>
  <c r="G207" i="4"/>
  <c r="G208" i="5" s="1"/>
  <c r="G441" i="4"/>
  <c r="G442" i="5" s="1"/>
  <c r="G38" i="4"/>
  <c r="G39" i="5" s="1"/>
  <c r="G56" i="15"/>
  <c r="G428" i="4"/>
  <c r="G429" i="5" s="1"/>
  <c r="G129" i="4"/>
  <c r="G130" i="5" s="1"/>
  <c r="G51" i="4"/>
  <c r="G52" i="5" s="1"/>
  <c r="Y180" i="5"/>
  <c r="L180" i="5"/>
  <c r="X408" i="5"/>
  <c r="O414" i="5"/>
  <c r="H322" i="5"/>
  <c r="I321" i="4"/>
  <c r="H140" i="5"/>
  <c r="I139" i="4"/>
  <c r="H470" i="5"/>
  <c r="I469" i="4"/>
  <c r="G548" i="7"/>
  <c r="I553" i="7"/>
  <c r="I554" i="7" s="1"/>
  <c r="G22" i="15"/>
  <c r="G312" i="4"/>
  <c r="G313" i="5" s="1"/>
  <c r="O93" i="5"/>
  <c r="H417" i="5"/>
  <c r="I416" i="4"/>
  <c r="R414" i="5"/>
  <c r="R248" i="5"/>
  <c r="H72" i="5"/>
  <c r="I71" i="4"/>
  <c r="U414" i="5"/>
  <c r="O405" i="5"/>
  <c r="H461" i="5"/>
  <c r="I460" i="4"/>
  <c r="R249" i="5"/>
  <c r="H452" i="5"/>
  <c r="I451" i="4"/>
  <c r="X248" i="5"/>
  <c r="Q128" i="11"/>
  <c r="R128" i="11" s="1"/>
  <c r="D45" i="17"/>
  <c r="F45" i="17" s="1"/>
  <c r="O24" i="5"/>
  <c r="H403" i="5"/>
  <c r="I402" i="4"/>
  <c r="R174" i="5"/>
  <c r="F50" i="16"/>
  <c r="H50" i="16" s="1"/>
  <c r="H193" i="5"/>
  <c r="I192" i="4"/>
  <c r="I191" i="4" s="1"/>
  <c r="H384" i="5"/>
  <c r="I383" i="4"/>
  <c r="H186" i="5"/>
  <c r="I185" i="4"/>
  <c r="I140" i="4"/>
  <c r="H141" i="5"/>
  <c r="N102" i="11"/>
  <c r="O102" i="11" s="1"/>
  <c r="N96" i="11"/>
  <c r="O96" i="11" s="1"/>
  <c r="F49" i="16" s="1"/>
  <c r="H49" i="16" s="1"/>
  <c r="N97" i="11"/>
  <c r="O97" i="11" s="1"/>
  <c r="N101" i="11"/>
  <c r="O101" i="11" s="1"/>
  <c r="N98" i="11"/>
  <c r="O98" i="11" s="1"/>
  <c r="N103" i="11"/>
  <c r="O103" i="11" s="1"/>
  <c r="N38" i="12" s="1"/>
  <c r="O38" i="12" s="1"/>
  <c r="N100" i="11"/>
  <c r="O100" i="11" s="1"/>
  <c r="N99" i="11"/>
  <c r="O99" i="11" s="1"/>
  <c r="H105" i="5"/>
  <c r="I104" i="4"/>
  <c r="Y24" i="5"/>
  <c r="L24" i="5"/>
  <c r="N23" i="11"/>
  <c r="O23" i="11" s="1"/>
  <c r="N29" i="11"/>
  <c r="O29" i="11" s="1"/>
  <c r="N28" i="11"/>
  <c r="O28" i="11" s="1"/>
  <c r="N24" i="11"/>
  <c r="O24" i="11" s="1"/>
  <c r="N27" i="11"/>
  <c r="O27" i="11" s="1"/>
  <c r="N30" i="11"/>
  <c r="O30" i="11" s="1"/>
  <c r="N8" i="12" s="1"/>
  <c r="O8" i="12" s="1"/>
  <c r="N25" i="11"/>
  <c r="O25" i="11" s="1"/>
  <c r="N26" i="11"/>
  <c r="O26" i="11" s="1"/>
  <c r="H55" i="4"/>
  <c r="H289" i="4"/>
  <c r="H211" i="4"/>
  <c r="H367" i="4"/>
  <c r="H445" i="4"/>
  <c r="H133" i="4"/>
  <c r="H49" i="15"/>
  <c r="I33" i="4"/>
  <c r="H34" i="5"/>
  <c r="X327" i="5"/>
  <c r="H284" i="5"/>
  <c r="I283" i="4"/>
  <c r="Q108" i="11"/>
  <c r="R108" i="11" s="1"/>
  <c r="F122" i="16"/>
  <c r="H122" i="16" s="1"/>
  <c r="H400" i="5"/>
  <c r="I399" i="4"/>
  <c r="L414" i="5"/>
  <c r="Y414" i="5"/>
  <c r="L93" i="5"/>
  <c r="Y93" i="5"/>
  <c r="Y252" i="5"/>
  <c r="L252" i="5"/>
  <c r="U405" i="5"/>
  <c r="Y248" i="5"/>
  <c r="L248" i="5"/>
  <c r="O326" i="5"/>
  <c r="Z17" i="5"/>
  <c r="I90" i="4"/>
  <c r="H91" i="5"/>
  <c r="O103" i="5"/>
  <c r="H93" i="4"/>
  <c r="H21" i="15"/>
  <c r="H15" i="4"/>
  <c r="H249" i="4"/>
  <c r="H171" i="4"/>
  <c r="H405" i="4"/>
  <c r="H327" i="4"/>
  <c r="H9" i="5"/>
  <c r="I8" i="4"/>
  <c r="U327" i="5"/>
  <c r="I475" i="7"/>
  <c r="I476" i="7" s="1"/>
  <c r="G471" i="7"/>
  <c r="G151" i="4"/>
  <c r="G152" i="5" s="1"/>
  <c r="G307" i="4"/>
  <c r="G308" i="5" s="1"/>
  <c r="G73" i="4"/>
  <c r="G74" i="5" s="1"/>
  <c r="G53" i="15"/>
  <c r="G385" i="4"/>
  <c r="G386" i="5" s="1"/>
  <c r="G463" i="4"/>
  <c r="G464" i="5" s="1"/>
  <c r="G229" i="4"/>
  <c r="G230" i="5" s="1"/>
  <c r="X404" i="5"/>
  <c r="H17" i="15"/>
  <c r="H418" i="4"/>
  <c r="H340" i="4"/>
  <c r="H262" i="4"/>
  <c r="H106" i="4"/>
  <c r="H184" i="4"/>
  <c r="H28" i="4"/>
  <c r="N13" i="10"/>
  <c r="O13" i="10" s="1"/>
  <c r="O336" i="5"/>
  <c r="I347" i="7"/>
  <c r="I348" i="7" s="1"/>
  <c r="G340" i="7"/>
  <c r="L340" i="7" s="1"/>
  <c r="G286" i="4"/>
  <c r="G287" i="5" s="1"/>
  <c r="G364" i="4"/>
  <c r="G365" i="5" s="1"/>
  <c r="G52" i="4"/>
  <c r="G53" i="5" s="1"/>
  <c r="G442" i="4"/>
  <c r="G443" i="5" s="1"/>
  <c r="G51" i="15"/>
  <c r="G130" i="4"/>
  <c r="G131" i="5" s="1"/>
  <c r="G208" i="4"/>
  <c r="G209" i="5" s="1"/>
  <c r="F184" i="16"/>
  <c r="H184" i="16" s="1"/>
  <c r="D26" i="18"/>
  <c r="F26" i="18" s="1"/>
  <c r="L249" i="5"/>
  <c r="Y249" i="5"/>
  <c r="U18" i="5"/>
  <c r="U336" i="5"/>
  <c r="I504" i="7"/>
  <c r="I505" i="7" s="1"/>
  <c r="G499" i="7"/>
  <c r="G8" i="15"/>
  <c r="G468" i="4"/>
  <c r="G469" i="5" s="1"/>
  <c r="G234" i="4"/>
  <c r="G235" i="5" s="1"/>
  <c r="G390" i="4"/>
  <c r="G391" i="5" s="1"/>
  <c r="G78" i="4"/>
  <c r="G79" i="5" s="1"/>
  <c r="G156" i="4"/>
  <c r="G157" i="5" s="1"/>
  <c r="I338" i="4"/>
  <c r="H339" i="5"/>
  <c r="N108" i="11"/>
  <c r="O108" i="11" s="1"/>
  <c r="G307" i="7"/>
  <c r="L307" i="7" s="1"/>
  <c r="I313" i="7"/>
  <c r="I314" i="7" s="1"/>
  <c r="G124" i="4"/>
  <c r="G125" i="5" s="1"/>
  <c r="G50" i="15"/>
  <c r="G202" i="4"/>
  <c r="G203" i="5" s="1"/>
  <c r="G46" i="4"/>
  <c r="G47" i="5" s="1"/>
  <c r="G358" i="4"/>
  <c r="G359" i="5" s="1"/>
  <c r="G280" i="4"/>
  <c r="G281" i="5" s="1"/>
  <c r="G436" i="4"/>
  <c r="G437" i="5" s="1"/>
  <c r="H63" i="5"/>
  <c r="I62" i="4"/>
  <c r="N76" i="11"/>
  <c r="O76" i="11" s="1"/>
  <c r="N23" i="12" s="1"/>
  <c r="O23" i="12" s="1"/>
  <c r="N79" i="11"/>
  <c r="O79" i="11" s="1"/>
  <c r="N77" i="11"/>
  <c r="O77" i="11" s="1"/>
  <c r="N28" i="12" s="1"/>
  <c r="O28" i="12" s="1"/>
  <c r="N78" i="11"/>
  <c r="O78" i="11" s="1"/>
  <c r="X336" i="5"/>
  <c r="U93" i="5"/>
  <c r="H453" i="5"/>
  <c r="I452" i="4"/>
  <c r="O18" i="5"/>
  <c r="N71" i="11"/>
  <c r="O71" i="11" s="1"/>
  <c r="N70" i="11"/>
  <c r="O70" i="11" s="1"/>
  <c r="Y336" i="5"/>
  <c r="L336" i="5"/>
  <c r="L171" i="5"/>
  <c r="Y171" i="5"/>
  <c r="H27" i="5"/>
  <c r="I26" i="4"/>
  <c r="H45" i="15"/>
  <c r="H412" i="4"/>
  <c r="H178" i="4"/>
  <c r="H334" i="4"/>
  <c r="H256" i="4"/>
  <c r="H100" i="4"/>
  <c r="H22" i="4"/>
  <c r="I61" i="4"/>
  <c r="H62" i="5"/>
  <c r="O96" i="5"/>
  <c r="X24" i="5"/>
  <c r="H13" i="5"/>
  <c r="I12" i="4"/>
  <c r="U174" i="5"/>
  <c r="H427" i="5"/>
  <c r="I426" i="4"/>
  <c r="I425" i="4" s="1"/>
  <c r="H228" i="5"/>
  <c r="I227" i="4"/>
  <c r="N73" i="10"/>
  <c r="O73" i="10" s="1"/>
  <c r="N85" i="11"/>
  <c r="O85" i="11" s="1"/>
  <c r="N88" i="11"/>
  <c r="O88" i="11" s="1"/>
  <c r="N90" i="11"/>
  <c r="O90" i="11" s="1"/>
  <c r="N91" i="11"/>
  <c r="O91" i="11" s="1"/>
  <c r="N33" i="12" s="1"/>
  <c r="O33" i="12" s="1"/>
  <c r="N89" i="11"/>
  <c r="O89" i="11" s="1"/>
  <c r="N86" i="11"/>
  <c r="O86" i="11" s="1"/>
  <c r="N87" i="11"/>
  <c r="O87" i="11" s="1"/>
  <c r="N84" i="11"/>
  <c r="O84" i="11" s="1"/>
  <c r="L407" i="5"/>
  <c r="Y407" i="5"/>
  <c r="L327" i="5"/>
  <c r="Y327" i="5"/>
  <c r="H169" i="5"/>
  <c r="I168" i="4"/>
  <c r="R404" i="5"/>
  <c r="R103" i="5"/>
  <c r="O327" i="5"/>
  <c r="U404" i="5"/>
  <c r="Z14" i="5"/>
  <c r="H383" i="5"/>
  <c r="I382" i="4"/>
  <c r="F66" i="16"/>
  <c r="H66" i="16" s="1"/>
  <c r="X93" i="5"/>
  <c r="Y408" i="5"/>
  <c r="L408" i="5"/>
  <c r="X414" i="5"/>
  <c r="X405" i="5"/>
  <c r="O248" i="5"/>
  <c r="L326" i="5"/>
  <c r="Y326" i="5"/>
  <c r="H279" i="4"/>
  <c r="H45" i="4"/>
  <c r="H201" i="4"/>
  <c r="H435" i="4"/>
  <c r="H26" i="15"/>
  <c r="H123" i="4"/>
  <c r="H357" i="4"/>
  <c r="H268" i="5"/>
  <c r="I267" i="4"/>
  <c r="H149" i="5"/>
  <c r="I148" i="4"/>
  <c r="O249" i="5"/>
  <c r="U103" i="5"/>
  <c r="D38" i="18"/>
  <c r="F38" i="18" s="1"/>
  <c r="I81" i="7"/>
  <c r="H296" i="5"/>
  <c r="I295" i="4"/>
  <c r="D18" i="18"/>
  <c r="F18" i="18" s="1"/>
  <c r="I226" i="4"/>
  <c r="H227" i="5"/>
  <c r="H368" i="4"/>
  <c r="H134" i="4"/>
  <c r="H28" i="15"/>
  <c r="H446" i="4"/>
  <c r="H212" i="4"/>
  <c r="H290" i="4"/>
  <c r="H56" i="4"/>
  <c r="F148" i="16"/>
  <c r="H148" i="16" s="1"/>
  <c r="R93" i="5"/>
  <c r="D44" i="18"/>
  <c r="F44" i="18" s="1"/>
  <c r="I217" i="4"/>
  <c r="H218" i="5"/>
  <c r="R408" i="5"/>
  <c r="U248" i="5"/>
  <c r="H247" i="5"/>
  <c r="I246" i="4"/>
  <c r="O404" i="5"/>
  <c r="O174" i="5"/>
  <c r="H100" i="5"/>
  <c r="I99" i="4"/>
  <c r="I305" i="4"/>
  <c r="H306" i="5"/>
  <c r="X18" i="5"/>
  <c r="U249" i="5"/>
  <c r="Q18" i="11"/>
  <c r="R18" i="11" s="1"/>
  <c r="R102" i="5"/>
  <c r="Q13" i="11"/>
  <c r="R13" i="11" s="1"/>
  <c r="O102" i="5"/>
  <c r="H297" i="5"/>
  <c r="I296" i="4"/>
  <c r="R18" i="5"/>
  <c r="O171" i="5"/>
  <c r="I260" i="4"/>
  <c r="H261" i="5"/>
  <c r="U407" i="5"/>
  <c r="X96" i="5"/>
  <c r="F15" i="16"/>
  <c r="H15" i="16" s="1"/>
  <c r="F78" i="16"/>
  <c r="H78" i="16" s="1"/>
  <c r="R24" i="5"/>
  <c r="X174" i="5"/>
  <c r="H37" i="5"/>
  <c r="I36" i="4"/>
  <c r="I70" i="4"/>
  <c r="H71" i="5"/>
  <c r="Q71" i="11"/>
  <c r="R71" i="11" s="1"/>
  <c r="Q70" i="11"/>
  <c r="R70" i="11" s="1"/>
  <c r="H271" i="5"/>
  <c r="I270" i="4"/>
  <c r="I269" i="4" s="1"/>
  <c r="H10" i="5"/>
  <c r="I9" i="4"/>
  <c r="I43" i="15" s="1"/>
  <c r="H214" i="4"/>
  <c r="H58" i="4"/>
  <c r="H370" i="4"/>
  <c r="H448" i="4"/>
  <c r="H35" i="15"/>
  <c r="H292" i="4"/>
  <c r="H136" i="4"/>
  <c r="L15" i="5"/>
  <c r="Y15" i="5"/>
  <c r="L102" i="5"/>
  <c r="Y102" i="5"/>
  <c r="L96" i="5"/>
  <c r="Y96" i="5"/>
  <c r="L170" i="5"/>
  <c r="Y170" i="5"/>
  <c r="I398" i="4"/>
  <c r="H399" i="5"/>
  <c r="I111" i="4"/>
  <c r="H112" i="5"/>
  <c r="R327" i="5"/>
  <c r="H424" i="5"/>
  <c r="I423" i="4"/>
  <c r="H349" i="5"/>
  <c r="I348" i="4"/>
  <c r="I347" i="4" s="1"/>
  <c r="U408" i="5"/>
  <c r="H346" i="5"/>
  <c r="I345" i="4"/>
  <c r="H462" i="5"/>
  <c r="I461" i="4"/>
  <c r="H374" i="5"/>
  <c r="I373" i="4"/>
  <c r="Y258" i="5"/>
  <c r="L258" i="5"/>
  <c r="H190" i="5"/>
  <c r="I189" i="4"/>
  <c r="H150" i="5"/>
  <c r="I149" i="4"/>
  <c r="X249" i="5"/>
  <c r="R336" i="5"/>
  <c r="O408" i="5"/>
  <c r="L405" i="5"/>
  <c r="Y405" i="5"/>
  <c r="U326" i="5"/>
  <c r="H325" i="5"/>
  <c r="I324" i="4"/>
  <c r="L404" i="5"/>
  <c r="Y404" i="5"/>
  <c r="N113" i="11"/>
  <c r="O113" i="11" s="1"/>
  <c r="X103" i="5"/>
  <c r="G351" i="7"/>
  <c r="L351" i="7" s="1"/>
  <c r="I362" i="7"/>
  <c r="I363" i="7" s="1"/>
  <c r="G209" i="4"/>
  <c r="G210" i="5" s="1"/>
  <c r="G39" i="15"/>
  <c r="G53" i="4"/>
  <c r="G54" i="5" s="1"/>
  <c r="G131" i="4"/>
  <c r="G132" i="5" s="1"/>
  <c r="G287" i="4"/>
  <c r="G288" i="5" s="1"/>
  <c r="G365" i="4"/>
  <c r="G366" i="5" s="1"/>
  <c r="G443" i="4"/>
  <c r="G444" i="5" s="1"/>
  <c r="X326" i="5"/>
  <c r="Q26" i="11"/>
  <c r="R26" i="11" s="1"/>
  <c r="Q24" i="11"/>
  <c r="R24" i="11" s="1"/>
  <c r="Q23" i="11"/>
  <c r="R23" i="11" s="1"/>
  <c r="Q28" i="11"/>
  <c r="R28" i="11" s="1"/>
  <c r="Q30" i="11"/>
  <c r="R30" i="11" s="1"/>
  <c r="Q8" i="12" s="1"/>
  <c r="R8" i="12" s="1"/>
  <c r="Q29" i="11"/>
  <c r="R29" i="11" s="1"/>
  <c r="Q27" i="11"/>
  <c r="R27" i="11" s="1"/>
  <c r="Q25" i="11"/>
  <c r="R25" i="11" s="1"/>
  <c r="Y330" i="5"/>
  <c r="L330" i="5"/>
  <c r="U102" i="5"/>
  <c r="I218" i="4"/>
  <c r="H219" i="5"/>
  <c r="Y18" i="5"/>
  <c r="L18" i="5"/>
  <c r="Z92" i="5"/>
  <c r="R171" i="5"/>
  <c r="H183" i="5"/>
  <c r="I182" i="4"/>
  <c r="X407" i="5"/>
  <c r="U96" i="5"/>
  <c r="U24" i="5"/>
  <c r="H117" i="4"/>
  <c r="H39" i="4"/>
  <c r="H36" i="15"/>
  <c r="H351" i="4"/>
  <c r="H195" i="4"/>
  <c r="H273" i="4"/>
  <c r="H429" i="4"/>
  <c r="Y174" i="5"/>
  <c r="L174" i="5"/>
  <c r="H115" i="5"/>
  <c r="I114" i="4"/>
  <c r="I113" i="4" s="1"/>
  <c r="H244" i="5" l="1"/>
  <c r="J244" i="5" s="1"/>
  <c r="I87" i="4"/>
  <c r="H162" i="4"/>
  <c r="H9" i="15"/>
  <c r="H318" i="4"/>
  <c r="I477" i="4"/>
  <c r="H240" i="4"/>
  <c r="I240" i="4" s="1"/>
  <c r="H396" i="4"/>
  <c r="I396" i="4" s="1"/>
  <c r="H474" i="4"/>
  <c r="I474" i="4" s="1"/>
  <c r="H128" i="5"/>
  <c r="V128" i="5" s="1"/>
  <c r="G520" i="8"/>
  <c r="I520" i="8" s="1"/>
  <c r="I521" i="8" s="1"/>
  <c r="G514" i="8" s="1"/>
  <c r="H440" i="5"/>
  <c r="S440" i="5" s="1"/>
  <c r="G42" i="4"/>
  <c r="G43" i="5" s="1"/>
  <c r="G432" i="4"/>
  <c r="G433" i="5" s="1"/>
  <c r="I420" i="4"/>
  <c r="G354" i="4"/>
  <c r="G355" i="5" s="1"/>
  <c r="H252" i="4"/>
  <c r="I252" i="4" s="1"/>
  <c r="H330" i="4"/>
  <c r="H331" i="5" s="1"/>
  <c r="H32" i="15"/>
  <c r="G120" i="4"/>
  <c r="G121" i="5" s="1"/>
  <c r="H96" i="4"/>
  <c r="I96" i="4" s="1"/>
  <c r="H174" i="4"/>
  <c r="H175" i="5" s="1"/>
  <c r="H408" i="4"/>
  <c r="H409" i="5" s="1"/>
  <c r="H256" i="5"/>
  <c r="P256" i="5" s="1"/>
  <c r="I264" i="4"/>
  <c r="H87" i="5"/>
  <c r="I87" i="5" s="1"/>
  <c r="H206" i="5"/>
  <c r="S206" i="5" s="1"/>
  <c r="H283" i="5"/>
  <c r="M283" i="5" s="1"/>
  <c r="I30" i="4"/>
  <c r="H420" i="5"/>
  <c r="I420" i="5" s="1"/>
  <c r="I411" i="4"/>
  <c r="I186" i="4"/>
  <c r="I79" i="4"/>
  <c r="H343" i="5"/>
  <c r="P343" i="5" s="1"/>
  <c r="I334" i="8"/>
  <c r="G326" i="8" s="1"/>
  <c r="L326" i="8" s="1"/>
  <c r="Y181" i="5"/>
  <c r="G276" i="7"/>
  <c r="I276" i="7" s="1"/>
  <c r="I108" i="4"/>
  <c r="I29" i="4"/>
  <c r="H50" i="5"/>
  <c r="M50" i="5" s="1"/>
  <c r="I449" i="4"/>
  <c r="L415" i="5"/>
  <c r="F76" i="16"/>
  <c r="H76" i="16" s="1"/>
  <c r="H314" i="5"/>
  <c r="S314" i="5" s="1"/>
  <c r="H362" i="5"/>
  <c r="M362" i="5" s="1"/>
  <c r="H310" i="5"/>
  <c r="J310" i="5" s="1"/>
  <c r="I391" i="4"/>
  <c r="I320" i="4"/>
  <c r="I319" i="4" s="1"/>
  <c r="C104" i="3" s="1"/>
  <c r="I333" i="4"/>
  <c r="R415" i="5"/>
  <c r="H361" i="5"/>
  <c r="M361" i="5" s="1"/>
  <c r="U415" i="5"/>
  <c r="Y415" i="5"/>
  <c r="H190" i="4"/>
  <c r="H191" i="5" s="1"/>
  <c r="O415" i="5"/>
  <c r="X415" i="5"/>
  <c r="I164" i="4"/>
  <c r="I163" i="4" s="1"/>
  <c r="I476" i="4"/>
  <c r="H161" i="4"/>
  <c r="H239" i="4"/>
  <c r="H83" i="4"/>
  <c r="I83" i="4" s="1"/>
  <c r="H473" i="4"/>
  <c r="H13" i="15"/>
  <c r="H395" i="4"/>
  <c r="H317" i="4"/>
  <c r="I204" i="4"/>
  <c r="I203" i="4" s="1"/>
  <c r="I293" i="4"/>
  <c r="G276" i="4"/>
  <c r="G277" i="5" s="1"/>
  <c r="H439" i="5"/>
  <c r="P439" i="5" s="1"/>
  <c r="G261" i="7"/>
  <c r="H49" i="5"/>
  <c r="V49" i="5" s="1"/>
  <c r="U259" i="5"/>
  <c r="G198" i="4"/>
  <c r="G199" i="5" s="1"/>
  <c r="I271" i="7"/>
  <c r="H198" i="4" s="1"/>
  <c r="H388" i="5"/>
  <c r="P388" i="5" s="1"/>
  <c r="G34" i="15"/>
  <c r="H127" i="5"/>
  <c r="I127" i="5" s="1"/>
  <c r="I242" i="4"/>
  <c r="I241" i="4" s="1"/>
  <c r="I371" i="4"/>
  <c r="I281" i="4"/>
  <c r="E89" i="2" s="1"/>
  <c r="L259" i="5"/>
  <c r="R259" i="5"/>
  <c r="X259" i="5"/>
  <c r="Y259" i="5"/>
  <c r="I465" i="4"/>
  <c r="O337" i="5"/>
  <c r="Q18" i="12"/>
  <c r="R18" i="12" s="1"/>
  <c r="H158" i="5"/>
  <c r="S158" i="5" s="1"/>
  <c r="I235" i="4"/>
  <c r="D143" i="17"/>
  <c r="F143" i="17" s="1"/>
  <c r="O259" i="5"/>
  <c r="X25" i="5"/>
  <c r="I153" i="4"/>
  <c r="I75" i="4"/>
  <c r="O25" i="5"/>
  <c r="H38" i="15"/>
  <c r="I21" i="4"/>
  <c r="I231" i="4"/>
  <c r="X337" i="5"/>
  <c r="U25" i="5"/>
  <c r="H424" i="4"/>
  <c r="H425" i="5" s="1"/>
  <c r="I341" i="4"/>
  <c r="I459" i="4"/>
  <c r="E145" i="2" s="1"/>
  <c r="F73" i="16"/>
  <c r="H73" i="16" s="1"/>
  <c r="D36" i="18"/>
  <c r="F36" i="18" s="1"/>
  <c r="H60" i="5"/>
  <c r="M60" i="5" s="1"/>
  <c r="U337" i="5"/>
  <c r="R25" i="5"/>
  <c r="D62" i="18"/>
  <c r="F62" i="18" s="1"/>
  <c r="F30" i="16"/>
  <c r="H30" i="16" s="1"/>
  <c r="I263" i="4"/>
  <c r="Y337" i="5"/>
  <c r="L337" i="5"/>
  <c r="D31" i="18"/>
  <c r="F31" i="18" s="1"/>
  <c r="H346" i="4"/>
  <c r="I346" i="4" s="1"/>
  <c r="I344" i="4" s="1"/>
  <c r="R337" i="5"/>
  <c r="L25" i="5"/>
  <c r="Y25" i="5"/>
  <c r="H108" i="5"/>
  <c r="P108" i="5" s="1"/>
  <c r="F196" i="16"/>
  <c r="H196" i="16" s="1"/>
  <c r="H34" i="4"/>
  <c r="H35" i="5" s="1"/>
  <c r="I225" i="4"/>
  <c r="E73" i="2" s="1"/>
  <c r="Z170" i="5"/>
  <c r="H112" i="4"/>
  <c r="I112" i="4" s="1"/>
  <c r="I110" i="4" s="1"/>
  <c r="I177" i="4"/>
  <c r="I125" i="4"/>
  <c r="E41" i="2" s="1"/>
  <c r="Z15" i="5"/>
  <c r="I372" i="4"/>
  <c r="E117" i="2" s="1"/>
  <c r="F179" i="16"/>
  <c r="H179" i="16" s="1"/>
  <c r="H138" i="5"/>
  <c r="V138" i="5" s="1"/>
  <c r="D59" i="18"/>
  <c r="F59" i="18" s="1"/>
  <c r="I215" i="4"/>
  <c r="I147" i="4"/>
  <c r="E49" i="2" s="1"/>
  <c r="Z95" i="5"/>
  <c r="F45" i="16"/>
  <c r="H45" i="16" s="1"/>
  <c r="F20" i="16"/>
  <c r="H20" i="16" s="1"/>
  <c r="Z330" i="5"/>
  <c r="Z252" i="5"/>
  <c r="F94" i="16"/>
  <c r="H94" i="16" s="1"/>
  <c r="I397" i="4"/>
  <c r="C128" i="3" s="1"/>
  <c r="Q13" i="12"/>
  <c r="R13" i="12" s="1"/>
  <c r="D60" i="18"/>
  <c r="F60" i="18" s="1"/>
  <c r="D59" i="17"/>
  <c r="F59" i="17" s="1"/>
  <c r="F197" i="16"/>
  <c r="H197" i="16" s="1"/>
  <c r="Z180" i="5"/>
  <c r="F10" i="16"/>
  <c r="H10" i="16" s="1"/>
  <c r="Z174" i="5"/>
  <c r="D9" i="18"/>
  <c r="F9" i="18" s="1"/>
  <c r="Z405" i="5"/>
  <c r="Z258" i="5"/>
  <c r="F69" i="16"/>
  <c r="H69" i="16" s="1"/>
  <c r="H50" i="15"/>
  <c r="H436" i="4"/>
  <c r="H46" i="4"/>
  <c r="H358" i="4"/>
  <c r="H202" i="4"/>
  <c r="H280" i="4"/>
  <c r="H124" i="4"/>
  <c r="H312" i="4"/>
  <c r="H22" i="15"/>
  <c r="P403" i="5"/>
  <c r="M403" i="5"/>
  <c r="S403" i="5"/>
  <c r="J403" i="5"/>
  <c r="V403" i="5"/>
  <c r="I403" i="5"/>
  <c r="I154" i="4"/>
  <c r="H155" i="5"/>
  <c r="H447" i="5"/>
  <c r="I446" i="4"/>
  <c r="H46" i="5"/>
  <c r="I45" i="4"/>
  <c r="H179" i="5"/>
  <c r="I178" i="4"/>
  <c r="H163" i="5"/>
  <c r="I162" i="4"/>
  <c r="H419" i="5"/>
  <c r="I418" i="4"/>
  <c r="J186" i="5"/>
  <c r="V186" i="5"/>
  <c r="S186" i="5"/>
  <c r="P186" i="5"/>
  <c r="M186" i="5"/>
  <c r="I186" i="5"/>
  <c r="H260" i="5"/>
  <c r="I259" i="4"/>
  <c r="D56" i="18"/>
  <c r="F56" i="18" s="1"/>
  <c r="I290" i="4"/>
  <c r="H291" i="5"/>
  <c r="H436" i="5"/>
  <c r="I435" i="4"/>
  <c r="V453" i="5"/>
  <c r="M453" i="5"/>
  <c r="J453" i="5"/>
  <c r="S453" i="5"/>
  <c r="P453" i="5"/>
  <c r="I453" i="5"/>
  <c r="H263" i="5"/>
  <c r="I262" i="4"/>
  <c r="H393" i="5"/>
  <c r="I392" i="4"/>
  <c r="H241" i="5"/>
  <c r="H341" i="5"/>
  <c r="I340" i="4"/>
  <c r="P244" i="5"/>
  <c r="M244" i="5"/>
  <c r="S244" i="5"/>
  <c r="V244" i="5"/>
  <c r="I244" i="5"/>
  <c r="H455" i="5"/>
  <c r="I454" i="4"/>
  <c r="I453" i="4" s="1"/>
  <c r="J421" i="5"/>
  <c r="V421" i="5"/>
  <c r="S421" i="5"/>
  <c r="M421" i="5"/>
  <c r="P421" i="5"/>
  <c r="I421" i="5"/>
  <c r="H85" i="5"/>
  <c r="I84" i="4"/>
  <c r="Z93" i="5"/>
  <c r="I445" i="4"/>
  <c r="H446" i="5"/>
  <c r="I437" i="4"/>
  <c r="H275" i="5"/>
  <c r="I274" i="4"/>
  <c r="H458" i="5"/>
  <c r="I457" i="4"/>
  <c r="P374" i="5"/>
  <c r="M374" i="5"/>
  <c r="V374" i="5"/>
  <c r="S374" i="5"/>
  <c r="J374" i="5"/>
  <c r="I374" i="5"/>
  <c r="H290" i="5"/>
  <c r="I289" i="4"/>
  <c r="H467" i="5"/>
  <c r="I466" i="4"/>
  <c r="H352" i="5"/>
  <c r="I351" i="4"/>
  <c r="Z408" i="5"/>
  <c r="J228" i="5"/>
  <c r="P228" i="5"/>
  <c r="M228" i="5"/>
  <c r="S228" i="5"/>
  <c r="V228" i="5"/>
  <c r="I228" i="5"/>
  <c r="H257" i="5"/>
  <c r="I256" i="4"/>
  <c r="S400" i="5"/>
  <c r="P400" i="5"/>
  <c r="V400" i="5"/>
  <c r="J400" i="5"/>
  <c r="M400" i="5"/>
  <c r="I400" i="5"/>
  <c r="H26" i="5"/>
  <c r="I25" i="4"/>
  <c r="Z249" i="5"/>
  <c r="H151" i="4"/>
  <c r="H385" i="4"/>
  <c r="H463" i="4"/>
  <c r="H307" i="4"/>
  <c r="H229" i="4"/>
  <c r="H73" i="4"/>
  <c r="H53" i="15"/>
  <c r="I133" i="4"/>
  <c r="H134" i="5"/>
  <c r="S105" i="5"/>
  <c r="V105" i="5"/>
  <c r="J105" i="5"/>
  <c r="M105" i="5"/>
  <c r="P105" i="5"/>
  <c r="I105" i="5"/>
  <c r="Z103" i="5"/>
  <c r="M477" i="5"/>
  <c r="J477" i="5"/>
  <c r="V477" i="5"/>
  <c r="P477" i="5"/>
  <c r="S477" i="5"/>
  <c r="I477" i="5"/>
  <c r="J294" i="5"/>
  <c r="V294" i="5"/>
  <c r="S294" i="5"/>
  <c r="P294" i="5"/>
  <c r="M294" i="5"/>
  <c r="I294" i="5"/>
  <c r="H182" i="5"/>
  <c r="I181" i="4"/>
  <c r="H430" i="5"/>
  <c r="I429" i="4"/>
  <c r="S219" i="5"/>
  <c r="P219" i="5"/>
  <c r="M219" i="5"/>
  <c r="J219" i="5"/>
  <c r="V219" i="5"/>
  <c r="I219" i="5"/>
  <c r="J349" i="5"/>
  <c r="S349" i="5"/>
  <c r="V349" i="5"/>
  <c r="M349" i="5"/>
  <c r="P349" i="5"/>
  <c r="I349" i="5"/>
  <c r="I348" i="5" s="1"/>
  <c r="H371" i="5"/>
  <c r="I370" i="4"/>
  <c r="D34" i="18"/>
  <c r="F34" i="18" s="1"/>
  <c r="D43" i="18"/>
  <c r="F43" i="18" s="1"/>
  <c r="D46" i="18"/>
  <c r="F46" i="18" s="1"/>
  <c r="D116" i="17"/>
  <c r="F116" i="17" s="1"/>
  <c r="H255" i="5"/>
  <c r="I254" i="4"/>
  <c r="S342" i="5"/>
  <c r="P342" i="5"/>
  <c r="M342" i="5"/>
  <c r="J342" i="5"/>
  <c r="V342" i="5"/>
  <c r="I342" i="5"/>
  <c r="V265" i="5"/>
  <c r="J265" i="5"/>
  <c r="S265" i="5"/>
  <c r="P265" i="5"/>
  <c r="M265" i="5"/>
  <c r="I265" i="5"/>
  <c r="M91" i="5"/>
  <c r="P91" i="5"/>
  <c r="J91" i="5"/>
  <c r="S91" i="5"/>
  <c r="V91" i="5"/>
  <c r="I91" i="5"/>
  <c r="H212" i="5"/>
  <c r="I211" i="4"/>
  <c r="C62" i="3"/>
  <c r="E61" i="2"/>
  <c r="H237" i="5"/>
  <c r="I236" i="4"/>
  <c r="H196" i="5"/>
  <c r="I195" i="4"/>
  <c r="V424" i="5"/>
  <c r="S424" i="5"/>
  <c r="M424" i="5"/>
  <c r="P424" i="5"/>
  <c r="J424" i="5"/>
  <c r="I424" i="5"/>
  <c r="I214" i="4"/>
  <c r="H215" i="5"/>
  <c r="M227" i="5"/>
  <c r="J227" i="5"/>
  <c r="P227" i="5"/>
  <c r="S227" i="5"/>
  <c r="V227" i="5"/>
  <c r="I227" i="5"/>
  <c r="S9" i="5"/>
  <c r="J9" i="5"/>
  <c r="P9" i="5"/>
  <c r="V9" i="5"/>
  <c r="M9" i="5"/>
  <c r="I9" i="5"/>
  <c r="I303" i="4"/>
  <c r="I145" i="4"/>
  <c r="H146" i="5"/>
  <c r="I216" i="4"/>
  <c r="H328" i="5"/>
  <c r="I327" i="4"/>
  <c r="M305" i="5"/>
  <c r="J305" i="5"/>
  <c r="S305" i="5"/>
  <c r="P305" i="5"/>
  <c r="V305" i="5"/>
  <c r="I305" i="5"/>
  <c r="S372" i="5"/>
  <c r="P372" i="5"/>
  <c r="J372" i="5"/>
  <c r="M372" i="5"/>
  <c r="V372" i="5"/>
  <c r="I372" i="5"/>
  <c r="P268" i="5"/>
  <c r="M268" i="5"/>
  <c r="S268" i="5"/>
  <c r="J268" i="5"/>
  <c r="V268" i="5"/>
  <c r="I268" i="5"/>
  <c r="N13" i="12"/>
  <c r="O13" i="12" s="1"/>
  <c r="H78" i="4"/>
  <c r="H468" i="4"/>
  <c r="H8" i="15"/>
  <c r="H390" i="4"/>
  <c r="H234" i="4"/>
  <c r="H156" i="4"/>
  <c r="H406" i="5"/>
  <c r="I405" i="4"/>
  <c r="Z414" i="5"/>
  <c r="P166" i="5"/>
  <c r="S166" i="5"/>
  <c r="M166" i="5"/>
  <c r="V166" i="5"/>
  <c r="J166" i="5"/>
  <c r="I166" i="5"/>
  <c r="I430" i="4"/>
  <c r="H431" i="5"/>
  <c r="H377" i="5"/>
  <c r="I376" i="4"/>
  <c r="I375" i="4" s="1"/>
  <c r="J30" i="5"/>
  <c r="V30" i="5"/>
  <c r="S30" i="5"/>
  <c r="M30" i="5"/>
  <c r="P30" i="5"/>
  <c r="I30" i="5"/>
  <c r="I39" i="4"/>
  <c r="H40" i="5"/>
  <c r="M462" i="5"/>
  <c r="J462" i="5"/>
  <c r="V462" i="5"/>
  <c r="S462" i="5"/>
  <c r="P462" i="5"/>
  <c r="I462" i="5"/>
  <c r="Z102" i="5"/>
  <c r="E85" i="2"/>
  <c r="C86" i="3"/>
  <c r="I69" i="4"/>
  <c r="P100" i="5"/>
  <c r="S100" i="5"/>
  <c r="V100" i="5"/>
  <c r="M100" i="5"/>
  <c r="J100" i="5"/>
  <c r="I100" i="5"/>
  <c r="I294" i="4"/>
  <c r="H358" i="5"/>
  <c r="I357" i="4"/>
  <c r="V31" i="5"/>
  <c r="S31" i="5"/>
  <c r="J31" i="5"/>
  <c r="M31" i="5"/>
  <c r="P31" i="5"/>
  <c r="I31" i="5"/>
  <c r="I27" i="15"/>
  <c r="I60" i="4"/>
  <c r="I48" i="15"/>
  <c r="N18" i="12"/>
  <c r="O18" i="12" s="1"/>
  <c r="S63" i="5"/>
  <c r="V63" i="5"/>
  <c r="P63" i="5"/>
  <c r="J63" i="5"/>
  <c r="M63" i="5"/>
  <c r="I63" i="5"/>
  <c r="H29" i="5"/>
  <c r="I28" i="4"/>
  <c r="H172" i="5"/>
  <c r="I171" i="4"/>
  <c r="Z248" i="5"/>
  <c r="V284" i="5"/>
  <c r="S284" i="5"/>
  <c r="P284" i="5"/>
  <c r="M284" i="5"/>
  <c r="J284" i="5"/>
  <c r="I284" i="5"/>
  <c r="J72" i="5"/>
  <c r="V72" i="5"/>
  <c r="S72" i="5"/>
  <c r="P72" i="5"/>
  <c r="M72" i="5"/>
  <c r="I72" i="5"/>
  <c r="H119" i="5"/>
  <c r="I118" i="4"/>
  <c r="H416" i="5"/>
  <c r="I415" i="4"/>
  <c r="H143" i="5"/>
  <c r="I142" i="4"/>
  <c r="I141" i="4" s="1"/>
  <c r="H224" i="5"/>
  <c r="I223" i="4"/>
  <c r="H315" i="5"/>
  <c r="I314" i="4"/>
  <c r="P190" i="5"/>
  <c r="J190" i="5"/>
  <c r="M190" i="5"/>
  <c r="V190" i="5"/>
  <c r="S190" i="5"/>
  <c r="I190" i="5"/>
  <c r="H137" i="5"/>
  <c r="I136" i="4"/>
  <c r="I135" i="4" s="1"/>
  <c r="I42" i="15"/>
  <c r="V140" i="5"/>
  <c r="S140" i="5"/>
  <c r="P140" i="5"/>
  <c r="M140" i="5"/>
  <c r="J140" i="5"/>
  <c r="I140" i="5"/>
  <c r="H293" i="5"/>
  <c r="I292" i="4"/>
  <c r="P154" i="5"/>
  <c r="J154" i="5"/>
  <c r="V154" i="5"/>
  <c r="S154" i="5"/>
  <c r="M154" i="5"/>
  <c r="I154" i="5"/>
  <c r="H213" i="5"/>
  <c r="I212" i="4"/>
  <c r="H202" i="5"/>
  <c r="I201" i="4"/>
  <c r="P88" i="5"/>
  <c r="M88" i="5"/>
  <c r="J88" i="5"/>
  <c r="S88" i="5"/>
  <c r="V88" i="5"/>
  <c r="I88" i="5"/>
  <c r="C134" i="3"/>
  <c r="E133" i="2"/>
  <c r="I334" i="4"/>
  <c r="H335" i="5"/>
  <c r="I93" i="4"/>
  <c r="H94" i="5"/>
  <c r="P417" i="5"/>
  <c r="M417" i="5"/>
  <c r="J417" i="5"/>
  <c r="S417" i="5"/>
  <c r="V417" i="5"/>
  <c r="I417" i="5"/>
  <c r="H338" i="5"/>
  <c r="I337" i="4"/>
  <c r="Z18" i="5"/>
  <c r="P322" i="5"/>
  <c r="M322" i="5"/>
  <c r="S322" i="5"/>
  <c r="J322" i="5"/>
  <c r="V322" i="5"/>
  <c r="I322" i="5"/>
  <c r="C110" i="3"/>
  <c r="E109" i="2"/>
  <c r="H449" i="5"/>
  <c r="I448" i="4"/>
  <c r="H413" i="5"/>
  <c r="I412" i="4"/>
  <c r="D54" i="18"/>
  <c r="F54" i="18" s="1"/>
  <c r="H333" i="5"/>
  <c r="I332" i="4"/>
  <c r="H81" i="5"/>
  <c r="I80" i="4"/>
  <c r="P22" i="5"/>
  <c r="S22" i="5"/>
  <c r="M22" i="5"/>
  <c r="V22" i="5"/>
  <c r="J22" i="5"/>
  <c r="I22" i="5"/>
  <c r="H353" i="5"/>
  <c r="I352" i="4"/>
  <c r="H380" i="5"/>
  <c r="I379" i="4"/>
  <c r="P178" i="5"/>
  <c r="V178" i="5"/>
  <c r="M178" i="5"/>
  <c r="J178" i="5"/>
  <c r="S178" i="5"/>
  <c r="I178" i="5"/>
  <c r="V236" i="5"/>
  <c r="S236" i="5"/>
  <c r="P236" i="5"/>
  <c r="M236" i="5"/>
  <c r="J236" i="5"/>
  <c r="I236" i="5"/>
  <c r="M375" i="5"/>
  <c r="V375" i="5"/>
  <c r="P375" i="5"/>
  <c r="J375" i="5"/>
  <c r="S375" i="5"/>
  <c r="I375" i="5"/>
  <c r="H177" i="5"/>
  <c r="I176" i="4"/>
  <c r="J264" i="5"/>
  <c r="V264" i="5"/>
  <c r="P264" i="5"/>
  <c r="M264" i="5"/>
  <c r="S264" i="5"/>
  <c r="I264" i="5"/>
  <c r="Z404" i="5"/>
  <c r="J187" i="5"/>
  <c r="M187" i="5"/>
  <c r="S187" i="5"/>
  <c r="V187" i="5"/>
  <c r="P187" i="5"/>
  <c r="I187" i="5"/>
  <c r="V218" i="5"/>
  <c r="S218" i="5"/>
  <c r="J218" i="5"/>
  <c r="M218" i="5"/>
  <c r="P218" i="5"/>
  <c r="I218" i="5"/>
  <c r="S169" i="5"/>
  <c r="P169" i="5"/>
  <c r="V169" i="5"/>
  <c r="J169" i="5"/>
  <c r="M169" i="5"/>
  <c r="I169" i="5"/>
  <c r="J392" i="5"/>
  <c r="M392" i="5"/>
  <c r="S392" i="5"/>
  <c r="P392" i="5"/>
  <c r="V392" i="5"/>
  <c r="I392" i="5"/>
  <c r="S27" i="5"/>
  <c r="V27" i="5"/>
  <c r="P27" i="5"/>
  <c r="J27" i="5"/>
  <c r="M27" i="5"/>
  <c r="I27" i="5"/>
  <c r="Z336" i="5"/>
  <c r="V383" i="5"/>
  <c r="S383" i="5"/>
  <c r="P383" i="5"/>
  <c r="M383" i="5"/>
  <c r="J383" i="5"/>
  <c r="I383" i="5"/>
  <c r="F48" i="16"/>
  <c r="H48" i="16" s="1"/>
  <c r="H197" i="5"/>
  <c r="I196" i="4"/>
  <c r="D57" i="18"/>
  <c r="F57" i="18" s="1"/>
  <c r="S243" i="5"/>
  <c r="P243" i="5"/>
  <c r="M243" i="5"/>
  <c r="J243" i="5"/>
  <c r="V243" i="5"/>
  <c r="I243" i="5"/>
  <c r="V62" i="5"/>
  <c r="S62" i="5"/>
  <c r="P62" i="5"/>
  <c r="J62" i="5"/>
  <c r="M62" i="5"/>
  <c r="I62" i="5"/>
  <c r="Z181" i="5"/>
  <c r="I57" i="15"/>
  <c r="H272" i="4"/>
  <c r="H207" i="4"/>
  <c r="H194" i="4"/>
  <c r="H441" i="4"/>
  <c r="H116" i="4"/>
  <c r="H56" i="15"/>
  <c r="H350" i="4"/>
  <c r="H428" i="4"/>
  <c r="H285" i="4"/>
  <c r="H38" i="4"/>
  <c r="H363" i="4"/>
  <c r="H129" i="4"/>
  <c r="H51" i="4"/>
  <c r="I359" i="4"/>
  <c r="H159" i="5"/>
  <c r="I158" i="4"/>
  <c r="S183" i="5"/>
  <c r="V183" i="5"/>
  <c r="P183" i="5"/>
  <c r="M183" i="5"/>
  <c r="J183" i="5"/>
  <c r="I183" i="5"/>
  <c r="C38" i="3"/>
  <c r="E37" i="2"/>
  <c r="H118" i="5"/>
  <c r="I117" i="4"/>
  <c r="I37" i="15"/>
  <c r="V325" i="5"/>
  <c r="P325" i="5"/>
  <c r="S325" i="5"/>
  <c r="M325" i="5"/>
  <c r="J325" i="5"/>
  <c r="I325" i="5"/>
  <c r="J150" i="5"/>
  <c r="M150" i="5"/>
  <c r="S150" i="5"/>
  <c r="P150" i="5"/>
  <c r="V150" i="5"/>
  <c r="I150" i="5"/>
  <c r="S399" i="5"/>
  <c r="V399" i="5"/>
  <c r="M399" i="5"/>
  <c r="P399" i="5"/>
  <c r="J399" i="5"/>
  <c r="I399" i="5"/>
  <c r="V271" i="5"/>
  <c r="S271" i="5"/>
  <c r="M271" i="5"/>
  <c r="J271" i="5"/>
  <c r="P271" i="5"/>
  <c r="I271" i="5"/>
  <c r="I270" i="5" s="1"/>
  <c r="I35" i="4"/>
  <c r="I44" i="15"/>
  <c r="S297" i="5"/>
  <c r="P297" i="5"/>
  <c r="J297" i="5"/>
  <c r="M297" i="5"/>
  <c r="V297" i="5"/>
  <c r="I297" i="5"/>
  <c r="V296" i="5"/>
  <c r="S296" i="5"/>
  <c r="P296" i="5"/>
  <c r="M296" i="5"/>
  <c r="J296" i="5"/>
  <c r="I296" i="5"/>
  <c r="H124" i="5"/>
  <c r="I123" i="4"/>
  <c r="J334" i="5"/>
  <c r="V334" i="5"/>
  <c r="S334" i="5"/>
  <c r="M334" i="5"/>
  <c r="P334" i="5"/>
  <c r="I334" i="5"/>
  <c r="Z327" i="5"/>
  <c r="M13" i="5"/>
  <c r="J13" i="5"/>
  <c r="V13" i="5"/>
  <c r="P13" i="5"/>
  <c r="S13" i="5"/>
  <c r="I13" i="5"/>
  <c r="H23" i="5"/>
  <c r="I22" i="4"/>
  <c r="Z171" i="5"/>
  <c r="H185" i="5"/>
  <c r="I184" i="4"/>
  <c r="H250" i="5"/>
  <c r="I249" i="4"/>
  <c r="I47" i="4"/>
  <c r="I450" i="4"/>
  <c r="V470" i="5"/>
  <c r="S470" i="5"/>
  <c r="P470" i="5"/>
  <c r="M470" i="5"/>
  <c r="I470" i="5"/>
  <c r="J470" i="5"/>
  <c r="H41" i="5"/>
  <c r="I40" i="4"/>
  <c r="H104" i="5"/>
  <c r="I103" i="4"/>
  <c r="I298" i="4"/>
  <c r="I297" i="4" s="1"/>
  <c r="H299" i="5"/>
  <c r="H302" i="5"/>
  <c r="I301" i="4"/>
  <c r="H311" i="5"/>
  <c r="I310" i="4"/>
  <c r="I308" i="4" s="1"/>
  <c r="H221" i="5"/>
  <c r="I220" i="4"/>
  <c r="I219" i="4" s="1"/>
  <c r="J216" i="5"/>
  <c r="V216" i="5"/>
  <c r="M216" i="5"/>
  <c r="P216" i="5"/>
  <c r="S216" i="5"/>
  <c r="I216" i="5"/>
  <c r="V247" i="5"/>
  <c r="S247" i="5"/>
  <c r="J247" i="5"/>
  <c r="M247" i="5"/>
  <c r="P247" i="5"/>
  <c r="I247" i="5"/>
  <c r="J478" i="5"/>
  <c r="M478" i="5"/>
  <c r="S478" i="5"/>
  <c r="P478" i="5"/>
  <c r="V478" i="5"/>
  <c r="I478" i="5"/>
  <c r="H99" i="5"/>
  <c r="I98" i="4"/>
  <c r="J321" i="5"/>
  <c r="M321" i="5"/>
  <c r="V321" i="5"/>
  <c r="S321" i="5"/>
  <c r="P321" i="5"/>
  <c r="I321" i="5"/>
  <c r="V427" i="5"/>
  <c r="S427" i="5"/>
  <c r="J427" i="5"/>
  <c r="P427" i="5"/>
  <c r="M427" i="5"/>
  <c r="I427" i="5"/>
  <c r="I426" i="5" s="1"/>
  <c r="H442" i="4"/>
  <c r="H51" i="15"/>
  <c r="H52" i="4"/>
  <c r="H286" i="4"/>
  <c r="H208" i="4"/>
  <c r="H130" i="4"/>
  <c r="H364" i="4"/>
  <c r="M461" i="5"/>
  <c r="V461" i="5"/>
  <c r="S461" i="5"/>
  <c r="P461" i="5"/>
  <c r="J461" i="5"/>
  <c r="I461" i="5"/>
  <c r="I20" i="4"/>
  <c r="H21" i="5"/>
  <c r="H209" i="4"/>
  <c r="H443" i="4"/>
  <c r="H53" i="4"/>
  <c r="H287" i="4"/>
  <c r="H365" i="4"/>
  <c r="H131" i="4"/>
  <c r="H39" i="15"/>
  <c r="I279" i="4"/>
  <c r="H280" i="5"/>
  <c r="P232" i="5"/>
  <c r="M232" i="5"/>
  <c r="V232" i="5"/>
  <c r="J232" i="5"/>
  <c r="S232" i="5"/>
  <c r="I232" i="5"/>
  <c r="S261" i="5"/>
  <c r="P261" i="5"/>
  <c r="V261" i="5"/>
  <c r="M261" i="5"/>
  <c r="J261" i="5"/>
  <c r="I261" i="5"/>
  <c r="H135" i="5"/>
  <c r="I134" i="4"/>
  <c r="I367" i="4"/>
  <c r="H368" i="5"/>
  <c r="V384" i="5"/>
  <c r="S384" i="5"/>
  <c r="P384" i="5"/>
  <c r="J384" i="5"/>
  <c r="M384" i="5"/>
  <c r="I384" i="5"/>
  <c r="H77" i="5"/>
  <c r="I76" i="4"/>
  <c r="H274" i="5"/>
  <c r="I273" i="4"/>
  <c r="V109" i="5"/>
  <c r="S109" i="5"/>
  <c r="P109" i="5"/>
  <c r="M109" i="5"/>
  <c r="J109" i="5"/>
  <c r="I109" i="5"/>
  <c r="Z96" i="5"/>
  <c r="H59" i="5"/>
  <c r="I58" i="4"/>
  <c r="J306" i="5"/>
  <c r="M306" i="5"/>
  <c r="V306" i="5"/>
  <c r="S306" i="5"/>
  <c r="P306" i="5"/>
  <c r="I306" i="5"/>
  <c r="H369" i="5"/>
  <c r="I368" i="4"/>
  <c r="I58" i="15"/>
  <c r="H319" i="5"/>
  <c r="I318" i="4"/>
  <c r="I7" i="4"/>
  <c r="I11" i="15"/>
  <c r="M149" i="5"/>
  <c r="V149" i="5"/>
  <c r="S149" i="5"/>
  <c r="P149" i="5"/>
  <c r="J149" i="5"/>
  <c r="I149" i="5"/>
  <c r="Z326" i="5"/>
  <c r="I381" i="4"/>
  <c r="V412" i="5"/>
  <c r="S412" i="5"/>
  <c r="J412" i="5"/>
  <c r="P412" i="5"/>
  <c r="M412" i="5"/>
  <c r="I412" i="5"/>
  <c r="Z24" i="5"/>
  <c r="M193" i="5"/>
  <c r="J193" i="5"/>
  <c r="P193" i="5"/>
  <c r="V193" i="5"/>
  <c r="S193" i="5"/>
  <c r="I193" i="5"/>
  <c r="I192" i="5" s="1"/>
  <c r="H411" i="5"/>
  <c r="I410" i="4"/>
  <c r="F168" i="16"/>
  <c r="H168" i="16" s="1"/>
  <c r="H56" i="5"/>
  <c r="I55" i="4"/>
  <c r="H68" i="5"/>
  <c r="I67" i="4"/>
  <c r="H389" i="5"/>
  <c r="I388" i="4"/>
  <c r="I386" i="4" s="1"/>
  <c r="P112" i="5"/>
  <c r="V112" i="5"/>
  <c r="S112" i="5"/>
  <c r="J112" i="5"/>
  <c r="M112" i="5"/>
  <c r="I112" i="5"/>
  <c r="P10" i="5"/>
  <c r="J10" i="5"/>
  <c r="V10" i="5"/>
  <c r="S10" i="5"/>
  <c r="M10" i="5"/>
  <c r="I10" i="5"/>
  <c r="M71" i="5"/>
  <c r="V71" i="5"/>
  <c r="P71" i="5"/>
  <c r="J71" i="5"/>
  <c r="S71" i="5"/>
  <c r="I71" i="5"/>
  <c r="I55" i="15"/>
  <c r="V80" i="5"/>
  <c r="J80" i="5"/>
  <c r="S80" i="5"/>
  <c r="P80" i="5"/>
  <c r="M80" i="5"/>
  <c r="I80" i="5"/>
  <c r="J115" i="5"/>
  <c r="V115" i="5"/>
  <c r="S115" i="5"/>
  <c r="P115" i="5"/>
  <c r="M115" i="5"/>
  <c r="I115" i="5"/>
  <c r="I114" i="5" s="1"/>
  <c r="H19" i="5"/>
  <c r="I18" i="4"/>
  <c r="M346" i="5"/>
  <c r="V346" i="5"/>
  <c r="P346" i="5"/>
  <c r="J346" i="5"/>
  <c r="S346" i="5"/>
  <c r="I346" i="5"/>
  <c r="I85" i="4"/>
  <c r="V37" i="5"/>
  <c r="M37" i="5"/>
  <c r="P37" i="5"/>
  <c r="J37" i="5"/>
  <c r="S37" i="5"/>
  <c r="I37" i="5"/>
  <c r="I36" i="5" s="1"/>
  <c r="S205" i="5"/>
  <c r="P205" i="5"/>
  <c r="V205" i="5"/>
  <c r="M205" i="5"/>
  <c r="J205" i="5"/>
  <c r="I205" i="5"/>
  <c r="H57" i="5"/>
  <c r="I56" i="4"/>
  <c r="I82" i="7"/>
  <c r="I83" i="7" s="1"/>
  <c r="G76" i="7"/>
  <c r="G331" i="4"/>
  <c r="G332" i="5" s="1"/>
  <c r="G175" i="4"/>
  <c r="G176" i="5" s="1"/>
  <c r="G409" i="4"/>
  <c r="G410" i="5" s="1"/>
  <c r="G54" i="15"/>
  <c r="G19" i="4"/>
  <c r="G20" i="5" s="1"/>
  <c r="G97" i="4"/>
  <c r="G98" i="5" s="1"/>
  <c r="G253" i="4"/>
  <c r="G254" i="5" s="1"/>
  <c r="V466" i="5"/>
  <c r="S466" i="5"/>
  <c r="P466" i="5"/>
  <c r="M466" i="5"/>
  <c r="J466" i="5"/>
  <c r="I466" i="5"/>
  <c r="Z407" i="5"/>
  <c r="I100" i="4"/>
  <c r="H101" i="5"/>
  <c r="V339" i="5"/>
  <c r="S339" i="5"/>
  <c r="M339" i="5"/>
  <c r="J339" i="5"/>
  <c r="P339" i="5"/>
  <c r="I339" i="5"/>
  <c r="H107" i="5"/>
  <c r="I106" i="4"/>
  <c r="H16" i="5"/>
  <c r="I15" i="4"/>
  <c r="P34" i="5"/>
  <c r="V34" i="5"/>
  <c r="J34" i="5"/>
  <c r="M34" i="5"/>
  <c r="S34" i="5"/>
  <c r="I34" i="5"/>
  <c r="J450" i="5"/>
  <c r="S450" i="5"/>
  <c r="V450" i="5"/>
  <c r="P450" i="5"/>
  <c r="M450" i="5"/>
  <c r="I450" i="5"/>
  <c r="S141" i="5"/>
  <c r="V141" i="5"/>
  <c r="I141" i="5"/>
  <c r="M141" i="5"/>
  <c r="J141" i="5"/>
  <c r="P141" i="5"/>
  <c r="S165" i="5"/>
  <c r="P165" i="5"/>
  <c r="M165" i="5"/>
  <c r="J165" i="5"/>
  <c r="V165" i="5"/>
  <c r="I165" i="5"/>
  <c r="J452" i="5"/>
  <c r="P452" i="5"/>
  <c r="M452" i="5"/>
  <c r="V452" i="5"/>
  <c r="S452" i="5"/>
  <c r="I452" i="5"/>
  <c r="I138" i="4"/>
  <c r="P76" i="5"/>
  <c r="J76" i="5"/>
  <c r="S76" i="5"/>
  <c r="M76" i="5"/>
  <c r="V76" i="5"/>
  <c r="I76" i="5"/>
  <c r="H269" i="5"/>
  <c r="I268" i="4"/>
  <c r="I266" i="4" s="1"/>
  <c r="H65" i="5"/>
  <c r="I64" i="4"/>
  <c r="I470" i="4"/>
  <c r="H471" i="5"/>
  <c r="H233" i="5"/>
  <c r="I232" i="4"/>
  <c r="H475" i="5" l="1"/>
  <c r="I14" i="15"/>
  <c r="S128" i="5"/>
  <c r="M128" i="5"/>
  <c r="P128" i="5"/>
  <c r="G447" i="7"/>
  <c r="I447" i="7" s="1"/>
  <c r="I450" i="7" s="1"/>
  <c r="G222" i="4" s="1"/>
  <c r="G223" i="5" s="1"/>
  <c r="J440" i="5"/>
  <c r="H397" i="5"/>
  <c r="J397" i="5" s="1"/>
  <c r="V440" i="5"/>
  <c r="I440" i="5"/>
  <c r="U440" i="5" s="1"/>
  <c r="P440" i="5"/>
  <c r="P438" i="5" s="1"/>
  <c r="I475" i="4"/>
  <c r="C152" i="3" s="1"/>
  <c r="I128" i="5"/>
  <c r="I126" i="5" s="1"/>
  <c r="J128" i="5"/>
  <c r="M440" i="5"/>
  <c r="O244" i="5"/>
  <c r="I330" i="4"/>
  <c r="I417" i="4"/>
  <c r="E130" i="2" s="1"/>
  <c r="H253" i="5"/>
  <c r="I253" i="5" s="1"/>
  <c r="H97" i="5"/>
  <c r="P97" i="5" s="1"/>
  <c r="I408" i="4"/>
  <c r="I174" i="4"/>
  <c r="J256" i="5"/>
  <c r="I206" i="5"/>
  <c r="I204" i="5" s="1"/>
  <c r="S256" i="5"/>
  <c r="J283" i="5"/>
  <c r="J282" i="5" s="1"/>
  <c r="S87" i="5"/>
  <c r="S86" i="5" s="1"/>
  <c r="V256" i="5"/>
  <c r="V283" i="5"/>
  <c r="P87" i="5"/>
  <c r="R87" i="5" s="1"/>
  <c r="I256" i="5"/>
  <c r="R256" i="5" s="1"/>
  <c r="M256" i="5"/>
  <c r="M206" i="5"/>
  <c r="J206" i="5"/>
  <c r="P206" i="5"/>
  <c r="P204" i="5" s="1"/>
  <c r="S420" i="5"/>
  <c r="U420" i="5" s="1"/>
  <c r="V206" i="5"/>
  <c r="V204" i="5" s="1"/>
  <c r="I283" i="5"/>
  <c r="O283" i="5" s="1"/>
  <c r="V420" i="5"/>
  <c r="X420" i="5" s="1"/>
  <c r="J420" i="5"/>
  <c r="L420" i="5" s="1"/>
  <c r="S283" i="5"/>
  <c r="P420" i="5"/>
  <c r="R420" i="5" s="1"/>
  <c r="M420" i="5"/>
  <c r="S343" i="5"/>
  <c r="P283" i="5"/>
  <c r="P282" i="5" s="1"/>
  <c r="V87" i="5"/>
  <c r="V86" i="5" s="1"/>
  <c r="M87" i="5"/>
  <c r="O87" i="5" s="1"/>
  <c r="J87" i="5"/>
  <c r="J86" i="5" s="1"/>
  <c r="V343" i="5"/>
  <c r="I183" i="4"/>
  <c r="C59" i="3" s="1"/>
  <c r="I343" i="5"/>
  <c r="R343" i="5" s="1"/>
  <c r="J343" i="5"/>
  <c r="M343" i="5"/>
  <c r="G277" i="7"/>
  <c r="I277" i="7" s="1"/>
  <c r="I290" i="7" s="1"/>
  <c r="G121" i="4" s="1"/>
  <c r="G122" i="5" s="1"/>
  <c r="H354" i="4"/>
  <c r="I354" i="4" s="1"/>
  <c r="I31" i="15"/>
  <c r="I105" i="4"/>
  <c r="C35" i="3" s="1"/>
  <c r="P50" i="5"/>
  <c r="I50" i="5"/>
  <c r="O50" i="5" s="1"/>
  <c r="S50" i="5"/>
  <c r="J50" i="5"/>
  <c r="I447" i="4"/>
  <c r="E140" i="2" s="1"/>
  <c r="V50" i="5"/>
  <c r="V48" i="5" s="1"/>
  <c r="I314" i="5"/>
  <c r="U314" i="5" s="1"/>
  <c r="J314" i="5"/>
  <c r="I362" i="5"/>
  <c r="O362" i="5" s="1"/>
  <c r="M49" i="5"/>
  <c r="M48" i="5" s="1"/>
  <c r="I310" i="5"/>
  <c r="L310" i="5" s="1"/>
  <c r="V362" i="5"/>
  <c r="M310" i="5"/>
  <c r="P362" i="5"/>
  <c r="V314" i="5"/>
  <c r="S310" i="5"/>
  <c r="P310" i="5"/>
  <c r="J362" i="5"/>
  <c r="P314" i="5"/>
  <c r="V310" i="5"/>
  <c r="S362" i="5"/>
  <c r="M314" i="5"/>
  <c r="J49" i="5"/>
  <c r="J361" i="5"/>
  <c r="I388" i="5"/>
  <c r="R388" i="5" s="1"/>
  <c r="V388" i="5"/>
  <c r="J388" i="5"/>
  <c r="S388" i="5"/>
  <c r="O141" i="5"/>
  <c r="I46" i="15"/>
  <c r="I361" i="5"/>
  <c r="O361" i="5" s="1"/>
  <c r="I373" i="5"/>
  <c r="I444" i="4"/>
  <c r="C140" i="3" s="1"/>
  <c r="S361" i="5"/>
  <c r="P361" i="5"/>
  <c r="V361" i="5"/>
  <c r="Z415" i="5"/>
  <c r="M388" i="5"/>
  <c r="I369" i="4"/>
  <c r="E116" i="2" s="1"/>
  <c r="J127" i="5"/>
  <c r="S127" i="5"/>
  <c r="I61" i="5"/>
  <c r="P158" i="5"/>
  <c r="V127" i="5"/>
  <c r="X127" i="5" s="1"/>
  <c r="I190" i="4"/>
  <c r="I188" i="4" s="1"/>
  <c r="C61" i="3" s="1"/>
  <c r="I158" i="5"/>
  <c r="U158" i="5" s="1"/>
  <c r="M127" i="5"/>
  <c r="I7" i="15"/>
  <c r="I25" i="15"/>
  <c r="P127" i="5"/>
  <c r="R127" i="5" s="1"/>
  <c r="H42" i="4"/>
  <c r="H43" i="5" s="1"/>
  <c r="I230" i="4"/>
  <c r="C76" i="3" s="1"/>
  <c r="I24" i="15"/>
  <c r="H276" i="4"/>
  <c r="I276" i="4" s="1"/>
  <c r="I49" i="5"/>
  <c r="P60" i="5"/>
  <c r="H120" i="4"/>
  <c r="H121" i="5" s="1"/>
  <c r="I464" i="4"/>
  <c r="E147" i="2" s="1"/>
  <c r="S138" i="5"/>
  <c r="J138" i="5"/>
  <c r="P49" i="5"/>
  <c r="H34" i="15"/>
  <c r="H432" i="4"/>
  <c r="I432" i="4" s="1"/>
  <c r="V108" i="5"/>
  <c r="S49" i="5"/>
  <c r="U100" i="5"/>
  <c r="I41" i="15"/>
  <c r="R100" i="5"/>
  <c r="H84" i="5"/>
  <c r="V84" i="5" s="1"/>
  <c r="S439" i="5"/>
  <c r="I152" i="4"/>
  <c r="C52" i="3" s="1"/>
  <c r="V439" i="5"/>
  <c r="I29" i="15"/>
  <c r="J439" i="5"/>
  <c r="M439" i="5"/>
  <c r="H318" i="5"/>
  <c r="I317" i="4"/>
  <c r="I316" i="4" s="1"/>
  <c r="I395" i="4"/>
  <c r="I394" i="4" s="1"/>
  <c r="H396" i="5"/>
  <c r="J158" i="5"/>
  <c r="C90" i="3"/>
  <c r="H474" i="5"/>
  <c r="I473" i="4"/>
  <c r="I472" i="4" s="1"/>
  <c r="I366" i="4"/>
  <c r="C116" i="3" s="1"/>
  <c r="M158" i="5"/>
  <c r="I291" i="4"/>
  <c r="C93" i="3" s="1"/>
  <c r="Z259" i="5"/>
  <c r="X306" i="5"/>
  <c r="V158" i="5"/>
  <c r="I34" i="4"/>
  <c r="I32" i="4" s="1"/>
  <c r="E12" i="2" s="1"/>
  <c r="H240" i="5"/>
  <c r="I239" i="4"/>
  <c r="I238" i="4" s="1"/>
  <c r="I439" i="5"/>
  <c r="X109" i="5"/>
  <c r="O306" i="5"/>
  <c r="H162" i="5"/>
  <c r="I161" i="4"/>
  <c r="D28" i="17"/>
  <c r="F28" i="17" s="1"/>
  <c r="F145" i="17" s="1"/>
  <c r="O342" i="5"/>
  <c r="C50" i="3"/>
  <c r="C42" i="3"/>
  <c r="I424" i="4"/>
  <c r="I422" i="4" s="1"/>
  <c r="C133" i="3" s="1"/>
  <c r="I339" i="4"/>
  <c r="C107" i="3" s="1"/>
  <c r="U342" i="5"/>
  <c r="C74" i="3"/>
  <c r="Z25" i="5"/>
  <c r="E127" i="2"/>
  <c r="I8" i="5"/>
  <c r="H113" i="5"/>
  <c r="M113" i="5" s="1"/>
  <c r="M111" i="5" s="1"/>
  <c r="U109" i="5"/>
  <c r="O375" i="5"/>
  <c r="R178" i="5"/>
  <c r="X100" i="5"/>
  <c r="I213" i="4"/>
  <c r="C69" i="3" s="1"/>
  <c r="I132" i="4"/>
  <c r="C44" i="3" s="1"/>
  <c r="E103" i="2"/>
  <c r="O22" i="5"/>
  <c r="U22" i="5"/>
  <c r="I60" i="5"/>
  <c r="O60" i="5" s="1"/>
  <c r="C146" i="3"/>
  <c r="J60" i="5"/>
  <c r="I217" i="5"/>
  <c r="R375" i="5"/>
  <c r="O178" i="5"/>
  <c r="R22" i="5"/>
  <c r="I261" i="4"/>
  <c r="C83" i="3" s="1"/>
  <c r="V60" i="5"/>
  <c r="S60" i="5"/>
  <c r="X375" i="5"/>
  <c r="X178" i="5"/>
  <c r="R342" i="5"/>
  <c r="J108" i="5"/>
  <c r="Z337" i="5"/>
  <c r="C118" i="3"/>
  <c r="I108" i="5"/>
  <c r="R108" i="5" s="1"/>
  <c r="I138" i="5"/>
  <c r="S108" i="5"/>
  <c r="H347" i="5"/>
  <c r="I347" i="5" s="1"/>
  <c r="I345" i="5" s="1"/>
  <c r="P138" i="5"/>
  <c r="M108" i="5"/>
  <c r="U372" i="5"/>
  <c r="M138" i="5"/>
  <c r="X294" i="5"/>
  <c r="U400" i="5"/>
  <c r="I398" i="5"/>
  <c r="F164" i="16"/>
  <c r="H164" i="16" s="1"/>
  <c r="H202" i="16" s="1"/>
  <c r="O284" i="5"/>
  <c r="U421" i="5"/>
  <c r="X421" i="5"/>
  <c r="R183" i="5"/>
  <c r="U183" i="5"/>
  <c r="O400" i="5"/>
  <c r="U470" i="5"/>
  <c r="O372" i="5"/>
  <c r="O294" i="5"/>
  <c r="O183" i="5"/>
  <c r="X183" i="5"/>
  <c r="X284" i="5"/>
  <c r="I288" i="4"/>
  <c r="E91" i="2" s="1"/>
  <c r="R470" i="5"/>
  <c r="I36" i="15"/>
  <c r="X400" i="5"/>
  <c r="I86" i="5"/>
  <c r="F64" i="18"/>
  <c r="U339" i="5"/>
  <c r="R284" i="5"/>
  <c r="X339" i="5"/>
  <c r="U284" i="5"/>
  <c r="X372" i="5"/>
  <c r="R384" i="5"/>
  <c r="R306" i="5"/>
  <c r="O109" i="5"/>
  <c r="U384" i="5"/>
  <c r="I19" i="15"/>
  <c r="X470" i="5"/>
  <c r="U306" i="5"/>
  <c r="R109" i="5"/>
  <c r="X384" i="5"/>
  <c r="I460" i="5"/>
  <c r="X22" i="5"/>
  <c r="O100" i="5"/>
  <c r="R372" i="5"/>
  <c r="X342" i="5"/>
  <c r="U294" i="5"/>
  <c r="R400" i="5"/>
  <c r="E123" i="2"/>
  <c r="C124" i="3"/>
  <c r="E84" i="2"/>
  <c r="C85" i="3"/>
  <c r="M65" i="5"/>
  <c r="V65" i="5"/>
  <c r="S65" i="5"/>
  <c r="J65" i="5"/>
  <c r="P65" i="5"/>
  <c r="I65" i="5"/>
  <c r="I64" i="5" s="1"/>
  <c r="Y166" i="5"/>
  <c r="L166" i="5"/>
  <c r="H469" i="5"/>
  <c r="I468" i="4"/>
  <c r="I467" i="4" s="1"/>
  <c r="L305" i="5"/>
  <c r="Y305" i="5"/>
  <c r="J304" i="5"/>
  <c r="O9" i="5"/>
  <c r="M8" i="5"/>
  <c r="M215" i="5"/>
  <c r="V215" i="5"/>
  <c r="I215" i="5"/>
  <c r="I214" i="5" s="1"/>
  <c r="P215" i="5"/>
  <c r="S215" i="5"/>
  <c r="J215" i="5"/>
  <c r="V341" i="5"/>
  <c r="S341" i="5"/>
  <c r="J341" i="5"/>
  <c r="M341" i="5"/>
  <c r="P341" i="5"/>
  <c r="I341" i="5"/>
  <c r="M179" i="5"/>
  <c r="V179" i="5"/>
  <c r="P179" i="5"/>
  <c r="J179" i="5"/>
  <c r="S179" i="5"/>
  <c r="I179" i="5"/>
  <c r="M269" i="5"/>
  <c r="M267" i="5" s="1"/>
  <c r="J269" i="5"/>
  <c r="S269" i="5"/>
  <c r="P269" i="5"/>
  <c r="V269" i="5"/>
  <c r="V267" i="5" s="1"/>
  <c r="I269" i="5"/>
  <c r="I267" i="5" s="1"/>
  <c r="X34" i="5"/>
  <c r="E31" i="2"/>
  <c r="C32" i="3"/>
  <c r="C80" i="3"/>
  <c r="E79" i="2"/>
  <c r="O412" i="5"/>
  <c r="Y261" i="5"/>
  <c r="L261" i="5"/>
  <c r="H443" i="5"/>
  <c r="I442" i="4"/>
  <c r="J320" i="5"/>
  <c r="Y321" i="5"/>
  <c r="L321" i="5"/>
  <c r="Y247" i="5"/>
  <c r="L247" i="5"/>
  <c r="R334" i="5"/>
  <c r="X166" i="5"/>
  <c r="L372" i="5"/>
  <c r="Y372" i="5"/>
  <c r="V182" i="5"/>
  <c r="M182" i="5"/>
  <c r="P182" i="5"/>
  <c r="J182" i="5"/>
  <c r="S182" i="5"/>
  <c r="I182" i="5"/>
  <c r="O105" i="5"/>
  <c r="L452" i="5"/>
  <c r="Y452" i="5"/>
  <c r="J451" i="5"/>
  <c r="R34" i="5"/>
  <c r="O80" i="5"/>
  <c r="O71" i="5"/>
  <c r="M70" i="5"/>
  <c r="X112" i="5"/>
  <c r="R412" i="5"/>
  <c r="C142" i="3"/>
  <c r="E141" i="2"/>
  <c r="P416" i="5"/>
  <c r="S416" i="5"/>
  <c r="V416" i="5"/>
  <c r="M416" i="5"/>
  <c r="J416" i="5"/>
  <c r="I416" i="5"/>
  <c r="O166" i="5"/>
  <c r="H152" i="5"/>
  <c r="I151" i="4"/>
  <c r="I150" i="4" s="1"/>
  <c r="E142" i="2"/>
  <c r="C143" i="3"/>
  <c r="U453" i="5"/>
  <c r="O186" i="5"/>
  <c r="H437" i="5"/>
  <c r="I436" i="4"/>
  <c r="I434" i="4" s="1"/>
  <c r="I164" i="5"/>
  <c r="X205" i="5"/>
  <c r="L412" i="5"/>
  <c r="Y412" i="5"/>
  <c r="S99" i="5"/>
  <c r="V99" i="5"/>
  <c r="P99" i="5"/>
  <c r="J99" i="5"/>
  <c r="M99" i="5"/>
  <c r="I99" i="5"/>
  <c r="C56" i="3"/>
  <c r="E55" i="2"/>
  <c r="U334" i="5"/>
  <c r="Y271" i="5"/>
  <c r="J270" i="5"/>
  <c r="L271" i="5"/>
  <c r="L218" i="5"/>
  <c r="J217" i="5"/>
  <c r="Y218" i="5"/>
  <c r="U31" i="5"/>
  <c r="C37" i="3"/>
  <c r="E36" i="2"/>
  <c r="Y424" i="5"/>
  <c r="L424" i="5"/>
  <c r="V455" i="5"/>
  <c r="S455" i="5"/>
  <c r="P455" i="5"/>
  <c r="M455" i="5"/>
  <c r="J455" i="5"/>
  <c r="I455" i="5"/>
  <c r="I454" i="5" s="1"/>
  <c r="O450" i="5"/>
  <c r="L392" i="5"/>
  <c r="Y392" i="5"/>
  <c r="M119" i="5"/>
  <c r="J119" i="5"/>
  <c r="P119" i="5"/>
  <c r="V119" i="5"/>
  <c r="S119" i="5"/>
  <c r="I119" i="5"/>
  <c r="X31" i="5"/>
  <c r="I9" i="15"/>
  <c r="O453" i="5"/>
  <c r="U186" i="5"/>
  <c r="R450" i="5"/>
  <c r="J319" i="5"/>
  <c r="V319" i="5"/>
  <c r="M319" i="5"/>
  <c r="S319" i="5"/>
  <c r="P319" i="5"/>
  <c r="I319" i="5"/>
  <c r="H195" i="5"/>
  <c r="I194" i="4"/>
  <c r="I193" i="4" s="1"/>
  <c r="U72" i="5"/>
  <c r="R462" i="5"/>
  <c r="X30" i="5"/>
  <c r="X268" i="5"/>
  <c r="U477" i="5"/>
  <c r="S476" i="5"/>
  <c r="O374" i="5"/>
  <c r="M373" i="5"/>
  <c r="X244" i="5"/>
  <c r="X453" i="5"/>
  <c r="L346" i="5"/>
  <c r="Y346" i="5"/>
  <c r="X80" i="5"/>
  <c r="X10" i="5"/>
  <c r="M389" i="5"/>
  <c r="V389" i="5"/>
  <c r="S389" i="5"/>
  <c r="P389" i="5"/>
  <c r="J389" i="5"/>
  <c r="I389" i="5"/>
  <c r="U193" i="5"/>
  <c r="S192" i="5"/>
  <c r="E121" i="2"/>
  <c r="C122" i="3"/>
  <c r="I33" i="15"/>
  <c r="O461" i="5"/>
  <c r="M460" i="5"/>
  <c r="R216" i="5"/>
  <c r="V380" i="5"/>
  <c r="P380" i="5"/>
  <c r="J380" i="5"/>
  <c r="M380" i="5"/>
  <c r="S380" i="5"/>
  <c r="I380" i="5"/>
  <c r="L88" i="5"/>
  <c r="Y88" i="5"/>
  <c r="R190" i="5"/>
  <c r="U462" i="5"/>
  <c r="L268" i="5"/>
  <c r="Y268" i="5"/>
  <c r="I226" i="5"/>
  <c r="U424" i="5"/>
  <c r="U91" i="5"/>
  <c r="X265" i="5"/>
  <c r="L219" i="5"/>
  <c r="Y219" i="5"/>
  <c r="V425" i="5"/>
  <c r="V423" i="5" s="1"/>
  <c r="S425" i="5"/>
  <c r="S423" i="5" s="1"/>
  <c r="P425" i="5"/>
  <c r="P423" i="5" s="1"/>
  <c r="J425" i="5"/>
  <c r="J423" i="5" s="1"/>
  <c r="M425" i="5"/>
  <c r="I425" i="5"/>
  <c r="I423" i="5" s="1"/>
  <c r="X228" i="5"/>
  <c r="V352" i="5"/>
  <c r="M352" i="5"/>
  <c r="J352" i="5"/>
  <c r="P352" i="5"/>
  <c r="S352" i="5"/>
  <c r="I352" i="5"/>
  <c r="P373" i="5"/>
  <c r="R374" i="5"/>
  <c r="L244" i="5"/>
  <c r="Y244" i="5"/>
  <c r="I23" i="15"/>
  <c r="X193" i="5"/>
  <c r="V192" i="5"/>
  <c r="H365" i="5"/>
  <c r="I364" i="4"/>
  <c r="V104" i="5"/>
  <c r="S104" i="5"/>
  <c r="M104" i="5"/>
  <c r="J104" i="5"/>
  <c r="P104" i="5"/>
  <c r="I104" i="5"/>
  <c r="I74" i="4"/>
  <c r="O13" i="5"/>
  <c r="L297" i="5"/>
  <c r="Y297" i="5"/>
  <c r="O150" i="5"/>
  <c r="P118" i="5"/>
  <c r="J118" i="5"/>
  <c r="V118" i="5"/>
  <c r="S118" i="5"/>
  <c r="M118" i="5"/>
  <c r="I118" i="5"/>
  <c r="H52" i="5"/>
  <c r="I51" i="4"/>
  <c r="H273" i="5"/>
  <c r="I272" i="4"/>
  <c r="I271" i="4" s="1"/>
  <c r="R62" i="5"/>
  <c r="P61" i="5"/>
  <c r="M197" i="5"/>
  <c r="P197" i="5"/>
  <c r="J197" i="5"/>
  <c r="V197" i="5"/>
  <c r="S197" i="5"/>
  <c r="I197" i="5"/>
  <c r="Y27" i="5"/>
  <c r="L27" i="5"/>
  <c r="O169" i="5"/>
  <c r="R187" i="5"/>
  <c r="U236" i="5"/>
  <c r="M333" i="5"/>
  <c r="J333" i="5"/>
  <c r="S333" i="5"/>
  <c r="P333" i="5"/>
  <c r="V333" i="5"/>
  <c r="I333" i="5"/>
  <c r="J449" i="5"/>
  <c r="S449" i="5"/>
  <c r="M449" i="5"/>
  <c r="P449" i="5"/>
  <c r="V449" i="5"/>
  <c r="I449" i="5"/>
  <c r="I448" i="5" s="1"/>
  <c r="O417" i="5"/>
  <c r="O88" i="5"/>
  <c r="R154" i="5"/>
  <c r="Y72" i="5"/>
  <c r="L72" i="5"/>
  <c r="L63" i="5"/>
  <c r="Y63" i="5"/>
  <c r="P358" i="5"/>
  <c r="S358" i="5"/>
  <c r="M358" i="5"/>
  <c r="V358" i="5"/>
  <c r="J358" i="5"/>
  <c r="I358" i="5"/>
  <c r="X462" i="5"/>
  <c r="C119" i="3"/>
  <c r="E118" i="2"/>
  <c r="J406" i="5"/>
  <c r="V406" i="5"/>
  <c r="S406" i="5"/>
  <c r="P406" i="5"/>
  <c r="M406" i="5"/>
  <c r="I406" i="5"/>
  <c r="U268" i="5"/>
  <c r="C70" i="3"/>
  <c r="E69" i="2"/>
  <c r="V226" i="5"/>
  <c r="X227" i="5"/>
  <c r="X424" i="5"/>
  <c r="Y91" i="5"/>
  <c r="L91" i="5"/>
  <c r="O219" i="5"/>
  <c r="X477" i="5"/>
  <c r="V476" i="5"/>
  <c r="I18" i="15"/>
  <c r="U228" i="5"/>
  <c r="U244" i="5"/>
  <c r="J436" i="5"/>
  <c r="V436" i="5"/>
  <c r="P436" i="5"/>
  <c r="S436" i="5"/>
  <c r="M436" i="5"/>
  <c r="I436" i="5"/>
  <c r="I26" i="15"/>
  <c r="U403" i="5"/>
  <c r="H313" i="5"/>
  <c r="I312" i="4"/>
  <c r="X452" i="5"/>
  <c r="V451" i="5"/>
  <c r="O34" i="5"/>
  <c r="X466" i="5"/>
  <c r="S57" i="5"/>
  <c r="P57" i="5"/>
  <c r="M57" i="5"/>
  <c r="J57" i="5"/>
  <c r="V57" i="5"/>
  <c r="I57" i="5"/>
  <c r="X37" i="5"/>
  <c r="V36" i="5"/>
  <c r="V56" i="5"/>
  <c r="P56" i="5"/>
  <c r="M56" i="5"/>
  <c r="S56" i="5"/>
  <c r="J56" i="5"/>
  <c r="I56" i="5"/>
  <c r="U149" i="5"/>
  <c r="S148" i="5"/>
  <c r="Y109" i="5"/>
  <c r="L109" i="5"/>
  <c r="M221" i="5"/>
  <c r="J221" i="5"/>
  <c r="S221" i="5"/>
  <c r="P221" i="5"/>
  <c r="V221" i="5"/>
  <c r="I221" i="5"/>
  <c r="I220" i="5" s="1"/>
  <c r="M35" i="5"/>
  <c r="M33" i="5" s="1"/>
  <c r="V35" i="5"/>
  <c r="S35" i="5"/>
  <c r="S33" i="5" s="1"/>
  <c r="P35" i="5"/>
  <c r="P33" i="5" s="1"/>
  <c r="J35" i="5"/>
  <c r="J33" i="5" s="1"/>
  <c r="I35" i="5"/>
  <c r="I33" i="5" s="1"/>
  <c r="M295" i="5"/>
  <c r="O296" i="5"/>
  <c r="H286" i="5"/>
  <c r="I285" i="4"/>
  <c r="V242" i="5"/>
  <c r="X243" i="5"/>
  <c r="M382" i="5"/>
  <c r="O383" i="5"/>
  <c r="U169" i="5"/>
  <c r="L375" i="5"/>
  <c r="Y375" i="5"/>
  <c r="Y178" i="5"/>
  <c r="L178" i="5"/>
  <c r="J335" i="5"/>
  <c r="M335" i="5"/>
  <c r="P335" i="5"/>
  <c r="V335" i="5"/>
  <c r="S335" i="5"/>
  <c r="I335" i="5"/>
  <c r="P202" i="5"/>
  <c r="S202" i="5"/>
  <c r="M202" i="5"/>
  <c r="V202" i="5"/>
  <c r="J202" i="5"/>
  <c r="I202" i="5"/>
  <c r="E44" i="2"/>
  <c r="C45" i="3"/>
  <c r="E25" i="2"/>
  <c r="C26" i="3"/>
  <c r="S237" i="5"/>
  <c r="P237" i="5"/>
  <c r="V237" i="5"/>
  <c r="M237" i="5"/>
  <c r="J237" i="5"/>
  <c r="I237" i="5"/>
  <c r="V290" i="5"/>
  <c r="S290" i="5"/>
  <c r="J290" i="5"/>
  <c r="M290" i="5"/>
  <c r="P290" i="5"/>
  <c r="I290" i="5"/>
  <c r="M320" i="5"/>
  <c r="O321" i="5"/>
  <c r="O247" i="5"/>
  <c r="C14" i="3"/>
  <c r="E13" i="2"/>
  <c r="V398" i="5"/>
  <c r="X399" i="5"/>
  <c r="P382" i="5"/>
  <c r="R383" i="5"/>
  <c r="M143" i="5"/>
  <c r="V143" i="5"/>
  <c r="S143" i="5"/>
  <c r="P143" i="5"/>
  <c r="J143" i="5"/>
  <c r="I143" i="5"/>
  <c r="I142" i="5" s="1"/>
  <c r="O349" i="5"/>
  <c r="M348" i="5"/>
  <c r="H464" i="5"/>
  <c r="I463" i="4"/>
  <c r="I462" i="4" s="1"/>
  <c r="V260" i="5"/>
  <c r="S260" i="5"/>
  <c r="P260" i="5"/>
  <c r="M260" i="5"/>
  <c r="J260" i="5"/>
  <c r="I260" i="5"/>
  <c r="I358" i="4"/>
  <c r="I356" i="4" s="1"/>
  <c r="H359" i="5"/>
  <c r="X141" i="5"/>
  <c r="H79" i="5"/>
  <c r="I78" i="4"/>
  <c r="M304" i="5"/>
  <c r="O305" i="5"/>
  <c r="V8" i="5"/>
  <c r="X9" i="5"/>
  <c r="P446" i="5"/>
  <c r="M446" i="5"/>
  <c r="V446" i="5"/>
  <c r="S446" i="5"/>
  <c r="J446" i="5"/>
  <c r="I446" i="5"/>
  <c r="R453" i="5"/>
  <c r="H47" i="5"/>
  <c r="I46" i="4"/>
  <c r="U141" i="5"/>
  <c r="O205" i="5"/>
  <c r="L461" i="5"/>
  <c r="Y461" i="5"/>
  <c r="J460" i="5"/>
  <c r="O140" i="5"/>
  <c r="M139" i="5"/>
  <c r="M29" i="5"/>
  <c r="V29" i="5"/>
  <c r="S29" i="5"/>
  <c r="J29" i="5"/>
  <c r="P29" i="5"/>
  <c r="I29" i="5"/>
  <c r="I28" i="5" s="1"/>
  <c r="I210" i="4"/>
  <c r="Y105" i="5"/>
  <c r="L105" i="5"/>
  <c r="L374" i="5"/>
  <c r="J373" i="5"/>
  <c r="Y374" i="5"/>
  <c r="R80" i="5"/>
  <c r="R112" i="5"/>
  <c r="C8" i="3"/>
  <c r="E7" i="2"/>
  <c r="L306" i="5"/>
  <c r="Y306" i="5"/>
  <c r="X261" i="5"/>
  <c r="P460" i="5"/>
  <c r="R461" i="5"/>
  <c r="O427" i="5"/>
  <c r="M426" i="5"/>
  <c r="X247" i="5"/>
  <c r="O154" i="5"/>
  <c r="X190" i="5"/>
  <c r="V212" i="5"/>
  <c r="S212" i="5"/>
  <c r="M212" i="5"/>
  <c r="P212" i="5"/>
  <c r="J212" i="5"/>
  <c r="I212" i="5"/>
  <c r="R265" i="5"/>
  <c r="J348" i="5"/>
  <c r="Y349" i="5"/>
  <c r="L349" i="5"/>
  <c r="X105" i="5"/>
  <c r="V241" i="5"/>
  <c r="J241" i="5"/>
  <c r="S241" i="5"/>
  <c r="M241" i="5"/>
  <c r="P241" i="5"/>
  <c r="I241" i="5"/>
  <c r="Y453" i="5"/>
  <c r="L453" i="5"/>
  <c r="O76" i="5"/>
  <c r="V164" i="5"/>
  <c r="X165" i="5"/>
  <c r="P16" i="5"/>
  <c r="M16" i="5"/>
  <c r="J16" i="5"/>
  <c r="V16" i="5"/>
  <c r="S16" i="5"/>
  <c r="I16" i="5"/>
  <c r="U80" i="5"/>
  <c r="M299" i="5"/>
  <c r="J299" i="5"/>
  <c r="P299" i="5"/>
  <c r="S299" i="5"/>
  <c r="V299" i="5"/>
  <c r="I299" i="5"/>
  <c r="I298" i="5" s="1"/>
  <c r="R13" i="5"/>
  <c r="H208" i="5"/>
  <c r="I207" i="4"/>
  <c r="O27" i="5"/>
  <c r="O63" i="5"/>
  <c r="P124" i="5"/>
  <c r="M124" i="5"/>
  <c r="J124" i="5"/>
  <c r="V124" i="5"/>
  <c r="S124" i="5"/>
  <c r="I124" i="5"/>
  <c r="R297" i="5"/>
  <c r="L150" i="5"/>
  <c r="Y150" i="5"/>
  <c r="H130" i="5"/>
  <c r="I129" i="4"/>
  <c r="U62" i="5"/>
  <c r="S61" i="5"/>
  <c r="R27" i="5"/>
  <c r="Y169" i="5"/>
  <c r="L169" i="5"/>
  <c r="X187" i="5"/>
  <c r="S177" i="5"/>
  <c r="V177" i="5"/>
  <c r="P177" i="5"/>
  <c r="M177" i="5"/>
  <c r="J177" i="5"/>
  <c r="I177" i="5"/>
  <c r="X236" i="5"/>
  <c r="V353" i="5"/>
  <c r="M353" i="5"/>
  <c r="P353" i="5"/>
  <c r="S353" i="5"/>
  <c r="J353" i="5"/>
  <c r="I353" i="5"/>
  <c r="V338" i="5"/>
  <c r="S338" i="5"/>
  <c r="P338" i="5"/>
  <c r="M338" i="5"/>
  <c r="J338" i="5"/>
  <c r="I338" i="5"/>
  <c r="R417" i="5"/>
  <c r="R88" i="5"/>
  <c r="P315" i="5"/>
  <c r="J315" i="5"/>
  <c r="S315" i="5"/>
  <c r="M315" i="5"/>
  <c r="V315" i="5"/>
  <c r="I315" i="5"/>
  <c r="R63" i="5"/>
  <c r="C94" i="3"/>
  <c r="E93" i="2"/>
  <c r="L462" i="5"/>
  <c r="Y462" i="5"/>
  <c r="J377" i="5"/>
  <c r="M377" i="5"/>
  <c r="S377" i="5"/>
  <c r="P377" i="5"/>
  <c r="V377" i="5"/>
  <c r="I377" i="5"/>
  <c r="I376" i="5" s="1"/>
  <c r="H157" i="5"/>
  <c r="I156" i="4"/>
  <c r="I155" i="4" s="1"/>
  <c r="O268" i="5"/>
  <c r="I304" i="5"/>
  <c r="V146" i="5"/>
  <c r="S146" i="5"/>
  <c r="P146" i="5"/>
  <c r="M146" i="5"/>
  <c r="J146" i="5"/>
  <c r="I146" i="5"/>
  <c r="S226" i="5"/>
  <c r="U227" i="5"/>
  <c r="R91" i="5"/>
  <c r="R219" i="5"/>
  <c r="L477" i="5"/>
  <c r="J476" i="5"/>
  <c r="Y477" i="5"/>
  <c r="V26" i="5"/>
  <c r="P26" i="5"/>
  <c r="S26" i="5"/>
  <c r="J26" i="5"/>
  <c r="M26" i="5"/>
  <c r="I26" i="5"/>
  <c r="O228" i="5"/>
  <c r="J467" i="5"/>
  <c r="M467" i="5"/>
  <c r="M465" i="5" s="1"/>
  <c r="S467" i="5"/>
  <c r="S465" i="5" s="1"/>
  <c r="P467" i="5"/>
  <c r="P465" i="5" s="1"/>
  <c r="V467" i="5"/>
  <c r="I467" i="5"/>
  <c r="I465" i="5" s="1"/>
  <c r="S458" i="5"/>
  <c r="P458" i="5"/>
  <c r="M458" i="5"/>
  <c r="J458" i="5"/>
  <c r="V458" i="5"/>
  <c r="I458" i="5"/>
  <c r="R421" i="5"/>
  <c r="M191" i="5"/>
  <c r="M189" i="5" s="1"/>
  <c r="J191" i="5"/>
  <c r="J189" i="5" s="1"/>
  <c r="S191" i="5"/>
  <c r="S189" i="5" s="1"/>
  <c r="V191" i="5"/>
  <c r="V189" i="5" s="1"/>
  <c r="P191" i="5"/>
  <c r="P189" i="5" s="1"/>
  <c r="I191" i="5"/>
  <c r="I189" i="5" s="1"/>
  <c r="S291" i="5"/>
  <c r="P291" i="5"/>
  <c r="M291" i="5"/>
  <c r="J291" i="5"/>
  <c r="V291" i="5"/>
  <c r="I291" i="5"/>
  <c r="V175" i="5"/>
  <c r="S175" i="5"/>
  <c r="M175" i="5"/>
  <c r="J175" i="5"/>
  <c r="P175" i="5"/>
  <c r="I175" i="5"/>
  <c r="M419" i="5"/>
  <c r="J419" i="5"/>
  <c r="V419" i="5"/>
  <c r="P419" i="5"/>
  <c r="S419" i="5"/>
  <c r="I419" i="5"/>
  <c r="I418" i="5" s="1"/>
  <c r="P46" i="5"/>
  <c r="J46" i="5"/>
  <c r="V46" i="5"/>
  <c r="S46" i="5"/>
  <c r="M46" i="5"/>
  <c r="I46" i="5"/>
  <c r="O403" i="5"/>
  <c r="X115" i="5"/>
  <c r="V114" i="5"/>
  <c r="L71" i="5"/>
  <c r="Y71" i="5"/>
  <c r="J70" i="5"/>
  <c r="O112" i="5"/>
  <c r="S135" i="5"/>
  <c r="V135" i="5"/>
  <c r="P135" i="5"/>
  <c r="J135" i="5"/>
  <c r="M135" i="5"/>
  <c r="I135" i="5"/>
  <c r="R232" i="5"/>
  <c r="S21" i="5"/>
  <c r="P21" i="5"/>
  <c r="M21" i="5"/>
  <c r="V21" i="5"/>
  <c r="J21" i="5"/>
  <c r="I21" i="5"/>
  <c r="H53" i="5"/>
  <c r="I52" i="4"/>
  <c r="X321" i="5"/>
  <c r="V320" i="5"/>
  <c r="R247" i="5"/>
  <c r="V413" i="5"/>
  <c r="S413" i="5"/>
  <c r="M413" i="5"/>
  <c r="J413" i="5"/>
  <c r="P413" i="5"/>
  <c r="I413" i="5"/>
  <c r="C100" i="3"/>
  <c r="E99" i="2"/>
  <c r="S409" i="5"/>
  <c r="P409" i="5"/>
  <c r="M409" i="5"/>
  <c r="V409" i="5"/>
  <c r="J409" i="5"/>
  <c r="I409" i="5"/>
  <c r="C47" i="3"/>
  <c r="E46" i="2"/>
  <c r="L284" i="5"/>
  <c r="Y284" i="5"/>
  <c r="P40" i="5"/>
  <c r="M40" i="5"/>
  <c r="S40" i="5"/>
  <c r="J40" i="5"/>
  <c r="V40" i="5"/>
  <c r="I40" i="5"/>
  <c r="U305" i="5"/>
  <c r="S304" i="5"/>
  <c r="M226" i="5"/>
  <c r="O227" i="5"/>
  <c r="P430" i="5"/>
  <c r="S430" i="5"/>
  <c r="V430" i="5"/>
  <c r="J430" i="5"/>
  <c r="M430" i="5"/>
  <c r="I430" i="5"/>
  <c r="E137" i="2"/>
  <c r="C138" i="3"/>
  <c r="O452" i="5"/>
  <c r="M451" i="5"/>
  <c r="Y34" i="5"/>
  <c r="L34" i="5"/>
  <c r="P19" i="5"/>
  <c r="M19" i="5"/>
  <c r="I19" i="5"/>
  <c r="V19" i="5"/>
  <c r="S19" i="5"/>
  <c r="J19" i="5"/>
  <c r="Y115" i="5"/>
  <c r="J114" i="5"/>
  <c r="L115" i="5"/>
  <c r="P70" i="5"/>
  <c r="R71" i="5"/>
  <c r="Y112" i="5"/>
  <c r="L112" i="5"/>
  <c r="I45" i="15"/>
  <c r="R296" i="5"/>
  <c r="P295" i="5"/>
  <c r="U325" i="5"/>
  <c r="I139" i="5"/>
  <c r="P172" i="5"/>
  <c r="V172" i="5"/>
  <c r="S172" i="5"/>
  <c r="J172" i="5"/>
  <c r="M172" i="5"/>
  <c r="I172" i="5"/>
  <c r="R31" i="5"/>
  <c r="Y294" i="5"/>
  <c r="L294" i="5"/>
  <c r="R105" i="5"/>
  <c r="X71" i="5"/>
  <c r="V70" i="5"/>
  <c r="I385" i="4"/>
  <c r="I384" i="4" s="1"/>
  <c r="I380" i="4" s="1"/>
  <c r="H386" i="5"/>
  <c r="O261" i="5"/>
  <c r="U247" i="5"/>
  <c r="V295" i="5"/>
  <c r="X296" i="5"/>
  <c r="R271" i="5"/>
  <c r="P270" i="5"/>
  <c r="C109" i="3"/>
  <c r="E108" i="2"/>
  <c r="X325" i="5"/>
  <c r="R243" i="5"/>
  <c r="P242" i="5"/>
  <c r="R9" i="5"/>
  <c r="P8" i="5"/>
  <c r="U349" i="5"/>
  <c r="S348" i="5"/>
  <c r="X76" i="5"/>
  <c r="M101" i="5"/>
  <c r="V101" i="5"/>
  <c r="S101" i="5"/>
  <c r="J101" i="5"/>
  <c r="P101" i="5"/>
  <c r="I101" i="5"/>
  <c r="V302" i="5"/>
  <c r="S302" i="5"/>
  <c r="P302" i="5"/>
  <c r="J302" i="5"/>
  <c r="M302" i="5"/>
  <c r="I302" i="5"/>
  <c r="U13" i="5"/>
  <c r="H117" i="5"/>
  <c r="I116" i="4"/>
  <c r="I115" i="4" s="1"/>
  <c r="S242" i="5"/>
  <c r="U243" i="5"/>
  <c r="O392" i="5"/>
  <c r="O264" i="5"/>
  <c r="U322" i="5"/>
  <c r="R140" i="5"/>
  <c r="P139" i="5"/>
  <c r="O72" i="5"/>
  <c r="U166" i="5"/>
  <c r="R186" i="5"/>
  <c r="R205" i="5"/>
  <c r="O10" i="5"/>
  <c r="U412" i="5"/>
  <c r="I57" i="4"/>
  <c r="I35" i="15"/>
  <c r="R261" i="5"/>
  <c r="U461" i="5"/>
  <c r="S460" i="5"/>
  <c r="P426" i="5"/>
  <c r="R427" i="5"/>
  <c r="H442" i="5"/>
  <c r="I441" i="4"/>
  <c r="L165" i="5"/>
  <c r="Y165" i="5"/>
  <c r="J164" i="5"/>
  <c r="V217" i="5"/>
  <c r="X218" i="5"/>
  <c r="S81" i="5"/>
  <c r="J81" i="5"/>
  <c r="V81" i="5"/>
  <c r="P81" i="5"/>
  <c r="M81" i="5"/>
  <c r="I81" i="5"/>
  <c r="R322" i="5"/>
  <c r="U417" i="5"/>
  <c r="U88" i="5"/>
  <c r="X154" i="5"/>
  <c r="V139" i="5"/>
  <c r="X140" i="5"/>
  <c r="L190" i="5"/>
  <c r="Y190" i="5"/>
  <c r="P331" i="5"/>
  <c r="M331" i="5"/>
  <c r="S331" i="5"/>
  <c r="J331" i="5"/>
  <c r="V331" i="5"/>
  <c r="I331" i="5"/>
  <c r="O424" i="5"/>
  <c r="X91" i="5"/>
  <c r="Y265" i="5"/>
  <c r="L265" i="5"/>
  <c r="M282" i="5"/>
  <c r="X219" i="5"/>
  <c r="V134" i="5"/>
  <c r="S134" i="5"/>
  <c r="P134" i="5"/>
  <c r="M134" i="5"/>
  <c r="J134" i="5"/>
  <c r="I134" i="5"/>
  <c r="M85" i="5"/>
  <c r="J85" i="5"/>
  <c r="P85" i="5"/>
  <c r="V85" i="5"/>
  <c r="S85" i="5"/>
  <c r="I85" i="5"/>
  <c r="X186" i="5"/>
  <c r="M155" i="5"/>
  <c r="M153" i="5" s="1"/>
  <c r="J155" i="5"/>
  <c r="V155" i="5"/>
  <c r="P155" i="5"/>
  <c r="S155" i="5"/>
  <c r="I155" i="5"/>
  <c r="I153" i="5" s="1"/>
  <c r="X403" i="5"/>
  <c r="Y76" i="5"/>
  <c r="L76" i="5"/>
  <c r="O165" i="5"/>
  <c r="M164" i="5"/>
  <c r="X450" i="5"/>
  <c r="M107" i="5"/>
  <c r="V107" i="5"/>
  <c r="P107" i="5"/>
  <c r="J107" i="5"/>
  <c r="S107" i="5"/>
  <c r="I107" i="5"/>
  <c r="H366" i="5"/>
  <c r="I365" i="4"/>
  <c r="U427" i="5"/>
  <c r="S426" i="5"/>
  <c r="R478" i="5"/>
  <c r="Y13" i="5"/>
  <c r="L13" i="5"/>
  <c r="O297" i="5"/>
  <c r="X271" i="5"/>
  <c r="V270" i="5"/>
  <c r="U150" i="5"/>
  <c r="C114" i="3"/>
  <c r="E113" i="2"/>
  <c r="L62" i="5"/>
  <c r="J61" i="5"/>
  <c r="Y62" i="5"/>
  <c r="Y264" i="5"/>
  <c r="L264" i="5"/>
  <c r="R236" i="5"/>
  <c r="Y417" i="5"/>
  <c r="L417" i="5"/>
  <c r="L154" i="5"/>
  <c r="Y154" i="5"/>
  <c r="X72" i="5"/>
  <c r="Y30" i="5"/>
  <c r="L30" i="5"/>
  <c r="R477" i="5"/>
  <c r="P476" i="5"/>
  <c r="J393" i="5"/>
  <c r="P393" i="5"/>
  <c r="M393" i="5"/>
  <c r="V393" i="5"/>
  <c r="S393" i="5"/>
  <c r="I393" i="5"/>
  <c r="L186" i="5"/>
  <c r="Y186" i="5"/>
  <c r="L403" i="5"/>
  <c r="Y403" i="5"/>
  <c r="M233" i="5"/>
  <c r="J233" i="5"/>
  <c r="J231" i="5" s="1"/>
  <c r="S233" i="5"/>
  <c r="P233" i="5"/>
  <c r="V233" i="5"/>
  <c r="V231" i="5" s="1"/>
  <c r="I233" i="5"/>
  <c r="I231" i="5" s="1"/>
  <c r="R76" i="5"/>
  <c r="R165" i="5"/>
  <c r="P164" i="5"/>
  <c r="U450" i="5"/>
  <c r="Y466" i="5"/>
  <c r="L466" i="5"/>
  <c r="H253" i="4"/>
  <c r="H175" i="4"/>
  <c r="H331" i="4"/>
  <c r="H97" i="4"/>
  <c r="H409" i="4"/>
  <c r="H19" i="4"/>
  <c r="H54" i="15"/>
  <c r="U37" i="5"/>
  <c r="S36" i="5"/>
  <c r="R346" i="5"/>
  <c r="L10" i="5"/>
  <c r="Y10" i="5"/>
  <c r="M77" i="5"/>
  <c r="M75" i="5" s="1"/>
  <c r="P77" i="5"/>
  <c r="S77" i="5"/>
  <c r="S75" i="5" s="1"/>
  <c r="J77" i="5"/>
  <c r="J75" i="5" s="1"/>
  <c r="V77" i="5"/>
  <c r="I77" i="5"/>
  <c r="I75" i="5" s="1"/>
  <c r="U232" i="5"/>
  <c r="H288" i="5"/>
  <c r="I287" i="4"/>
  <c r="V426" i="5"/>
  <c r="X427" i="5"/>
  <c r="U478" i="5"/>
  <c r="O216" i="5"/>
  <c r="S471" i="5"/>
  <c r="V471" i="5"/>
  <c r="M471" i="5"/>
  <c r="J471" i="5"/>
  <c r="P471" i="5"/>
  <c r="I471" i="5"/>
  <c r="C46" i="3"/>
  <c r="E45" i="2"/>
  <c r="U165" i="5"/>
  <c r="S164" i="5"/>
  <c r="L450" i="5"/>
  <c r="Y450" i="5"/>
  <c r="R339" i="5"/>
  <c r="O466" i="5"/>
  <c r="Y37" i="5"/>
  <c r="J36" i="5"/>
  <c r="L37" i="5"/>
  <c r="X346" i="5"/>
  <c r="M114" i="5"/>
  <c r="O115" i="5"/>
  <c r="V68" i="5"/>
  <c r="S68" i="5"/>
  <c r="M68" i="5"/>
  <c r="J68" i="5"/>
  <c r="P68" i="5"/>
  <c r="I68" i="5"/>
  <c r="R193" i="5"/>
  <c r="P192" i="5"/>
  <c r="I148" i="5"/>
  <c r="Y232" i="5"/>
  <c r="L232" i="5"/>
  <c r="P280" i="5"/>
  <c r="M280" i="5"/>
  <c r="V280" i="5"/>
  <c r="J280" i="5"/>
  <c r="S280" i="5"/>
  <c r="I280" i="5"/>
  <c r="H54" i="5"/>
  <c r="I53" i="4"/>
  <c r="H131" i="5"/>
  <c r="I130" i="4"/>
  <c r="I320" i="5"/>
  <c r="O478" i="5"/>
  <c r="X216" i="5"/>
  <c r="I52" i="15"/>
  <c r="L470" i="5"/>
  <c r="Y470" i="5"/>
  <c r="P250" i="5"/>
  <c r="M250" i="5"/>
  <c r="J250" i="5"/>
  <c r="S250" i="5"/>
  <c r="V250" i="5"/>
  <c r="I250" i="5"/>
  <c r="I451" i="5"/>
  <c r="R141" i="5"/>
  <c r="Y339" i="5"/>
  <c r="L339" i="5"/>
  <c r="R466" i="5"/>
  <c r="R37" i="5"/>
  <c r="P36" i="5"/>
  <c r="O346" i="5"/>
  <c r="P114" i="5"/>
  <c r="R115" i="5"/>
  <c r="I70" i="5"/>
  <c r="V411" i="5"/>
  <c r="P411" i="5"/>
  <c r="M411" i="5"/>
  <c r="J411" i="5"/>
  <c r="S411" i="5"/>
  <c r="I411" i="5"/>
  <c r="Y193" i="5"/>
  <c r="J192" i="5"/>
  <c r="L193" i="5"/>
  <c r="L149" i="5"/>
  <c r="Y149" i="5"/>
  <c r="J148" i="5"/>
  <c r="V369" i="5"/>
  <c r="S369" i="5"/>
  <c r="P369" i="5"/>
  <c r="J369" i="5"/>
  <c r="M369" i="5"/>
  <c r="I369" i="5"/>
  <c r="O384" i="5"/>
  <c r="X232" i="5"/>
  <c r="H444" i="5"/>
  <c r="I443" i="4"/>
  <c r="H209" i="5"/>
  <c r="I208" i="4"/>
  <c r="P320" i="5"/>
  <c r="R321" i="5"/>
  <c r="L478" i="5"/>
  <c r="Y478" i="5"/>
  <c r="Y216" i="5"/>
  <c r="L216" i="5"/>
  <c r="M41" i="5"/>
  <c r="V41" i="5"/>
  <c r="S41" i="5"/>
  <c r="P41" i="5"/>
  <c r="J41" i="5"/>
  <c r="I41" i="5"/>
  <c r="I82" i="4"/>
  <c r="I295" i="5"/>
  <c r="U297" i="5"/>
  <c r="J398" i="5"/>
  <c r="L399" i="5"/>
  <c r="Y399" i="5"/>
  <c r="H364" i="5"/>
  <c r="I363" i="4"/>
  <c r="X62" i="5"/>
  <c r="V61" i="5"/>
  <c r="I382" i="5"/>
  <c r="X27" i="5"/>
  <c r="X169" i="5"/>
  <c r="U187" i="5"/>
  <c r="P94" i="5"/>
  <c r="S94" i="5"/>
  <c r="M94" i="5"/>
  <c r="V94" i="5"/>
  <c r="J94" i="5"/>
  <c r="I94" i="5"/>
  <c r="M293" i="5"/>
  <c r="J293" i="5"/>
  <c r="S293" i="5"/>
  <c r="P293" i="5"/>
  <c r="V293" i="5"/>
  <c r="I293" i="5"/>
  <c r="I292" i="5" s="1"/>
  <c r="X63" i="5"/>
  <c r="H199" i="5"/>
  <c r="I198" i="4"/>
  <c r="O462" i="5"/>
  <c r="P431" i="5"/>
  <c r="M431" i="5"/>
  <c r="V431" i="5"/>
  <c r="J431" i="5"/>
  <c r="S431" i="5"/>
  <c r="I431" i="5"/>
  <c r="H235" i="5"/>
  <c r="I234" i="4"/>
  <c r="I233" i="4" s="1"/>
  <c r="R268" i="5"/>
  <c r="V304" i="5"/>
  <c r="X305" i="5"/>
  <c r="P226" i="5"/>
  <c r="R227" i="5"/>
  <c r="P196" i="5"/>
  <c r="M196" i="5"/>
  <c r="J196" i="5"/>
  <c r="S196" i="5"/>
  <c r="V196" i="5"/>
  <c r="I196" i="5"/>
  <c r="O91" i="5"/>
  <c r="L342" i="5"/>
  <c r="Y342" i="5"/>
  <c r="S255" i="5"/>
  <c r="P255" i="5"/>
  <c r="V255" i="5"/>
  <c r="M255" i="5"/>
  <c r="J255" i="5"/>
  <c r="I255" i="5"/>
  <c r="S371" i="5"/>
  <c r="P371" i="5"/>
  <c r="J371" i="5"/>
  <c r="V371" i="5"/>
  <c r="M371" i="5"/>
  <c r="I371" i="5"/>
  <c r="I370" i="5" s="1"/>
  <c r="U219" i="5"/>
  <c r="R294" i="5"/>
  <c r="M476" i="5"/>
  <c r="O477" i="5"/>
  <c r="H74" i="5"/>
  <c r="I73" i="4"/>
  <c r="R228" i="5"/>
  <c r="O421" i="5"/>
  <c r="R244" i="5"/>
  <c r="R403" i="5"/>
  <c r="H125" i="5"/>
  <c r="I124" i="4"/>
  <c r="I122" i="4" s="1"/>
  <c r="H204" i="16"/>
  <c r="M398" i="5"/>
  <c r="O399" i="5"/>
  <c r="O325" i="5"/>
  <c r="Y183" i="5"/>
  <c r="L183" i="5"/>
  <c r="Y187" i="5"/>
  <c r="L187" i="5"/>
  <c r="L22" i="5"/>
  <c r="Y22" i="5"/>
  <c r="P348" i="5"/>
  <c r="R349" i="5"/>
  <c r="I307" i="4"/>
  <c r="I306" i="4" s="1"/>
  <c r="I302" i="4" s="1"/>
  <c r="H308" i="5"/>
  <c r="Y400" i="5"/>
  <c r="L400" i="5"/>
  <c r="M263" i="5"/>
  <c r="J263" i="5"/>
  <c r="V263" i="5"/>
  <c r="S263" i="5"/>
  <c r="P263" i="5"/>
  <c r="I263" i="5"/>
  <c r="I262" i="5" s="1"/>
  <c r="H203" i="5"/>
  <c r="I202" i="4"/>
  <c r="I200" i="4" s="1"/>
  <c r="X149" i="5"/>
  <c r="V148" i="5"/>
  <c r="H429" i="5"/>
  <c r="I428" i="4"/>
  <c r="I427" i="4" s="1"/>
  <c r="L243" i="5"/>
  <c r="J242" i="5"/>
  <c r="Y243" i="5"/>
  <c r="X392" i="5"/>
  <c r="M137" i="5"/>
  <c r="V137" i="5"/>
  <c r="S137" i="5"/>
  <c r="P137" i="5"/>
  <c r="J137" i="5"/>
  <c r="I137" i="5"/>
  <c r="Y421" i="5"/>
  <c r="L421" i="5"/>
  <c r="P451" i="5"/>
  <c r="R452" i="5"/>
  <c r="Y205" i="5"/>
  <c r="L205" i="5"/>
  <c r="U112" i="5"/>
  <c r="M148" i="5"/>
  <c r="O149" i="5"/>
  <c r="V311" i="5"/>
  <c r="S311" i="5"/>
  <c r="J311" i="5"/>
  <c r="J309" i="5" s="1"/>
  <c r="M311" i="5"/>
  <c r="P311" i="5"/>
  <c r="I311" i="5"/>
  <c r="M23" i="5"/>
  <c r="S23" i="5"/>
  <c r="P23" i="5"/>
  <c r="V23" i="5"/>
  <c r="J23" i="5"/>
  <c r="I23" i="5"/>
  <c r="U296" i="5"/>
  <c r="S295" i="5"/>
  <c r="U399" i="5"/>
  <c r="S398" i="5"/>
  <c r="R325" i="5"/>
  <c r="H351" i="5"/>
  <c r="I350" i="4"/>
  <c r="I349" i="4" s="1"/>
  <c r="O243" i="5"/>
  <c r="M242" i="5"/>
  <c r="U383" i="5"/>
  <c r="S382" i="5"/>
  <c r="R392" i="5"/>
  <c r="P217" i="5"/>
  <c r="R218" i="5"/>
  <c r="X322" i="5"/>
  <c r="S213" i="5"/>
  <c r="V213" i="5"/>
  <c r="J213" i="5"/>
  <c r="M213" i="5"/>
  <c r="P213" i="5"/>
  <c r="I213" i="5"/>
  <c r="Y140" i="5"/>
  <c r="J139" i="5"/>
  <c r="L140" i="5"/>
  <c r="M360" i="5"/>
  <c r="I27" i="4"/>
  <c r="I17" i="15"/>
  <c r="O31" i="5"/>
  <c r="X349" i="5"/>
  <c r="V348" i="5"/>
  <c r="V397" i="5"/>
  <c r="S397" i="5"/>
  <c r="V368" i="5"/>
  <c r="P368" i="5"/>
  <c r="M368" i="5"/>
  <c r="S368" i="5"/>
  <c r="J368" i="5"/>
  <c r="I368" i="5"/>
  <c r="O334" i="5"/>
  <c r="X383" i="5"/>
  <c r="V382" i="5"/>
  <c r="U392" i="5"/>
  <c r="O218" i="5"/>
  <c r="M217" i="5"/>
  <c r="U264" i="5"/>
  <c r="Y322" i="5"/>
  <c r="L322" i="5"/>
  <c r="U190" i="5"/>
  <c r="C22" i="3"/>
  <c r="E21" i="2"/>
  <c r="Y31" i="5"/>
  <c r="L31" i="5"/>
  <c r="R30" i="5"/>
  <c r="O265" i="5"/>
  <c r="I21" i="15"/>
  <c r="O30" i="5"/>
  <c r="L9" i="5"/>
  <c r="J8" i="5"/>
  <c r="Y9" i="5"/>
  <c r="U374" i="5"/>
  <c r="S373" i="5"/>
  <c r="X334" i="5"/>
  <c r="O271" i="5"/>
  <c r="M270" i="5"/>
  <c r="X150" i="5"/>
  <c r="U218" i="5"/>
  <c r="S217" i="5"/>
  <c r="R264" i="5"/>
  <c r="L236" i="5"/>
  <c r="Y236" i="5"/>
  <c r="O322" i="5"/>
  <c r="X417" i="5"/>
  <c r="X88" i="5"/>
  <c r="U154" i="5"/>
  <c r="U140" i="5"/>
  <c r="S139" i="5"/>
  <c r="O190" i="5"/>
  <c r="R72" i="5"/>
  <c r="U30" i="5"/>
  <c r="R166" i="5"/>
  <c r="U9" i="5"/>
  <c r="S8" i="5"/>
  <c r="R424" i="5"/>
  <c r="U265" i="5"/>
  <c r="I476" i="5"/>
  <c r="U105" i="5"/>
  <c r="M257" i="5"/>
  <c r="J257" i="5"/>
  <c r="S257" i="5"/>
  <c r="P257" i="5"/>
  <c r="V257" i="5"/>
  <c r="I257" i="5"/>
  <c r="X374" i="5"/>
  <c r="V373" i="5"/>
  <c r="U76" i="5"/>
  <c r="U205" i="5"/>
  <c r="S204" i="5"/>
  <c r="U346" i="5"/>
  <c r="L80" i="5"/>
  <c r="Y80" i="5"/>
  <c r="U10" i="5"/>
  <c r="X412" i="5"/>
  <c r="M59" i="5"/>
  <c r="S59" i="5"/>
  <c r="P59" i="5"/>
  <c r="V59" i="5"/>
  <c r="J59" i="5"/>
  <c r="I59" i="5"/>
  <c r="P274" i="5"/>
  <c r="M274" i="5"/>
  <c r="J274" i="5"/>
  <c r="S274" i="5"/>
  <c r="V274" i="5"/>
  <c r="I274" i="5"/>
  <c r="U261" i="5"/>
  <c r="H132" i="5"/>
  <c r="I131" i="4"/>
  <c r="V460" i="5"/>
  <c r="X461" i="5"/>
  <c r="J426" i="5"/>
  <c r="Y427" i="5"/>
  <c r="L427" i="5"/>
  <c r="X478" i="5"/>
  <c r="U216" i="5"/>
  <c r="C95" i="3"/>
  <c r="E94" i="2"/>
  <c r="C18" i="3"/>
  <c r="E17" i="2"/>
  <c r="X13" i="5"/>
  <c r="L334" i="5"/>
  <c r="Y334" i="5"/>
  <c r="X297" i="5"/>
  <c r="S270" i="5"/>
  <c r="U271" i="5"/>
  <c r="R150" i="5"/>
  <c r="S159" i="5"/>
  <c r="M159" i="5"/>
  <c r="J159" i="5"/>
  <c r="P159" i="5"/>
  <c r="V159" i="5"/>
  <c r="I159" i="5"/>
  <c r="O62" i="5"/>
  <c r="M61" i="5"/>
  <c r="X264" i="5"/>
  <c r="O236" i="5"/>
  <c r="R10" i="5"/>
  <c r="I63" i="4"/>
  <c r="I15" i="15"/>
  <c r="S451" i="5"/>
  <c r="U452" i="5"/>
  <c r="Y141" i="5"/>
  <c r="L141" i="5"/>
  <c r="U34" i="5"/>
  <c r="O339" i="5"/>
  <c r="U466" i="5"/>
  <c r="I28" i="15"/>
  <c r="O37" i="5"/>
  <c r="M36" i="5"/>
  <c r="S114" i="5"/>
  <c r="U115" i="5"/>
  <c r="U71" i="5"/>
  <c r="S70" i="5"/>
  <c r="I54" i="4"/>
  <c r="I49" i="15"/>
  <c r="O193" i="5"/>
  <c r="M192" i="5"/>
  <c r="P148" i="5"/>
  <c r="R149" i="5"/>
  <c r="Y384" i="5"/>
  <c r="L384" i="5"/>
  <c r="O232" i="5"/>
  <c r="H210" i="5"/>
  <c r="I209" i="4"/>
  <c r="H287" i="5"/>
  <c r="I286" i="4"/>
  <c r="S320" i="5"/>
  <c r="U321" i="5"/>
  <c r="C71" i="3"/>
  <c r="E70" i="2"/>
  <c r="O470" i="5"/>
  <c r="M185" i="5"/>
  <c r="P185" i="5"/>
  <c r="J185" i="5"/>
  <c r="S185" i="5"/>
  <c r="V185" i="5"/>
  <c r="I185" i="5"/>
  <c r="I184" i="5" s="1"/>
  <c r="Y296" i="5"/>
  <c r="J295" i="5"/>
  <c r="L296" i="5"/>
  <c r="C66" i="3"/>
  <c r="E65" i="2"/>
  <c r="R399" i="5"/>
  <c r="P398" i="5"/>
  <c r="Y325" i="5"/>
  <c r="L325" i="5"/>
  <c r="H39" i="5"/>
  <c r="I38" i="4"/>
  <c r="I242" i="5"/>
  <c r="J382" i="5"/>
  <c r="L383" i="5"/>
  <c r="Y383" i="5"/>
  <c r="U27" i="5"/>
  <c r="R169" i="5"/>
  <c r="O187" i="5"/>
  <c r="U375" i="5"/>
  <c r="U178" i="5"/>
  <c r="P475" i="5"/>
  <c r="M475" i="5"/>
  <c r="S475" i="5"/>
  <c r="V475" i="5"/>
  <c r="J475" i="5"/>
  <c r="I475" i="5"/>
  <c r="V224" i="5"/>
  <c r="S224" i="5"/>
  <c r="P224" i="5"/>
  <c r="M224" i="5"/>
  <c r="J224" i="5"/>
  <c r="I224" i="5"/>
  <c r="U63" i="5"/>
  <c r="Y100" i="5"/>
  <c r="L100" i="5"/>
  <c r="H391" i="5"/>
  <c r="I390" i="4"/>
  <c r="I389" i="4" s="1"/>
  <c r="P304" i="5"/>
  <c r="R305" i="5"/>
  <c r="S328" i="5"/>
  <c r="P328" i="5"/>
  <c r="V328" i="5"/>
  <c r="M328" i="5"/>
  <c r="J328" i="5"/>
  <c r="I328" i="5"/>
  <c r="C98" i="3"/>
  <c r="E97" i="2"/>
  <c r="L227" i="5"/>
  <c r="J226" i="5"/>
  <c r="Y227" i="5"/>
  <c r="I229" i="4"/>
  <c r="I228" i="4" s="1"/>
  <c r="H230" i="5"/>
  <c r="Y228" i="5"/>
  <c r="L228" i="5"/>
  <c r="M275" i="5"/>
  <c r="J275" i="5"/>
  <c r="P275" i="5"/>
  <c r="S275" i="5"/>
  <c r="V275" i="5"/>
  <c r="I275" i="5"/>
  <c r="P163" i="5"/>
  <c r="M163" i="5"/>
  <c r="V163" i="5"/>
  <c r="S163" i="5"/>
  <c r="J163" i="5"/>
  <c r="I163" i="5"/>
  <c r="M447" i="5"/>
  <c r="S447" i="5"/>
  <c r="V447" i="5"/>
  <c r="P447" i="5"/>
  <c r="J447" i="5"/>
  <c r="I447" i="5"/>
  <c r="H281" i="5"/>
  <c r="I280" i="4"/>
  <c r="I278" i="4" s="1"/>
  <c r="I397" i="5" l="1"/>
  <c r="M397" i="5"/>
  <c r="S126" i="5"/>
  <c r="Y128" i="5"/>
  <c r="J438" i="5"/>
  <c r="M253" i="5"/>
  <c r="O253" i="5" s="1"/>
  <c r="S253" i="5"/>
  <c r="U253" i="5" s="1"/>
  <c r="V253" i="5"/>
  <c r="X253" i="5" s="1"/>
  <c r="G66" i="4"/>
  <c r="G67" i="5" s="1"/>
  <c r="G436" i="7"/>
  <c r="L440" i="5"/>
  <c r="R440" i="5"/>
  <c r="O128" i="5"/>
  <c r="P397" i="5"/>
  <c r="E151" i="2"/>
  <c r="G10" i="15"/>
  <c r="G456" i="4"/>
  <c r="G457" i="5" s="1"/>
  <c r="X440" i="5"/>
  <c r="I438" i="5"/>
  <c r="R438" i="5" s="1"/>
  <c r="G378" i="4"/>
  <c r="G379" i="5" s="1"/>
  <c r="I451" i="7"/>
  <c r="I452" i="7" s="1"/>
  <c r="H66" i="4" s="1"/>
  <c r="G144" i="4"/>
  <c r="G145" i="5" s="1"/>
  <c r="X128" i="5"/>
  <c r="G300" i="4"/>
  <c r="G301" i="5" s="1"/>
  <c r="O440" i="5"/>
  <c r="U128" i="5"/>
  <c r="Y440" i="5"/>
  <c r="L128" i="5"/>
  <c r="R128" i="5"/>
  <c r="P253" i="5"/>
  <c r="R253" i="5" s="1"/>
  <c r="J253" i="5"/>
  <c r="J126" i="5"/>
  <c r="L126" i="5" s="1"/>
  <c r="C131" i="3"/>
  <c r="S97" i="5"/>
  <c r="I32" i="15"/>
  <c r="M97" i="5"/>
  <c r="I97" i="5"/>
  <c r="R97" i="5" s="1"/>
  <c r="J97" i="5"/>
  <c r="V97" i="5"/>
  <c r="R206" i="5"/>
  <c r="U206" i="5"/>
  <c r="L283" i="5"/>
  <c r="I282" i="5"/>
  <c r="R282" i="5" s="1"/>
  <c r="O256" i="5"/>
  <c r="Y420" i="5"/>
  <c r="U283" i="5"/>
  <c r="X283" i="5"/>
  <c r="L343" i="5"/>
  <c r="G274" i="7"/>
  <c r="X206" i="5"/>
  <c r="Y256" i="5"/>
  <c r="U87" i="5"/>
  <c r="X256" i="5"/>
  <c r="U256" i="5"/>
  <c r="L256" i="5"/>
  <c r="O206" i="5"/>
  <c r="V282" i="5"/>
  <c r="M90" i="3" s="1"/>
  <c r="N90" i="3" s="1"/>
  <c r="M204" i="5"/>
  <c r="G66" i="3" s="1"/>
  <c r="H66" i="3" s="1"/>
  <c r="I340" i="5"/>
  <c r="R283" i="5"/>
  <c r="Y206" i="5"/>
  <c r="J204" i="5"/>
  <c r="L204" i="5" s="1"/>
  <c r="P86" i="5"/>
  <c r="R86" i="5" s="1"/>
  <c r="X87" i="5"/>
  <c r="L206" i="5"/>
  <c r="Y283" i="5"/>
  <c r="O420" i="5"/>
  <c r="Z420" i="5" s="1"/>
  <c r="S282" i="5"/>
  <c r="G43" i="4"/>
  <c r="G44" i="5" s="1"/>
  <c r="G199" i="4"/>
  <c r="G200" i="5" s="1"/>
  <c r="I291" i="7"/>
  <c r="I292" i="7" s="1"/>
  <c r="H433" i="4" s="1"/>
  <c r="H434" i="5" s="1"/>
  <c r="G433" i="4"/>
  <c r="G434" i="5" s="1"/>
  <c r="G277" i="4"/>
  <c r="G278" i="5" s="1"/>
  <c r="M86" i="5"/>
  <c r="O86" i="5" s="1"/>
  <c r="E58" i="2"/>
  <c r="L87" i="5"/>
  <c r="Y343" i="5"/>
  <c r="H355" i="5"/>
  <c r="I355" i="5" s="1"/>
  <c r="U343" i="5"/>
  <c r="O343" i="5"/>
  <c r="X343" i="5"/>
  <c r="C141" i="3"/>
  <c r="Y87" i="5"/>
  <c r="R50" i="5"/>
  <c r="L50" i="5"/>
  <c r="E34" i="2"/>
  <c r="G47" i="15"/>
  <c r="X50" i="5"/>
  <c r="G355" i="4"/>
  <c r="G356" i="5" s="1"/>
  <c r="U50" i="5"/>
  <c r="S48" i="5"/>
  <c r="K18" i="3" s="1"/>
  <c r="L18" i="3" s="1"/>
  <c r="L314" i="5"/>
  <c r="R314" i="5"/>
  <c r="O310" i="5"/>
  <c r="Y50" i="5"/>
  <c r="E75" i="2"/>
  <c r="J387" i="5"/>
  <c r="E124" i="3" s="1"/>
  <c r="U362" i="5"/>
  <c r="O314" i="5"/>
  <c r="O388" i="5"/>
  <c r="R362" i="5"/>
  <c r="I42" i="4"/>
  <c r="I360" i="5"/>
  <c r="O360" i="5" s="1"/>
  <c r="X314" i="5"/>
  <c r="X362" i="5"/>
  <c r="J48" i="5"/>
  <c r="E18" i="3" s="1"/>
  <c r="I309" i="5"/>
  <c r="L309" i="5" s="1"/>
  <c r="X310" i="5"/>
  <c r="I387" i="5"/>
  <c r="J360" i="5"/>
  <c r="E114" i="3" s="1"/>
  <c r="R310" i="5"/>
  <c r="U388" i="5"/>
  <c r="U310" i="5"/>
  <c r="I113" i="5"/>
  <c r="I111" i="5" s="1"/>
  <c r="O111" i="5" s="1"/>
  <c r="L388" i="5"/>
  <c r="P113" i="5"/>
  <c r="P111" i="5" s="1"/>
  <c r="I37" i="3" s="1"/>
  <c r="X388" i="5"/>
  <c r="V113" i="5"/>
  <c r="S113" i="5"/>
  <c r="S111" i="5" s="1"/>
  <c r="U127" i="5"/>
  <c r="J113" i="5"/>
  <c r="J111" i="5" s="1"/>
  <c r="L362" i="5"/>
  <c r="S387" i="5"/>
  <c r="K124" i="3" s="1"/>
  <c r="L124" i="3" s="1"/>
  <c r="V126" i="5"/>
  <c r="X126" i="5" s="1"/>
  <c r="C13" i="3"/>
  <c r="Y362" i="5"/>
  <c r="H277" i="5"/>
  <c r="M277" i="5" s="1"/>
  <c r="M84" i="5"/>
  <c r="M83" i="5" s="1"/>
  <c r="R361" i="5"/>
  <c r="Y314" i="5"/>
  <c r="U108" i="5"/>
  <c r="U361" i="5"/>
  <c r="Y310" i="5"/>
  <c r="L127" i="5"/>
  <c r="L49" i="5"/>
  <c r="L361" i="5"/>
  <c r="X439" i="5"/>
  <c r="X361" i="5"/>
  <c r="U49" i="5"/>
  <c r="I48" i="5"/>
  <c r="X48" i="5" s="1"/>
  <c r="O49" i="5"/>
  <c r="P360" i="5"/>
  <c r="V360" i="5"/>
  <c r="E60" i="2"/>
  <c r="X49" i="5"/>
  <c r="Y388" i="5"/>
  <c r="R49" i="5"/>
  <c r="H433" i="5"/>
  <c r="V433" i="5" s="1"/>
  <c r="S360" i="5"/>
  <c r="K114" i="3" s="1"/>
  <c r="L114" i="3" s="1"/>
  <c r="R60" i="5"/>
  <c r="C117" i="3"/>
  <c r="Y158" i="5"/>
  <c r="E139" i="2"/>
  <c r="Y127" i="5"/>
  <c r="Y361" i="5"/>
  <c r="L60" i="5"/>
  <c r="P126" i="5"/>
  <c r="R126" i="5" s="1"/>
  <c r="X158" i="5"/>
  <c r="I58" i="5"/>
  <c r="M126" i="5"/>
  <c r="O126" i="5" s="1"/>
  <c r="I120" i="4"/>
  <c r="U138" i="5"/>
  <c r="U439" i="5"/>
  <c r="O127" i="5"/>
  <c r="E68" i="2"/>
  <c r="L158" i="5"/>
  <c r="R158" i="5"/>
  <c r="V438" i="5"/>
  <c r="O158" i="5"/>
  <c r="C79" i="3"/>
  <c r="I237" i="4"/>
  <c r="C78" i="3" s="1"/>
  <c r="I38" i="15"/>
  <c r="J84" i="5"/>
  <c r="J83" i="5" s="1"/>
  <c r="P84" i="5"/>
  <c r="P83" i="5" s="1"/>
  <c r="I84" i="5"/>
  <c r="X84" i="5" s="1"/>
  <c r="V83" i="5"/>
  <c r="P48" i="5"/>
  <c r="Y49" i="5"/>
  <c r="S84" i="5"/>
  <c r="S438" i="5"/>
  <c r="E51" i="2"/>
  <c r="C148" i="3"/>
  <c r="I13" i="15"/>
  <c r="E115" i="2"/>
  <c r="L439" i="5"/>
  <c r="U60" i="5"/>
  <c r="O439" i="5"/>
  <c r="R439" i="5"/>
  <c r="I393" i="4"/>
  <c r="C126" i="3" s="1"/>
  <c r="E126" i="2"/>
  <c r="C127" i="3"/>
  <c r="I471" i="4"/>
  <c r="E149" i="2" s="1"/>
  <c r="C151" i="3"/>
  <c r="E150" i="2"/>
  <c r="E102" i="2"/>
  <c r="I315" i="4"/>
  <c r="C102" i="3" s="1"/>
  <c r="C103" i="3"/>
  <c r="V318" i="5"/>
  <c r="V317" i="5" s="1"/>
  <c r="J318" i="5"/>
  <c r="S318" i="5"/>
  <c r="S317" i="5" s="1"/>
  <c r="M318" i="5"/>
  <c r="M317" i="5" s="1"/>
  <c r="P318" i="5"/>
  <c r="I318" i="5"/>
  <c r="I317" i="5" s="1"/>
  <c r="M438" i="5"/>
  <c r="G138" i="3" s="1"/>
  <c r="H138" i="3" s="1"/>
  <c r="P474" i="5"/>
  <c r="V474" i="5"/>
  <c r="M474" i="5"/>
  <c r="J474" i="5"/>
  <c r="J473" i="5" s="1"/>
  <c r="S474" i="5"/>
  <c r="S473" i="5" s="1"/>
  <c r="I474" i="5"/>
  <c r="I473" i="5" s="1"/>
  <c r="I472" i="5" s="1"/>
  <c r="I160" i="4"/>
  <c r="E92" i="2"/>
  <c r="Y439" i="5"/>
  <c r="E43" i="2"/>
  <c r="E132" i="2"/>
  <c r="I240" i="5"/>
  <c r="I239" i="5" s="1"/>
  <c r="I238" i="5" s="1"/>
  <c r="M240" i="5"/>
  <c r="S240" i="5"/>
  <c r="P240" i="5"/>
  <c r="V240" i="5"/>
  <c r="J240" i="5"/>
  <c r="J239" i="5" s="1"/>
  <c r="J238" i="5" s="1"/>
  <c r="P162" i="5"/>
  <c r="M162" i="5"/>
  <c r="M161" i="5" s="1"/>
  <c r="S162" i="5"/>
  <c r="V162" i="5"/>
  <c r="V161" i="5" s="1"/>
  <c r="V160" i="5" s="1"/>
  <c r="I162" i="5"/>
  <c r="I161" i="5" s="1"/>
  <c r="I160" i="5" s="1"/>
  <c r="J162" i="5"/>
  <c r="I136" i="5"/>
  <c r="E78" i="2"/>
  <c r="S396" i="5"/>
  <c r="S395" i="5" s="1"/>
  <c r="M396" i="5"/>
  <c r="M395" i="5" s="1"/>
  <c r="P396" i="5"/>
  <c r="I396" i="5"/>
  <c r="J396" i="5"/>
  <c r="J395" i="5" s="1"/>
  <c r="V396" i="5"/>
  <c r="V395" i="5" s="1"/>
  <c r="E82" i="2"/>
  <c r="I106" i="5"/>
  <c r="E106" i="2"/>
  <c r="Y60" i="5"/>
  <c r="L108" i="5"/>
  <c r="U19" i="5"/>
  <c r="Z342" i="5"/>
  <c r="J347" i="5"/>
  <c r="J345" i="5" s="1"/>
  <c r="L345" i="5" s="1"/>
  <c r="X19" i="5"/>
  <c r="I164" i="16"/>
  <c r="I168" i="16"/>
  <c r="M347" i="5"/>
  <c r="O347" i="5" s="1"/>
  <c r="H203" i="16"/>
  <c r="H206" i="16" s="1"/>
  <c r="X108" i="5"/>
  <c r="Z421" i="5"/>
  <c r="Z400" i="5"/>
  <c r="O319" i="5"/>
  <c r="U311" i="5"/>
  <c r="X138" i="5"/>
  <c r="R389" i="5"/>
  <c r="Y138" i="5"/>
  <c r="C92" i="3"/>
  <c r="X311" i="5"/>
  <c r="L138" i="5"/>
  <c r="S347" i="5"/>
  <c r="S345" i="5" s="1"/>
  <c r="U345" i="5" s="1"/>
  <c r="X60" i="5"/>
  <c r="U319" i="5"/>
  <c r="X389" i="5"/>
  <c r="V347" i="5"/>
  <c r="X347" i="5" s="1"/>
  <c r="O108" i="5"/>
  <c r="Z297" i="5"/>
  <c r="O311" i="5"/>
  <c r="O389" i="5"/>
  <c r="P347" i="5"/>
  <c r="P345" i="5" s="1"/>
  <c r="I109" i="3" s="1"/>
  <c r="R138" i="5"/>
  <c r="R101" i="5"/>
  <c r="U159" i="5"/>
  <c r="R393" i="5"/>
  <c r="X101" i="5"/>
  <c r="R16" i="5"/>
  <c r="Z372" i="5"/>
  <c r="I362" i="4"/>
  <c r="E114" i="2" s="1"/>
  <c r="R406" i="5"/>
  <c r="O233" i="5"/>
  <c r="Y108" i="5"/>
  <c r="O101" i="5"/>
  <c r="Z461" i="5"/>
  <c r="O138" i="5"/>
  <c r="Z22" i="5"/>
  <c r="O163" i="5"/>
  <c r="Z100" i="5"/>
  <c r="Z466" i="5"/>
  <c r="U393" i="5"/>
  <c r="Z109" i="5"/>
  <c r="X406" i="5"/>
  <c r="R233" i="5"/>
  <c r="X393" i="5"/>
  <c r="U233" i="5"/>
  <c r="O393" i="5"/>
  <c r="U101" i="5"/>
  <c r="O16" i="5"/>
  <c r="U163" i="5"/>
  <c r="O275" i="5"/>
  <c r="X163" i="5"/>
  <c r="R163" i="5"/>
  <c r="U406" i="5"/>
  <c r="R159" i="5"/>
  <c r="I50" i="4"/>
  <c r="C19" i="3" s="1"/>
  <c r="O159" i="5"/>
  <c r="R311" i="5"/>
  <c r="Z183" i="5"/>
  <c r="X319" i="5"/>
  <c r="M309" i="5"/>
  <c r="P387" i="5"/>
  <c r="Z261" i="5"/>
  <c r="Z10" i="5"/>
  <c r="U331" i="5"/>
  <c r="Z247" i="5"/>
  <c r="X196" i="5"/>
  <c r="Z294" i="5"/>
  <c r="X291" i="5"/>
  <c r="O338" i="5"/>
  <c r="O182" i="5"/>
  <c r="R380" i="5"/>
  <c r="X182" i="5"/>
  <c r="R475" i="5"/>
  <c r="O291" i="5"/>
  <c r="U338" i="5"/>
  <c r="V387" i="5"/>
  <c r="X380" i="5"/>
  <c r="U416" i="5"/>
  <c r="Z165" i="5"/>
  <c r="R85" i="5"/>
  <c r="O331" i="5"/>
  <c r="Z306" i="5"/>
  <c r="U250" i="5"/>
  <c r="R155" i="5"/>
  <c r="R331" i="5"/>
  <c r="X328" i="5"/>
  <c r="U475" i="5"/>
  <c r="O94" i="5"/>
  <c r="X155" i="5"/>
  <c r="I289" i="5"/>
  <c r="R104" i="5"/>
  <c r="O135" i="5"/>
  <c r="U275" i="5"/>
  <c r="U328" i="5"/>
  <c r="R94" i="5"/>
  <c r="O155" i="5"/>
  <c r="R275" i="5"/>
  <c r="O196" i="5"/>
  <c r="I133" i="5"/>
  <c r="R135" i="5"/>
  <c r="R291" i="5"/>
  <c r="X338" i="5"/>
  <c r="U16" i="5"/>
  <c r="U104" i="5"/>
  <c r="Z244" i="5"/>
  <c r="R416" i="5"/>
  <c r="X94" i="5"/>
  <c r="S231" i="5"/>
  <c r="K76" i="3" s="1"/>
  <c r="L76" i="3" s="1"/>
  <c r="I440" i="4"/>
  <c r="E138" i="2" s="1"/>
  <c r="I445" i="5"/>
  <c r="O380" i="5"/>
  <c r="O85" i="5"/>
  <c r="X146" i="5"/>
  <c r="X275" i="5"/>
  <c r="U196" i="5"/>
  <c r="U94" i="5"/>
  <c r="O250" i="5"/>
  <c r="Z462" i="5"/>
  <c r="R338" i="5"/>
  <c r="R250" i="5"/>
  <c r="R196" i="5"/>
  <c r="Z470" i="5"/>
  <c r="X135" i="5"/>
  <c r="U291" i="5"/>
  <c r="Z178" i="5"/>
  <c r="O197" i="5"/>
  <c r="R118" i="5"/>
  <c r="X104" i="5"/>
  <c r="U155" i="5"/>
  <c r="Z339" i="5"/>
  <c r="Z284" i="5"/>
  <c r="U135" i="5"/>
  <c r="O333" i="5"/>
  <c r="Z392" i="5"/>
  <c r="E88" i="2"/>
  <c r="C89" i="3"/>
  <c r="R189" i="5"/>
  <c r="I61" i="3"/>
  <c r="L33" i="5"/>
  <c r="E13" i="3"/>
  <c r="E136" i="2"/>
  <c r="C137" i="3"/>
  <c r="X267" i="5"/>
  <c r="M85" i="3"/>
  <c r="E100" i="3"/>
  <c r="L231" i="5"/>
  <c r="E76" i="3"/>
  <c r="U33" i="5"/>
  <c r="K13" i="3"/>
  <c r="Y163" i="5"/>
  <c r="L163" i="5"/>
  <c r="U137" i="5"/>
  <c r="S136" i="5"/>
  <c r="I77" i="4"/>
  <c r="I8" i="15"/>
  <c r="X143" i="5"/>
  <c r="V142" i="5"/>
  <c r="V289" i="5"/>
  <c r="X290" i="5"/>
  <c r="P286" i="5"/>
  <c r="M286" i="5"/>
  <c r="V286" i="5"/>
  <c r="S286" i="5"/>
  <c r="J286" i="5"/>
  <c r="I286" i="5"/>
  <c r="U221" i="5"/>
  <c r="S220" i="5"/>
  <c r="M55" i="5"/>
  <c r="O56" i="5"/>
  <c r="L263" i="5"/>
  <c r="Y263" i="5"/>
  <c r="J262" i="5"/>
  <c r="O369" i="5"/>
  <c r="Y19" i="5"/>
  <c r="L19" i="5"/>
  <c r="M281" i="5"/>
  <c r="M279" i="5" s="1"/>
  <c r="J281" i="5"/>
  <c r="J279" i="5" s="1"/>
  <c r="S281" i="5"/>
  <c r="P281" i="5"/>
  <c r="P279" i="5" s="1"/>
  <c r="V281" i="5"/>
  <c r="I281" i="5"/>
  <c r="I279" i="5" s="1"/>
  <c r="L226" i="5"/>
  <c r="Y226" i="5"/>
  <c r="E74" i="3"/>
  <c r="R304" i="5"/>
  <c r="I98" i="3"/>
  <c r="Y224" i="5"/>
  <c r="L224" i="5"/>
  <c r="Z325" i="5"/>
  <c r="U185" i="5"/>
  <c r="S184" i="5"/>
  <c r="J364" i="5"/>
  <c r="V364" i="5"/>
  <c r="S364" i="5"/>
  <c r="P364" i="5"/>
  <c r="M364" i="5"/>
  <c r="I364" i="5"/>
  <c r="Y411" i="5"/>
  <c r="L411" i="5"/>
  <c r="Y393" i="5"/>
  <c r="L393" i="5"/>
  <c r="R413" i="5"/>
  <c r="O267" i="5"/>
  <c r="G85" i="3"/>
  <c r="I128" i="4"/>
  <c r="P28" i="5"/>
  <c r="R29" i="5"/>
  <c r="X449" i="5"/>
  <c r="V448" i="5"/>
  <c r="O425" i="5"/>
  <c r="Z227" i="5"/>
  <c r="R213" i="5"/>
  <c r="E138" i="3"/>
  <c r="O411" i="5"/>
  <c r="Y471" i="5"/>
  <c r="L471" i="5"/>
  <c r="L189" i="5"/>
  <c r="Y189" i="5"/>
  <c r="E61" i="3"/>
  <c r="O81" i="5"/>
  <c r="U315" i="5"/>
  <c r="R177" i="5"/>
  <c r="P298" i="5"/>
  <c r="R299" i="5"/>
  <c r="U241" i="5"/>
  <c r="L29" i="5"/>
  <c r="Y29" i="5"/>
  <c r="J28" i="5"/>
  <c r="R382" i="5"/>
  <c r="I122" i="3"/>
  <c r="X202" i="5"/>
  <c r="X36" i="5"/>
  <c r="M14" i="3"/>
  <c r="N14" i="3" s="1"/>
  <c r="X451" i="5"/>
  <c r="M142" i="3"/>
  <c r="N142" i="3" s="1"/>
  <c r="X476" i="5"/>
  <c r="M152" i="3"/>
  <c r="N152" i="3" s="1"/>
  <c r="X226" i="5"/>
  <c r="M74" i="3"/>
  <c r="L406" i="5"/>
  <c r="Y406" i="5"/>
  <c r="P448" i="5"/>
  <c r="R449" i="5"/>
  <c r="C87" i="3"/>
  <c r="E86" i="2"/>
  <c r="U269" i="5"/>
  <c r="R179" i="5"/>
  <c r="P214" i="5"/>
  <c r="R215" i="5"/>
  <c r="I37" i="4"/>
  <c r="I56" i="15"/>
  <c r="R320" i="5"/>
  <c r="I104" i="3"/>
  <c r="J104" i="3" s="1"/>
  <c r="X419" i="5"/>
  <c r="V418" i="5"/>
  <c r="E67" i="2"/>
  <c r="C68" i="3"/>
  <c r="X423" i="5"/>
  <c r="M133" i="3"/>
  <c r="R358" i="5"/>
  <c r="E64" i="2"/>
  <c r="C65" i="3"/>
  <c r="C23" i="3"/>
  <c r="E22" i="2"/>
  <c r="X257" i="5"/>
  <c r="I367" i="5"/>
  <c r="R217" i="5"/>
  <c r="I70" i="3"/>
  <c r="J70" i="3" s="1"/>
  <c r="X148" i="5"/>
  <c r="M50" i="3"/>
  <c r="S117" i="5"/>
  <c r="J117" i="5"/>
  <c r="P117" i="5"/>
  <c r="M117" i="5"/>
  <c r="V117" i="5"/>
  <c r="I117" i="5"/>
  <c r="I116" i="5" s="1"/>
  <c r="L101" i="5"/>
  <c r="Y101" i="5"/>
  <c r="X315" i="5"/>
  <c r="Y177" i="5"/>
  <c r="L177" i="5"/>
  <c r="R124" i="5"/>
  <c r="V298" i="5"/>
  <c r="X299" i="5"/>
  <c r="R241" i="5"/>
  <c r="O153" i="5"/>
  <c r="G52" i="3"/>
  <c r="H52" i="3" s="1"/>
  <c r="R61" i="5"/>
  <c r="I22" i="3"/>
  <c r="J22" i="3" s="1"/>
  <c r="J43" i="5"/>
  <c r="P43" i="5"/>
  <c r="S43" i="5"/>
  <c r="M43" i="5"/>
  <c r="V43" i="5"/>
  <c r="I43" i="5"/>
  <c r="L380" i="5"/>
  <c r="Y380" i="5"/>
  <c r="X204" i="5"/>
  <c r="M66" i="3"/>
  <c r="N66" i="3" s="1"/>
  <c r="M287" i="5"/>
  <c r="J287" i="5"/>
  <c r="V287" i="5"/>
  <c r="S287" i="5"/>
  <c r="P287" i="5"/>
  <c r="I287" i="5"/>
  <c r="R257" i="5"/>
  <c r="Y255" i="5"/>
  <c r="L255" i="5"/>
  <c r="L202" i="5"/>
  <c r="Y202" i="5"/>
  <c r="O295" i="5"/>
  <c r="G94" i="3"/>
  <c r="H94" i="3" s="1"/>
  <c r="V55" i="5"/>
  <c r="X56" i="5"/>
  <c r="R269" i="5"/>
  <c r="L179" i="5"/>
  <c r="Y179" i="5"/>
  <c r="C125" i="3"/>
  <c r="E124" i="2"/>
  <c r="Y431" i="5"/>
  <c r="L431" i="5"/>
  <c r="S442" i="5"/>
  <c r="J442" i="5"/>
  <c r="M442" i="5"/>
  <c r="V442" i="5"/>
  <c r="P442" i="5"/>
  <c r="I442" i="5"/>
  <c r="U304" i="5"/>
  <c r="K98" i="3"/>
  <c r="P359" i="5"/>
  <c r="M359" i="5"/>
  <c r="M357" i="5" s="1"/>
  <c r="S359" i="5"/>
  <c r="S357" i="5" s="1"/>
  <c r="V359" i="5"/>
  <c r="J359" i="5"/>
  <c r="I359" i="5"/>
  <c r="I357" i="5" s="1"/>
  <c r="L237" i="5"/>
  <c r="Y237" i="5"/>
  <c r="O436" i="5"/>
  <c r="V469" i="5"/>
  <c r="M469" i="5"/>
  <c r="P469" i="5"/>
  <c r="J469" i="5"/>
  <c r="S469" i="5"/>
  <c r="I469" i="5"/>
  <c r="I468" i="5" s="1"/>
  <c r="J391" i="5"/>
  <c r="V391" i="5"/>
  <c r="S391" i="5"/>
  <c r="P391" i="5"/>
  <c r="M391" i="5"/>
  <c r="I391" i="5"/>
  <c r="I390" i="5" s="1"/>
  <c r="R224" i="5"/>
  <c r="P184" i="5"/>
  <c r="R185" i="5"/>
  <c r="O21" i="5"/>
  <c r="R175" i="5"/>
  <c r="O458" i="5"/>
  <c r="Y315" i="5"/>
  <c r="L315" i="5"/>
  <c r="X177" i="5"/>
  <c r="Y241" i="5"/>
  <c r="L241" i="5"/>
  <c r="C147" i="3"/>
  <c r="E146" i="2"/>
  <c r="I458" i="4"/>
  <c r="S273" i="5"/>
  <c r="P273" i="5"/>
  <c r="J273" i="5"/>
  <c r="V273" i="5"/>
  <c r="M273" i="5"/>
  <c r="I273" i="5"/>
  <c r="I272" i="5" s="1"/>
  <c r="M231" i="5"/>
  <c r="U8" i="5"/>
  <c r="K8" i="3"/>
  <c r="U217" i="5"/>
  <c r="K70" i="3"/>
  <c r="L70" i="3" s="1"/>
  <c r="X23" i="5"/>
  <c r="J366" i="5"/>
  <c r="V366" i="5"/>
  <c r="S366" i="5"/>
  <c r="P366" i="5"/>
  <c r="M366" i="5"/>
  <c r="I366" i="5"/>
  <c r="R426" i="5"/>
  <c r="I134" i="3"/>
  <c r="J134" i="3" s="1"/>
  <c r="Y70" i="5"/>
  <c r="L70" i="5"/>
  <c r="E26" i="3"/>
  <c r="J464" i="5"/>
  <c r="S464" i="5"/>
  <c r="M464" i="5"/>
  <c r="P464" i="5"/>
  <c r="V464" i="5"/>
  <c r="I464" i="5"/>
  <c r="I463" i="5" s="1"/>
  <c r="I459" i="5" s="1"/>
  <c r="U449" i="5"/>
  <c r="S448" i="5"/>
  <c r="R373" i="5"/>
  <c r="I118" i="3"/>
  <c r="J118" i="3" s="1"/>
  <c r="O460" i="5"/>
  <c r="G146" i="3"/>
  <c r="Z384" i="5"/>
  <c r="Z334" i="5"/>
  <c r="Z427" i="5"/>
  <c r="X274" i="5"/>
  <c r="O217" i="5"/>
  <c r="G70" i="3"/>
  <c r="H70" i="3" s="1"/>
  <c r="C11" i="3"/>
  <c r="E10" i="2"/>
  <c r="U213" i="5"/>
  <c r="E110" i="2"/>
  <c r="C111" i="3"/>
  <c r="U23" i="5"/>
  <c r="Z205" i="5"/>
  <c r="C135" i="3"/>
  <c r="E134" i="2"/>
  <c r="I50" i="15"/>
  <c r="O260" i="5"/>
  <c r="X35" i="5"/>
  <c r="L57" i="5"/>
  <c r="Y57" i="5"/>
  <c r="Y436" i="5"/>
  <c r="L436" i="5"/>
  <c r="Z72" i="5"/>
  <c r="C28" i="3"/>
  <c r="E27" i="2"/>
  <c r="U352" i="5"/>
  <c r="Z88" i="5"/>
  <c r="Z346" i="5"/>
  <c r="X119" i="5"/>
  <c r="M454" i="5"/>
  <c r="O455" i="5"/>
  <c r="R341" i="5"/>
  <c r="P340" i="5"/>
  <c r="P64" i="5"/>
  <c r="R65" i="5"/>
  <c r="X447" i="5"/>
  <c r="Z228" i="5"/>
  <c r="Y328" i="5"/>
  <c r="L328" i="5"/>
  <c r="L475" i="5"/>
  <c r="Y475" i="5"/>
  <c r="U114" i="5"/>
  <c r="K38" i="3"/>
  <c r="L38" i="3" s="1"/>
  <c r="Z141" i="5"/>
  <c r="U274" i="5"/>
  <c r="O270" i="5"/>
  <c r="G86" i="3"/>
  <c r="H86" i="3" s="1"/>
  <c r="Z31" i="5"/>
  <c r="G114" i="3"/>
  <c r="H114" i="3" s="1"/>
  <c r="J351" i="5"/>
  <c r="V351" i="5"/>
  <c r="S351" i="5"/>
  <c r="M351" i="5"/>
  <c r="P351" i="5"/>
  <c r="I351" i="5"/>
  <c r="I350" i="5" s="1"/>
  <c r="O23" i="5"/>
  <c r="S429" i="5"/>
  <c r="P429" i="5"/>
  <c r="V429" i="5"/>
  <c r="M429" i="5"/>
  <c r="J429" i="5"/>
  <c r="I429" i="5"/>
  <c r="I428" i="5" s="1"/>
  <c r="R348" i="5"/>
  <c r="I110" i="3"/>
  <c r="J110" i="3" s="1"/>
  <c r="M370" i="5"/>
  <c r="O371" i="5"/>
  <c r="X304" i="5"/>
  <c r="M98" i="3"/>
  <c r="U293" i="5"/>
  <c r="S292" i="5"/>
  <c r="Z149" i="5"/>
  <c r="R114" i="5"/>
  <c r="I38" i="3"/>
  <c r="J38" i="3" s="1"/>
  <c r="X68" i="5"/>
  <c r="Z450" i="5"/>
  <c r="O77" i="5"/>
  <c r="H98" i="5"/>
  <c r="I97" i="4"/>
  <c r="I89" i="4" s="1"/>
  <c r="Z186" i="5"/>
  <c r="S106" i="5"/>
  <c r="U107" i="5"/>
  <c r="U85" i="5"/>
  <c r="X134" i="5"/>
  <c r="V133" i="5"/>
  <c r="U302" i="5"/>
  <c r="S386" i="5"/>
  <c r="P386" i="5"/>
  <c r="J386" i="5"/>
  <c r="V386" i="5"/>
  <c r="M386" i="5"/>
  <c r="I386" i="5"/>
  <c r="I385" i="5" s="1"/>
  <c r="U172" i="5"/>
  <c r="Z34" i="5"/>
  <c r="Y430" i="5"/>
  <c r="L430" i="5"/>
  <c r="U40" i="5"/>
  <c r="O409" i="5"/>
  <c r="P231" i="5"/>
  <c r="X114" i="5"/>
  <c r="M38" i="3"/>
  <c r="N38" i="3" s="1"/>
  <c r="R46" i="5"/>
  <c r="X175" i="5"/>
  <c r="O191" i="5"/>
  <c r="X467" i="5"/>
  <c r="Y146" i="5"/>
  <c r="L146" i="5"/>
  <c r="P376" i="5"/>
  <c r="R377" i="5"/>
  <c r="R353" i="5"/>
  <c r="M211" i="5"/>
  <c r="O212" i="5"/>
  <c r="Z374" i="5"/>
  <c r="M47" i="5"/>
  <c r="M45" i="5" s="1"/>
  <c r="J47" i="5"/>
  <c r="J45" i="5" s="1"/>
  <c r="V47" i="5"/>
  <c r="V45" i="5" s="1"/>
  <c r="S47" i="5"/>
  <c r="S45" i="5" s="1"/>
  <c r="P47" i="5"/>
  <c r="I47" i="5"/>
  <c r="I45" i="5" s="1"/>
  <c r="R260" i="5"/>
  <c r="P289" i="5"/>
  <c r="R290" i="5"/>
  <c r="U335" i="5"/>
  <c r="O382" i="5"/>
  <c r="G122" i="3"/>
  <c r="O35" i="5"/>
  <c r="O57" i="5"/>
  <c r="L358" i="5"/>
  <c r="Y358" i="5"/>
  <c r="X333" i="5"/>
  <c r="U197" i="5"/>
  <c r="O118" i="5"/>
  <c r="X192" i="5"/>
  <c r="M62" i="3"/>
  <c r="N62" i="3" s="1"/>
  <c r="R352" i="5"/>
  <c r="Z219" i="5"/>
  <c r="E62" i="2"/>
  <c r="C63" i="3"/>
  <c r="R119" i="5"/>
  <c r="P454" i="5"/>
  <c r="R455" i="5"/>
  <c r="Y270" i="5"/>
  <c r="L270" i="5"/>
  <c r="E86" i="3"/>
  <c r="U99" i="5"/>
  <c r="P309" i="5"/>
  <c r="O70" i="5"/>
  <c r="G26" i="3"/>
  <c r="S443" i="5"/>
  <c r="P443" i="5"/>
  <c r="M443" i="5"/>
  <c r="J443" i="5"/>
  <c r="V443" i="5"/>
  <c r="I443" i="5"/>
  <c r="O341" i="5"/>
  <c r="M340" i="5"/>
  <c r="L65" i="5"/>
  <c r="J64" i="5"/>
  <c r="Y65" i="5"/>
  <c r="U320" i="5"/>
  <c r="K104" i="3"/>
  <c r="L104" i="3" s="1"/>
  <c r="V235" i="5"/>
  <c r="M235" i="5"/>
  <c r="J235" i="5"/>
  <c r="P235" i="5"/>
  <c r="S235" i="5"/>
  <c r="I235" i="5"/>
  <c r="I234" i="5" s="1"/>
  <c r="L94" i="5"/>
  <c r="Y94" i="5"/>
  <c r="M106" i="5"/>
  <c r="O107" i="5"/>
  <c r="X348" i="5"/>
  <c r="M110" i="3"/>
  <c r="N110" i="3" s="1"/>
  <c r="O137" i="5"/>
  <c r="M136" i="5"/>
  <c r="X77" i="5"/>
  <c r="L299" i="5"/>
  <c r="J298" i="5"/>
  <c r="Y299" i="5"/>
  <c r="Z452" i="5"/>
  <c r="Z321" i="5"/>
  <c r="L269" i="5"/>
  <c r="Y269" i="5"/>
  <c r="X179" i="5"/>
  <c r="U224" i="5"/>
  <c r="O185" i="5"/>
  <c r="M184" i="5"/>
  <c r="U70" i="5"/>
  <c r="K26" i="3"/>
  <c r="O257" i="5"/>
  <c r="R368" i="5"/>
  <c r="P367" i="5"/>
  <c r="Y213" i="5"/>
  <c r="L213" i="5"/>
  <c r="O431" i="5"/>
  <c r="X241" i="5"/>
  <c r="Z27" i="5"/>
  <c r="Y217" i="5"/>
  <c r="L217" i="5"/>
  <c r="E70" i="3"/>
  <c r="I138" i="3"/>
  <c r="J138" i="3" s="1"/>
  <c r="O269" i="5"/>
  <c r="O179" i="5"/>
  <c r="X215" i="5"/>
  <c r="V214" i="5"/>
  <c r="E96" i="2"/>
  <c r="C97" i="3"/>
  <c r="X224" i="5"/>
  <c r="O61" i="5"/>
  <c r="G22" i="3"/>
  <c r="H22" i="3" s="1"/>
  <c r="U75" i="5"/>
  <c r="K28" i="3"/>
  <c r="V309" i="5"/>
  <c r="U139" i="5"/>
  <c r="K46" i="3"/>
  <c r="L46" i="3" s="1"/>
  <c r="X368" i="5"/>
  <c r="V367" i="5"/>
  <c r="M203" i="5"/>
  <c r="M201" i="5" s="1"/>
  <c r="S203" i="5"/>
  <c r="P203" i="5"/>
  <c r="P201" i="5" s="1"/>
  <c r="V203" i="5"/>
  <c r="V201" i="5" s="1"/>
  <c r="I203" i="5"/>
  <c r="I201" i="5" s="1"/>
  <c r="J203" i="5"/>
  <c r="J201" i="5" s="1"/>
  <c r="U255" i="5"/>
  <c r="Z399" i="5"/>
  <c r="Z232" i="5"/>
  <c r="U471" i="5"/>
  <c r="U77" i="5"/>
  <c r="Z154" i="5"/>
  <c r="U86" i="5"/>
  <c r="K32" i="3"/>
  <c r="L32" i="3" s="1"/>
  <c r="M423" i="5"/>
  <c r="X139" i="5"/>
  <c r="M46" i="3"/>
  <c r="N46" i="3" s="1"/>
  <c r="U460" i="5"/>
  <c r="K146" i="3"/>
  <c r="V75" i="5"/>
  <c r="R19" i="5"/>
  <c r="X40" i="5"/>
  <c r="Y409" i="5"/>
  <c r="L409" i="5"/>
  <c r="U21" i="5"/>
  <c r="O175" i="5"/>
  <c r="U458" i="5"/>
  <c r="U226" i="5"/>
  <c r="K74" i="3"/>
  <c r="Y353" i="5"/>
  <c r="L353" i="5"/>
  <c r="Z150" i="5"/>
  <c r="R237" i="5"/>
  <c r="R202" i="5"/>
  <c r="U35" i="5"/>
  <c r="X57" i="5"/>
  <c r="P52" i="5"/>
  <c r="M52" i="5"/>
  <c r="J52" i="5"/>
  <c r="V52" i="5"/>
  <c r="S52" i="5"/>
  <c r="I52" i="5"/>
  <c r="U119" i="5"/>
  <c r="Y455" i="5"/>
  <c r="J454" i="5"/>
  <c r="L455" i="5"/>
  <c r="Z218" i="5"/>
  <c r="R99" i="5"/>
  <c r="L320" i="5"/>
  <c r="Y320" i="5"/>
  <c r="E104" i="3"/>
  <c r="M214" i="5"/>
  <c r="O215" i="5"/>
  <c r="R447" i="5"/>
  <c r="H207" i="16"/>
  <c r="I207" i="16" s="1"/>
  <c r="I204" i="16"/>
  <c r="P292" i="5"/>
  <c r="R293" i="5"/>
  <c r="L398" i="5"/>
  <c r="Y398" i="5"/>
  <c r="E128" i="3"/>
  <c r="Z216" i="5"/>
  <c r="U68" i="5"/>
  <c r="R77" i="5"/>
  <c r="H410" i="5"/>
  <c r="I409" i="4"/>
  <c r="I401" i="4" s="1"/>
  <c r="P75" i="5"/>
  <c r="R476" i="5"/>
  <c r="I152" i="3"/>
  <c r="J152" i="3" s="1"/>
  <c r="Z417" i="5"/>
  <c r="X270" i="5"/>
  <c r="M86" i="3"/>
  <c r="N86" i="3" s="1"/>
  <c r="U134" i="5"/>
  <c r="S133" i="5"/>
  <c r="V153" i="5"/>
  <c r="U81" i="5"/>
  <c r="R204" i="5"/>
  <c r="I66" i="3"/>
  <c r="J66" i="3" s="1"/>
  <c r="R302" i="5"/>
  <c r="R242" i="5"/>
  <c r="I80" i="3"/>
  <c r="J80" i="3" s="1"/>
  <c r="Y172" i="5"/>
  <c r="L172" i="5"/>
  <c r="O430" i="5"/>
  <c r="Y40" i="5"/>
  <c r="L40" i="5"/>
  <c r="X409" i="5"/>
  <c r="Z71" i="5"/>
  <c r="L46" i="5"/>
  <c r="Y46" i="5"/>
  <c r="U175" i="5"/>
  <c r="L191" i="5"/>
  <c r="Y191" i="5"/>
  <c r="X26" i="5"/>
  <c r="X377" i="5"/>
  <c r="V376" i="5"/>
  <c r="U353" i="5"/>
  <c r="Z169" i="5"/>
  <c r="P211" i="5"/>
  <c r="R212" i="5"/>
  <c r="L373" i="5"/>
  <c r="Y373" i="5"/>
  <c r="E118" i="3"/>
  <c r="O139" i="5"/>
  <c r="G46" i="3"/>
  <c r="H46" i="3" s="1"/>
  <c r="P445" i="5"/>
  <c r="R446" i="5"/>
  <c r="X398" i="5"/>
  <c r="M128" i="3"/>
  <c r="N128" i="3" s="1"/>
  <c r="U237" i="5"/>
  <c r="U148" i="5"/>
  <c r="K50" i="3"/>
  <c r="Z271" i="5"/>
  <c r="X99" i="5"/>
  <c r="O8" i="5"/>
  <c r="G8" i="3"/>
  <c r="U447" i="5"/>
  <c r="O328" i="5"/>
  <c r="X475" i="5"/>
  <c r="Z383" i="5"/>
  <c r="Z296" i="5"/>
  <c r="X159" i="5"/>
  <c r="Y426" i="5"/>
  <c r="L426" i="5"/>
  <c r="E134" i="3"/>
  <c r="L274" i="5"/>
  <c r="Y274" i="5"/>
  <c r="X373" i="5"/>
  <c r="M118" i="3"/>
  <c r="N118" i="3" s="1"/>
  <c r="S153" i="5"/>
  <c r="M125" i="5"/>
  <c r="M123" i="5" s="1"/>
  <c r="J125" i="5"/>
  <c r="J123" i="5" s="1"/>
  <c r="P125" i="5"/>
  <c r="P123" i="5" s="1"/>
  <c r="S125" i="5"/>
  <c r="S123" i="5" s="1"/>
  <c r="V125" i="5"/>
  <c r="V123" i="5" s="1"/>
  <c r="I125" i="5"/>
  <c r="I123" i="5" s="1"/>
  <c r="V370" i="5"/>
  <c r="X371" i="5"/>
  <c r="P199" i="5"/>
  <c r="M199" i="5"/>
  <c r="J199" i="5"/>
  <c r="S199" i="5"/>
  <c r="V199" i="5"/>
  <c r="I199" i="5"/>
  <c r="L293" i="5"/>
  <c r="J292" i="5"/>
  <c r="Y293" i="5"/>
  <c r="Z193" i="5"/>
  <c r="X250" i="5"/>
  <c r="M131" i="5"/>
  <c r="P131" i="5"/>
  <c r="S131" i="5"/>
  <c r="V131" i="5"/>
  <c r="J131" i="5"/>
  <c r="I131" i="5"/>
  <c r="U164" i="5"/>
  <c r="K56" i="3"/>
  <c r="L56" i="3" s="1"/>
  <c r="H332" i="5"/>
  <c r="I331" i="4"/>
  <c r="I323" i="4" s="1"/>
  <c r="X233" i="5"/>
  <c r="L107" i="5"/>
  <c r="Y107" i="5"/>
  <c r="J106" i="5"/>
  <c r="X85" i="5"/>
  <c r="X331" i="5"/>
  <c r="X217" i="5"/>
  <c r="M70" i="3"/>
  <c r="N70" i="3" s="1"/>
  <c r="X302" i="5"/>
  <c r="C123" i="3"/>
  <c r="E122" i="2"/>
  <c r="X172" i="5"/>
  <c r="R70" i="5"/>
  <c r="I26" i="3"/>
  <c r="X430" i="5"/>
  <c r="O40" i="5"/>
  <c r="R409" i="5"/>
  <c r="X320" i="5"/>
  <c r="M104" i="3"/>
  <c r="N104" i="3" s="1"/>
  <c r="R467" i="5"/>
  <c r="O146" i="5"/>
  <c r="U377" i="5"/>
  <c r="S376" i="5"/>
  <c r="O353" i="5"/>
  <c r="U124" i="5"/>
  <c r="Z349" i="5"/>
  <c r="U212" i="5"/>
  <c r="S211" i="5"/>
  <c r="Z105" i="5"/>
  <c r="X8" i="5"/>
  <c r="M8" i="3"/>
  <c r="U260" i="5"/>
  <c r="L143" i="5"/>
  <c r="Y143" i="5"/>
  <c r="J142" i="5"/>
  <c r="O290" i="5"/>
  <c r="M289" i="5"/>
  <c r="X335" i="5"/>
  <c r="I55" i="5"/>
  <c r="R57" i="5"/>
  <c r="Z91" i="5"/>
  <c r="S267" i="5"/>
  <c r="X358" i="5"/>
  <c r="P153" i="5"/>
  <c r="R333" i="5"/>
  <c r="X197" i="5"/>
  <c r="U118" i="5"/>
  <c r="Y352" i="5"/>
  <c r="L352" i="5"/>
  <c r="J267" i="5"/>
  <c r="L389" i="5"/>
  <c r="Y389" i="5"/>
  <c r="S195" i="5"/>
  <c r="M195" i="5"/>
  <c r="J195" i="5"/>
  <c r="V195" i="5"/>
  <c r="P195" i="5"/>
  <c r="I195" i="5"/>
  <c r="I194" i="5" s="1"/>
  <c r="L119" i="5"/>
  <c r="Y119" i="5"/>
  <c r="U455" i="5"/>
  <c r="S454" i="5"/>
  <c r="L416" i="5"/>
  <c r="Y416" i="5"/>
  <c r="U182" i="5"/>
  <c r="L341" i="5"/>
  <c r="J340" i="5"/>
  <c r="Y341" i="5"/>
  <c r="U65" i="5"/>
  <c r="S64" i="5"/>
  <c r="O36" i="5"/>
  <c r="G14" i="3"/>
  <c r="H14" i="3" s="1"/>
  <c r="V58" i="5"/>
  <c r="X59" i="5"/>
  <c r="L368" i="5"/>
  <c r="J367" i="5"/>
  <c r="Y368" i="5"/>
  <c r="V74" i="5"/>
  <c r="J74" i="5"/>
  <c r="P74" i="5"/>
  <c r="M74" i="5"/>
  <c r="S74" i="5"/>
  <c r="I74" i="5"/>
  <c r="I73" i="5" s="1"/>
  <c r="I69" i="5" s="1"/>
  <c r="L196" i="5"/>
  <c r="Y196" i="5"/>
  <c r="U431" i="5"/>
  <c r="L41" i="5"/>
  <c r="Y41" i="5"/>
  <c r="Y369" i="5"/>
  <c r="L369" i="5"/>
  <c r="Y280" i="5"/>
  <c r="L280" i="5"/>
  <c r="Y36" i="5"/>
  <c r="L36" i="5"/>
  <c r="E14" i="3"/>
  <c r="Y61" i="5"/>
  <c r="L61" i="5"/>
  <c r="E22" i="3"/>
  <c r="U426" i="5"/>
  <c r="K134" i="3"/>
  <c r="L134" i="3" s="1"/>
  <c r="R295" i="5"/>
  <c r="I94" i="3"/>
  <c r="J94" i="3" s="1"/>
  <c r="Y21" i="5"/>
  <c r="L21" i="5"/>
  <c r="M418" i="5"/>
  <c r="O419" i="5"/>
  <c r="X458" i="5"/>
  <c r="O315" i="5"/>
  <c r="O177" i="5"/>
  <c r="S298" i="5"/>
  <c r="U299" i="5"/>
  <c r="O241" i="5"/>
  <c r="M220" i="5"/>
  <c r="O221" i="5"/>
  <c r="U476" i="5"/>
  <c r="K152" i="3"/>
  <c r="L152" i="3" s="1"/>
  <c r="S214" i="5"/>
  <c r="U215" i="5"/>
  <c r="O224" i="5"/>
  <c r="L185" i="5"/>
  <c r="Y185" i="5"/>
  <c r="J184" i="5"/>
  <c r="C20" i="3"/>
  <c r="E19" i="2"/>
  <c r="U204" i="5"/>
  <c r="K66" i="3"/>
  <c r="L66" i="3" s="1"/>
  <c r="Z236" i="5"/>
  <c r="U368" i="5"/>
  <c r="S367" i="5"/>
  <c r="O255" i="5"/>
  <c r="U36" i="5"/>
  <c r="K14" i="3"/>
  <c r="L14" i="3" s="1"/>
  <c r="U348" i="5"/>
  <c r="K110" i="3"/>
  <c r="L110" i="3" s="1"/>
  <c r="J210" i="5"/>
  <c r="V210" i="5"/>
  <c r="S210" i="5"/>
  <c r="M210" i="5"/>
  <c r="P210" i="5"/>
  <c r="I210" i="5"/>
  <c r="U465" i="5"/>
  <c r="K148" i="3"/>
  <c r="U270" i="5"/>
  <c r="K86" i="3"/>
  <c r="L86" i="3" s="1"/>
  <c r="O189" i="5"/>
  <c r="G61" i="3"/>
  <c r="O476" i="5"/>
  <c r="G152" i="3"/>
  <c r="H152" i="3" s="1"/>
  <c r="X255" i="5"/>
  <c r="X431" i="5"/>
  <c r="U41" i="5"/>
  <c r="U369" i="5"/>
  <c r="R411" i="5"/>
  <c r="O280" i="5"/>
  <c r="R68" i="5"/>
  <c r="O465" i="5"/>
  <c r="G148" i="3"/>
  <c r="O471" i="5"/>
  <c r="R164" i="5"/>
  <c r="I56" i="3"/>
  <c r="J56" i="3" s="1"/>
  <c r="Z403" i="5"/>
  <c r="Y134" i="5"/>
  <c r="J133" i="5"/>
  <c r="L134" i="5"/>
  <c r="R81" i="5"/>
  <c r="O413" i="5"/>
  <c r="R191" i="5"/>
  <c r="E52" i="2"/>
  <c r="C53" i="3"/>
  <c r="I206" i="4"/>
  <c r="X164" i="5"/>
  <c r="M56" i="3"/>
  <c r="N56" i="3" s="1"/>
  <c r="U29" i="5"/>
  <c r="S28" i="5"/>
  <c r="O237" i="5"/>
  <c r="O202" i="5"/>
  <c r="Z375" i="5"/>
  <c r="L35" i="5"/>
  <c r="Y35" i="5"/>
  <c r="U436" i="5"/>
  <c r="Z63" i="5"/>
  <c r="E40" i="2"/>
  <c r="C41" i="3"/>
  <c r="U192" i="5"/>
  <c r="K62" i="3"/>
  <c r="L62" i="3" s="1"/>
  <c r="R398" i="5"/>
  <c r="I128" i="3"/>
  <c r="J128" i="3" s="1"/>
  <c r="O242" i="5"/>
  <c r="G80" i="3"/>
  <c r="H80" i="3" s="1"/>
  <c r="L242" i="5"/>
  <c r="Y242" i="5"/>
  <c r="E80" i="3"/>
  <c r="X471" i="5"/>
  <c r="Y175" i="5"/>
  <c r="L175" i="5"/>
  <c r="P208" i="5"/>
  <c r="V208" i="5"/>
  <c r="S208" i="5"/>
  <c r="M208" i="5"/>
  <c r="J208" i="5"/>
  <c r="I208" i="5"/>
  <c r="O75" i="5"/>
  <c r="G28" i="3"/>
  <c r="X29" i="5"/>
  <c r="V28" i="5"/>
  <c r="L99" i="5"/>
  <c r="Y99" i="5"/>
  <c r="R134" i="5"/>
  <c r="P133" i="5"/>
  <c r="L81" i="5"/>
  <c r="Y81" i="5"/>
  <c r="Y302" i="5"/>
  <c r="L302" i="5"/>
  <c r="O172" i="5"/>
  <c r="X413" i="5"/>
  <c r="X46" i="5"/>
  <c r="U191" i="5"/>
  <c r="R26" i="5"/>
  <c r="S309" i="5"/>
  <c r="Y212" i="5"/>
  <c r="J211" i="5"/>
  <c r="L212" i="5"/>
  <c r="O29" i="5"/>
  <c r="M28" i="5"/>
  <c r="O446" i="5"/>
  <c r="M445" i="5"/>
  <c r="L260" i="5"/>
  <c r="Y260" i="5"/>
  <c r="O348" i="5"/>
  <c r="G110" i="3"/>
  <c r="H110" i="3" s="1"/>
  <c r="S313" i="5"/>
  <c r="V313" i="5"/>
  <c r="M313" i="5"/>
  <c r="P313" i="5"/>
  <c r="J313" i="5"/>
  <c r="I313" i="5"/>
  <c r="I312" i="5" s="1"/>
  <c r="X436" i="5"/>
  <c r="L449" i="5"/>
  <c r="J448" i="5"/>
  <c r="Y449" i="5"/>
  <c r="X425" i="5"/>
  <c r="M387" i="5"/>
  <c r="L8" i="5"/>
  <c r="Y8" i="5"/>
  <c r="E8" i="3"/>
  <c r="L137" i="5"/>
  <c r="Y137" i="5"/>
  <c r="J136" i="5"/>
  <c r="O358" i="5"/>
  <c r="U333" i="5"/>
  <c r="L197" i="5"/>
  <c r="Y197" i="5"/>
  <c r="X118" i="5"/>
  <c r="Y104" i="5"/>
  <c r="L104" i="5"/>
  <c r="O352" i="5"/>
  <c r="E90" i="3"/>
  <c r="Z268" i="5"/>
  <c r="M121" i="5"/>
  <c r="J121" i="5"/>
  <c r="V121" i="5"/>
  <c r="S121" i="5"/>
  <c r="P121" i="5"/>
  <c r="I121" i="5"/>
  <c r="O119" i="5"/>
  <c r="X455" i="5"/>
  <c r="V454" i="5"/>
  <c r="E50" i="2"/>
  <c r="C51" i="3"/>
  <c r="I146" i="4"/>
  <c r="O416" i="5"/>
  <c r="Y182" i="5"/>
  <c r="L182" i="5"/>
  <c r="V33" i="5"/>
  <c r="Y33" i="5" s="1"/>
  <c r="U341" i="5"/>
  <c r="S340" i="5"/>
  <c r="X65" i="5"/>
  <c r="V64" i="5"/>
  <c r="Y139" i="5"/>
  <c r="L139" i="5"/>
  <c r="E46" i="3"/>
  <c r="L311" i="5"/>
  <c r="Y311" i="5"/>
  <c r="X263" i="5"/>
  <c r="V262" i="5"/>
  <c r="U371" i="5"/>
  <c r="S370" i="5"/>
  <c r="J288" i="5"/>
  <c r="V288" i="5"/>
  <c r="P288" i="5"/>
  <c r="M288" i="5"/>
  <c r="S288" i="5"/>
  <c r="I288" i="5"/>
  <c r="L233" i="5"/>
  <c r="Y233" i="5"/>
  <c r="E112" i="2"/>
  <c r="C113" i="3"/>
  <c r="E38" i="2"/>
  <c r="C39" i="3"/>
  <c r="M53" i="5"/>
  <c r="P53" i="5"/>
  <c r="J53" i="5"/>
  <c r="S53" i="5"/>
  <c r="V53" i="5"/>
  <c r="I53" i="5"/>
  <c r="Y467" i="5"/>
  <c r="L467" i="5"/>
  <c r="U61" i="5"/>
  <c r="K22" i="3"/>
  <c r="L22" i="3" s="1"/>
  <c r="O124" i="5"/>
  <c r="L16" i="5"/>
  <c r="Y16" i="5"/>
  <c r="X189" i="5"/>
  <c r="M61" i="3"/>
  <c r="O426" i="5"/>
  <c r="G134" i="3"/>
  <c r="H134" i="3" s="1"/>
  <c r="Y335" i="5"/>
  <c r="L335" i="5"/>
  <c r="L423" i="5"/>
  <c r="E133" i="3"/>
  <c r="Z412" i="5"/>
  <c r="R33" i="5"/>
  <c r="I13" i="3"/>
  <c r="L275" i="5"/>
  <c r="Y275" i="5"/>
  <c r="S39" i="5"/>
  <c r="J39" i="5"/>
  <c r="P39" i="5"/>
  <c r="V39" i="5"/>
  <c r="M39" i="5"/>
  <c r="I39" i="5"/>
  <c r="I38" i="5" s="1"/>
  <c r="X185" i="5"/>
  <c r="V184" i="5"/>
  <c r="J132" i="5"/>
  <c r="S132" i="5"/>
  <c r="P132" i="5"/>
  <c r="V132" i="5"/>
  <c r="M132" i="5"/>
  <c r="I132" i="5"/>
  <c r="L59" i="5"/>
  <c r="Y59" i="5"/>
  <c r="J58" i="5"/>
  <c r="U373" i="5"/>
  <c r="K118" i="3"/>
  <c r="L118" i="3" s="1"/>
  <c r="U189" i="5"/>
  <c r="K61" i="3"/>
  <c r="U295" i="5"/>
  <c r="K94" i="3"/>
  <c r="L94" i="3" s="1"/>
  <c r="X137" i="5"/>
  <c r="V136" i="5"/>
  <c r="I72" i="4"/>
  <c r="I53" i="15"/>
  <c r="G18" i="3"/>
  <c r="H18" i="3" s="1"/>
  <c r="U411" i="5"/>
  <c r="U280" i="5"/>
  <c r="R192" i="5"/>
  <c r="I62" i="3"/>
  <c r="J62" i="3" s="1"/>
  <c r="Z37" i="5"/>
  <c r="L155" i="5"/>
  <c r="Y155" i="5"/>
  <c r="Z265" i="5"/>
  <c r="U126" i="5"/>
  <c r="K42" i="3"/>
  <c r="L42" i="3" s="1"/>
  <c r="O226" i="5"/>
  <c r="G74" i="3"/>
  <c r="L419" i="5"/>
  <c r="J418" i="5"/>
  <c r="Y419" i="5"/>
  <c r="J79" i="5"/>
  <c r="M79" i="5"/>
  <c r="S79" i="5"/>
  <c r="P79" i="5"/>
  <c r="V79" i="5"/>
  <c r="I79" i="5"/>
  <c r="I78" i="5" s="1"/>
  <c r="M142" i="5"/>
  <c r="O143" i="5"/>
  <c r="O320" i="5"/>
  <c r="G104" i="3"/>
  <c r="H104" i="3" s="1"/>
  <c r="L221" i="5"/>
  <c r="J220" i="5"/>
  <c r="Y221" i="5"/>
  <c r="R56" i="5"/>
  <c r="P55" i="5"/>
  <c r="O33" i="5"/>
  <c r="G13" i="3"/>
  <c r="X269" i="5"/>
  <c r="U179" i="5"/>
  <c r="L215" i="5"/>
  <c r="Y215" i="5"/>
  <c r="J214" i="5"/>
  <c r="Z305" i="5"/>
  <c r="M262" i="5"/>
  <c r="O263" i="5"/>
  <c r="M209" i="5"/>
  <c r="V209" i="5"/>
  <c r="S209" i="5"/>
  <c r="J209" i="5"/>
  <c r="P209" i="5"/>
  <c r="I209" i="5"/>
  <c r="R465" i="5"/>
  <c r="I148" i="3"/>
  <c r="R471" i="5"/>
  <c r="J465" i="5"/>
  <c r="O164" i="5"/>
  <c r="G56" i="3"/>
  <c r="H56" i="3" s="1"/>
  <c r="R270" i="5"/>
  <c r="I86" i="3"/>
  <c r="J86" i="3" s="1"/>
  <c r="Y451" i="5"/>
  <c r="L451" i="5"/>
  <c r="E142" i="3"/>
  <c r="E148" i="2"/>
  <c r="C149" i="3"/>
  <c r="P58" i="5"/>
  <c r="R59" i="5"/>
  <c r="U257" i="5"/>
  <c r="Z322" i="5"/>
  <c r="U382" i="5"/>
  <c r="K122" i="3"/>
  <c r="R41" i="5"/>
  <c r="R369" i="5"/>
  <c r="X280" i="5"/>
  <c r="Z62" i="5"/>
  <c r="L413" i="5"/>
  <c r="Y413" i="5"/>
  <c r="X21" i="5"/>
  <c r="G37" i="3"/>
  <c r="L458" i="5"/>
  <c r="Y458" i="5"/>
  <c r="O26" i="5"/>
  <c r="P130" i="5"/>
  <c r="S130" i="5"/>
  <c r="M130" i="5"/>
  <c r="V130" i="5"/>
  <c r="J130" i="5"/>
  <c r="I130" i="5"/>
  <c r="R460" i="5"/>
  <c r="I146" i="3"/>
  <c r="L446" i="5"/>
  <c r="Y446" i="5"/>
  <c r="J445" i="5"/>
  <c r="V365" i="5"/>
  <c r="P365" i="5"/>
  <c r="J365" i="5"/>
  <c r="M365" i="5"/>
  <c r="S365" i="5"/>
  <c r="I365" i="5"/>
  <c r="Y425" i="5"/>
  <c r="L425" i="5"/>
  <c r="C121" i="3"/>
  <c r="E120" i="2"/>
  <c r="L319" i="5"/>
  <c r="Y319" i="5"/>
  <c r="L86" i="5"/>
  <c r="E32" i="3"/>
  <c r="U59" i="5"/>
  <c r="S58" i="5"/>
  <c r="L257" i="5"/>
  <c r="Y257" i="5"/>
  <c r="R423" i="5"/>
  <c r="I133" i="3"/>
  <c r="M367" i="5"/>
  <c r="O368" i="5"/>
  <c r="O213" i="5"/>
  <c r="L23" i="5"/>
  <c r="Y23" i="5"/>
  <c r="O148" i="5"/>
  <c r="G50" i="3"/>
  <c r="S444" i="5"/>
  <c r="P444" i="5"/>
  <c r="V444" i="5"/>
  <c r="M444" i="5"/>
  <c r="J444" i="5"/>
  <c r="I444" i="5"/>
  <c r="L75" i="5"/>
  <c r="E28" i="3"/>
  <c r="Z190" i="5"/>
  <c r="O46" i="5"/>
  <c r="Y26" i="5"/>
  <c r="L26" i="5"/>
  <c r="S445" i="5"/>
  <c r="U446" i="5"/>
  <c r="M448" i="5"/>
  <c r="O449" i="5"/>
  <c r="R425" i="5"/>
  <c r="U423" i="5"/>
  <c r="K133" i="3"/>
  <c r="O99" i="5"/>
  <c r="Z166" i="5"/>
  <c r="M58" i="5"/>
  <c r="O59" i="5"/>
  <c r="S308" i="5"/>
  <c r="P308" i="5"/>
  <c r="V308" i="5"/>
  <c r="M308" i="5"/>
  <c r="J308" i="5"/>
  <c r="I308" i="5"/>
  <c r="I307" i="5" s="1"/>
  <c r="R255" i="5"/>
  <c r="X41" i="5"/>
  <c r="X369" i="5"/>
  <c r="X411" i="5"/>
  <c r="R280" i="5"/>
  <c r="Y68" i="5"/>
  <c r="L68" i="5"/>
  <c r="L77" i="5"/>
  <c r="Y77" i="5"/>
  <c r="J153" i="5"/>
  <c r="Z76" i="5"/>
  <c r="O134" i="5"/>
  <c r="M133" i="5"/>
  <c r="X81" i="5"/>
  <c r="R139" i="5"/>
  <c r="I46" i="3"/>
  <c r="J46" i="3" s="1"/>
  <c r="O302" i="5"/>
  <c r="R8" i="5"/>
  <c r="I8" i="3"/>
  <c r="X295" i="5"/>
  <c r="M94" i="3"/>
  <c r="N94" i="3" s="1"/>
  <c r="Z112" i="5"/>
  <c r="O19" i="5"/>
  <c r="U413" i="5"/>
  <c r="R21" i="5"/>
  <c r="U46" i="5"/>
  <c r="X191" i="5"/>
  <c r="R458" i="5"/>
  <c r="U26" i="5"/>
  <c r="M157" i="5"/>
  <c r="J157" i="5"/>
  <c r="V157" i="5"/>
  <c r="S157" i="5"/>
  <c r="P157" i="5"/>
  <c r="I157" i="5"/>
  <c r="I156" i="5" s="1"/>
  <c r="R315" i="5"/>
  <c r="U177" i="5"/>
  <c r="M298" i="5"/>
  <c r="O299" i="5"/>
  <c r="I211" i="5"/>
  <c r="V445" i="5"/>
  <c r="X446" i="5"/>
  <c r="X237" i="5"/>
  <c r="U202" i="5"/>
  <c r="R35" i="5"/>
  <c r="I311" i="4"/>
  <c r="I22" i="15"/>
  <c r="R436" i="5"/>
  <c r="M18" i="3"/>
  <c r="N18" i="3" s="1"/>
  <c r="U425" i="5"/>
  <c r="J437" i="5"/>
  <c r="P437" i="5"/>
  <c r="P435" i="5" s="1"/>
  <c r="M437" i="5"/>
  <c r="V437" i="5"/>
  <c r="V435" i="5" s="1"/>
  <c r="S437" i="5"/>
  <c r="I437" i="5"/>
  <c r="I435" i="5" s="1"/>
  <c r="L447" i="5"/>
  <c r="Y447" i="5"/>
  <c r="X213" i="5"/>
  <c r="R23" i="5"/>
  <c r="Z243" i="5"/>
  <c r="E98" i="2"/>
  <c r="C99" i="3"/>
  <c r="O398" i="5"/>
  <c r="G128" i="3"/>
  <c r="H128" i="3" s="1"/>
  <c r="R226" i="5"/>
  <c r="I74" i="3"/>
  <c r="R431" i="5"/>
  <c r="X293" i="5"/>
  <c r="V292" i="5"/>
  <c r="O41" i="5"/>
  <c r="X231" i="5"/>
  <c r="M76" i="3"/>
  <c r="N76" i="3" s="1"/>
  <c r="Y148" i="5"/>
  <c r="L148" i="5"/>
  <c r="E50" i="3"/>
  <c r="O68" i="5"/>
  <c r="H20" i="5"/>
  <c r="I19" i="4"/>
  <c r="O447" i="5"/>
  <c r="V230" i="5"/>
  <c r="S230" i="5"/>
  <c r="P230" i="5"/>
  <c r="J230" i="5"/>
  <c r="M230" i="5"/>
  <c r="I230" i="5"/>
  <c r="I229" i="5" s="1"/>
  <c r="I225" i="5" s="1"/>
  <c r="Y382" i="5"/>
  <c r="L382" i="5"/>
  <c r="E122" i="3"/>
  <c r="Y295" i="5"/>
  <c r="L295" i="5"/>
  <c r="E94" i="3"/>
  <c r="R148" i="5"/>
  <c r="I50" i="3"/>
  <c r="O274" i="5"/>
  <c r="I90" i="3"/>
  <c r="J90" i="3" s="1"/>
  <c r="X382" i="5"/>
  <c r="M122" i="3"/>
  <c r="P262" i="5"/>
  <c r="R263" i="5"/>
  <c r="L371" i="5"/>
  <c r="Y371" i="5"/>
  <c r="J370" i="5"/>
  <c r="P267" i="5"/>
  <c r="M292" i="5"/>
  <c r="O293" i="5"/>
  <c r="I81" i="4"/>
  <c r="C31" i="3"/>
  <c r="E30" i="2"/>
  <c r="Z478" i="5"/>
  <c r="L192" i="5"/>
  <c r="Y192" i="5"/>
  <c r="E62" i="3"/>
  <c r="I39" i="15"/>
  <c r="O114" i="5"/>
  <c r="G38" i="3"/>
  <c r="H38" i="3" s="1"/>
  <c r="X426" i="5"/>
  <c r="M134" i="3"/>
  <c r="N134" i="3" s="1"/>
  <c r="H176" i="5"/>
  <c r="I175" i="4"/>
  <c r="I167" i="4" s="1"/>
  <c r="Z30" i="5"/>
  <c r="Z264" i="5"/>
  <c r="Z13" i="5"/>
  <c r="P106" i="5"/>
  <c r="R107" i="5"/>
  <c r="G90" i="3"/>
  <c r="H90" i="3" s="1"/>
  <c r="L331" i="5"/>
  <c r="Y331" i="5"/>
  <c r="Y164" i="5"/>
  <c r="L164" i="5"/>
  <c r="E56" i="3"/>
  <c r="X70" i="5"/>
  <c r="M26" i="3"/>
  <c r="R172" i="5"/>
  <c r="Z115" i="5"/>
  <c r="O451" i="5"/>
  <c r="G142" i="3"/>
  <c r="H142" i="3" s="1"/>
  <c r="U430" i="5"/>
  <c r="R40" i="5"/>
  <c r="U409" i="5"/>
  <c r="I202" i="16"/>
  <c r="I171" i="16"/>
  <c r="I13" i="16"/>
  <c r="I91" i="16"/>
  <c r="I37" i="16"/>
  <c r="I124" i="16"/>
  <c r="I158" i="16"/>
  <c r="I84" i="16"/>
  <c r="I100" i="16"/>
  <c r="I131" i="16"/>
  <c r="I120" i="16"/>
  <c r="I123" i="16"/>
  <c r="I9" i="16"/>
  <c r="I98" i="16"/>
  <c r="I103" i="16"/>
  <c r="I176" i="16"/>
  <c r="I55" i="16"/>
  <c r="I19" i="16"/>
  <c r="I17" i="16"/>
  <c r="I32" i="16"/>
  <c r="I21" i="16"/>
  <c r="I180" i="16"/>
  <c r="I89" i="16"/>
  <c r="I153" i="16"/>
  <c r="I130" i="16"/>
  <c r="I27" i="16"/>
  <c r="I185" i="16"/>
  <c r="I70" i="16"/>
  <c r="I121" i="16"/>
  <c r="I160" i="16"/>
  <c r="I174" i="16"/>
  <c r="I118" i="16"/>
  <c r="I42" i="16"/>
  <c r="I145" i="16"/>
  <c r="I68" i="16"/>
  <c r="I7" i="16"/>
  <c r="I34" i="16"/>
  <c r="I110" i="16"/>
  <c r="I75" i="16"/>
  <c r="I137" i="16"/>
  <c r="I87" i="16"/>
  <c r="I109" i="16"/>
  <c r="I101" i="16"/>
  <c r="I93" i="16"/>
  <c r="I43" i="16"/>
  <c r="I138" i="16"/>
  <c r="I80" i="16"/>
  <c r="I189" i="16"/>
  <c r="I39" i="16"/>
  <c r="I81" i="16"/>
  <c r="I24" i="16"/>
  <c r="I97" i="16"/>
  <c r="I85" i="16"/>
  <c r="I102" i="16"/>
  <c r="I149" i="16"/>
  <c r="I195" i="16"/>
  <c r="I141" i="16"/>
  <c r="I125" i="16"/>
  <c r="I46" i="16"/>
  <c r="I77" i="16"/>
  <c r="I56" i="16"/>
  <c r="I63" i="16"/>
  <c r="I119" i="16"/>
  <c r="I71" i="16"/>
  <c r="I57" i="16"/>
  <c r="I47" i="16"/>
  <c r="I178" i="16"/>
  <c r="I82" i="16"/>
  <c r="I92" i="16"/>
  <c r="I152" i="16"/>
  <c r="I169" i="16"/>
  <c r="I95" i="16"/>
  <c r="I161" i="16"/>
  <c r="I167" i="16"/>
  <c r="I61" i="16"/>
  <c r="I104" i="16"/>
  <c r="I18" i="16"/>
  <c r="I79" i="16"/>
  <c r="I59" i="16"/>
  <c r="I163" i="16"/>
  <c r="I142" i="16"/>
  <c r="I106" i="16"/>
  <c r="I52" i="16"/>
  <c r="I38" i="16"/>
  <c r="I150" i="16"/>
  <c r="I86" i="16"/>
  <c r="I105" i="16"/>
  <c r="I108" i="16"/>
  <c r="I31" i="16"/>
  <c r="I51" i="16"/>
  <c r="I172" i="16"/>
  <c r="I28" i="16"/>
  <c r="I23" i="16"/>
  <c r="I8" i="16"/>
  <c r="I115" i="16"/>
  <c r="I53" i="16"/>
  <c r="I65" i="16"/>
  <c r="I194" i="16"/>
  <c r="I29" i="16"/>
  <c r="I177" i="16"/>
  <c r="I187" i="16"/>
  <c r="I114" i="16"/>
  <c r="I147" i="16"/>
  <c r="I96" i="16"/>
  <c r="I64" i="16"/>
  <c r="I36" i="16"/>
  <c r="I44" i="16"/>
  <c r="I190" i="16"/>
  <c r="I200" i="16"/>
  <c r="I183" i="16"/>
  <c r="I143" i="16"/>
  <c r="I132" i="16"/>
  <c r="I157" i="16"/>
  <c r="I33" i="16"/>
  <c r="I193" i="16"/>
  <c r="I199" i="16"/>
  <c r="I60" i="16"/>
  <c r="I16" i="16"/>
  <c r="I126" i="16"/>
  <c r="I41" i="16"/>
  <c r="I201" i="16"/>
  <c r="I111" i="16"/>
  <c r="I173" i="16"/>
  <c r="I175" i="16"/>
  <c r="I181" i="16"/>
  <c r="I144" i="16"/>
  <c r="I22" i="16"/>
  <c r="I198" i="16"/>
  <c r="I62" i="16"/>
  <c r="I155" i="16"/>
  <c r="I186" i="16"/>
  <c r="I140" i="16"/>
  <c r="I182" i="16"/>
  <c r="I170" i="16"/>
  <c r="I128" i="16"/>
  <c r="I127" i="16"/>
  <c r="I151" i="16"/>
  <c r="I14" i="16"/>
  <c r="I40" i="16"/>
  <c r="I88" i="16"/>
  <c r="I83" i="16"/>
  <c r="I159" i="16"/>
  <c r="I129" i="16"/>
  <c r="I135" i="16"/>
  <c r="I134" i="16"/>
  <c r="I113" i="16"/>
  <c r="I136" i="16"/>
  <c r="I166" i="16"/>
  <c r="I162" i="16"/>
  <c r="I74" i="16"/>
  <c r="I67" i="16"/>
  <c r="I12" i="16"/>
  <c r="I146" i="16"/>
  <c r="I156" i="16"/>
  <c r="I192" i="16"/>
  <c r="I112" i="16"/>
  <c r="I165" i="16"/>
  <c r="I117" i="16"/>
  <c r="I133" i="16"/>
  <c r="I116" i="16"/>
  <c r="I35" i="16"/>
  <c r="I191" i="16"/>
  <c r="I72" i="16"/>
  <c r="I58" i="16"/>
  <c r="I90" i="16"/>
  <c r="I139" i="16"/>
  <c r="I25" i="16"/>
  <c r="I154" i="16"/>
  <c r="I54" i="16"/>
  <c r="I11" i="16"/>
  <c r="I26" i="16"/>
  <c r="I99" i="16"/>
  <c r="I107" i="16"/>
  <c r="I10" i="16"/>
  <c r="I122" i="16"/>
  <c r="I15" i="16"/>
  <c r="I73" i="16"/>
  <c r="I179" i="16"/>
  <c r="I78" i="16"/>
  <c r="I50" i="16"/>
  <c r="I76" i="16"/>
  <c r="I94" i="16"/>
  <c r="I184" i="16"/>
  <c r="I30" i="16"/>
  <c r="I49" i="16"/>
  <c r="I197" i="16"/>
  <c r="I188" i="16"/>
  <c r="I69" i="16"/>
  <c r="I45" i="16"/>
  <c r="I20" i="16"/>
  <c r="I66" i="16"/>
  <c r="I196" i="16"/>
  <c r="I148" i="16"/>
  <c r="U419" i="5"/>
  <c r="S418" i="5"/>
  <c r="U467" i="5"/>
  <c r="L476" i="5"/>
  <c r="Y476" i="5"/>
  <c r="E152" i="3"/>
  <c r="R146" i="5"/>
  <c r="M376" i="5"/>
  <c r="O377" i="5"/>
  <c r="X353" i="5"/>
  <c r="X124" i="5"/>
  <c r="Z453" i="5"/>
  <c r="V211" i="5"/>
  <c r="X212" i="5"/>
  <c r="Y460" i="5"/>
  <c r="L460" i="5"/>
  <c r="E146" i="3"/>
  <c r="X260" i="5"/>
  <c r="P142" i="5"/>
  <c r="R143" i="5"/>
  <c r="L290" i="5"/>
  <c r="J289" i="5"/>
  <c r="Y290" i="5"/>
  <c r="R335" i="5"/>
  <c r="X242" i="5"/>
  <c r="M80" i="3"/>
  <c r="N80" i="3" s="1"/>
  <c r="X221" i="5"/>
  <c r="V220" i="5"/>
  <c r="Y56" i="5"/>
  <c r="L56" i="5"/>
  <c r="J55" i="5"/>
  <c r="U57" i="5"/>
  <c r="C75" i="3"/>
  <c r="E74" i="2"/>
  <c r="I224" i="4"/>
  <c r="R328" i="5"/>
  <c r="O475" i="5"/>
  <c r="O192" i="5"/>
  <c r="G62" i="3"/>
  <c r="H62" i="3" s="1"/>
  <c r="U451" i="5"/>
  <c r="K142" i="3"/>
  <c r="L142" i="3" s="1"/>
  <c r="L159" i="5"/>
  <c r="Y159" i="5"/>
  <c r="X460" i="5"/>
  <c r="M146" i="3"/>
  <c r="R274" i="5"/>
  <c r="Z80" i="5"/>
  <c r="Z9" i="5"/>
  <c r="Z140" i="5"/>
  <c r="U398" i="5"/>
  <c r="K128" i="3"/>
  <c r="L128" i="3" s="1"/>
  <c r="R451" i="5"/>
  <c r="I142" i="3"/>
  <c r="J142" i="3" s="1"/>
  <c r="P136" i="5"/>
  <c r="R137" i="5"/>
  <c r="U263" i="5"/>
  <c r="S262" i="5"/>
  <c r="Z187" i="5"/>
  <c r="R371" i="5"/>
  <c r="P370" i="5"/>
  <c r="E76" i="2"/>
  <c r="C77" i="3"/>
  <c r="X61" i="5"/>
  <c r="M22" i="3"/>
  <c r="N22" i="3" s="1"/>
  <c r="R36" i="5"/>
  <c r="I14" i="3"/>
  <c r="J14" i="3" s="1"/>
  <c r="L250" i="5"/>
  <c r="Y250" i="5"/>
  <c r="J54" i="5"/>
  <c r="P54" i="5"/>
  <c r="M54" i="5"/>
  <c r="S54" i="5"/>
  <c r="V54" i="5"/>
  <c r="I54" i="5"/>
  <c r="H254" i="5"/>
  <c r="I253" i="4"/>
  <c r="I245" i="4" s="1"/>
  <c r="X107" i="5"/>
  <c r="V106" i="5"/>
  <c r="Y85" i="5"/>
  <c r="L85" i="5"/>
  <c r="C21" i="3"/>
  <c r="E20" i="2"/>
  <c r="U242" i="5"/>
  <c r="K80" i="3"/>
  <c r="L80" i="3" s="1"/>
  <c r="L114" i="5"/>
  <c r="Y114" i="5"/>
  <c r="E38" i="3"/>
  <c r="R430" i="5"/>
  <c r="I51" i="15"/>
  <c r="Y135" i="5"/>
  <c r="L135" i="5"/>
  <c r="R419" i="5"/>
  <c r="P418" i="5"/>
  <c r="L291" i="5"/>
  <c r="Y291" i="5"/>
  <c r="O467" i="5"/>
  <c r="Z477" i="5"/>
  <c r="U146" i="5"/>
  <c r="L377" i="5"/>
  <c r="J376" i="5"/>
  <c r="Y377" i="5"/>
  <c r="L338" i="5"/>
  <c r="Y338" i="5"/>
  <c r="I48" i="16"/>
  <c r="L124" i="5"/>
  <c r="Y124" i="5"/>
  <c r="X16" i="5"/>
  <c r="L348" i="5"/>
  <c r="Y348" i="5"/>
  <c r="E110" i="3"/>
  <c r="O304" i="5"/>
  <c r="G98" i="3"/>
  <c r="U143" i="5"/>
  <c r="S142" i="5"/>
  <c r="U290" i="5"/>
  <c r="S289" i="5"/>
  <c r="O335" i="5"/>
  <c r="I284" i="4"/>
  <c r="P220" i="5"/>
  <c r="R221" i="5"/>
  <c r="U56" i="5"/>
  <c r="S55" i="5"/>
  <c r="V465" i="5"/>
  <c r="I44" i="4"/>
  <c r="O406" i="5"/>
  <c r="U358" i="5"/>
  <c r="L333" i="5"/>
  <c r="Y333" i="5"/>
  <c r="R197" i="5"/>
  <c r="L118" i="5"/>
  <c r="Y118" i="5"/>
  <c r="O104" i="5"/>
  <c r="X352" i="5"/>
  <c r="U380" i="5"/>
  <c r="U389" i="5"/>
  <c r="O373" i="5"/>
  <c r="G118" i="3"/>
  <c r="H118" i="3" s="1"/>
  <c r="R319" i="5"/>
  <c r="Z424" i="5"/>
  <c r="X86" i="5"/>
  <c r="M32" i="3"/>
  <c r="N32" i="3" s="1"/>
  <c r="V152" i="5"/>
  <c r="J152" i="5"/>
  <c r="S152" i="5"/>
  <c r="P152" i="5"/>
  <c r="M152" i="5"/>
  <c r="I152" i="5"/>
  <c r="I151" i="5" s="1"/>
  <c r="I147" i="5" s="1"/>
  <c r="X416" i="5"/>
  <c r="R182" i="5"/>
  <c r="V340" i="5"/>
  <c r="X341" i="5"/>
  <c r="Y304" i="5"/>
  <c r="L304" i="5"/>
  <c r="E98" i="3"/>
  <c r="O65" i="5"/>
  <c r="M64" i="5"/>
  <c r="L438" i="5" l="1"/>
  <c r="O397" i="5"/>
  <c r="L397" i="5"/>
  <c r="X397" i="5"/>
  <c r="U397" i="5"/>
  <c r="R397" i="5"/>
  <c r="Z397" i="5" s="1"/>
  <c r="I395" i="5"/>
  <c r="U395" i="5" s="1"/>
  <c r="H144" i="4"/>
  <c r="I144" i="4" s="1"/>
  <c r="I143" i="4" s="1"/>
  <c r="Y397" i="5"/>
  <c r="H10" i="15"/>
  <c r="Z128" i="5"/>
  <c r="Y253" i="5"/>
  <c r="Z440" i="5"/>
  <c r="E42" i="3"/>
  <c r="L253" i="5"/>
  <c r="Z253" i="5" s="1"/>
  <c r="H378" i="4"/>
  <c r="H379" i="5" s="1"/>
  <c r="H456" i="4"/>
  <c r="I456" i="4" s="1"/>
  <c r="I455" i="4" s="1"/>
  <c r="H222" i="4"/>
  <c r="I222" i="4" s="1"/>
  <c r="I221" i="4" s="1"/>
  <c r="H300" i="4"/>
  <c r="H301" i="5" s="1"/>
  <c r="U438" i="5"/>
  <c r="X438" i="5"/>
  <c r="O97" i="5"/>
  <c r="U97" i="5"/>
  <c r="X97" i="5"/>
  <c r="L97" i="5"/>
  <c r="L282" i="5"/>
  <c r="Y97" i="5"/>
  <c r="H121" i="4"/>
  <c r="H122" i="5" s="1"/>
  <c r="M122" i="5" s="1"/>
  <c r="O282" i="5"/>
  <c r="X282" i="5"/>
  <c r="Z87" i="5"/>
  <c r="Z256" i="5"/>
  <c r="Z283" i="5"/>
  <c r="O204" i="5"/>
  <c r="Z204" i="5" s="1"/>
  <c r="H47" i="15"/>
  <c r="L387" i="5"/>
  <c r="P82" i="5"/>
  <c r="Z206" i="5"/>
  <c r="E66" i="3"/>
  <c r="O66" i="3" s="1"/>
  <c r="G32" i="3"/>
  <c r="H32" i="3" s="1"/>
  <c r="Y204" i="5"/>
  <c r="Y282" i="5"/>
  <c r="M355" i="5"/>
  <c r="O355" i="5" s="1"/>
  <c r="K90" i="3"/>
  <c r="L90" i="3" s="1"/>
  <c r="S355" i="5"/>
  <c r="U355" i="5" s="1"/>
  <c r="I32" i="3"/>
  <c r="J32" i="3" s="1"/>
  <c r="P355" i="5"/>
  <c r="R355" i="5" s="1"/>
  <c r="J355" i="5"/>
  <c r="L355" i="5" s="1"/>
  <c r="V355" i="5"/>
  <c r="Z343" i="5"/>
  <c r="U282" i="5"/>
  <c r="H355" i="4"/>
  <c r="H356" i="5" s="1"/>
  <c r="M356" i="5" s="1"/>
  <c r="H277" i="4"/>
  <c r="H278" i="5" s="1"/>
  <c r="V278" i="5" s="1"/>
  <c r="I433" i="4"/>
  <c r="I431" i="4" s="1"/>
  <c r="I421" i="4" s="1"/>
  <c r="Y86" i="5"/>
  <c r="H43" i="4"/>
  <c r="H44" i="5" s="1"/>
  <c r="V44" i="5" s="1"/>
  <c r="V42" i="5" s="1"/>
  <c r="Z50" i="5"/>
  <c r="H199" i="4"/>
  <c r="I199" i="4" s="1"/>
  <c r="I197" i="4" s="1"/>
  <c r="E63" i="2" s="1"/>
  <c r="R111" i="5"/>
  <c r="X387" i="5"/>
  <c r="I381" i="5"/>
  <c r="Z314" i="5"/>
  <c r="R360" i="5"/>
  <c r="X113" i="5"/>
  <c r="X360" i="5"/>
  <c r="I34" i="15"/>
  <c r="Z310" i="5"/>
  <c r="Z362" i="5"/>
  <c r="L360" i="5"/>
  <c r="O309" i="5"/>
  <c r="U387" i="5"/>
  <c r="Z388" i="5"/>
  <c r="R387" i="5"/>
  <c r="I303" i="5"/>
  <c r="O113" i="5"/>
  <c r="V111" i="5"/>
  <c r="Y111" i="5" s="1"/>
  <c r="I277" i="5"/>
  <c r="O277" i="5" s="1"/>
  <c r="R113" i="5"/>
  <c r="Y113" i="5"/>
  <c r="U48" i="5"/>
  <c r="U113" i="5"/>
  <c r="L113" i="5"/>
  <c r="M42" i="3"/>
  <c r="N42" i="3" s="1"/>
  <c r="J433" i="5"/>
  <c r="M433" i="5"/>
  <c r="Z361" i="5"/>
  <c r="Z127" i="5"/>
  <c r="P277" i="5"/>
  <c r="S277" i="5"/>
  <c r="V277" i="5"/>
  <c r="M114" i="3"/>
  <c r="N114" i="3" s="1"/>
  <c r="J277" i="5"/>
  <c r="I114" i="3"/>
  <c r="J114" i="3" s="1"/>
  <c r="Z49" i="5"/>
  <c r="O48" i="5"/>
  <c r="L48" i="5"/>
  <c r="R48" i="5"/>
  <c r="L148" i="3"/>
  <c r="P433" i="5"/>
  <c r="U360" i="5"/>
  <c r="H148" i="3"/>
  <c r="J82" i="5"/>
  <c r="E31" i="3"/>
  <c r="E30" i="3" s="1"/>
  <c r="E101" i="2"/>
  <c r="Y48" i="5"/>
  <c r="G42" i="3"/>
  <c r="H42" i="3" s="1"/>
  <c r="I433" i="5"/>
  <c r="Z60" i="5"/>
  <c r="U84" i="5"/>
  <c r="J148" i="3"/>
  <c r="Y360" i="5"/>
  <c r="S433" i="5"/>
  <c r="R345" i="5"/>
  <c r="O438" i="5"/>
  <c r="Y126" i="5"/>
  <c r="I42" i="3"/>
  <c r="J42" i="3" s="1"/>
  <c r="Z158" i="5"/>
  <c r="O84" i="5"/>
  <c r="C150" i="3"/>
  <c r="M138" i="3"/>
  <c r="N138" i="3" s="1"/>
  <c r="R318" i="5"/>
  <c r="M345" i="5"/>
  <c r="O345" i="5" s="1"/>
  <c r="X240" i="5"/>
  <c r="Z439" i="5"/>
  <c r="K138" i="3"/>
  <c r="L138" i="3" s="1"/>
  <c r="R240" i="5"/>
  <c r="U240" i="5"/>
  <c r="U162" i="5"/>
  <c r="E77" i="2"/>
  <c r="R347" i="5"/>
  <c r="E125" i="2"/>
  <c r="U347" i="5"/>
  <c r="U473" i="5"/>
  <c r="J394" i="5"/>
  <c r="E127" i="3"/>
  <c r="F127" i="3" s="1"/>
  <c r="S161" i="5"/>
  <c r="S160" i="5" s="1"/>
  <c r="U160" i="5" s="1"/>
  <c r="O240" i="5"/>
  <c r="R474" i="5"/>
  <c r="I203" i="16"/>
  <c r="R84" i="5"/>
  <c r="K151" i="3"/>
  <c r="L151" i="3" s="1"/>
  <c r="X474" i="5"/>
  <c r="I18" i="3"/>
  <c r="J18" i="3" s="1"/>
  <c r="I83" i="5"/>
  <c r="R83" i="5" s="1"/>
  <c r="L84" i="5"/>
  <c r="Y84" i="5"/>
  <c r="I31" i="3"/>
  <c r="S83" i="5"/>
  <c r="Y83" i="5" s="1"/>
  <c r="O474" i="5"/>
  <c r="M31" i="3"/>
  <c r="N31" i="3" s="1"/>
  <c r="V82" i="5"/>
  <c r="E79" i="3"/>
  <c r="F79" i="3" s="1"/>
  <c r="S472" i="5"/>
  <c r="U472" i="5" s="1"/>
  <c r="K109" i="3"/>
  <c r="L109" i="3" s="1"/>
  <c r="P239" i="5"/>
  <c r="P238" i="5" s="1"/>
  <c r="R238" i="5" s="1"/>
  <c r="L239" i="5"/>
  <c r="Z108" i="5"/>
  <c r="P317" i="5"/>
  <c r="R317" i="5" s="1"/>
  <c r="R162" i="5"/>
  <c r="U318" i="5"/>
  <c r="I316" i="5"/>
  <c r="S394" i="5"/>
  <c r="K127" i="3"/>
  <c r="K126" i="3" s="1"/>
  <c r="L126" i="3" s="1"/>
  <c r="L162" i="5"/>
  <c r="Y162" i="5"/>
  <c r="Z94" i="5"/>
  <c r="M473" i="5"/>
  <c r="X162" i="5"/>
  <c r="L474" i="5"/>
  <c r="Y474" i="5"/>
  <c r="J161" i="5"/>
  <c r="L161" i="5" s="1"/>
  <c r="Y438" i="5"/>
  <c r="P161" i="5"/>
  <c r="P160" i="5" s="1"/>
  <c r="R160" i="5" s="1"/>
  <c r="O162" i="5"/>
  <c r="O318" i="5"/>
  <c r="R396" i="5"/>
  <c r="O396" i="5"/>
  <c r="V239" i="5"/>
  <c r="V238" i="5" s="1"/>
  <c r="X238" i="5" s="1"/>
  <c r="P395" i="5"/>
  <c r="V473" i="5"/>
  <c r="E54" i="2"/>
  <c r="I159" i="4"/>
  <c r="C55" i="3"/>
  <c r="E109" i="3"/>
  <c r="F109" i="3" s="1"/>
  <c r="U396" i="5"/>
  <c r="P473" i="5"/>
  <c r="I151" i="3" s="1"/>
  <c r="X396" i="5"/>
  <c r="Y318" i="5"/>
  <c r="L318" i="5"/>
  <c r="S239" i="5"/>
  <c r="S238" i="5" s="1"/>
  <c r="U238" i="5" s="1"/>
  <c r="M239" i="5"/>
  <c r="Y396" i="5"/>
  <c r="L396" i="5"/>
  <c r="J317" i="5"/>
  <c r="Y240" i="5"/>
  <c r="L240" i="5"/>
  <c r="U474" i="5"/>
  <c r="X318" i="5"/>
  <c r="X132" i="5"/>
  <c r="Z138" i="5"/>
  <c r="U132" i="5"/>
  <c r="L347" i="5"/>
  <c r="R132" i="5"/>
  <c r="G100" i="3"/>
  <c r="H100" i="3" s="1"/>
  <c r="V345" i="5"/>
  <c r="X345" i="5" s="1"/>
  <c r="Z311" i="5"/>
  <c r="X161" i="5"/>
  <c r="Y347" i="5"/>
  <c r="Z393" i="5"/>
  <c r="C115" i="3"/>
  <c r="Z101" i="5"/>
  <c r="M55" i="3"/>
  <c r="M54" i="3" s="1"/>
  <c r="I124" i="3"/>
  <c r="J124" i="3" s="1"/>
  <c r="Z406" i="5"/>
  <c r="E18" i="2"/>
  <c r="Z320" i="5"/>
  <c r="Z275" i="5"/>
  <c r="Z389" i="5"/>
  <c r="Z250" i="5"/>
  <c r="Z163" i="5"/>
  <c r="U437" i="5"/>
  <c r="O437" i="5"/>
  <c r="O444" i="5"/>
  <c r="X443" i="5"/>
  <c r="Z124" i="5"/>
  <c r="Z192" i="5"/>
  <c r="C139" i="3"/>
  <c r="U231" i="5"/>
  <c r="R47" i="5"/>
  <c r="U54" i="5"/>
  <c r="Z26" i="5"/>
  <c r="U444" i="5"/>
  <c r="Z196" i="5"/>
  <c r="L28" i="3"/>
  <c r="O443" i="5"/>
  <c r="Z304" i="5"/>
  <c r="O54" i="5"/>
  <c r="Y75" i="5"/>
  <c r="R443" i="5"/>
  <c r="X47" i="5"/>
  <c r="O287" i="5"/>
  <c r="Z338" i="5"/>
  <c r="Z135" i="5"/>
  <c r="R54" i="5"/>
  <c r="S435" i="5"/>
  <c r="U435" i="5" s="1"/>
  <c r="U443" i="5"/>
  <c r="O288" i="5"/>
  <c r="Z118" i="5"/>
  <c r="Z449" i="5"/>
  <c r="Z299" i="5"/>
  <c r="I51" i="5"/>
  <c r="Z291" i="5"/>
  <c r="X287" i="5"/>
  <c r="Z177" i="5"/>
  <c r="H28" i="3"/>
  <c r="Z460" i="5"/>
  <c r="Z155" i="5"/>
  <c r="M124" i="3"/>
  <c r="N124" i="3" s="1"/>
  <c r="I207" i="5"/>
  <c r="Z185" i="5"/>
  <c r="O47" i="5"/>
  <c r="U288" i="5"/>
  <c r="Z295" i="5"/>
  <c r="R288" i="5"/>
  <c r="X288" i="5"/>
  <c r="R437" i="5"/>
  <c r="X444" i="5"/>
  <c r="X54" i="5"/>
  <c r="R444" i="5"/>
  <c r="Z331" i="5"/>
  <c r="X160" i="5"/>
  <c r="Z81" i="5"/>
  <c r="P45" i="5"/>
  <c r="Y45" i="5" s="1"/>
  <c r="Z29" i="5"/>
  <c r="Z226" i="5"/>
  <c r="U357" i="5"/>
  <c r="K113" i="3"/>
  <c r="L113" i="3" s="1"/>
  <c r="R279" i="5"/>
  <c r="I89" i="3"/>
  <c r="J89" i="3" s="1"/>
  <c r="O201" i="5"/>
  <c r="G65" i="3"/>
  <c r="H65" i="3" s="1"/>
  <c r="L201" i="5"/>
  <c r="E65" i="3"/>
  <c r="M148" i="3"/>
  <c r="N148" i="3" s="1"/>
  <c r="X465" i="5"/>
  <c r="M82" i="5"/>
  <c r="G31" i="3"/>
  <c r="U55" i="5"/>
  <c r="K20" i="3"/>
  <c r="L20" i="3" s="1"/>
  <c r="O56" i="3"/>
  <c r="F56" i="3"/>
  <c r="P56" i="3" s="1"/>
  <c r="R262" i="5"/>
  <c r="I83" i="3"/>
  <c r="J83" i="3" s="1"/>
  <c r="U230" i="5"/>
  <c r="S229" i="5"/>
  <c r="V20" i="5"/>
  <c r="P20" i="5"/>
  <c r="M20" i="5"/>
  <c r="S20" i="5"/>
  <c r="J20" i="5"/>
  <c r="I20" i="5"/>
  <c r="I12" i="5" s="1"/>
  <c r="X445" i="5"/>
  <c r="M140" i="3"/>
  <c r="N140" i="3" s="1"/>
  <c r="M307" i="5"/>
  <c r="O308" i="5"/>
  <c r="H74" i="3"/>
  <c r="Y340" i="5"/>
  <c r="L340" i="5"/>
  <c r="E107" i="3"/>
  <c r="N8" i="3"/>
  <c r="E105" i="2"/>
  <c r="C106" i="3"/>
  <c r="M151" i="5"/>
  <c r="O152" i="5"/>
  <c r="L133" i="3"/>
  <c r="Z425" i="5"/>
  <c r="U370" i="5"/>
  <c r="K117" i="3"/>
  <c r="L117" i="3" s="1"/>
  <c r="Z368" i="5"/>
  <c r="N85" i="3"/>
  <c r="P151" i="5"/>
  <c r="R152" i="5"/>
  <c r="R370" i="5"/>
  <c r="I117" i="3"/>
  <c r="J117" i="3" s="1"/>
  <c r="R195" i="5"/>
  <c r="P194" i="5"/>
  <c r="O64" i="5"/>
  <c r="G23" i="3"/>
  <c r="H23" i="3" s="1"/>
  <c r="E16" i="2"/>
  <c r="C17" i="3"/>
  <c r="L123" i="5"/>
  <c r="Y123" i="5"/>
  <c r="E41" i="3"/>
  <c r="V316" i="5"/>
  <c r="X317" i="5"/>
  <c r="M103" i="3"/>
  <c r="F38" i="3"/>
  <c r="P38" i="3" s="1"/>
  <c r="O38" i="3"/>
  <c r="R136" i="5"/>
  <c r="I45" i="3"/>
  <c r="J45" i="3" s="1"/>
  <c r="X220" i="5"/>
  <c r="M71" i="3"/>
  <c r="N71" i="3" s="1"/>
  <c r="O146" i="3"/>
  <c r="F146" i="3"/>
  <c r="Z371" i="5"/>
  <c r="J50" i="3"/>
  <c r="Y230" i="5"/>
  <c r="L230" i="5"/>
  <c r="J229" i="5"/>
  <c r="Y437" i="5"/>
  <c r="L437" i="5"/>
  <c r="Y157" i="5"/>
  <c r="J156" i="5"/>
  <c r="L157" i="5"/>
  <c r="U445" i="5"/>
  <c r="K140" i="3"/>
  <c r="L140" i="3" s="1"/>
  <c r="L444" i="5"/>
  <c r="Y444" i="5"/>
  <c r="Y445" i="5"/>
  <c r="L445" i="5"/>
  <c r="E140" i="3"/>
  <c r="P129" i="5"/>
  <c r="R130" i="5"/>
  <c r="R58" i="5"/>
  <c r="I21" i="3"/>
  <c r="J21" i="3" s="1"/>
  <c r="Y465" i="5"/>
  <c r="L465" i="5"/>
  <c r="E148" i="3"/>
  <c r="R55" i="5"/>
  <c r="I20" i="3"/>
  <c r="J20" i="3" s="1"/>
  <c r="R79" i="5"/>
  <c r="P78" i="5"/>
  <c r="L448" i="5"/>
  <c r="Y448" i="5"/>
  <c r="E141" i="3"/>
  <c r="Y184" i="5"/>
  <c r="L184" i="5"/>
  <c r="E59" i="3"/>
  <c r="H67" i="5"/>
  <c r="I66" i="4"/>
  <c r="U267" i="5"/>
  <c r="K85" i="3"/>
  <c r="Z143" i="5"/>
  <c r="Z107" i="5"/>
  <c r="R199" i="5"/>
  <c r="Z191" i="5"/>
  <c r="Z172" i="5"/>
  <c r="V410" i="5"/>
  <c r="S410" i="5"/>
  <c r="P410" i="5"/>
  <c r="M410" i="5"/>
  <c r="J410" i="5"/>
  <c r="I410" i="5"/>
  <c r="I402" i="5" s="1"/>
  <c r="X309" i="5"/>
  <c r="M100" i="3"/>
  <c r="N100" i="3" s="1"/>
  <c r="R367" i="5"/>
  <c r="I116" i="3"/>
  <c r="J116" i="3" s="1"/>
  <c r="R454" i="5"/>
  <c r="I143" i="3"/>
  <c r="J143" i="3" s="1"/>
  <c r="O370" i="5"/>
  <c r="G117" i="3"/>
  <c r="H117" i="3" s="1"/>
  <c r="R64" i="5"/>
  <c r="I23" i="3"/>
  <c r="J23" i="3" s="1"/>
  <c r="Z70" i="5"/>
  <c r="Z315" i="5"/>
  <c r="X391" i="5"/>
  <c r="V390" i="5"/>
  <c r="Z237" i="5"/>
  <c r="I441" i="5"/>
  <c r="Y43" i="5"/>
  <c r="L43" i="5"/>
  <c r="U117" i="5"/>
  <c r="S116" i="5"/>
  <c r="E14" i="2"/>
  <c r="C15" i="3"/>
  <c r="Z471" i="5"/>
  <c r="H85" i="3"/>
  <c r="S363" i="5"/>
  <c r="U364" i="5"/>
  <c r="O286" i="5"/>
  <c r="M285" i="5"/>
  <c r="U136" i="5"/>
  <c r="K45" i="3"/>
  <c r="L45" i="3" s="1"/>
  <c r="Z333" i="5"/>
  <c r="L376" i="5"/>
  <c r="Y376" i="5"/>
  <c r="E119" i="3"/>
  <c r="V254" i="5"/>
  <c r="S254" i="5"/>
  <c r="P254" i="5"/>
  <c r="J254" i="5"/>
  <c r="M254" i="5"/>
  <c r="I254" i="5"/>
  <c r="I246" i="5" s="1"/>
  <c r="Z159" i="5"/>
  <c r="Z290" i="5"/>
  <c r="F152" i="3"/>
  <c r="P152" i="3" s="1"/>
  <c r="O152" i="3"/>
  <c r="Z382" i="5"/>
  <c r="C101" i="3"/>
  <c r="E100" i="2"/>
  <c r="O58" i="5"/>
  <c r="G21" i="3"/>
  <c r="H21" i="3" s="1"/>
  <c r="F28" i="3"/>
  <c r="F32" i="3"/>
  <c r="O365" i="5"/>
  <c r="I129" i="5"/>
  <c r="U209" i="5"/>
  <c r="L418" i="5"/>
  <c r="Y418" i="5"/>
  <c r="E131" i="3"/>
  <c r="Z59" i="5"/>
  <c r="R39" i="5"/>
  <c r="P38" i="5"/>
  <c r="U53" i="5"/>
  <c r="R121" i="5"/>
  <c r="Z104" i="5"/>
  <c r="O8" i="3"/>
  <c r="F8" i="3"/>
  <c r="R313" i="5"/>
  <c r="P312" i="5"/>
  <c r="Z99" i="5"/>
  <c r="X208" i="5"/>
  <c r="V207" i="5"/>
  <c r="O210" i="5"/>
  <c r="U74" i="5"/>
  <c r="S73" i="5"/>
  <c r="O195" i="5"/>
  <c r="M194" i="5"/>
  <c r="O289" i="5"/>
  <c r="G92" i="3"/>
  <c r="H92" i="3" s="1"/>
  <c r="J26" i="3"/>
  <c r="L131" i="5"/>
  <c r="Y131" i="5"/>
  <c r="U125" i="5"/>
  <c r="L52" i="5"/>
  <c r="J51" i="5"/>
  <c r="Y52" i="5"/>
  <c r="X367" i="5"/>
  <c r="M116" i="3"/>
  <c r="N116" i="3" s="1"/>
  <c r="O184" i="5"/>
  <c r="G59" i="3"/>
  <c r="H59" i="3" s="1"/>
  <c r="R235" i="5"/>
  <c r="P234" i="5"/>
  <c r="R386" i="5"/>
  <c r="P385" i="5"/>
  <c r="V98" i="5"/>
  <c r="S98" i="5"/>
  <c r="P98" i="5"/>
  <c r="J98" i="5"/>
  <c r="M98" i="5"/>
  <c r="I98" i="5"/>
  <c r="I90" i="5" s="1"/>
  <c r="V428" i="5"/>
  <c r="X429" i="5"/>
  <c r="X351" i="5"/>
  <c r="V350" i="5"/>
  <c r="Z328" i="5"/>
  <c r="J435" i="5"/>
  <c r="M463" i="5"/>
  <c r="O464" i="5"/>
  <c r="U366" i="5"/>
  <c r="X469" i="5"/>
  <c r="V468" i="5"/>
  <c r="Z202" i="5"/>
  <c r="J122" i="3"/>
  <c r="F61" i="3"/>
  <c r="O61" i="3"/>
  <c r="Z411" i="5"/>
  <c r="L281" i="5"/>
  <c r="Y281" i="5"/>
  <c r="C29" i="3"/>
  <c r="E28" i="2"/>
  <c r="X106" i="5"/>
  <c r="M35" i="3"/>
  <c r="N35" i="3" s="1"/>
  <c r="F18" i="3"/>
  <c r="R230" i="5"/>
  <c r="P229" i="5"/>
  <c r="O157" i="5"/>
  <c r="M156" i="5"/>
  <c r="O367" i="5"/>
  <c r="G116" i="3"/>
  <c r="H116" i="3" s="1"/>
  <c r="S78" i="5"/>
  <c r="U79" i="5"/>
  <c r="Y132" i="5"/>
  <c r="L132" i="5"/>
  <c r="O80" i="3"/>
  <c r="F80" i="3"/>
  <c r="P80" i="3" s="1"/>
  <c r="H98" i="3"/>
  <c r="Z114" i="5"/>
  <c r="E57" i="2"/>
  <c r="C58" i="3"/>
  <c r="O79" i="5"/>
  <c r="M78" i="5"/>
  <c r="L8" i="3"/>
  <c r="Y359" i="5"/>
  <c r="L359" i="5"/>
  <c r="X442" i="5"/>
  <c r="V441" i="5"/>
  <c r="Z179" i="5"/>
  <c r="X55" i="5"/>
  <c r="M20" i="3"/>
  <c r="N20" i="3" s="1"/>
  <c r="Z164" i="5"/>
  <c r="Y79" i="5"/>
  <c r="J78" i="5"/>
  <c r="L79" i="5"/>
  <c r="E26" i="2"/>
  <c r="C27" i="3"/>
  <c r="I68" i="4"/>
  <c r="F90" i="3"/>
  <c r="O445" i="5"/>
  <c r="G140" i="3"/>
  <c r="H140" i="3" s="1"/>
  <c r="Z242" i="5"/>
  <c r="X370" i="5"/>
  <c r="M117" i="3"/>
  <c r="N117" i="3" s="1"/>
  <c r="O317" i="5"/>
  <c r="M316" i="5"/>
  <c r="G103" i="3"/>
  <c r="O423" i="5"/>
  <c r="Z423" i="5" s="1"/>
  <c r="G133" i="3"/>
  <c r="X203" i="5"/>
  <c r="Y64" i="5"/>
  <c r="L64" i="5"/>
  <c r="E23" i="3"/>
  <c r="U469" i="5"/>
  <c r="S468" i="5"/>
  <c r="X359" i="5"/>
  <c r="Z255" i="5"/>
  <c r="N122" i="3"/>
  <c r="R435" i="5"/>
  <c r="I137" i="3"/>
  <c r="J137" i="3" s="1"/>
  <c r="Z68" i="5"/>
  <c r="R308" i="5"/>
  <c r="P307" i="5"/>
  <c r="X136" i="5"/>
  <c r="M45" i="3"/>
  <c r="N45" i="3" s="1"/>
  <c r="Z126" i="5"/>
  <c r="L136" i="5"/>
  <c r="Y136" i="5"/>
  <c r="E45" i="3"/>
  <c r="O387" i="5"/>
  <c r="G124" i="3"/>
  <c r="H124" i="3" s="1"/>
  <c r="Y208" i="5"/>
  <c r="J207" i="5"/>
  <c r="L208" i="5"/>
  <c r="Z269" i="5"/>
  <c r="R289" i="5"/>
  <c r="I92" i="3"/>
  <c r="J92" i="3" s="1"/>
  <c r="R214" i="5"/>
  <c r="I69" i="3"/>
  <c r="J69" i="3" s="1"/>
  <c r="F13" i="3"/>
  <c r="O28" i="5"/>
  <c r="G11" i="3"/>
  <c r="H11" i="3" s="1"/>
  <c r="Z35" i="5"/>
  <c r="O14" i="3"/>
  <c r="F14" i="3"/>
  <c r="P14" i="3" s="1"/>
  <c r="Z409" i="5"/>
  <c r="U203" i="5"/>
  <c r="O340" i="5"/>
  <c r="G107" i="3"/>
  <c r="H107" i="3" s="1"/>
  <c r="V385" i="5"/>
  <c r="X386" i="5"/>
  <c r="J428" i="5"/>
  <c r="L429" i="5"/>
  <c r="Y429" i="5"/>
  <c r="M350" i="5"/>
  <c r="O351" i="5"/>
  <c r="L13" i="3"/>
  <c r="O110" i="3"/>
  <c r="F110" i="3"/>
  <c r="P110" i="3" s="1"/>
  <c r="I206" i="16"/>
  <c r="H205" i="16"/>
  <c r="I205" i="16" s="1"/>
  <c r="H50" i="3"/>
  <c r="L122" i="3"/>
  <c r="L209" i="5"/>
  <c r="Y209" i="5"/>
  <c r="V38" i="5"/>
  <c r="X39" i="5"/>
  <c r="R210" i="5"/>
  <c r="U214" i="5"/>
  <c r="K69" i="3"/>
  <c r="L69" i="3" s="1"/>
  <c r="Z21" i="5"/>
  <c r="Z36" i="5"/>
  <c r="L195" i="5"/>
  <c r="J194" i="5"/>
  <c r="Y195" i="5"/>
  <c r="Z293" i="5"/>
  <c r="X125" i="5"/>
  <c r="O128" i="3"/>
  <c r="F128" i="3"/>
  <c r="P128" i="3" s="1"/>
  <c r="X52" i="5"/>
  <c r="V51" i="5"/>
  <c r="O203" i="5"/>
  <c r="O136" i="5"/>
  <c r="G45" i="3"/>
  <c r="H45" i="3" s="1"/>
  <c r="S234" i="5"/>
  <c r="U235" i="5"/>
  <c r="R309" i="5"/>
  <c r="I100" i="3"/>
  <c r="J100" i="3" s="1"/>
  <c r="J357" i="5"/>
  <c r="O211" i="5"/>
  <c r="G68" i="3"/>
  <c r="H68" i="3" s="1"/>
  <c r="L386" i="5"/>
  <c r="Y386" i="5"/>
  <c r="J385" i="5"/>
  <c r="E33" i="2"/>
  <c r="C34" i="3"/>
  <c r="M428" i="5"/>
  <c r="O429" i="5"/>
  <c r="U351" i="5"/>
  <c r="S350" i="5"/>
  <c r="P463" i="5"/>
  <c r="R464" i="5"/>
  <c r="R366" i="5"/>
  <c r="E144" i="2"/>
  <c r="C145" i="3"/>
  <c r="R184" i="5"/>
  <c r="I59" i="3"/>
  <c r="J59" i="3" s="1"/>
  <c r="O469" i="5"/>
  <c r="M468" i="5"/>
  <c r="R359" i="5"/>
  <c r="Z431" i="5"/>
  <c r="Z380" i="5"/>
  <c r="R298" i="5"/>
  <c r="I95" i="3"/>
  <c r="J95" i="3" s="1"/>
  <c r="Z224" i="5"/>
  <c r="U281" i="5"/>
  <c r="U220" i="5"/>
  <c r="K71" i="3"/>
  <c r="L71" i="3" s="1"/>
  <c r="X340" i="5"/>
  <c r="M107" i="3"/>
  <c r="N107" i="3" s="1"/>
  <c r="X152" i="5"/>
  <c r="V151" i="5"/>
  <c r="Z348" i="5"/>
  <c r="Z377" i="5"/>
  <c r="O292" i="5"/>
  <c r="G93" i="3"/>
  <c r="H93" i="3" s="1"/>
  <c r="Z257" i="5"/>
  <c r="Y365" i="5"/>
  <c r="L365" i="5"/>
  <c r="L130" i="5"/>
  <c r="Y130" i="5"/>
  <c r="J129" i="5"/>
  <c r="S279" i="5"/>
  <c r="Y39" i="5"/>
  <c r="L39" i="5"/>
  <c r="J38" i="5"/>
  <c r="L53" i="5"/>
  <c r="Y53" i="5"/>
  <c r="Z233" i="5"/>
  <c r="Z182" i="5"/>
  <c r="U121" i="5"/>
  <c r="O313" i="5"/>
  <c r="M312" i="5"/>
  <c r="P207" i="5"/>
  <c r="R208" i="5"/>
  <c r="O279" i="5"/>
  <c r="G89" i="3"/>
  <c r="H89" i="3" s="1"/>
  <c r="U210" i="5"/>
  <c r="O220" i="5"/>
  <c r="G71" i="3"/>
  <c r="H71" i="3" s="1"/>
  <c r="O22" i="3"/>
  <c r="F22" i="3"/>
  <c r="P22" i="3" s="1"/>
  <c r="Z280" i="5"/>
  <c r="O74" i="5"/>
  <c r="M73" i="5"/>
  <c r="Z416" i="5"/>
  <c r="S194" i="5"/>
  <c r="U195" i="5"/>
  <c r="U376" i="5"/>
  <c r="K119" i="3"/>
  <c r="L119" i="3" s="1"/>
  <c r="X131" i="5"/>
  <c r="X199" i="5"/>
  <c r="R125" i="5"/>
  <c r="Z274" i="5"/>
  <c r="O118" i="3"/>
  <c r="F118" i="3"/>
  <c r="P118" i="3" s="1"/>
  <c r="X376" i="5"/>
  <c r="M119" i="3"/>
  <c r="N119" i="3" s="1"/>
  <c r="Z40" i="5"/>
  <c r="Z398" i="5"/>
  <c r="O52" i="5"/>
  <c r="M51" i="5"/>
  <c r="Z353" i="5"/>
  <c r="Y235" i="5"/>
  <c r="J234" i="5"/>
  <c r="L235" i="5"/>
  <c r="O86" i="3"/>
  <c r="F86" i="3"/>
  <c r="P86" i="3" s="1"/>
  <c r="R231" i="5"/>
  <c r="I76" i="3"/>
  <c r="J76" i="3" s="1"/>
  <c r="S385" i="5"/>
  <c r="U386" i="5"/>
  <c r="N98" i="3"/>
  <c r="R429" i="5"/>
  <c r="P428" i="5"/>
  <c r="Y351" i="5"/>
  <c r="L351" i="5"/>
  <c r="J350" i="5"/>
  <c r="U464" i="5"/>
  <c r="S463" i="5"/>
  <c r="X366" i="5"/>
  <c r="O231" i="5"/>
  <c r="G76" i="3"/>
  <c r="H76" i="3" s="1"/>
  <c r="L98" i="3"/>
  <c r="V394" i="5"/>
  <c r="M127" i="3"/>
  <c r="R287" i="5"/>
  <c r="X43" i="5"/>
  <c r="V116" i="5"/>
  <c r="X117" i="5"/>
  <c r="P357" i="5"/>
  <c r="J98" i="3"/>
  <c r="O281" i="5"/>
  <c r="I285" i="5"/>
  <c r="F76" i="3"/>
  <c r="J61" i="3"/>
  <c r="I54" i="15"/>
  <c r="I11" i="4"/>
  <c r="J8" i="3"/>
  <c r="L308" i="5"/>
  <c r="Y308" i="5"/>
  <c r="J307" i="5"/>
  <c r="O357" i="5"/>
  <c r="G113" i="3"/>
  <c r="H113" i="3" s="1"/>
  <c r="R211" i="5"/>
  <c r="I68" i="3"/>
  <c r="J68" i="3" s="1"/>
  <c r="X153" i="5"/>
  <c r="M52" i="3"/>
  <c r="N52" i="3" s="1"/>
  <c r="L203" i="5"/>
  <c r="Y203" i="5"/>
  <c r="L298" i="5"/>
  <c r="Y298" i="5"/>
  <c r="E95" i="3"/>
  <c r="P285" i="5"/>
  <c r="R286" i="5"/>
  <c r="F98" i="3"/>
  <c r="O98" i="3"/>
  <c r="Z446" i="5"/>
  <c r="X184" i="5"/>
  <c r="M59" i="3"/>
  <c r="N59" i="3" s="1"/>
  <c r="Y288" i="5"/>
  <c r="L288" i="5"/>
  <c r="Z260" i="5"/>
  <c r="R133" i="5"/>
  <c r="I44" i="3"/>
  <c r="J44" i="3" s="1"/>
  <c r="E66" i="2"/>
  <c r="C67" i="3"/>
  <c r="V272" i="5"/>
  <c r="X273" i="5"/>
  <c r="J363" i="5"/>
  <c r="Y364" i="5"/>
  <c r="L364" i="5"/>
  <c r="L262" i="5"/>
  <c r="Y262" i="5"/>
  <c r="E83" i="3"/>
  <c r="V176" i="5"/>
  <c r="S176" i="5"/>
  <c r="M176" i="5"/>
  <c r="J176" i="5"/>
  <c r="P176" i="5"/>
  <c r="I176" i="5"/>
  <c r="I168" i="5" s="1"/>
  <c r="J146" i="3"/>
  <c r="Z458" i="5"/>
  <c r="U184" i="5"/>
  <c r="K59" i="3"/>
  <c r="L59" i="3" s="1"/>
  <c r="X289" i="5"/>
  <c r="M92" i="3"/>
  <c r="N92" i="3" s="1"/>
  <c r="J133" i="3"/>
  <c r="Z139" i="5"/>
  <c r="F114" i="3"/>
  <c r="Y387" i="5"/>
  <c r="Z263" i="5"/>
  <c r="X142" i="5"/>
  <c r="M47" i="3"/>
  <c r="N47" i="3" s="1"/>
  <c r="O376" i="5"/>
  <c r="G119" i="3"/>
  <c r="H119" i="3" s="1"/>
  <c r="Y58" i="5"/>
  <c r="L58" i="5"/>
  <c r="E21" i="3"/>
  <c r="R445" i="5"/>
  <c r="I140" i="3"/>
  <c r="J140" i="3" s="1"/>
  <c r="Z475" i="5"/>
  <c r="O454" i="5"/>
  <c r="G143" i="3"/>
  <c r="H143" i="3" s="1"/>
  <c r="Z436" i="5"/>
  <c r="F138" i="3"/>
  <c r="X448" i="5"/>
  <c r="M141" i="3"/>
  <c r="N141" i="3" s="1"/>
  <c r="R281" i="5"/>
  <c r="O55" i="5"/>
  <c r="G20" i="3"/>
  <c r="H20" i="3" s="1"/>
  <c r="C82" i="3"/>
  <c r="E81" i="2"/>
  <c r="U45" i="5"/>
  <c r="K17" i="3"/>
  <c r="U365" i="5"/>
  <c r="F133" i="3"/>
  <c r="X53" i="5"/>
  <c r="X33" i="5"/>
  <c r="Z33" i="5" s="1"/>
  <c r="M13" i="3"/>
  <c r="Z137" i="5"/>
  <c r="J312" i="5"/>
  <c r="L313" i="5"/>
  <c r="Y313" i="5"/>
  <c r="S207" i="5"/>
  <c r="U208" i="5"/>
  <c r="U262" i="5"/>
  <c r="K83" i="3"/>
  <c r="L83" i="3" s="1"/>
  <c r="O133" i="5"/>
  <c r="G44" i="3"/>
  <c r="H44" i="3" s="1"/>
  <c r="X209" i="5"/>
  <c r="Z419" i="5"/>
  <c r="U289" i="5"/>
  <c r="K92" i="3"/>
  <c r="L92" i="3" s="1"/>
  <c r="Y55" i="5"/>
  <c r="L55" i="5"/>
  <c r="E20" i="3"/>
  <c r="Z476" i="5"/>
  <c r="N26" i="3"/>
  <c r="R267" i="5"/>
  <c r="I85" i="3"/>
  <c r="X437" i="5"/>
  <c r="R157" i="5"/>
  <c r="P156" i="5"/>
  <c r="O448" i="5"/>
  <c r="G141" i="3"/>
  <c r="H141" i="3" s="1"/>
  <c r="U58" i="5"/>
  <c r="K21" i="3"/>
  <c r="L21" i="3" s="1"/>
  <c r="Z86" i="5"/>
  <c r="R365" i="5"/>
  <c r="V129" i="5"/>
  <c r="X130" i="5"/>
  <c r="Z413" i="5"/>
  <c r="O209" i="5"/>
  <c r="H13" i="3"/>
  <c r="O142" i="5"/>
  <c r="G47" i="3"/>
  <c r="H47" i="3" s="1"/>
  <c r="L61" i="3"/>
  <c r="O132" i="5"/>
  <c r="S38" i="5"/>
  <c r="U39" i="5"/>
  <c r="Y423" i="5"/>
  <c r="Z16" i="5"/>
  <c r="R53" i="5"/>
  <c r="X262" i="5"/>
  <c r="M83" i="3"/>
  <c r="N83" i="3" s="1"/>
  <c r="X121" i="5"/>
  <c r="Z8" i="5"/>
  <c r="V312" i="5"/>
  <c r="X313" i="5"/>
  <c r="X28" i="5"/>
  <c r="M11" i="3"/>
  <c r="N11" i="3" s="1"/>
  <c r="Z175" i="5"/>
  <c r="Z134" i="5"/>
  <c r="X210" i="5"/>
  <c r="Z61" i="5"/>
  <c r="L279" i="5"/>
  <c r="E89" i="3"/>
  <c r="R74" i="5"/>
  <c r="P73" i="5"/>
  <c r="R153" i="5"/>
  <c r="I52" i="3"/>
  <c r="J52" i="3" s="1"/>
  <c r="U131" i="5"/>
  <c r="U199" i="5"/>
  <c r="L125" i="5"/>
  <c r="Y125" i="5"/>
  <c r="F134" i="3"/>
  <c r="P134" i="3" s="1"/>
  <c r="O134" i="3"/>
  <c r="O214" i="5"/>
  <c r="G69" i="3"/>
  <c r="H69" i="3" s="1"/>
  <c r="R52" i="5"/>
  <c r="P51" i="5"/>
  <c r="X75" i="5"/>
  <c r="M28" i="3"/>
  <c r="N28" i="3" s="1"/>
  <c r="O70" i="3"/>
  <c r="F70" i="3"/>
  <c r="P70" i="3" s="1"/>
  <c r="O235" i="5"/>
  <c r="M234" i="5"/>
  <c r="Z270" i="5"/>
  <c r="U47" i="5"/>
  <c r="S428" i="5"/>
  <c r="U429" i="5"/>
  <c r="Z57" i="5"/>
  <c r="L464" i="5"/>
  <c r="J463" i="5"/>
  <c r="Y464" i="5"/>
  <c r="Y366" i="5"/>
  <c r="L366" i="5"/>
  <c r="Z241" i="5"/>
  <c r="O391" i="5"/>
  <c r="M390" i="5"/>
  <c r="U287" i="5"/>
  <c r="O43" i="5"/>
  <c r="O117" i="5"/>
  <c r="M116" i="5"/>
  <c r="I363" i="5"/>
  <c r="L286" i="5"/>
  <c r="Y286" i="5"/>
  <c r="J285" i="5"/>
  <c r="M394" i="5"/>
  <c r="G127" i="3"/>
  <c r="Y214" i="5"/>
  <c r="L214" i="5"/>
  <c r="E69" i="3"/>
  <c r="J13" i="3"/>
  <c r="U309" i="5"/>
  <c r="K100" i="3"/>
  <c r="L100" i="3" s="1"/>
  <c r="M272" i="5"/>
  <c r="O273" i="5"/>
  <c r="O161" i="5"/>
  <c r="M160" i="5"/>
  <c r="O160" i="5" s="1"/>
  <c r="G55" i="3"/>
  <c r="R448" i="5"/>
  <c r="I141" i="3"/>
  <c r="J141" i="3" s="1"/>
  <c r="L28" i="5"/>
  <c r="Y28" i="5"/>
  <c r="E11" i="3"/>
  <c r="X364" i="5"/>
  <c r="V363" i="5"/>
  <c r="Y309" i="5"/>
  <c r="N146" i="3"/>
  <c r="J74" i="3"/>
  <c r="Z41" i="5"/>
  <c r="Y367" i="5"/>
  <c r="L367" i="5"/>
  <c r="E116" i="3"/>
  <c r="Z119" i="5"/>
  <c r="L267" i="5"/>
  <c r="Y267" i="5"/>
  <c r="E85" i="3"/>
  <c r="U317" i="5"/>
  <c r="S316" i="5"/>
  <c r="K103" i="3"/>
  <c r="U133" i="5"/>
  <c r="K44" i="3"/>
  <c r="L44" i="3" s="1"/>
  <c r="X201" i="5"/>
  <c r="M65" i="3"/>
  <c r="N65" i="3" s="1"/>
  <c r="R418" i="5"/>
  <c r="I131" i="3"/>
  <c r="J131" i="3" s="1"/>
  <c r="O94" i="3"/>
  <c r="F94" i="3"/>
  <c r="P94" i="3" s="1"/>
  <c r="Z77" i="5"/>
  <c r="Z215" i="5"/>
  <c r="L220" i="5"/>
  <c r="Y220" i="5"/>
  <c r="E71" i="3"/>
  <c r="O46" i="3"/>
  <c r="F46" i="3"/>
  <c r="P46" i="3" s="1"/>
  <c r="Z341" i="5"/>
  <c r="L273" i="5"/>
  <c r="J272" i="5"/>
  <c r="Y273" i="5"/>
  <c r="M441" i="5"/>
  <c r="O442" i="5"/>
  <c r="F142" i="3"/>
  <c r="P142" i="3" s="1"/>
  <c r="O142" i="3"/>
  <c r="Z352" i="5"/>
  <c r="U123" i="5"/>
  <c r="K41" i="3"/>
  <c r="L41" i="3" s="1"/>
  <c r="H8" i="3"/>
  <c r="Z46" i="5"/>
  <c r="R201" i="5"/>
  <c r="I65" i="3"/>
  <c r="J65" i="3" s="1"/>
  <c r="M385" i="5"/>
  <c r="O386" i="5"/>
  <c r="U359" i="5"/>
  <c r="N74" i="3"/>
  <c r="Z451" i="5"/>
  <c r="N61" i="3"/>
  <c r="X45" i="5"/>
  <c r="M17" i="3"/>
  <c r="O208" i="5"/>
  <c r="M207" i="5"/>
  <c r="S51" i="5"/>
  <c r="U52" i="5"/>
  <c r="Z358" i="5"/>
  <c r="Y289" i="5"/>
  <c r="L289" i="5"/>
  <c r="E92" i="3"/>
  <c r="Y370" i="5"/>
  <c r="L370" i="5"/>
  <c r="E117" i="3"/>
  <c r="L111" i="5"/>
  <c r="E37" i="3"/>
  <c r="S201" i="5"/>
  <c r="Y201" i="5" s="1"/>
  <c r="U157" i="5"/>
  <c r="S156" i="5"/>
  <c r="Z23" i="5"/>
  <c r="X365" i="5"/>
  <c r="O130" i="5"/>
  <c r="M129" i="5"/>
  <c r="Z335" i="5"/>
  <c r="O123" i="5"/>
  <c r="G41" i="3"/>
  <c r="H41" i="3" s="1"/>
  <c r="O53" i="5"/>
  <c r="X64" i="5"/>
  <c r="M23" i="3"/>
  <c r="N23" i="3" s="1"/>
  <c r="Y121" i="5"/>
  <c r="L121" i="5"/>
  <c r="U313" i="5"/>
  <c r="S312" i="5"/>
  <c r="Z212" i="5"/>
  <c r="Z302" i="5"/>
  <c r="U28" i="5"/>
  <c r="K11" i="3"/>
  <c r="L11" i="3" s="1"/>
  <c r="Y133" i="5"/>
  <c r="L133" i="5"/>
  <c r="E44" i="3"/>
  <c r="H61" i="3"/>
  <c r="L210" i="5"/>
  <c r="Y210" i="5"/>
  <c r="Y74" i="5"/>
  <c r="L74" i="5"/>
  <c r="J73" i="5"/>
  <c r="U64" i="5"/>
  <c r="K23" i="3"/>
  <c r="L23" i="3" s="1"/>
  <c r="V357" i="5"/>
  <c r="Y142" i="5"/>
  <c r="L142" i="5"/>
  <c r="E47" i="3"/>
  <c r="Y106" i="5"/>
  <c r="L106" i="5"/>
  <c r="E35" i="3"/>
  <c r="R131" i="5"/>
  <c r="Y199" i="5"/>
  <c r="L199" i="5"/>
  <c r="O125" i="5"/>
  <c r="Z426" i="5"/>
  <c r="L50" i="3"/>
  <c r="Z373" i="5"/>
  <c r="R75" i="5"/>
  <c r="I28" i="3"/>
  <c r="R292" i="5"/>
  <c r="I93" i="3"/>
  <c r="J93" i="3" s="1"/>
  <c r="Z455" i="5"/>
  <c r="L146" i="3"/>
  <c r="Z217" i="5"/>
  <c r="Z213" i="5"/>
  <c r="X235" i="5"/>
  <c r="V234" i="5"/>
  <c r="H122" i="3"/>
  <c r="R376" i="5"/>
  <c r="I119" i="3"/>
  <c r="J119" i="3" s="1"/>
  <c r="X133" i="5"/>
  <c r="M44" i="3"/>
  <c r="N44" i="3" s="1"/>
  <c r="F26" i="3"/>
  <c r="O26" i="3"/>
  <c r="R391" i="5"/>
  <c r="P390" i="5"/>
  <c r="M435" i="5"/>
  <c r="U43" i="5"/>
  <c r="X298" i="5"/>
  <c r="M95" i="3"/>
  <c r="N95" i="3" s="1"/>
  <c r="R117" i="5"/>
  <c r="P116" i="5"/>
  <c r="N133" i="3"/>
  <c r="Z189" i="5"/>
  <c r="R28" i="5"/>
  <c r="I11" i="3"/>
  <c r="J11" i="3" s="1"/>
  <c r="M363" i="5"/>
  <c r="O364" i="5"/>
  <c r="Z19" i="5"/>
  <c r="S285" i="5"/>
  <c r="U286" i="5"/>
  <c r="M434" i="5"/>
  <c r="J434" i="5"/>
  <c r="S434" i="5"/>
  <c r="P434" i="5"/>
  <c r="V434" i="5"/>
  <c r="I434" i="5"/>
  <c r="Y231" i="5"/>
  <c r="U340" i="5"/>
  <c r="K107" i="3"/>
  <c r="L107" i="3" s="1"/>
  <c r="X214" i="5"/>
  <c r="M69" i="3"/>
  <c r="N69" i="3" s="1"/>
  <c r="O106" i="5"/>
  <c r="G35" i="3"/>
  <c r="H35" i="3" s="1"/>
  <c r="R340" i="5"/>
  <c r="I107" i="3"/>
  <c r="J107" i="3" s="1"/>
  <c r="U448" i="5"/>
  <c r="K141" i="3"/>
  <c r="L141" i="3" s="1"/>
  <c r="L391" i="5"/>
  <c r="J390" i="5"/>
  <c r="Y391" i="5"/>
  <c r="R442" i="5"/>
  <c r="P441" i="5"/>
  <c r="J37" i="3"/>
  <c r="N50" i="3"/>
  <c r="V229" i="5"/>
  <c r="X230" i="5"/>
  <c r="Z447" i="5"/>
  <c r="X308" i="5"/>
  <c r="V307" i="5"/>
  <c r="O45" i="5"/>
  <c r="G17" i="3"/>
  <c r="Z467" i="5"/>
  <c r="F42" i="3"/>
  <c r="X454" i="5"/>
  <c r="M143" i="3"/>
  <c r="N143" i="3" s="1"/>
  <c r="X435" i="5"/>
  <c r="M137" i="3"/>
  <c r="N137" i="3" s="1"/>
  <c r="M332" i="5"/>
  <c r="J332" i="5"/>
  <c r="P332" i="5"/>
  <c r="V332" i="5"/>
  <c r="S332" i="5"/>
  <c r="I332" i="5"/>
  <c r="I324" i="5" s="1"/>
  <c r="L45" i="5"/>
  <c r="E17" i="3"/>
  <c r="H26" i="3"/>
  <c r="U106" i="5"/>
  <c r="K35" i="3"/>
  <c r="L35" i="3" s="1"/>
  <c r="F124" i="3"/>
  <c r="L54" i="5"/>
  <c r="Y54" i="5"/>
  <c r="O50" i="3"/>
  <c r="F50" i="3"/>
  <c r="H37" i="3"/>
  <c r="Z221" i="5"/>
  <c r="U153" i="5"/>
  <c r="K52" i="3"/>
  <c r="L52" i="3" s="1"/>
  <c r="R203" i="5"/>
  <c r="L26" i="3"/>
  <c r="Z65" i="5"/>
  <c r="P350" i="5"/>
  <c r="R351" i="5"/>
  <c r="R273" i="5"/>
  <c r="P272" i="5"/>
  <c r="J468" i="5"/>
  <c r="L469" i="5"/>
  <c r="Y469" i="5"/>
  <c r="J441" i="5"/>
  <c r="Y442" i="5"/>
  <c r="L442" i="5"/>
  <c r="X418" i="5"/>
  <c r="M131" i="3"/>
  <c r="N131" i="3" s="1"/>
  <c r="X281" i="5"/>
  <c r="U152" i="5"/>
  <c r="S151" i="5"/>
  <c r="R220" i="5"/>
  <c r="I71" i="3"/>
  <c r="J71" i="3" s="1"/>
  <c r="E72" i="2"/>
  <c r="C73" i="3"/>
  <c r="E29" i="2"/>
  <c r="C30" i="3"/>
  <c r="Z148" i="5"/>
  <c r="O298" i="5"/>
  <c r="G95" i="3"/>
  <c r="H95" i="3" s="1"/>
  <c r="U308" i="5"/>
  <c r="S307" i="5"/>
  <c r="R209" i="5"/>
  <c r="O39" i="5"/>
  <c r="M38" i="5"/>
  <c r="U367" i="5"/>
  <c r="K116" i="3"/>
  <c r="L116" i="3" s="1"/>
  <c r="O418" i="5"/>
  <c r="G131" i="3"/>
  <c r="H131" i="3" s="1"/>
  <c r="X58" i="5"/>
  <c r="M21" i="3"/>
  <c r="N21" i="3" s="1"/>
  <c r="V194" i="5"/>
  <c r="X195" i="5"/>
  <c r="L292" i="5"/>
  <c r="Y292" i="5"/>
  <c r="E93" i="3"/>
  <c r="U292" i="5"/>
  <c r="K93" i="3"/>
  <c r="L93" i="3" s="1"/>
  <c r="H146" i="3"/>
  <c r="X464" i="5"/>
  <c r="V463" i="5"/>
  <c r="O366" i="5"/>
  <c r="S272" i="5"/>
  <c r="U273" i="5"/>
  <c r="R469" i="5"/>
  <c r="P468" i="5"/>
  <c r="O359" i="5"/>
  <c r="U442" i="5"/>
  <c r="S441" i="5"/>
  <c r="L152" i="5"/>
  <c r="J151" i="5"/>
  <c r="Y152" i="5"/>
  <c r="E90" i="2"/>
  <c r="C91" i="3"/>
  <c r="X211" i="5"/>
  <c r="M68" i="3"/>
  <c r="N68" i="3" s="1"/>
  <c r="O122" i="3"/>
  <c r="F122" i="3"/>
  <c r="L473" i="5"/>
  <c r="J472" i="5"/>
  <c r="E151" i="3"/>
  <c r="Z56" i="5"/>
  <c r="R142" i="5"/>
  <c r="I47" i="3"/>
  <c r="J47" i="3" s="1"/>
  <c r="R106" i="5"/>
  <c r="I35" i="3"/>
  <c r="J35" i="3" s="1"/>
  <c r="U142" i="5"/>
  <c r="K47" i="3"/>
  <c r="L47" i="3" s="1"/>
  <c r="Z85" i="5"/>
  <c r="X123" i="5"/>
  <c r="M41" i="3"/>
  <c r="N41" i="3" s="1"/>
  <c r="U418" i="5"/>
  <c r="K131" i="3"/>
  <c r="L131" i="3" s="1"/>
  <c r="O62" i="3"/>
  <c r="F62" i="3"/>
  <c r="P62" i="3" s="1"/>
  <c r="O230" i="5"/>
  <c r="M229" i="5"/>
  <c r="X292" i="5"/>
  <c r="M93" i="3"/>
  <c r="N93" i="3" s="1"/>
  <c r="U111" i="5"/>
  <c r="K37" i="3"/>
  <c r="X157" i="5"/>
  <c r="V156" i="5"/>
  <c r="L153" i="5"/>
  <c r="Y153" i="5"/>
  <c r="E52" i="3"/>
  <c r="Z319" i="5"/>
  <c r="S129" i="5"/>
  <c r="U130" i="5"/>
  <c r="V279" i="5"/>
  <c r="O262" i="5"/>
  <c r="G83" i="3"/>
  <c r="H83" i="3" s="1"/>
  <c r="X79" i="5"/>
  <c r="V78" i="5"/>
  <c r="C49" i="3"/>
  <c r="E48" i="2"/>
  <c r="O121" i="5"/>
  <c r="Z197" i="5"/>
  <c r="Y211" i="5"/>
  <c r="L211" i="5"/>
  <c r="E68" i="3"/>
  <c r="U298" i="5"/>
  <c r="K95" i="3"/>
  <c r="L95" i="3" s="1"/>
  <c r="Z369" i="5"/>
  <c r="V73" i="5"/>
  <c r="X74" i="5"/>
  <c r="U454" i="5"/>
  <c r="K143" i="3"/>
  <c r="L143" i="3" s="1"/>
  <c r="U211" i="5"/>
  <c r="K68" i="3"/>
  <c r="L68" i="3" s="1"/>
  <c r="O131" i="5"/>
  <c r="O199" i="5"/>
  <c r="C130" i="3"/>
  <c r="E129" i="2"/>
  <c r="F104" i="3"/>
  <c r="P104" i="3" s="1"/>
  <c r="O104" i="3"/>
  <c r="Y454" i="5"/>
  <c r="L454" i="5"/>
  <c r="E143" i="3"/>
  <c r="L74" i="3"/>
  <c r="L443" i="5"/>
  <c r="Y443" i="5"/>
  <c r="L47" i="5"/>
  <c r="Y47" i="5"/>
  <c r="Z146" i="5"/>
  <c r="Z430" i="5"/>
  <c r="U391" i="5"/>
  <c r="S390" i="5"/>
  <c r="J109" i="3"/>
  <c r="L287" i="5"/>
  <c r="Y287" i="5"/>
  <c r="R43" i="5"/>
  <c r="R123" i="5"/>
  <c r="I41" i="3"/>
  <c r="J41" i="3" s="1"/>
  <c r="L117" i="5"/>
  <c r="J116" i="5"/>
  <c r="Y117" i="5"/>
  <c r="L238" i="5"/>
  <c r="C43" i="3"/>
  <c r="E42" i="2"/>
  <c r="P363" i="5"/>
  <c r="R364" i="5"/>
  <c r="O74" i="3"/>
  <c r="F74" i="3"/>
  <c r="X286" i="5"/>
  <c r="V285" i="5"/>
  <c r="F100" i="3"/>
  <c r="O395" i="5" l="1"/>
  <c r="I394" i="5"/>
  <c r="H145" i="5"/>
  <c r="X395" i="5"/>
  <c r="L395" i="5"/>
  <c r="H457" i="5"/>
  <c r="J457" i="5" s="1"/>
  <c r="I378" i="4"/>
  <c r="I377" i="4" s="1"/>
  <c r="E119" i="2" s="1"/>
  <c r="H223" i="5"/>
  <c r="S223" i="5" s="1"/>
  <c r="I300" i="4"/>
  <c r="I299" i="4" s="1"/>
  <c r="C96" i="3" s="1"/>
  <c r="Z97" i="5"/>
  <c r="Z438" i="5"/>
  <c r="S122" i="5"/>
  <c r="V122" i="5"/>
  <c r="V120" i="5" s="1"/>
  <c r="V110" i="5" s="1"/>
  <c r="I122" i="5"/>
  <c r="I120" i="5" s="1"/>
  <c r="I110" i="5" s="1"/>
  <c r="I121" i="4"/>
  <c r="I119" i="4" s="1"/>
  <c r="E39" i="2" s="1"/>
  <c r="J122" i="5"/>
  <c r="J120" i="5" s="1"/>
  <c r="E40" i="3" s="1"/>
  <c r="P122" i="5"/>
  <c r="P120" i="5" s="1"/>
  <c r="P110" i="5" s="1"/>
  <c r="Z282" i="5"/>
  <c r="F66" i="3"/>
  <c r="P66" i="3" s="1"/>
  <c r="I356" i="5"/>
  <c r="I354" i="5" s="1"/>
  <c r="I344" i="5" s="1"/>
  <c r="I277" i="4"/>
  <c r="I275" i="4" s="1"/>
  <c r="E87" i="2" s="1"/>
  <c r="P356" i="5"/>
  <c r="P354" i="5" s="1"/>
  <c r="O90" i="3"/>
  <c r="P90" i="3"/>
  <c r="I44" i="5"/>
  <c r="I42" i="5" s="1"/>
  <c r="X42" i="5" s="1"/>
  <c r="M354" i="5"/>
  <c r="M44" i="5"/>
  <c r="M42" i="5" s="1"/>
  <c r="M32" i="5" s="1"/>
  <c r="P44" i="5"/>
  <c r="P42" i="5" s="1"/>
  <c r="P32" i="5" s="1"/>
  <c r="Y355" i="5"/>
  <c r="P32" i="3"/>
  <c r="S44" i="5"/>
  <c r="S42" i="5" s="1"/>
  <c r="J44" i="5"/>
  <c r="X355" i="5"/>
  <c r="Z355" i="5" s="1"/>
  <c r="O32" i="3"/>
  <c r="H200" i="5"/>
  <c r="V200" i="5" s="1"/>
  <c r="V198" i="5" s="1"/>
  <c r="M64" i="3" s="1"/>
  <c r="I30" i="3"/>
  <c r="J30" i="3" s="1"/>
  <c r="V356" i="5"/>
  <c r="V354" i="5" s="1"/>
  <c r="I278" i="5"/>
  <c r="I276" i="5" s="1"/>
  <c r="S356" i="5"/>
  <c r="S354" i="5" s="1"/>
  <c r="S344" i="5" s="1"/>
  <c r="J356" i="5"/>
  <c r="J354" i="5" s="1"/>
  <c r="M278" i="5"/>
  <c r="M276" i="5" s="1"/>
  <c r="G88" i="3" s="1"/>
  <c r="E135" i="2"/>
  <c r="J278" i="5"/>
  <c r="I355" i="4"/>
  <c r="I353" i="4" s="1"/>
  <c r="E111" i="2" s="1"/>
  <c r="C136" i="3"/>
  <c r="P278" i="5"/>
  <c r="P276" i="5" s="1"/>
  <c r="P266" i="5" s="1"/>
  <c r="S278" i="5"/>
  <c r="S276" i="5" s="1"/>
  <c r="S266" i="5" s="1"/>
  <c r="I187" i="4"/>
  <c r="I166" i="4" s="1"/>
  <c r="C64" i="3"/>
  <c r="I43" i="4"/>
  <c r="I41" i="4" s="1"/>
  <c r="E15" i="2" s="1"/>
  <c r="U277" i="5"/>
  <c r="Z360" i="5"/>
  <c r="M37" i="3"/>
  <c r="O37" i="3" s="1"/>
  <c r="Z113" i="5"/>
  <c r="X111" i="5"/>
  <c r="Z111" i="5" s="1"/>
  <c r="Z387" i="5"/>
  <c r="M432" i="5"/>
  <c r="M422" i="5" s="1"/>
  <c r="J432" i="5"/>
  <c r="J422" i="5" s="1"/>
  <c r="Y277" i="5"/>
  <c r="X277" i="5"/>
  <c r="R277" i="5"/>
  <c r="R433" i="5"/>
  <c r="P114" i="3"/>
  <c r="L277" i="5"/>
  <c r="O114" i="3"/>
  <c r="V276" i="5"/>
  <c r="O433" i="5"/>
  <c r="O83" i="5"/>
  <c r="Z48" i="5"/>
  <c r="R161" i="5"/>
  <c r="F31" i="3"/>
  <c r="M30" i="3"/>
  <c r="N30" i="3" s="1"/>
  <c r="Z347" i="5"/>
  <c r="X83" i="5"/>
  <c r="P18" i="3"/>
  <c r="O42" i="3"/>
  <c r="L433" i="5"/>
  <c r="P42" i="3"/>
  <c r="I432" i="5"/>
  <c r="I422" i="5" s="1"/>
  <c r="X433" i="5"/>
  <c r="U433" i="5"/>
  <c r="Y239" i="5"/>
  <c r="E126" i="3"/>
  <c r="F126" i="3" s="1"/>
  <c r="Y433" i="5"/>
  <c r="O18" i="3"/>
  <c r="G109" i="3"/>
  <c r="H109" i="3" s="1"/>
  <c r="P472" i="5"/>
  <c r="R472" i="5" s="1"/>
  <c r="L127" i="3"/>
  <c r="R473" i="5"/>
  <c r="Z240" i="5"/>
  <c r="U161" i="5"/>
  <c r="J31" i="3"/>
  <c r="H17" i="3"/>
  <c r="I79" i="3"/>
  <c r="I78" i="3" s="1"/>
  <c r="J78" i="3" s="1"/>
  <c r="K55" i="3"/>
  <c r="L55" i="3" s="1"/>
  <c r="Y317" i="5"/>
  <c r="L394" i="5"/>
  <c r="R239" i="5"/>
  <c r="N17" i="3"/>
  <c r="K150" i="3"/>
  <c r="L150" i="3" s="1"/>
  <c r="Z318" i="5"/>
  <c r="K137" i="3"/>
  <c r="L137" i="3" s="1"/>
  <c r="I55" i="3"/>
  <c r="I54" i="3" s="1"/>
  <c r="X316" i="5"/>
  <c r="O138" i="3"/>
  <c r="E78" i="3"/>
  <c r="F78" i="3" s="1"/>
  <c r="P138" i="3"/>
  <c r="E55" i="3"/>
  <c r="F55" i="3" s="1"/>
  <c r="Y161" i="5"/>
  <c r="Y473" i="5"/>
  <c r="Z474" i="5"/>
  <c r="J160" i="5"/>
  <c r="L160" i="5" s="1"/>
  <c r="Z160" i="5" s="1"/>
  <c r="S82" i="5"/>
  <c r="Y82" i="5" s="1"/>
  <c r="K31" i="3"/>
  <c r="O31" i="3" s="1"/>
  <c r="U83" i="5"/>
  <c r="X394" i="5"/>
  <c r="P316" i="5"/>
  <c r="R316" i="5" s="1"/>
  <c r="I103" i="3"/>
  <c r="U316" i="5"/>
  <c r="O316" i="5"/>
  <c r="Z162" i="5"/>
  <c r="Z84" i="5"/>
  <c r="L83" i="5"/>
  <c r="I82" i="5"/>
  <c r="X82" i="5" s="1"/>
  <c r="I127" i="3"/>
  <c r="O127" i="3" s="1"/>
  <c r="R395" i="5"/>
  <c r="Z395" i="5" s="1"/>
  <c r="P394" i="5"/>
  <c r="R394" i="5" s="1"/>
  <c r="O239" i="5"/>
  <c r="K79" i="3"/>
  <c r="K78" i="3" s="1"/>
  <c r="L78" i="3" s="1"/>
  <c r="M238" i="5"/>
  <c r="Y238" i="5" s="1"/>
  <c r="U394" i="5"/>
  <c r="G79" i="3"/>
  <c r="G78" i="3" s="1"/>
  <c r="H78" i="3" s="1"/>
  <c r="M79" i="3"/>
  <c r="N79" i="3" s="1"/>
  <c r="X239" i="5"/>
  <c r="O473" i="5"/>
  <c r="M472" i="5"/>
  <c r="O472" i="5" s="1"/>
  <c r="G151" i="3"/>
  <c r="U239" i="5"/>
  <c r="J316" i="5"/>
  <c r="L316" i="5" s="1"/>
  <c r="E103" i="3"/>
  <c r="L317" i="5"/>
  <c r="Z317" i="5" s="1"/>
  <c r="C54" i="3"/>
  <c r="E53" i="2"/>
  <c r="Y395" i="5"/>
  <c r="Z396" i="5"/>
  <c r="X473" i="5"/>
  <c r="V472" i="5"/>
  <c r="X472" i="5" s="1"/>
  <c r="M151" i="3"/>
  <c r="P124" i="3"/>
  <c r="Y345" i="5"/>
  <c r="M109" i="3"/>
  <c r="Z231" i="5"/>
  <c r="Z465" i="5"/>
  <c r="N55" i="3"/>
  <c r="Z75" i="5"/>
  <c r="I17" i="3"/>
  <c r="J17" i="3" s="1"/>
  <c r="R45" i="5"/>
  <c r="Z45" i="5" s="1"/>
  <c r="Z262" i="5"/>
  <c r="Z345" i="5"/>
  <c r="Z454" i="5"/>
  <c r="X434" i="5"/>
  <c r="Z288" i="5"/>
  <c r="Z79" i="5"/>
  <c r="Z125" i="5"/>
  <c r="Z195" i="5"/>
  <c r="Z444" i="5"/>
  <c r="Z64" i="5"/>
  <c r="L17" i="3"/>
  <c r="R434" i="5"/>
  <c r="P432" i="5"/>
  <c r="Z54" i="5"/>
  <c r="O124" i="3"/>
  <c r="O100" i="3"/>
  <c r="P100" i="3"/>
  <c r="I400" i="4"/>
  <c r="C129" i="3" s="1"/>
  <c r="P122" i="3"/>
  <c r="Z309" i="5"/>
  <c r="Z55" i="5"/>
  <c r="Z443" i="5"/>
  <c r="S120" i="5"/>
  <c r="S110" i="5" s="1"/>
  <c r="P26" i="3"/>
  <c r="Z267" i="5"/>
  <c r="V301" i="5"/>
  <c r="S301" i="5"/>
  <c r="P301" i="5"/>
  <c r="M301" i="5"/>
  <c r="J301" i="5"/>
  <c r="I301" i="5"/>
  <c r="I300" i="5" s="1"/>
  <c r="Z464" i="5"/>
  <c r="X285" i="5"/>
  <c r="M91" i="3"/>
  <c r="N91" i="3" s="1"/>
  <c r="O71" i="3"/>
  <c r="F71" i="3"/>
  <c r="P71" i="3" s="1"/>
  <c r="R357" i="5"/>
  <c r="I113" i="3"/>
  <c r="J113" i="3" s="1"/>
  <c r="U385" i="5"/>
  <c r="K123" i="3"/>
  <c r="S381" i="5"/>
  <c r="U381" i="5" s="1"/>
  <c r="R207" i="5"/>
  <c r="I67" i="3"/>
  <c r="J67" i="3" s="1"/>
  <c r="Z289" i="5"/>
  <c r="X279" i="5"/>
  <c r="M89" i="3"/>
  <c r="N89" i="3" s="1"/>
  <c r="X332" i="5"/>
  <c r="V324" i="5"/>
  <c r="X116" i="5"/>
  <c r="M39" i="3"/>
  <c r="N39" i="3" s="1"/>
  <c r="O95" i="3"/>
  <c r="F95" i="3"/>
  <c r="P95" i="3" s="1"/>
  <c r="M16" i="3"/>
  <c r="Z208" i="5"/>
  <c r="V32" i="5"/>
  <c r="O76" i="3"/>
  <c r="L207" i="5"/>
  <c r="Y207" i="5"/>
  <c r="E67" i="3"/>
  <c r="H133" i="3"/>
  <c r="P133" i="3" s="1"/>
  <c r="X390" i="5"/>
  <c r="M125" i="3"/>
  <c r="N125" i="3" s="1"/>
  <c r="X20" i="5"/>
  <c r="V12" i="5"/>
  <c r="Z47" i="5"/>
  <c r="O332" i="5"/>
  <c r="M324" i="5"/>
  <c r="U201" i="5"/>
  <c r="Z201" i="5" s="1"/>
  <c r="K65" i="3"/>
  <c r="L65" i="3" s="1"/>
  <c r="Z28" i="5"/>
  <c r="Z298" i="5"/>
  <c r="P76" i="3"/>
  <c r="X151" i="5"/>
  <c r="M51" i="3"/>
  <c r="V147" i="5"/>
  <c r="X147" i="5" s="1"/>
  <c r="X385" i="5"/>
  <c r="M123" i="3"/>
  <c r="V381" i="5"/>
  <c r="X381" i="5" s="1"/>
  <c r="X428" i="5"/>
  <c r="M135" i="3"/>
  <c r="M102" i="3"/>
  <c r="N102" i="3" s="1"/>
  <c r="N103" i="3"/>
  <c r="U229" i="5"/>
  <c r="K75" i="3"/>
  <c r="S225" i="5"/>
  <c r="U225" i="5" s="1"/>
  <c r="F83" i="3"/>
  <c r="P83" i="3" s="1"/>
  <c r="O83" i="3"/>
  <c r="O468" i="5"/>
  <c r="G149" i="3"/>
  <c r="H149" i="3" s="1"/>
  <c r="Z281" i="5"/>
  <c r="V223" i="5"/>
  <c r="O51" i="5"/>
  <c r="G19" i="3"/>
  <c r="H19" i="3" s="1"/>
  <c r="O73" i="5"/>
  <c r="G27" i="3"/>
  <c r="M69" i="5"/>
  <c r="O69" i="5" s="1"/>
  <c r="Z142" i="5"/>
  <c r="L37" i="3"/>
  <c r="U441" i="5"/>
  <c r="K139" i="3"/>
  <c r="L139" i="3" s="1"/>
  <c r="U332" i="5"/>
  <c r="S324" i="5"/>
  <c r="O394" i="5"/>
  <c r="X307" i="5"/>
  <c r="M99" i="3"/>
  <c r="V303" i="5"/>
  <c r="X303" i="5" s="1"/>
  <c r="U156" i="5"/>
  <c r="K53" i="3"/>
  <c r="L53" i="3" s="1"/>
  <c r="V145" i="5"/>
  <c r="P145" i="5"/>
  <c r="M145" i="5"/>
  <c r="J145" i="5"/>
  <c r="S145" i="5"/>
  <c r="I145" i="5"/>
  <c r="I144" i="5" s="1"/>
  <c r="O133" i="3"/>
  <c r="Y307" i="5"/>
  <c r="L307" i="5"/>
  <c r="E99" i="3"/>
  <c r="J303" i="5"/>
  <c r="Y129" i="5"/>
  <c r="L129" i="5"/>
  <c r="E43" i="3"/>
  <c r="X38" i="5"/>
  <c r="M15" i="3"/>
  <c r="N15" i="3" s="1"/>
  <c r="R234" i="5"/>
  <c r="I77" i="3"/>
  <c r="J77" i="3" s="1"/>
  <c r="F30" i="3"/>
  <c r="Z184" i="5"/>
  <c r="F148" i="3"/>
  <c r="P148" i="3" s="1"/>
  <c r="O148" i="3"/>
  <c r="L194" i="5"/>
  <c r="Y194" i="5"/>
  <c r="E63" i="3"/>
  <c r="F47" i="3"/>
  <c r="P47" i="3" s="1"/>
  <c r="O47" i="3"/>
  <c r="O428" i="5"/>
  <c r="G135" i="3"/>
  <c r="H135" i="3" s="1"/>
  <c r="U234" i="5"/>
  <c r="K77" i="3"/>
  <c r="L77" i="3" s="1"/>
  <c r="L78" i="5"/>
  <c r="Y78" i="5"/>
  <c r="E29" i="3"/>
  <c r="X207" i="5"/>
  <c r="M67" i="3"/>
  <c r="N67" i="3" s="1"/>
  <c r="F65" i="3"/>
  <c r="N13" i="3"/>
  <c r="P13" i="3" s="1"/>
  <c r="O13" i="3"/>
  <c r="U463" i="5"/>
  <c r="K147" i="3"/>
  <c r="S459" i="5"/>
  <c r="U459" i="5" s="1"/>
  <c r="Z52" i="5"/>
  <c r="O194" i="5"/>
  <c r="G63" i="3"/>
  <c r="R332" i="5"/>
  <c r="P324" i="5"/>
  <c r="C48" i="3"/>
  <c r="E47" i="2"/>
  <c r="R194" i="5"/>
  <c r="I63" i="3"/>
  <c r="L332" i="5"/>
  <c r="Y332" i="5"/>
  <c r="J324" i="5"/>
  <c r="O363" i="5"/>
  <c r="G115" i="3"/>
  <c r="H115" i="3" s="1"/>
  <c r="Z133" i="5"/>
  <c r="M120" i="5"/>
  <c r="M110" i="5" s="1"/>
  <c r="F37" i="3"/>
  <c r="Z287" i="5"/>
  <c r="X194" i="5"/>
  <c r="M63" i="3"/>
  <c r="U307" i="5"/>
  <c r="K99" i="3"/>
  <c r="S303" i="5"/>
  <c r="U303" i="5" s="1"/>
  <c r="U151" i="5"/>
  <c r="K51" i="3"/>
  <c r="S147" i="5"/>
  <c r="U147" i="5" s="1"/>
  <c r="Y468" i="5"/>
  <c r="L468" i="5"/>
  <c r="E149" i="3"/>
  <c r="O20" i="3"/>
  <c r="F20" i="3"/>
  <c r="P20" i="3" s="1"/>
  <c r="X272" i="5"/>
  <c r="M87" i="3"/>
  <c r="Z203" i="5"/>
  <c r="S457" i="5"/>
  <c r="V457" i="5"/>
  <c r="M457" i="5"/>
  <c r="L357" i="5"/>
  <c r="Y357" i="5"/>
  <c r="E113" i="3"/>
  <c r="X468" i="5"/>
  <c r="M149" i="3"/>
  <c r="N149" i="3" s="1"/>
  <c r="O254" i="5"/>
  <c r="M246" i="5"/>
  <c r="O307" i="5"/>
  <c r="G99" i="3"/>
  <c r="M303" i="5"/>
  <c r="O303" i="5" s="1"/>
  <c r="E71" i="2"/>
  <c r="C72" i="3"/>
  <c r="F92" i="3"/>
  <c r="P92" i="3" s="1"/>
  <c r="O92" i="3"/>
  <c r="Z220" i="5"/>
  <c r="U428" i="5"/>
  <c r="K135" i="3"/>
  <c r="R51" i="5"/>
  <c r="I19" i="3"/>
  <c r="J19" i="3" s="1"/>
  <c r="O390" i="5"/>
  <c r="G125" i="3"/>
  <c r="H125" i="3" s="1"/>
  <c r="G30" i="3"/>
  <c r="H30" i="3" s="1"/>
  <c r="H31" i="3"/>
  <c r="Z469" i="5"/>
  <c r="Z74" i="5"/>
  <c r="V432" i="5"/>
  <c r="R272" i="5"/>
  <c r="I87" i="3"/>
  <c r="J87" i="3" s="1"/>
  <c r="U434" i="5"/>
  <c r="S432" i="5"/>
  <c r="S422" i="5" s="1"/>
  <c r="O35" i="3"/>
  <c r="F35" i="3"/>
  <c r="P35" i="3" s="1"/>
  <c r="O85" i="3"/>
  <c r="F85" i="3"/>
  <c r="G54" i="3"/>
  <c r="H55" i="3"/>
  <c r="Y279" i="5"/>
  <c r="R156" i="5"/>
  <c r="I53" i="3"/>
  <c r="J53" i="3" s="1"/>
  <c r="Z130" i="5"/>
  <c r="U350" i="5"/>
  <c r="K111" i="3"/>
  <c r="Y254" i="5"/>
  <c r="L254" i="5"/>
  <c r="J246" i="5"/>
  <c r="X234" i="5"/>
  <c r="M77" i="3"/>
  <c r="N77" i="3" s="1"/>
  <c r="V379" i="5"/>
  <c r="S379" i="5"/>
  <c r="J379" i="5"/>
  <c r="P379" i="5"/>
  <c r="M379" i="5"/>
  <c r="I379" i="5"/>
  <c r="I378" i="5" s="1"/>
  <c r="R229" i="5"/>
  <c r="I75" i="3"/>
  <c r="P225" i="5"/>
  <c r="R225" i="5" s="1"/>
  <c r="R116" i="5"/>
  <c r="I39" i="3"/>
  <c r="G126" i="3"/>
  <c r="H126" i="3" s="1"/>
  <c r="H127" i="3"/>
  <c r="L51" i="5"/>
  <c r="Y51" i="5"/>
  <c r="E19" i="3"/>
  <c r="X350" i="5"/>
  <c r="M111" i="3"/>
  <c r="N111" i="3" s="1"/>
  <c r="R312" i="5"/>
  <c r="I101" i="3"/>
  <c r="J101" i="3" s="1"/>
  <c r="L428" i="5"/>
  <c r="Y428" i="5"/>
  <c r="E135" i="3"/>
  <c r="Y285" i="5"/>
  <c r="L285" i="5"/>
  <c r="E91" i="3"/>
  <c r="O143" i="3"/>
  <c r="F143" i="3"/>
  <c r="P143" i="3" s="1"/>
  <c r="X463" i="5"/>
  <c r="M147" i="3"/>
  <c r="V459" i="5"/>
  <c r="X459" i="5" s="1"/>
  <c r="L434" i="5"/>
  <c r="Y434" i="5"/>
  <c r="J28" i="3"/>
  <c r="P28" i="3" s="1"/>
  <c r="O28" i="3"/>
  <c r="Z106" i="5"/>
  <c r="U194" i="5"/>
  <c r="K63" i="3"/>
  <c r="Z53" i="5"/>
  <c r="Z209" i="5"/>
  <c r="Z359" i="5"/>
  <c r="O156" i="5"/>
  <c r="G53" i="3"/>
  <c r="H53" i="3" s="1"/>
  <c r="R254" i="5"/>
  <c r="P246" i="5"/>
  <c r="O107" i="3"/>
  <c r="F107" i="3"/>
  <c r="P107" i="3" s="1"/>
  <c r="Z286" i="5"/>
  <c r="J85" i="3"/>
  <c r="U207" i="5"/>
  <c r="K67" i="3"/>
  <c r="L67" i="3" s="1"/>
  <c r="Z364" i="5"/>
  <c r="P98" i="3"/>
  <c r="O312" i="5"/>
  <c r="G101" i="3"/>
  <c r="H101" i="3" s="1"/>
  <c r="O78" i="5"/>
  <c r="G29" i="3"/>
  <c r="H29" i="3" s="1"/>
  <c r="X254" i="5"/>
  <c r="V246" i="5"/>
  <c r="O410" i="5"/>
  <c r="M402" i="5"/>
  <c r="L156" i="5"/>
  <c r="Y156" i="5"/>
  <c r="E53" i="3"/>
  <c r="P146" i="3"/>
  <c r="O41" i="3"/>
  <c r="F41" i="3"/>
  <c r="P41" i="3" s="1"/>
  <c r="Z340" i="5"/>
  <c r="R468" i="5"/>
  <c r="I149" i="3"/>
  <c r="J149" i="3" s="1"/>
  <c r="O93" i="3"/>
  <c r="F93" i="3"/>
  <c r="P93" i="3" s="1"/>
  <c r="O38" i="5"/>
  <c r="G15" i="3"/>
  <c r="R350" i="5"/>
  <c r="I111" i="3"/>
  <c r="X229" i="5"/>
  <c r="M75" i="3"/>
  <c r="V225" i="5"/>
  <c r="X225" i="5" s="1"/>
  <c r="X357" i="5"/>
  <c r="M113" i="3"/>
  <c r="N113" i="3" s="1"/>
  <c r="U312" i="5"/>
  <c r="K101" i="3"/>
  <c r="L101" i="3" s="1"/>
  <c r="O441" i="5"/>
  <c r="G139" i="3"/>
  <c r="H139" i="3" s="1"/>
  <c r="O116" i="3"/>
  <c r="F116" i="3"/>
  <c r="P116" i="3" s="1"/>
  <c r="X363" i="5"/>
  <c r="M115" i="3"/>
  <c r="N115" i="3" s="1"/>
  <c r="O234" i="5"/>
  <c r="G77" i="3"/>
  <c r="H77" i="3" s="1"/>
  <c r="Y176" i="5"/>
  <c r="L176" i="5"/>
  <c r="J168" i="5"/>
  <c r="N127" i="3"/>
  <c r="M126" i="3"/>
  <c r="N126" i="3" s="1"/>
  <c r="Y38" i="5"/>
  <c r="L38" i="5"/>
  <c r="E15" i="3"/>
  <c r="Y385" i="5"/>
  <c r="L385" i="5"/>
  <c r="E123" i="3"/>
  <c r="J381" i="5"/>
  <c r="R307" i="5"/>
  <c r="I99" i="3"/>
  <c r="P303" i="5"/>
  <c r="R303" i="5" s="1"/>
  <c r="Y98" i="5"/>
  <c r="L98" i="5"/>
  <c r="J90" i="5"/>
  <c r="U116" i="5"/>
  <c r="K39" i="3"/>
  <c r="L39" i="3" s="1"/>
  <c r="R410" i="5"/>
  <c r="P402" i="5"/>
  <c r="R151" i="5"/>
  <c r="I51" i="3"/>
  <c r="P147" i="5"/>
  <c r="R147" i="5" s="1"/>
  <c r="O151" i="5"/>
  <c r="G51" i="3"/>
  <c r="M147" i="5"/>
  <c r="O147" i="5" s="1"/>
  <c r="L85" i="3"/>
  <c r="Z157" i="5"/>
  <c r="X129" i="5"/>
  <c r="M43" i="3"/>
  <c r="N43" i="3" s="1"/>
  <c r="R176" i="5"/>
  <c r="P168" i="5"/>
  <c r="Z308" i="5"/>
  <c r="Z365" i="5"/>
  <c r="O141" i="3"/>
  <c r="F141" i="3"/>
  <c r="P141" i="3" s="1"/>
  <c r="P74" i="3"/>
  <c r="U390" i="5"/>
  <c r="K125" i="3"/>
  <c r="L125" i="3" s="1"/>
  <c r="F151" i="3"/>
  <c r="E150" i="3"/>
  <c r="U285" i="5"/>
  <c r="K91" i="3"/>
  <c r="L91" i="3" s="1"/>
  <c r="Z210" i="5"/>
  <c r="U51" i="5"/>
  <c r="K19" i="3"/>
  <c r="L19" i="3" s="1"/>
  <c r="Z367" i="5"/>
  <c r="O272" i="5"/>
  <c r="G87" i="3"/>
  <c r="F69" i="3"/>
  <c r="P69" i="3" s="1"/>
  <c r="O69" i="3"/>
  <c r="Z366" i="5"/>
  <c r="O176" i="5"/>
  <c r="M168" i="5"/>
  <c r="L363" i="5"/>
  <c r="Y363" i="5"/>
  <c r="E115" i="3"/>
  <c r="R285" i="5"/>
  <c r="I91" i="3"/>
  <c r="J91" i="3" s="1"/>
  <c r="L350" i="5"/>
  <c r="Y350" i="5"/>
  <c r="E111" i="3"/>
  <c r="Z39" i="5"/>
  <c r="I150" i="3"/>
  <c r="J150" i="3" s="1"/>
  <c r="J151" i="3"/>
  <c r="G102" i="3"/>
  <c r="H102" i="3" s="1"/>
  <c r="H103" i="3"/>
  <c r="Z132" i="5"/>
  <c r="R98" i="5"/>
  <c r="P90" i="5"/>
  <c r="F119" i="3"/>
  <c r="P119" i="3" s="1"/>
  <c r="O119" i="3"/>
  <c r="U410" i="5"/>
  <c r="S402" i="5"/>
  <c r="Z448" i="5"/>
  <c r="Z437" i="5"/>
  <c r="Z123" i="5"/>
  <c r="L20" i="5"/>
  <c r="Y20" i="5"/>
  <c r="J12" i="5"/>
  <c r="U254" i="5"/>
  <c r="S246" i="5"/>
  <c r="O434" i="5"/>
  <c r="U468" i="5"/>
  <c r="K149" i="3"/>
  <c r="L149" i="3" s="1"/>
  <c r="O98" i="5"/>
  <c r="M90" i="5"/>
  <c r="U73" i="5"/>
  <c r="K27" i="3"/>
  <c r="S69" i="5"/>
  <c r="U69" i="5" s="1"/>
  <c r="R38" i="5"/>
  <c r="I15" i="3"/>
  <c r="O285" i="5"/>
  <c r="G91" i="3"/>
  <c r="H91" i="3" s="1"/>
  <c r="L116" i="5"/>
  <c r="Y116" i="5"/>
  <c r="E39" i="3"/>
  <c r="F52" i="3"/>
  <c r="P52" i="3" s="1"/>
  <c r="O52" i="3"/>
  <c r="Z117" i="5"/>
  <c r="X73" i="5"/>
  <c r="M27" i="3"/>
  <c r="V69" i="5"/>
  <c r="X69" i="5" s="1"/>
  <c r="L472" i="5"/>
  <c r="Z292" i="5"/>
  <c r="Z442" i="5"/>
  <c r="P50" i="3"/>
  <c r="F17" i="3"/>
  <c r="L390" i="5"/>
  <c r="Y390" i="5"/>
  <c r="E125" i="3"/>
  <c r="Z199" i="5"/>
  <c r="O129" i="5"/>
  <c r="G43" i="3"/>
  <c r="H43" i="3" s="1"/>
  <c r="F117" i="3"/>
  <c r="P117" i="3" s="1"/>
  <c r="O117" i="3"/>
  <c r="O207" i="5"/>
  <c r="G67" i="3"/>
  <c r="H67" i="3" s="1"/>
  <c r="Y272" i="5"/>
  <c r="L272" i="5"/>
  <c r="E87" i="3"/>
  <c r="Z214" i="5"/>
  <c r="R73" i="5"/>
  <c r="I27" i="3"/>
  <c r="P69" i="5"/>
  <c r="R69" i="5" s="1"/>
  <c r="Z313" i="5"/>
  <c r="U176" i="5"/>
  <c r="S168" i="5"/>
  <c r="E9" i="2"/>
  <c r="C10" i="3"/>
  <c r="Z351" i="5"/>
  <c r="Z235" i="5"/>
  <c r="R463" i="5"/>
  <c r="I147" i="3"/>
  <c r="P459" i="5"/>
  <c r="R459" i="5" s="1"/>
  <c r="Z386" i="5"/>
  <c r="X51" i="5"/>
  <c r="M19" i="3"/>
  <c r="N19" i="3" s="1"/>
  <c r="O350" i="5"/>
  <c r="G111" i="3"/>
  <c r="H111" i="3" s="1"/>
  <c r="F45" i="3"/>
  <c r="P45" i="3" s="1"/>
  <c r="O45" i="3"/>
  <c r="E24" i="2"/>
  <c r="C25" i="3"/>
  <c r="U98" i="5"/>
  <c r="S90" i="5"/>
  <c r="P8" i="3"/>
  <c r="O131" i="3"/>
  <c r="F131" i="3"/>
  <c r="P131" i="3" s="1"/>
  <c r="Z43" i="5"/>
  <c r="X410" i="5"/>
  <c r="V402" i="5"/>
  <c r="I65" i="4"/>
  <c r="R129" i="5"/>
  <c r="I43" i="3"/>
  <c r="J43" i="3" s="1"/>
  <c r="U20" i="5"/>
  <c r="S12" i="5"/>
  <c r="L410" i="5"/>
  <c r="Y410" i="5"/>
  <c r="J402" i="5"/>
  <c r="U129" i="5"/>
  <c r="K43" i="3"/>
  <c r="L43" i="3" s="1"/>
  <c r="O229" i="5"/>
  <c r="G75" i="3"/>
  <c r="M225" i="5"/>
  <c r="O225" i="5" s="1"/>
  <c r="Z391" i="5"/>
  <c r="O435" i="5"/>
  <c r="G137" i="3"/>
  <c r="H137" i="3" s="1"/>
  <c r="Z121" i="5"/>
  <c r="Z370" i="5"/>
  <c r="Z273" i="5"/>
  <c r="O11" i="3"/>
  <c r="F11" i="3"/>
  <c r="P11" i="3" s="1"/>
  <c r="L312" i="5"/>
  <c r="Y312" i="5"/>
  <c r="E101" i="3"/>
  <c r="F21" i="3"/>
  <c r="P21" i="3" s="1"/>
  <c r="O21" i="3"/>
  <c r="X176" i="5"/>
  <c r="V168" i="5"/>
  <c r="Y234" i="5"/>
  <c r="L234" i="5"/>
  <c r="E77" i="3"/>
  <c r="U279" i="5"/>
  <c r="K89" i="3"/>
  <c r="L89" i="3" s="1"/>
  <c r="X441" i="5"/>
  <c r="M139" i="3"/>
  <c r="N139" i="3" s="1"/>
  <c r="P61" i="3"/>
  <c r="O463" i="5"/>
  <c r="G147" i="3"/>
  <c r="M459" i="5"/>
  <c r="O459" i="5" s="1"/>
  <c r="X98" i="5"/>
  <c r="V90" i="5"/>
  <c r="Z131" i="5"/>
  <c r="Z376" i="5"/>
  <c r="U363" i="5"/>
  <c r="K115" i="3"/>
  <c r="L115" i="3" s="1"/>
  <c r="V67" i="5"/>
  <c r="S67" i="5"/>
  <c r="M67" i="5"/>
  <c r="J67" i="5"/>
  <c r="P67" i="5"/>
  <c r="I67" i="5"/>
  <c r="I66" i="5" s="1"/>
  <c r="O140" i="3"/>
  <c r="F140" i="3"/>
  <c r="P140" i="3" s="1"/>
  <c r="Y229" i="5"/>
  <c r="L229" i="5"/>
  <c r="E75" i="3"/>
  <c r="J225" i="5"/>
  <c r="O20" i="5"/>
  <c r="M12" i="5"/>
  <c r="R441" i="5"/>
  <c r="I139" i="3"/>
  <c r="J139" i="3" s="1"/>
  <c r="O68" i="3"/>
  <c r="F68" i="3"/>
  <c r="P68" i="3" s="1"/>
  <c r="X78" i="5"/>
  <c r="M29" i="3"/>
  <c r="N29" i="3" s="1"/>
  <c r="Z153" i="5"/>
  <c r="Y151" i="5"/>
  <c r="L151" i="5"/>
  <c r="E51" i="3"/>
  <c r="J147" i="5"/>
  <c r="U272" i="5"/>
  <c r="K87" i="3"/>
  <c r="L87" i="3" s="1"/>
  <c r="R363" i="5"/>
  <c r="I115" i="3"/>
  <c r="J115" i="3" s="1"/>
  <c r="Z211" i="5"/>
  <c r="X156" i="5"/>
  <c r="M53" i="3"/>
  <c r="N53" i="3" s="1"/>
  <c r="C132" i="3"/>
  <c r="E131" i="2"/>
  <c r="Z152" i="5"/>
  <c r="Y441" i="5"/>
  <c r="L441" i="5"/>
  <c r="E139" i="3"/>
  <c r="R390" i="5"/>
  <c r="I125" i="3"/>
  <c r="J125" i="3" s="1"/>
  <c r="Y73" i="5"/>
  <c r="L73" i="5"/>
  <c r="E27" i="3"/>
  <c r="J69" i="5"/>
  <c r="O44" i="3"/>
  <c r="F44" i="3"/>
  <c r="P44" i="3" s="1"/>
  <c r="O385" i="5"/>
  <c r="G123" i="3"/>
  <c r="M381" i="5"/>
  <c r="O381" i="5" s="1"/>
  <c r="K102" i="3"/>
  <c r="L102" i="3" s="1"/>
  <c r="L103" i="3"/>
  <c r="O116" i="5"/>
  <c r="G39" i="3"/>
  <c r="L463" i="5"/>
  <c r="Y463" i="5"/>
  <c r="E147" i="3"/>
  <c r="J459" i="5"/>
  <c r="F89" i="3"/>
  <c r="X312" i="5"/>
  <c r="M101" i="3"/>
  <c r="N101" i="3" s="1"/>
  <c r="U38" i="5"/>
  <c r="K15" i="3"/>
  <c r="Z58" i="5"/>
  <c r="R428" i="5"/>
  <c r="I135" i="3"/>
  <c r="C144" i="3"/>
  <c r="E143" i="2"/>
  <c r="Z429" i="5"/>
  <c r="Z136" i="5"/>
  <c r="F23" i="3"/>
  <c r="P23" i="3" s="1"/>
  <c r="O23" i="3"/>
  <c r="U78" i="5"/>
  <c r="K29" i="3"/>
  <c r="L29" i="3" s="1"/>
  <c r="L435" i="5"/>
  <c r="Y435" i="5"/>
  <c r="E137" i="3"/>
  <c r="R385" i="5"/>
  <c r="I123" i="3"/>
  <c r="P381" i="5"/>
  <c r="R381" i="5" s="1"/>
  <c r="Z418" i="5"/>
  <c r="O59" i="3"/>
  <c r="F59" i="3"/>
  <c r="P59" i="3" s="1"/>
  <c r="R78" i="5"/>
  <c r="I29" i="3"/>
  <c r="J29" i="3" s="1"/>
  <c r="Z445" i="5"/>
  <c r="Z230" i="5"/>
  <c r="R20" i="5"/>
  <c r="P12" i="5"/>
  <c r="C120" i="3" l="1"/>
  <c r="P457" i="5"/>
  <c r="I10" i="15"/>
  <c r="E95" i="2"/>
  <c r="I457" i="5"/>
  <c r="I456" i="5" s="1"/>
  <c r="I223" i="5"/>
  <c r="I222" i="5" s="1"/>
  <c r="P223" i="5"/>
  <c r="P222" i="5" s="1"/>
  <c r="J223" i="5"/>
  <c r="J222" i="5" s="1"/>
  <c r="M223" i="5"/>
  <c r="L120" i="5"/>
  <c r="J110" i="5"/>
  <c r="L110" i="5" s="1"/>
  <c r="Y122" i="5"/>
  <c r="L122" i="5"/>
  <c r="O122" i="5"/>
  <c r="X122" i="5"/>
  <c r="R122" i="5"/>
  <c r="C40" i="3"/>
  <c r="F40" i="3" s="1"/>
  <c r="R120" i="5"/>
  <c r="I40" i="3"/>
  <c r="I36" i="3" s="1"/>
  <c r="U122" i="5"/>
  <c r="I109" i="4"/>
  <c r="E35" i="2" s="1"/>
  <c r="O356" i="5"/>
  <c r="R356" i="5"/>
  <c r="I265" i="4"/>
  <c r="I244" i="4" s="1"/>
  <c r="E80" i="2" s="1"/>
  <c r="V188" i="5"/>
  <c r="C88" i="3"/>
  <c r="H88" i="3" s="1"/>
  <c r="I32" i="5"/>
  <c r="O32" i="5" s="1"/>
  <c r="P200" i="5"/>
  <c r="P198" i="5" s="1"/>
  <c r="P188" i="5" s="1"/>
  <c r="P344" i="5"/>
  <c r="R344" i="5" s="1"/>
  <c r="R354" i="5"/>
  <c r="I112" i="3"/>
  <c r="I108" i="3" s="1"/>
  <c r="M200" i="5"/>
  <c r="M198" i="5" s="1"/>
  <c r="M188" i="5" s="1"/>
  <c r="Y354" i="5"/>
  <c r="X354" i="5"/>
  <c r="O354" i="5"/>
  <c r="S200" i="5"/>
  <c r="S198" i="5" s="1"/>
  <c r="S188" i="5" s="1"/>
  <c r="J200" i="5"/>
  <c r="J198" i="5" s="1"/>
  <c r="J188" i="5" s="1"/>
  <c r="M344" i="5"/>
  <c r="G112" i="3"/>
  <c r="G108" i="3" s="1"/>
  <c r="N64" i="3"/>
  <c r="X356" i="5"/>
  <c r="X44" i="5"/>
  <c r="V344" i="5"/>
  <c r="X344" i="5" s="1"/>
  <c r="M112" i="3"/>
  <c r="M108" i="3" s="1"/>
  <c r="R42" i="5"/>
  <c r="I200" i="5"/>
  <c r="I198" i="5" s="1"/>
  <c r="I188" i="5" s="1"/>
  <c r="Y278" i="5"/>
  <c r="L44" i="5"/>
  <c r="U42" i="5"/>
  <c r="K112" i="3"/>
  <c r="O44" i="5"/>
  <c r="R44" i="5"/>
  <c r="I16" i="3"/>
  <c r="I12" i="3" s="1"/>
  <c r="J344" i="5"/>
  <c r="L344" i="5" s="1"/>
  <c r="E112" i="3"/>
  <c r="E108" i="3" s="1"/>
  <c r="X278" i="5"/>
  <c r="L354" i="5"/>
  <c r="I343" i="4"/>
  <c r="E107" i="2" s="1"/>
  <c r="J42" i="5"/>
  <c r="L42" i="5" s="1"/>
  <c r="J276" i="5"/>
  <c r="J266" i="5" s="1"/>
  <c r="Y44" i="5"/>
  <c r="O276" i="5"/>
  <c r="S32" i="5"/>
  <c r="K16" i="3"/>
  <c r="K12" i="3" s="1"/>
  <c r="U44" i="5"/>
  <c r="U356" i="5"/>
  <c r="U354" i="5"/>
  <c r="L356" i="5"/>
  <c r="M266" i="5"/>
  <c r="Y356" i="5"/>
  <c r="N37" i="3"/>
  <c r="P37" i="3" s="1"/>
  <c r="O278" i="5"/>
  <c r="E59" i="2"/>
  <c r="R278" i="5"/>
  <c r="C60" i="3"/>
  <c r="L278" i="5"/>
  <c r="I47" i="15"/>
  <c r="I59" i="15" s="1"/>
  <c r="U278" i="5"/>
  <c r="C112" i="3"/>
  <c r="C16" i="3"/>
  <c r="I31" i="4"/>
  <c r="C12" i="3" s="1"/>
  <c r="E136" i="3"/>
  <c r="E132" i="3" s="1"/>
  <c r="G136" i="3"/>
  <c r="H136" i="3" s="1"/>
  <c r="Z277" i="5"/>
  <c r="I266" i="5"/>
  <c r="O82" i="5"/>
  <c r="U276" i="5"/>
  <c r="I88" i="3"/>
  <c r="R276" i="5"/>
  <c r="K88" i="3"/>
  <c r="K84" i="3" s="1"/>
  <c r="Z161" i="5"/>
  <c r="X276" i="5"/>
  <c r="V266" i="5"/>
  <c r="M88" i="3"/>
  <c r="M84" i="3" s="1"/>
  <c r="R432" i="5"/>
  <c r="Z433" i="5"/>
  <c r="Y160" i="5"/>
  <c r="L432" i="5"/>
  <c r="O432" i="5"/>
  <c r="J55" i="3"/>
  <c r="P55" i="3" s="1"/>
  <c r="O109" i="3"/>
  <c r="J79" i="3"/>
  <c r="K54" i="3"/>
  <c r="L54" i="3" s="1"/>
  <c r="J54" i="3"/>
  <c r="Z472" i="5"/>
  <c r="O238" i="5"/>
  <c r="Z238" i="5" s="1"/>
  <c r="Z473" i="5"/>
  <c r="E54" i="3"/>
  <c r="O151" i="3"/>
  <c r="Z316" i="5"/>
  <c r="L79" i="3"/>
  <c r="O55" i="3"/>
  <c r="Z83" i="5"/>
  <c r="Z239" i="5"/>
  <c r="O17" i="3"/>
  <c r="H54" i="3"/>
  <c r="N54" i="3"/>
  <c r="Y316" i="5"/>
  <c r="Y394" i="5"/>
  <c r="K30" i="3"/>
  <c r="L30" i="3" s="1"/>
  <c r="P30" i="3" s="1"/>
  <c r="L31" i="3"/>
  <c r="P31" i="3" s="1"/>
  <c r="U82" i="5"/>
  <c r="R82" i="5"/>
  <c r="L82" i="5"/>
  <c r="O103" i="3"/>
  <c r="I102" i="3"/>
  <c r="J102" i="3" s="1"/>
  <c r="J103" i="3"/>
  <c r="X110" i="5"/>
  <c r="Y472" i="5"/>
  <c r="O79" i="3"/>
  <c r="M78" i="3"/>
  <c r="N78" i="3" s="1"/>
  <c r="P78" i="3" s="1"/>
  <c r="I323" i="5"/>
  <c r="E102" i="3"/>
  <c r="F102" i="3" s="1"/>
  <c r="F103" i="3"/>
  <c r="M150" i="3"/>
  <c r="N150" i="3" s="1"/>
  <c r="N151" i="3"/>
  <c r="H79" i="3"/>
  <c r="Z394" i="5"/>
  <c r="H151" i="3"/>
  <c r="G150" i="3"/>
  <c r="H150" i="3" s="1"/>
  <c r="U344" i="5"/>
  <c r="I126" i="3"/>
  <c r="J126" i="3" s="1"/>
  <c r="P126" i="3" s="1"/>
  <c r="J127" i="3"/>
  <c r="P127" i="3" s="1"/>
  <c r="N109" i="3"/>
  <c r="P109" i="3" s="1"/>
  <c r="I89" i="5"/>
  <c r="O110" i="5"/>
  <c r="E128" i="2"/>
  <c r="P17" i="3"/>
  <c r="P422" i="5"/>
  <c r="R422" i="5" s="1"/>
  <c r="U110" i="5"/>
  <c r="R110" i="5"/>
  <c r="O65" i="3"/>
  <c r="Z279" i="5"/>
  <c r="Z151" i="5"/>
  <c r="I401" i="5"/>
  <c r="I136" i="3"/>
  <c r="J136" i="3" s="1"/>
  <c r="O89" i="3"/>
  <c r="K40" i="3"/>
  <c r="Z307" i="5"/>
  <c r="U120" i="5"/>
  <c r="Z285" i="5"/>
  <c r="Y120" i="5"/>
  <c r="Z435" i="5"/>
  <c r="Y432" i="5"/>
  <c r="Z434" i="5"/>
  <c r="Z350" i="5"/>
  <c r="U422" i="5"/>
  <c r="P89" i="3"/>
  <c r="R246" i="5"/>
  <c r="I82" i="3"/>
  <c r="N63" i="3"/>
  <c r="M60" i="3"/>
  <c r="H147" i="3"/>
  <c r="G145" i="3"/>
  <c r="H145" i="3" s="1"/>
  <c r="U402" i="5"/>
  <c r="K130" i="3"/>
  <c r="H87" i="3"/>
  <c r="G84" i="3"/>
  <c r="R402" i="5"/>
  <c r="I130" i="3"/>
  <c r="L422" i="5"/>
  <c r="O113" i="3"/>
  <c r="F113" i="3"/>
  <c r="P113" i="3" s="1"/>
  <c r="M12" i="3"/>
  <c r="X168" i="5"/>
  <c r="M58" i="3"/>
  <c r="F39" i="3"/>
  <c r="O39" i="3"/>
  <c r="Z363" i="5"/>
  <c r="Y381" i="5"/>
  <c r="L381" i="5"/>
  <c r="Z381" i="5" s="1"/>
  <c r="Z156" i="5"/>
  <c r="J378" i="5"/>
  <c r="Y379" i="5"/>
  <c r="L379" i="5"/>
  <c r="S300" i="5"/>
  <c r="S245" i="5" s="1"/>
  <c r="U301" i="5"/>
  <c r="Y147" i="5"/>
  <c r="L147" i="5"/>
  <c r="Z147" i="5" s="1"/>
  <c r="E23" i="2"/>
  <c r="C24" i="3"/>
  <c r="J147" i="3"/>
  <c r="I145" i="3"/>
  <c r="J145" i="3" s="1"/>
  <c r="U168" i="5"/>
  <c r="K58" i="3"/>
  <c r="O168" i="5"/>
  <c r="G58" i="3"/>
  <c r="R168" i="5"/>
  <c r="I58" i="3"/>
  <c r="H51" i="3"/>
  <c r="G49" i="3"/>
  <c r="H49" i="3" s="1"/>
  <c r="F123" i="3"/>
  <c r="O123" i="3"/>
  <c r="E121" i="3"/>
  <c r="N75" i="3"/>
  <c r="M73" i="3"/>
  <c r="N73" i="3" s="1"/>
  <c r="O402" i="5"/>
  <c r="G130" i="3"/>
  <c r="Z428" i="5"/>
  <c r="S378" i="5"/>
  <c r="S323" i="5" s="1"/>
  <c r="U379" i="5"/>
  <c r="X120" i="5"/>
  <c r="M40" i="3"/>
  <c r="Z357" i="5"/>
  <c r="L51" i="3"/>
  <c r="K49" i="3"/>
  <c r="L49" i="3" s="1"/>
  <c r="E36" i="3"/>
  <c r="Z332" i="5"/>
  <c r="H63" i="3"/>
  <c r="U145" i="5"/>
  <c r="S144" i="5"/>
  <c r="S222" i="5"/>
  <c r="N51" i="3"/>
  <c r="M49" i="3"/>
  <c r="N49" i="3" s="1"/>
  <c r="L123" i="3"/>
  <c r="K121" i="3"/>
  <c r="L121" i="3" s="1"/>
  <c r="X301" i="5"/>
  <c r="V300" i="5"/>
  <c r="U67" i="5"/>
  <c r="S66" i="5"/>
  <c r="X90" i="5"/>
  <c r="M34" i="3"/>
  <c r="U12" i="5"/>
  <c r="K10" i="3"/>
  <c r="J15" i="3"/>
  <c r="J75" i="3"/>
  <c r="I73" i="3"/>
  <c r="J73" i="3" s="1"/>
  <c r="X67" i="5"/>
  <c r="V66" i="5"/>
  <c r="V11" i="5" s="1"/>
  <c r="L63" i="3"/>
  <c r="O139" i="3"/>
  <c r="F139" i="3"/>
  <c r="P139" i="3" s="1"/>
  <c r="Z234" i="5"/>
  <c r="U246" i="5"/>
  <c r="K82" i="3"/>
  <c r="Z441" i="5"/>
  <c r="F115" i="3"/>
  <c r="P115" i="3" s="1"/>
  <c r="O115" i="3"/>
  <c r="O301" i="5"/>
  <c r="M300" i="5"/>
  <c r="L135" i="3"/>
  <c r="Y324" i="5"/>
  <c r="L324" i="5"/>
  <c r="E106" i="3"/>
  <c r="M222" i="5"/>
  <c r="N99" i="3"/>
  <c r="M97" i="3"/>
  <c r="N97" i="3" s="1"/>
  <c r="Z73" i="5"/>
  <c r="O51" i="3"/>
  <c r="F51" i="3"/>
  <c r="E49" i="3"/>
  <c r="X402" i="5"/>
  <c r="M130" i="3"/>
  <c r="O87" i="3"/>
  <c r="F87" i="3"/>
  <c r="F125" i="3"/>
  <c r="P125" i="3" s="1"/>
  <c r="O125" i="3"/>
  <c r="Z116" i="5"/>
  <c r="R90" i="5"/>
  <c r="I34" i="3"/>
  <c r="Z385" i="5"/>
  <c r="L168" i="5"/>
  <c r="Y168" i="5"/>
  <c r="E58" i="3"/>
  <c r="O19" i="3"/>
  <c r="F19" i="3"/>
  <c r="P19" i="3" s="1"/>
  <c r="J39" i="3"/>
  <c r="V378" i="5"/>
  <c r="X379" i="5"/>
  <c r="N87" i="3"/>
  <c r="Z78" i="5"/>
  <c r="F43" i="3"/>
  <c r="P43" i="3" s="1"/>
  <c r="O43" i="3"/>
  <c r="Y145" i="5"/>
  <c r="J144" i="5"/>
  <c r="L145" i="5"/>
  <c r="V222" i="5"/>
  <c r="Z207" i="5"/>
  <c r="L15" i="3"/>
  <c r="V456" i="5"/>
  <c r="L225" i="5"/>
  <c r="Z225" i="5" s="1"/>
  <c r="Y225" i="5"/>
  <c r="J27" i="3"/>
  <c r="I25" i="3"/>
  <c r="J25" i="3" s="1"/>
  <c r="U457" i="5"/>
  <c r="S456" i="5"/>
  <c r="F75" i="3"/>
  <c r="O75" i="3"/>
  <c r="E73" i="3"/>
  <c r="L27" i="3"/>
  <c r="K25" i="3"/>
  <c r="L25" i="3" s="1"/>
  <c r="J135" i="3"/>
  <c r="Z229" i="5"/>
  <c r="F53" i="3"/>
  <c r="P53" i="3" s="1"/>
  <c r="O53" i="3"/>
  <c r="O379" i="5"/>
  <c r="M378" i="5"/>
  <c r="C57" i="3"/>
  <c r="E56" i="2"/>
  <c r="R324" i="5"/>
  <c r="I106" i="3"/>
  <c r="O135" i="3"/>
  <c r="F135" i="3"/>
  <c r="Z254" i="5"/>
  <c r="H99" i="3"/>
  <c r="G97" i="3"/>
  <c r="H97" i="3" s="1"/>
  <c r="F29" i="3"/>
  <c r="P29" i="3" s="1"/>
  <c r="O29" i="3"/>
  <c r="O67" i="3"/>
  <c r="F67" i="3"/>
  <c r="P67" i="3" s="1"/>
  <c r="Y402" i="5"/>
  <c r="L402" i="5"/>
  <c r="E130" i="3"/>
  <c r="L459" i="5"/>
  <c r="Z459" i="5" s="1"/>
  <c r="Y459" i="5"/>
  <c r="R12" i="5"/>
  <c r="I10" i="3"/>
  <c r="F147" i="3"/>
  <c r="O147" i="3"/>
  <c r="E145" i="3"/>
  <c r="P66" i="5"/>
  <c r="P11" i="5" s="1"/>
  <c r="R67" i="5"/>
  <c r="Z410" i="5"/>
  <c r="Z272" i="5"/>
  <c r="L12" i="5"/>
  <c r="Y12" i="5"/>
  <c r="E10" i="3"/>
  <c r="F150" i="3"/>
  <c r="Y90" i="5"/>
  <c r="L90" i="5"/>
  <c r="E34" i="3"/>
  <c r="Z176" i="5"/>
  <c r="L111" i="3"/>
  <c r="O246" i="5"/>
  <c r="G82" i="3"/>
  <c r="O120" i="5"/>
  <c r="G40" i="3"/>
  <c r="O63" i="3"/>
  <c r="F63" i="3"/>
  <c r="Z129" i="5"/>
  <c r="O145" i="5"/>
  <c r="M144" i="5"/>
  <c r="M89" i="5" s="1"/>
  <c r="F91" i="3"/>
  <c r="P91" i="3" s="1"/>
  <c r="O91" i="3"/>
  <c r="O99" i="3"/>
  <c r="F99" i="3"/>
  <c r="E97" i="3"/>
  <c r="H39" i="3"/>
  <c r="Z312" i="5"/>
  <c r="Y457" i="5"/>
  <c r="J456" i="5"/>
  <c r="J401" i="5" s="1"/>
  <c r="J99" i="3"/>
  <c r="I97" i="3"/>
  <c r="J97" i="3" s="1"/>
  <c r="H15" i="3"/>
  <c r="N147" i="3"/>
  <c r="M145" i="3"/>
  <c r="N145" i="3" s="1"/>
  <c r="Y69" i="5"/>
  <c r="L69" i="5"/>
  <c r="Z69" i="5" s="1"/>
  <c r="U90" i="5"/>
  <c r="K34" i="3"/>
  <c r="O42" i="5"/>
  <c r="G16" i="3"/>
  <c r="J123" i="3"/>
  <c r="I121" i="3"/>
  <c r="J121" i="3" s="1"/>
  <c r="H123" i="3"/>
  <c r="G121" i="3"/>
  <c r="H121" i="3" s="1"/>
  <c r="Y67" i="5"/>
  <c r="J66" i="5"/>
  <c r="L67" i="5"/>
  <c r="Z390" i="5"/>
  <c r="N27" i="3"/>
  <c r="M25" i="3"/>
  <c r="N25" i="3" s="1"/>
  <c r="J51" i="3"/>
  <c r="I49" i="3"/>
  <c r="J49" i="3" s="1"/>
  <c r="Z98" i="5"/>
  <c r="J111" i="3"/>
  <c r="X246" i="5"/>
  <c r="M82" i="3"/>
  <c r="Z51" i="5"/>
  <c r="X432" i="5"/>
  <c r="M136" i="3"/>
  <c r="N136" i="3" s="1"/>
  <c r="M456" i="5"/>
  <c r="M401" i="5" s="1"/>
  <c r="L99" i="3"/>
  <c r="K97" i="3"/>
  <c r="L97" i="3" s="1"/>
  <c r="R145" i="5"/>
  <c r="P144" i="5"/>
  <c r="P89" i="5" s="1"/>
  <c r="H27" i="3"/>
  <c r="G25" i="3"/>
  <c r="H25" i="3" s="1"/>
  <c r="V422" i="5"/>
  <c r="X422" i="5" s="1"/>
  <c r="H75" i="3"/>
  <c r="G73" i="3"/>
  <c r="H73" i="3" s="1"/>
  <c r="O15" i="3"/>
  <c r="F15" i="3"/>
  <c r="Z38" i="5"/>
  <c r="O77" i="3"/>
  <c r="F77" i="3"/>
  <c r="P77" i="3" s="1"/>
  <c r="O149" i="3"/>
  <c r="F149" i="3"/>
  <c r="P149" i="3" s="1"/>
  <c r="N123" i="3"/>
  <c r="M121" i="3"/>
  <c r="N121" i="3" s="1"/>
  <c r="X12" i="5"/>
  <c r="M10" i="3"/>
  <c r="Y301" i="5"/>
  <c r="J300" i="5"/>
  <c r="L301" i="5"/>
  <c r="Y246" i="5"/>
  <c r="L246" i="5"/>
  <c r="E82" i="3"/>
  <c r="U432" i="5"/>
  <c r="K136" i="3"/>
  <c r="L136" i="3" s="1"/>
  <c r="Z468" i="5"/>
  <c r="O90" i="5"/>
  <c r="G34" i="3"/>
  <c r="P378" i="5"/>
  <c r="R379" i="5"/>
  <c r="L75" i="3"/>
  <c r="K73" i="3"/>
  <c r="L73" i="3" s="1"/>
  <c r="O324" i="5"/>
  <c r="G106" i="3"/>
  <c r="X324" i="5"/>
  <c r="M106" i="3"/>
  <c r="P300" i="5"/>
  <c r="P245" i="5" s="1"/>
  <c r="R301" i="5"/>
  <c r="F27" i="3"/>
  <c r="O27" i="3"/>
  <c r="E25" i="3"/>
  <c r="O137" i="3"/>
  <c r="F137" i="3"/>
  <c r="P137" i="3" s="1"/>
  <c r="Z463" i="5"/>
  <c r="O12" i="5"/>
  <c r="G10" i="3"/>
  <c r="M66" i="5"/>
  <c r="M11" i="5" s="1"/>
  <c r="O67" i="5"/>
  <c r="F101" i="3"/>
  <c r="P101" i="3" s="1"/>
  <c r="O101" i="3"/>
  <c r="Z20" i="5"/>
  <c r="F111" i="3"/>
  <c r="O111" i="3"/>
  <c r="P85" i="3"/>
  <c r="R457" i="5"/>
  <c r="P456" i="5"/>
  <c r="J63" i="3"/>
  <c r="L147" i="3"/>
  <c r="K145" i="3"/>
  <c r="L145" i="3" s="1"/>
  <c r="P65" i="3"/>
  <c r="O422" i="5"/>
  <c r="Z194" i="5"/>
  <c r="Y303" i="5"/>
  <c r="L303" i="5"/>
  <c r="Z303" i="5" s="1"/>
  <c r="X145" i="5"/>
  <c r="V144" i="5"/>
  <c r="U324" i="5"/>
  <c r="K106" i="3"/>
  <c r="N135" i="3"/>
  <c r="X223" i="5" l="1"/>
  <c r="L457" i="5"/>
  <c r="X457" i="5"/>
  <c r="O457" i="5"/>
  <c r="Y223" i="5"/>
  <c r="O223" i="5"/>
  <c r="U223" i="5"/>
  <c r="L223" i="5"/>
  <c r="R223" i="5"/>
  <c r="I167" i="5"/>
  <c r="Y110" i="5"/>
  <c r="J89" i="5"/>
  <c r="L89" i="5" s="1"/>
  <c r="N40" i="3"/>
  <c r="H40" i="3"/>
  <c r="Z122" i="5"/>
  <c r="L40" i="3"/>
  <c r="J40" i="3"/>
  <c r="C36" i="3"/>
  <c r="J36" i="3" s="1"/>
  <c r="I88" i="4"/>
  <c r="E32" i="2" s="1"/>
  <c r="X32" i="5"/>
  <c r="U32" i="5"/>
  <c r="J112" i="3"/>
  <c r="V167" i="5"/>
  <c r="C81" i="3"/>
  <c r="C84" i="3"/>
  <c r="N84" i="3" s="1"/>
  <c r="E83" i="2"/>
  <c r="P167" i="5"/>
  <c r="R32" i="5"/>
  <c r="I11" i="5"/>
  <c r="R11" i="5" s="1"/>
  <c r="G64" i="3"/>
  <c r="H64" i="3" s="1"/>
  <c r="I64" i="3"/>
  <c r="J64" i="3" s="1"/>
  <c r="J88" i="3"/>
  <c r="P323" i="5"/>
  <c r="R323" i="5" s="1"/>
  <c r="E64" i="3"/>
  <c r="F64" i="3" s="1"/>
  <c r="Y344" i="5"/>
  <c r="M323" i="5"/>
  <c r="O323" i="5" s="1"/>
  <c r="K64" i="3"/>
  <c r="L64" i="3" s="1"/>
  <c r="O344" i="5"/>
  <c r="Z344" i="5" s="1"/>
  <c r="X188" i="5"/>
  <c r="Y198" i="5"/>
  <c r="U188" i="5"/>
  <c r="V323" i="5"/>
  <c r="X323" i="5" s="1"/>
  <c r="Y200" i="5"/>
  <c r="R200" i="5"/>
  <c r="X198" i="5"/>
  <c r="L198" i="5"/>
  <c r="L266" i="5"/>
  <c r="X200" i="5"/>
  <c r="O200" i="5"/>
  <c r="R198" i="5"/>
  <c r="L188" i="5"/>
  <c r="R188" i="5"/>
  <c r="O112" i="3"/>
  <c r="K108" i="3"/>
  <c r="O108" i="3" s="1"/>
  <c r="O188" i="5"/>
  <c r="O198" i="5"/>
  <c r="U200" i="5"/>
  <c r="E16" i="3"/>
  <c r="E12" i="3" s="1"/>
  <c r="F12" i="3" s="1"/>
  <c r="L200" i="5"/>
  <c r="Z44" i="5"/>
  <c r="J32" i="5"/>
  <c r="L32" i="5" s="1"/>
  <c r="U198" i="5"/>
  <c r="Z354" i="5"/>
  <c r="J245" i="5"/>
  <c r="Y42" i="5"/>
  <c r="C108" i="3"/>
  <c r="J108" i="3" s="1"/>
  <c r="E88" i="3"/>
  <c r="E84" i="3" s="1"/>
  <c r="I322" i="4"/>
  <c r="E104" i="2" s="1"/>
  <c r="Y276" i="5"/>
  <c r="L16" i="3"/>
  <c r="Z356" i="5"/>
  <c r="L276" i="5"/>
  <c r="Z276" i="5" s="1"/>
  <c r="F112" i="3"/>
  <c r="S11" i="5"/>
  <c r="N12" i="3"/>
  <c r="Y266" i="5"/>
  <c r="E11" i="2"/>
  <c r="L112" i="3"/>
  <c r="N112" i="3"/>
  <c r="N60" i="3"/>
  <c r="Z278" i="5"/>
  <c r="H112" i="3"/>
  <c r="F136" i="3"/>
  <c r="P136" i="3" s="1"/>
  <c r="L12" i="3"/>
  <c r="J12" i="3"/>
  <c r="G132" i="3"/>
  <c r="H132" i="3" s="1"/>
  <c r="H16" i="3"/>
  <c r="I245" i="5"/>
  <c r="R245" i="5" s="1"/>
  <c r="N16" i="3"/>
  <c r="J16" i="3"/>
  <c r="I10" i="4"/>
  <c r="R266" i="5"/>
  <c r="U266" i="5"/>
  <c r="I84" i="3"/>
  <c r="O266" i="5"/>
  <c r="X266" i="5"/>
  <c r="L88" i="3"/>
  <c r="N88" i="3"/>
  <c r="Z82" i="5"/>
  <c r="O54" i="3"/>
  <c r="O30" i="3"/>
  <c r="F54" i="3"/>
  <c r="P54" i="3" s="1"/>
  <c r="P103" i="3"/>
  <c r="P79" i="3"/>
  <c r="P102" i="3"/>
  <c r="O78" i="3"/>
  <c r="O126" i="3"/>
  <c r="O89" i="5"/>
  <c r="O102" i="3"/>
  <c r="U323" i="5"/>
  <c r="R89" i="5"/>
  <c r="P151" i="3"/>
  <c r="O150" i="3"/>
  <c r="P150" i="3"/>
  <c r="K36" i="3"/>
  <c r="I132" i="3"/>
  <c r="J132" i="3" s="1"/>
  <c r="S167" i="5"/>
  <c r="O401" i="5"/>
  <c r="Z110" i="5"/>
  <c r="J167" i="5"/>
  <c r="P401" i="5"/>
  <c r="R401" i="5" s="1"/>
  <c r="Y188" i="5"/>
  <c r="V401" i="5"/>
  <c r="X401" i="5" s="1"/>
  <c r="Z120" i="5"/>
  <c r="Z432" i="5"/>
  <c r="P39" i="3"/>
  <c r="M132" i="3"/>
  <c r="N132" i="3" s="1"/>
  <c r="P51" i="3"/>
  <c r="Z145" i="5"/>
  <c r="Z67" i="5"/>
  <c r="Z12" i="5"/>
  <c r="P87" i="3"/>
  <c r="Y422" i="5"/>
  <c r="P63" i="3"/>
  <c r="O97" i="3"/>
  <c r="F97" i="3"/>
  <c r="P97" i="3" s="1"/>
  <c r="P99" i="3"/>
  <c r="P75" i="3"/>
  <c r="J34" i="3"/>
  <c r="F132" i="3"/>
  <c r="O222" i="5"/>
  <c r="G72" i="3"/>
  <c r="H72" i="3" s="1"/>
  <c r="F82" i="3"/>
  <c r="O82" i="3"/>
  <c r="P147" i="3"/>
  <c r="X144" i="5"/>
  <c r="M48" i="3"/>
  <c r="N48" i="3" s="1"/>
  <c r="Z246" i="5"/>
  <c r="R144" i="5"/>
  <c r="I48" i="3"/>
  <c r="J48" i="3" s="1"/>
  <c r="O106" i="3"/>
  <c r="F106" i="3"/>
  <c r="L378" i="5"/>
  <c r="Y378" i="5"/>
  <c r="E120" i="3"/>
  <c r="L34" i="3"/>
  <c r="O40" i="3"/>
  <c r="H82" i="3"/>
  <c r="J323" i="5"/>
  <c r="N34" i="3"/>
  <c r="H130" i="3"/>
  <c r="R66" i="5"/>
  <c r="I24" i="3"/>
  <c r="J24" i="3" s="1"/>
  <c r="U144" i="5"/>
  <c r="K48" i="3"/>
  <c r="L48" i="3" s="1"/>
  <c r="N10" i="3"/>
  <c r="L401" i="5"/>
  <c r="X378" i="5"/>
  <c r="M120" i="3"/>
  <c r="N120" i="3" s="1"/>
  <c r="O49" i="3"/>
  <c r="F49" i="3"/>
  <c r="P49" i="3" s="1"/>
  <c r="L10" i="3"/>
  <c r="P123" i="3"/>
  <c r="P135" i="3"/>
  <c r="O300" i="5"/>
  <c r="G96" i="3"/>
  <c r="H96" i="3" s="1"/>
  <c r="Z379" i="5"/>
  <c r="H34" i="3"/>
  <c r="Y456" i="5"/>
  <c r="L456" i="5"/>
  <c r="E144" i="3"/>
  <c r="E129" i="3" s="1"/>
  <c r="J82" i="3"/>
  <c r="J58" i="3"/>
  <c r="P15" i="3"/>
  <c r="O144" i="5"/>
  <c r="G48" i="3"/>
  <c r="H48" i="3" s="1"/>
  <c r="F58" i="3"/>
  <c r="O58" i="3"/>
  <c r="Z324" i="5"/>
  <c r="P111" i="3"/>
  <c r="U456" i="5"/>
  <c r="K144" i="3"/>
  <c r="L144" i="3" s="1"/>
  <c r="Y144" i="5"/>
  <c r="L144" i="5"/>
  <c r="E48" i="3"/>
  <c r="E33" i="3" s="1"/>
  <c r="X300" i="5"/>
  <c r="M96" i="3"/>
  <c r="N96" i="3" s="1"/>
  <c r="Z422" i="5"/>
  <c r="M36" i="3"/>
  <c r="L58" i="3"/>
  <c r="L130" i="3"/>
  <c r="U378" i="5"/>
  <c r="K120" i="3"/>
  <c r="L120" i="3" s="1"/>
  <c r="S401" i="5"/>
  <c r="U401" i="5" s="1"/>
  <c r="Y66" i="5"/>
  <c r="L66" i="5"/>
  <c r="E24" i="3"/>
  <c r="Z90" i="5"/>
  <c r="P27" i="3"/>
  <c r="O66" i="5"/>
  <c r="G24" i="3"/>
  <c r="H24" i="3" s="1"/>
  <c r="N82" i="3"/>
  <c r="S89" i="5"/>
  <c r="U89" i="5" s="1"/>
  <c r="G36" i="3"/>
  <c r="M245" i="5"/>
  <c r="Y222" i="5"/>
  <c r="L222" i="5"/>
  <c r="E72" i="3"/>
  <c r="V89" i="5"/>
  <c r="X89" i="5" s="1"/>
  <c r="H58" i="3"/>
  <c r="N106" i="3"/>
  <c r="O456" i="5"/>
  <c r="G144" i="3"/>
  <c r="H144" i="3" s="1"/>
  <c r="L82" i="3"/>
  <c r="O121" i="3"/>
  <c r="F121" i="3"/>
  <c r="P121" i="3" s="1"/>
  <c r="U300" i="5"/>
  <c r="K96" i="3"/>
  <c r="L96" i="3" s="1"/>
  <c r="O145" i="3"/>
  <c r="F145" i="3"/>
  <c r="P145" i="3" s="1"/>
  <c r="H106" i="3"/>
  <c r="J130" i="3"/>
  <c r="J10" i="3"/>
  <c r="X66" i="5"/>
  <c r="M24" i="3"/>
  <c r="N24" i="3" s="1"/>
  <c r="R222" i="5"/>
  <c r="I72" i="3"/>
  <c r="J72" i="3" s="1"/>
  <c r="O136" i="3"/>
  <c r="F130" i="3"/>
  <c r="O130" i="3"/>
  <c r="Z42" i="5"/>
  <c r="X222" i="5"/>
  <c r="M72" i="3"/>
  <c r="N72" i="3" s="1"/>
  <c r="U66" i="5"/>
  <c r="K24" i="3"/>
  <c r="L24" i="3" s="1"/>
  <c r="U222" i="5"/>
  <c r="K72" i="3"/>
  <c r="L72" i="3" s="1"/>
  <c r="L106" i="3"/>
  <c r="N58" i="3"/>
  <c r="R456" i="5"/>
  <c r="I144" i="3"/>
  <c r="J144" i="3" s="1"/>
  <c r="O25" i="3"/>
  <c r="F25" i="3"/>
  <c r="P25" i="3" s="1"/>
  <c r="F34" i="3"/>
  <c r="O34" i="3"/>
  <c r="J106" i="3"/>
  <c r="X456" i="5"/>
  <c r="M144" i="3"/>
  <c r="N144" i="3" s="1"/>
  <c r="H10" i="3"/>
  <c r="R378" i="5"/>
  <c r="I120" i="3"/>
  <c r="J120" i="3" s="1"/>
  <c r="Z301" i="5"/>
  <c r="R300" i="5"/>
  <c r="I96" i="3"/>
  <c r="J96" i="3" s="1"/>
  <c r="Y300" i="5"/>
  <c r="L300" i="5"/>
  <c r="E96" i="3"/>
  <c r="V245" i="5"/>
  <c r="G12" i="3"/>
  <c r="H12" i="3" s="1"/>
  <c r="F10" i="3"/>
  <c r="O10" i="3"/>
  <c r="Z402" i="5"/>
  <c r="O378" i="5"/>
  <c r="G120" i="3"/>
  <c r="H120" i="3" s="1"/>
  <c r="O73" i="3"/>
  <c r="F73" i="3"/>
  <c r="P73" i="3" s="1"/>
  <c r="Z168" i="5"/>
  <c r="N130" i="3"/>
  <c r="K132" i="3"/>
  <c r="L132" i="3" s="1"/>
  <c r="M167" i="5"/>
  <c r="Z457" i="5" l="1"/>
  <c r="L167" i="5"/>
  <c r="X167" i="5"/>
  <c r="O167" i="5"/>
  <c r="R167" i="5"/>
  <c r="U167" i="5"/>
  <c r="Z223" i="5"/>
  <c r="P40" i="3"/>
  <c r="F36" i="3"/>
  <c r="L36" i="3"/>
  <c r="H36" i="3"/>
  <c r="N36" i="3"/>
  <c r="C33" i="3"/>
  <c r="F33" i="3" s="1"/>
  <c r="O11" i="5"/>
  <c r="L84" i="3"/>
  <c r="X11" i="5"/>
  <c r="H84" i="3"/>
  <c r="F84" i="3"/>
  <c r="G60" i="3"/>
  <c r="H60" i="3" s="1"/>
  <c r="U11" i="5"/>
  <c r="Z32" i="5"/>
  <c r="I60" i="3"/>
  <c r="J60" i="3" s="1"/>
  <c r="O64" i="3"/>
  <c r="E60" i="3"/>
  <c r="F60" i="3" s="1"/>
  <c r="P64" i="3"/>
  <c r="K60" i="3"/>
  <c r="L60" i="3" s="1"/>
  <c r="F108" i="3"/>
  <c r="Z188" i="5"/>
  <c r="F88" i="3"/>
  <c r="P88" i="3" s="1"/>
  <c r="N108" i="3"/>
  <c r="Z200" i="5"/>
  <c r="U245" i="5"/>
  <c r="I478" i="4"/>
  <c r="E81" i="3"/>
  <c r="F81" i="3" s="1"/>
  <c r="L245" i="5"/>
  <c r="F16" i="3"/>
  <c r="P16" i="3" s="1"/>
  <c r="O16" i="3"/>
  <c r="L108" i="3"/>
  <c r="Z198" i="5"/>
  <c r="E9" i="3"/>
  <c r="C105" i="3"/>
  <c r="O84" i="3"/>
  <c r="O88" i="3"/>
  <c r="X245" i="5"/>
  <c r="Y32" i="5"/>
  <c r="J11" i="5"/>
  <c r="L11" i="5" s="1"/>
  <c r="H108" i="3"/>
  <c r="P112" i="3"/>
  <c r="I479" i="5"/>
  <c r="O245" i="5"/>
  <c r="E8" i="2"/>
  <c r="E152" i="2" s="1"/>
  <c r="F23" i="2" s="1"/>
  <c r="C9" i="3"/>
  <c r="J84" i="3"/>
  <c r="Z266" i="5"/>
  <c r="O12" i="3"/>
  <c r="P479" i="5"/>
  <c r="K81" i="3"/>
  <c r="L81" i="3" s="1"/>
  <c r="I105" i="3"/>
  <c r="S479" i="5"/>
  <c r="P12" i="3"/>
  <c r="K33" i="3"/>
  <c r="I9" i="3"/>
  <c r="Y401" i="5"/>
  <c r="M9" i="3"/>
  <c r="Z300" i="5"/>
  <c r="Y167" i="5"/>
  <c r="I33" i="3"/>
  <c r="Z401" i="5"/>
  <c r="G129" i="3"/>
  <c r="H129" i="3" s="1"/>
  <c r="K105" i="3"/>
  <c r="G33" i="3"/>
  <c r="M33" i="3"/>
  <c r="Y245" i="5"/>
  <c r="P82" i="3"/>
  <c r="I81" i="3"/>
  <c r="J81" i="3" s="1"/>
  <c r="O36" i="3"/>
  <c r="M105" i="3"/>
  <c r="M479" i="5"/>
  <c r="P10" i="3"/>
  <c r="M57" i="3"/>
  <c r="N57" i="3" s="1"/>
  <c r="G81" i="3"/>
  <c r="H81" i="3" s="1"/>
  <c r="I129" i="3"/>
  <c r="J129" i="3" s="1"/>
  <c r="P58" i="3"/>
  <c r="Y323" i="5"/>
  <c r="L323" i="5"/>
  <c r="Z323" i="5" s="1"/>
  <c r="M129" i="3"/>
  <c r="N129" i="3" s="1"/>
  <c r="F129" i="3"/>
  <c r="F72" i="3"/>
  <c r="P72" i="3" s="1"/>
  <c r="O72" i="3"/>
  <c r="F48" i="3"/>
  <c r="P48" i="3" s="1"/>
  <c r="O48" i="3"/>
  <c r="O144" i="3"/>
  <c r="F144" i="3"/>
  <c r="P144" i="3" s="1"/>
  <c r="K129" i="3"/>
  <c r="L129" i="3" s="1"/>
  <c r="Z378" i="5"/>
  <c r="Z222" i="5"/>
  <c r="M81" i="3"/>
  <c r="N81" i="3" s="1"/>
  <c r="Z144" i="5"/>
  <c r="Z456" i="5"/>
  <c r="V479" i="5"/>
  <c r="O132" i="3"/>
  <c r="Y89" i="5"/>
  <c r="O120" i="3"/>
  <c r="F120" i="3"/>
  <c r="P120" i="3" s="1"/>
  <c r="G105" i="3"/>
  <c r="F24" i="3"/>
  <c r="P24" i="3" s="1"/>
  <c r="O24" i="3"/>
  <c r="E105" i="3"/>
  <c r="Z66" i="5"/>
  <c r="P106" i="3"/>
  <c r="P34" i="3"/>
  <c r="P130" i="3"/>
  <c r="F96" i="3"/>
  <c r="P96" i="3" s="1"/>
  <c r="O96" i="3"/>
  <c r="G9" i="3"/>
  <c r="K9" i="3"/>
  <c r="P132" i="3"/>
  <c r="Z89" i="5"/>
  <c r="Z167" i="5" l="1"/>
  <c r="P36" i="3"/>
  <c r="H33" i="3"/>
  <c r="N33" i="3"/>
  <c r="L33" i="3"/>
  <c r="J33" i="3"/>
  <c r="AA428" i="5"/>
  <c r="I483" i="5"/>
  <c r="U482" i="5" s="1"/>
  <c r="U485" i="5" s="1"/>
  <c r="P84" i="3"/>
  <c r="Z11" i="5"/>
  <c r="I57" i="3"/>
  <c r="J57" i="3" s="1"/>
  <c r="G57" i="3"/>
  <c r="H57" i="3" s="1"/>
  <c r="P60" i="3"/>
  <c r="E57" i="3"/>
  <c r="F57" i="3" s="1"/>
  <c r="K57" i="3"/>
  <c r="L57" i="3" s="1"/>
  <c r="O60" i="3"/>
  <c r="AA476" i="5"/>
  <c r="AA384" i="5"/>
  <c r="AA78" i="5"/>
  <c r="AA281" i="5"/>
  <c r="AA288" i="5"/>
  <c r="AA321" i="5"/>
  <c r="AA247" i="5"/>
  <c r="AA114" i="5"/>
  <c r="Y11" i="5"/>
  <c r="AA11" i="5" s="1"/>
  <c r="AA55" i="5"/>
  <c r="AA432" i="5"/>
  <c r="AA440" i="5"/>
  <c r="AA227" i="5"/>
  <c r="AA82" i="5"/>
  <c r="AA394" i="5"/>
  <c r="AA355" i="5"/>
  <c r="AA275" i="5"/>
  <c r="AA437" i="5"/>
  <c r="AA233" i="5"/>
  <c r="AA113" i="5"/>
  <c r="AA87" i="5"/>
  <c r="AA80" i="5"/>
  <c r="AA242" i="5"/>
  <c r="F98" i="2"/>
  <c r="AA36" i="5"/>
  <c r="AA420" i="5"/>
  <c r="AA313" i="5"/>
  <c r="AA246" i="5"/>
  <c r="AA69" i="5"/>
  <c r="AA192" i="5"/>
  <c r="AA244" i="5"/>
  <c r="AA70" i="5"/>
  <c r="AA117" i="5"/>
  <c r="AA469" i="5"/>
  <c r="AA89" i="5"/>
  <c r="AA84" i="5"/>
  <c r="AA204" i="5"/>
  <c r="AA157" i="5"/>
  <c r="AA457" i="5"/>
  <c r="AA467" i="5"/>
  <c r="AA59" i="5"/>
  <c r="AA90" i="5"/>
  <c r="AA315" i="5"/>
  <c r="AA197" i="5"/>
  <c r="AA188" i="5"/>
  <c r="J479" i="5"/>
  <c r="AA413" i="5"/>
  <c r="AA231" i="5"/>
  <c r="AA181" i="5"/>
  <c r="AA471" i="5"/>
  <c r="AA203" i="5"/>
  <c r="AA38" i="5"/>
  <c r="F112" i="2"/>
  <c r="AA459" i="5"/>
  <c r="AA361" i="5"/>
  <c r="AA132" i="5"/>
  <c r="AA198" i="5"/>
  <c r="AA324" i="5"/>
  <c r="AA151" i="5"/>
  <c r="AA144" i="5"/>
  <c r="AA453" i="5"/>
  <c r="AA194" i="5"/>
  <c r="AA385" i="5"/>
  <c r="AA223" i="5"/>
  <c r="X479" i="5"/>
  <c r="AA229" i="5"/>
  <c r="AA66" i="5"/>
  <c r="AA57" i="5"/>
  <c r="AA168" i="5"/>
  <c r="AA183" i="5"/>
  <c r="AA172" i="5"/>
  <c r="O479" i="5"/>
  <c r="U479" i="5"/>
  <c r="AA145" i="5"/>
  <c r="AA402" i="5"/>
  <c r="AA430" i="5"/>
  <c r="AA248" i="5"/>
  <c r="AA72" i="5"/>
  <c r="AA328" i="5"/>
  <c r="AA298" i="5"/>
  <c r="AA243" i="5"/>
  <c r="AA378" i="5"/>
  <c r="AA409" i="5"/>
  <c r="AA79" i="5"/>
  <c r="AA44" i="5"/>
  <c r="AA187" i="5"/>
  <c r="AA222" i="5"/>
  <c r="AA439" i="5"/>
  <c r="AA159" i="5"/>
  <c r="AA47" i="5"/>
  <c r="AA20" i="5"/>
  <c r="AA333" i="5"/>
  <c r="AA81" i="5"/>
  <c r="F136" i="2"/>
  <c r="H105" i="3"/>
  <c r="AA140" i="5"/>
  <c r="AA30" i="5"/>
  <c r="AA138" i="5"/>
  <c r="AA357" i="5"/>
  <c r="AA163" i="5"/>
  <c r="AA73" i="5"/>
  <c r="AA426" i="5"/>
  <c r="AA63" i="5"/>
  <c r="AA393" i="5"/>
  <c r="F119" i="2"/>
  <c r="F53" i="2"/>
  <c r="Z245" i="5"/>
  <c r="L105" i="3"/>
  <c r="F124" i="2"/>
  <c r="AA77" i="5"/>
  <c r="AA255" i="5"/>
  <c r="AA127" i="5"/>
  <c r="AA329" i="5"/>
  <c r="AA344" i="5"/>
  <c r="AA435" i="5"/>
  <c r="AA221" i="5"/>
  <c r="AA99" i="5"/>
  <c r="C153" i="3"/>
  <c r="Q102" i="3" s="1"/>
  <c r="J105" i="3"/>
  <c r="F11" i="2"/>
  <c r="F83" i="2"/>
  <c r="F70" i="2"/>
  <c r="F35" i="2"/>
  <c r="F16" i="2"/>
  <c r="F65" i="2"/>
  <c r="AA373" i="5"/>
  <c r="AA184" i="5"/>
  <c r="AA211" i="5"/>
  <c r="AA349" i="5"/>
  <c r="AA116" i="5"/>
  <c r="AA250" i="5"/>
  <c r="AA156" i="5"/>
  <c r="AA338" i="5"/>
  <c r="F142" i="2"/>
  <c r="F105" i="2"/>
  <c r="F130" i="2"/>
  <c r="AA228" i="5"/>
  <c r="AA236" i="5"/>
  <c r="AA292" i="5"/>
  <c r="AA42" i="5"/>
  <c r="AA226" i="5"/>
  <c r="AA407" i="5"/>
  <c r="AA74" i="5"/>
  <c r="AA346" i="5"/>
  <c r="AA158" i="5"/>
  <c r="AA285" i="5"/>
  <c r="AA12" i="5"/>
  <c r="AA404" i="5"/>
  <c r="P108" i="3"/>
  <c r="F44" i="2"/>
  <c r="F33" i="2"/>
  <c r="F147" i="2"/>
  <c r="AA382" i="5"/>
  <c r="AA209" i="5"/>
  <c r="AA442" i="5"/>
  <c r="AA295" i="5"/>
  <c r="AA334" i="5"/>
  <c r="AA177" i="5"/>
  <c r="AA249" i="5"/>
  <c r="AA263" i="5"/>
  <c r="N105" i="3"/>
  <c r="F81" i="2"/>
  <c r="F137" i="2"/>
  <c r="AA196" i="5"/>
  <c r="AA294" i="5"/>
  <c r="AA115" i="5"/>
  <c r="AA414" i="5"/>
  <c r="AA311" i="5"/>
  <c r="AA434" i="5"/>
  <c r="AA305" i="5"/>
  <c r="AA262" i="5"/>
  <c r="AA108" i="5"/>
  <c r="AA65" i="5"/>
  <c r="AA296" i="5"/>
  <c r="AA397" i="5"/>
  <c r="AA134" i="5"/>
  <c r="AA160" i="5"/>
  <c r="AA64" i="5"/>
  <c r="AA240" i="5"/>
  <c r="AA86" i="5"/>
  <c r="AA238" i="5"/>
  <c r="AA366" i="5"/>
  <c r="AA16" i="5"/>
  <c r="AA266" i="5"/>
  <c r="AA342" i="5"/>
  <c r="AA274" i="5"/>
  <c r="F71" i="2"/>
  <c r="F134" i="2"/>
  <c r="F102" i="2"/>
  <c r="F139" i="2"/>
  <c r="AA17" i="5"/>
  <c r="AA31" i="5"/>
  <c r="AA239" i="5"/>
  <c r="AA332" i="5"/>
  <c r="AA190" i="5"/>
  <c r="AA320" i="5"/>
  <c r="AA350" i="5"/>
  <c r="AA13" i="5"/>
  <c r="AA353" i="5"/>
  <c r="AA49" i="5"/>
  <c r="AA417" i="5"/>
  <c r="AA291" i="5"/>
  <c r="AA258" i="5"/>
  <c r="AA362" i="5"/>
  <c r="AA173" i="5"/>
  <c r="AA202" i="5"/>
  <c r="AA449" i="5"/>
  <c r="AA200" i="5"/>
  <c r="AA293" i="5"/>
  <c r="AA391" i="5"/>
  <c r="AA14" i="5"/>
  <c r="AA257" i="5"/>
  <c r="AA463" i="5"/>
  <c r="AA32" i="5"/>
  <c r="AA351" i="5"/>
  <c r="AA68" i="5"/>
  <c r="AA379" i="5"/>
  <c r="AA120" i="5"/>
  <c r="AA388" i="5"/>
  <c r="AA37" i="5"/>
  <c r="AA43" i="5"/>
  <c r="F59" i="2"/>
  <c r="F40" i="2"/>
  <c r="F21" i="2"/>
  <c r="F31" i="2"/>
  <c r="AA167" i="5"/>
  <c r="AA408" i="5"/>
  <c r="AA368" i="5"/>
  <c r="AA340" i="5"/>
  <c r="AA312" i="5"/>
  <c r="AA50" i="5"/>
  <c r="AA331" i="5"/>
  <c r="AA356" i="5"/>
  <c r="AA71" i="5"/>
  <c r="AA418" i="5"/>
  <c r="AA256" i="5"/>
  <c r="AA396" i="5"/>
  <c r="AA451" i="5"/>
  <c r="AA171" i="5"/>
  <c r="AA268" i="5"/>
  <c r="AA96" i="5"/>
  <c r="AA260" i="5"/>
  <c r="AA282" i="5"/>
  <c r="AA456" i="5"/>
  <c r="AA438" i="5"/>
  <c r="AA304" i="5"/>
  <c r="AA405" i="5"/>
  <c r="AA270" i="5"/>
  <c r="AA354" i="5"/>
  <c r="AA98" i="5"/>
  <c r="AA176" i="5"/>
  <c r="AA290" i="5"/>
  <c r="AA348" i="5"/>
  <c r="AA103" i="5"/>
  <c r="AA400" i="5"/>
  <c r="AA128" i="5"/>
  <c r="AA306" i="5"/>
  <c r="F66" i="2"/>
  <c r="F30" i="2"/>
  <c r="F36" i="2"/>
  <c r="F133" i="2"/>
  <c r="AA245" i="5"/>
  <c r="R479" i="5"/>
  <c r="AA93" i="5"/>
  <c r="AA215" i="5"/>
  <c r="AA316" i="5"/>
  <c r="AA390" i="5"/>
  <c r="AA474" i="5"/>
  <c r="AA41" i="5"/>
  <c r="AA441" i="5"/>
  <c r="AA283" i="5"/>
  <c r="AA359" i="5"/>
  <c r="AA389" i="5"/>
  <c r="AA10" i="5"/>
  <c r="AA164" i="5"/>
  <c r="AA421" i="5"/>
  <c r="AA341" i="5"/>
  <c r="AA466" i="5"/>
  <c r="AA431" i="5"/>
  <c r="AA230" i="5"/>
  <c r="AA92" i="5"/>
  <c r="AA135" i="5"/>
  <c r="AA297" i="5"/>
  <c r="AA18" i="5"/>
  <c r="AA280" i="5"/>
  <c r="AA314" i="5"/>
  <c r="AA46" i="5"/>
  <c r="AA336" i="5"/>
  <c r="AA398" i="5"/>
  <c r="AA35" i="5"/>
  <c r="AA27" i="5"/>
  <c r="AA213" i="5"/>
  <c r="AA436" i="5"/>
  <c r="AA161" i="5"/>
  <c r="F114" i="2"/>
  <c r="F82" i="2"/>
  <c r="F145" i="2"/>
  <c r="AA112" i="5"/>
  <c r="AA371" i="5"/>
  <c r="AA106" i="5"/>
  <c r="AA25" i="5"/>
  <c r="AA392" i="5"/>
  <c r="AA182" i="5"/>
  <c r="AA410" i="5"/>
  <c r="AA23" i="5"/>
  <c r="AA454" i="5"/>
  <c r="AA317" i="5"/>
  <c r="AA372" i="5"/>
  <c r="AA444" i="5"/>
  <c r="AA271" i="5"/>
  <c r="AA447" i="5"/>
  <c r="AA105" i="5"/>
  <c r="AA475" i="5"/>
  <c r="AA39" i="5"/>
  <c r="AA102" i="5"/>
  <c r="AA118" i="5"/>
  <c r="AA154" i="5"/>
  <c r="AA165" i="5"/>
  <c r="AA124" i="5"/>
  <c r="AA150" i="5"/>
  <c r="AA395" i="5"/>
  <c r="AA166" i="5"/>
  <c r="AA85" i="5"/>
  <c r="AA56" i="5"/>
  <c r="AA100" i="5"/>
  <c r="AA319" i="5"/>
  <c r="AA276" i="5"/>
  <c r="AA323" i="5"/>
  <c r="F14" i="2"/>
  <c r="F10" i="2"/>
  <c r="F132" i="2"/>
  <c r="F109" i="2"/>
  <c r="AA169" i="5"/>
  <c r="AA40" i="5"/>
  <c r="AA308" i="5"/>
  <c r="AA24" i="5"/>
  <c r="AA352" i="5"/>
  <c r="AA133" i="5"/>
  <c r="AA251" i="5"/>
  <c r="AA8" i="5"/>
  <c r="AA214" i="5"/>
  <c r="AA45" i="5"/>
  <c r="AA264" i="5"/>
  <c r="AA365" i="5"/>
  <c r="AA427" i="5"/>
  <c r="AA345" i="5"/>
  <c r="AA462" i="5"/>
  <c r="AA137" i="5"/>
  <c r="AA448" i="5"/>
  <c r="AA327" i="5"/>
  <c r="AA446" i="5"/>
  <c r="AA237" i="5"/>
  <c r="AA310" i="5"/>
  <c r="AA126" i="5"/>
  <c r="AA470" i="5"/>
  <c r="AA123" i="5"/>
  <c r="AA412" i="5"/>
  <c r="AA155" i="5"/>
  <c r="AA28" i="5"/>
  <c r="AA217" i="5"/>
  <c r="AA473" i="5"/>
  <c r="AA461" i="5"/>
  <c r="F48" i="2"/>
  <c r="F97" i="2"/>
  <c r="F103" i="2"/>
  <c r="F9" i="3"/>
  <c r="AA401" i="5"/>
  <c r="AA399" i="5"/>
  <c r="AA347" i="5"/>
  <c r="AA235" i="5"/>
  <c r="AA326" i="5"/>
  <c r="AA179" i="5"/>
  <c r="AA201" i="5"/>
  <c r="AA259" i="5"/>
  <c r="AA369" i="5"/>
  <c r="AA153" i="5"/>
  <c r="AA300" i="5"/>
  <c r="AA374" i="5"/>
  <c r="AA58" i="5"/>
  <c r="AA88" i="5"/>
  <c r="AA387" i="5"/>
  <c r="AA34" i="5"/>
  <c r="AA386" i="5"/>
  <c r="AA419" i="5"/>
  <c r="AA91" i="5"/>
  <c r="AA26" i="5"/>
  <c r="AA119" i="5"/>
  <c r="AA450" i="5"/>
  <c r="AA425" i="5"/>
  <c r="AA318" i="5"/>
  <c r="AA339" i="5"/>
  <c r="AA219" i="5"/>
  <c r="AA83" i="5"/>
  <c r="AA335" i="5"/>
  <c r="AA22" i="5"/>
  <c r="AA121" i="5"/>
  <c r="AA216" i="5"/>
  <c r="F125" i="2"/>
  <c r="F63" i="2"/>
  <c r="F120" i="2"/>
  <c r="F94" i="2"/>
  <c r="J9" i="3"/>
  <c r="AA62" i="5"/>
  <c r="AA61" i="5"/>
  <c r="AA152" i="5"/>
  <c r="AA477" i="5"/>
  <c r="AA224" i="5"/>
  <c r="AA445" i="5"/>
  <c r="AA15" i="5"/>
  <c r="AA33" i="5"/>
  <c r="AA273" i="5"/>
  <c r="AA301" i="5"/>
  <c r="AA478" i="5"/>
  <c r="AA433" i="5"/>
  <c r="AA185" i="5"/>
  <c r="AA130" i="5"/>
  <c r="AA383" i="5"/>
  <c r="AA111" i="5"/>
  <c r="AA253" i="5"/>
  <c r="AA178" i="5"/>
  <c r="AA143" i="5"/>
  <c r="AA195" i="5"/>
  <c r="AA452" i="5"/>
  <c r="AA465" i="5"/>
  <c r="AA75" i="5"/>
  <c r="AA207" i="5"/>
  <c r="AA162" i="5"/>
  <c r="AA423" i="5"/>
  <c r="AA220" i="5"/>
  <c r="AA101" i="5"/>
  <c r="AA234" i="5"/>
  <c r="AA358" i="5"/>
  <c r="F141" i="2"/>
  <c r="F128" i="2"/>
  <c r="F50" i="2"/>
  <c r="F7" i="2"/>
  <c r="F151" i="2"/>
  <c r="F55" i="2"/>
  <c r="F80" i="2"/>
  <c r="F90" i="2"/>
  <c r="F144" i="2"/>
  <c r="F64" i="2"/>
  <c r="F122" i="2"/>
  <c r="F27" i="2"/>
  <c r="F12" i="2"/>
  <c r="F34" i="2"/>
  <c r="F54" i="2"/>
  <c r="F46" i="2"/>
  <c r="F17" i="2"/>
  <c r="F117" i="2"/>
  <c r="F96" i="2"/>
  <c r="F39" i="2"/>
  <c r="F101" i="2"/>
  <c r="F123" i="2"/>
  <c r="F113" i="2"/>
  <c r="F37" i="2"/>
  <c r="F47" i="2"/>
  <c r="F57" i="2"/>
  <c r="F42" i="2"/>
  <c r="F88" i="2"/>
  <c r="F138" i="2"/>
  <c r="F108" i="2"/>
  <c r="F140" i="2"/>
  <c r="F99" i="2"/>
  <c r="F79" i="2"/>
  <c r="F91" i="2"/>
  <c r="F41" i="2"/>
  <c r="F56" i="2"/>
  <c r="AA94" i="5"/>
  <c r="AA53" i="5"/>
  <c r="AA415" i="5"/>
  <c r="AA29" i="5"/>
  <c r="AA180" i="5"/>
  <c r="AA254" i="5"/>
  <c r="F24" i="2"/>
  <c r="F78" i="2"/>
  <c r="F22" i="2"/>
  <c r="F9" i="2"/>
  <c r="F26" i="2"/>
  <c r="F28" i="2"/>
  <c r="F148" i="2"/>
  <c r="F76" i="2"/>
  <c r="F18" i="2"/>
  <c r="F68" i="2"/>
  <c r="F150" i="2"/>
  <c r="F45" i="2"/>
  <c r="F92" i="2"/>
  <c r="F69" i="2"/>
  <c r="F73" i="2"/>
  <c r="AA455" i="5"/>
  <c r="AA337" i="5"/>
  <c r="AA377" i="5"/>
  <c r="AA416" i="5"/>
  <c r="AA272" i="5"/>
  <c r="AA205" i="5"/>
  <c r="AA210" i="5"/>
  <c r="AA95" i="5"/>
  <c r="AA277" i="5"/>
  <c r="AA376" i="5"/>
  <c r="AA381" i="5"/>
  <c r="AA343" i="5"/>
  <c r="AA241" i="5"/>
  <c r="AA322" i="5"/>
  <c r="AA139" i="5"/>
  <c r="F129" i="2"/>
  <c r="F58" i="2"/>
  <c r="F95" i="2"/>
  <c r="F135" i="2"/>
  <c r="F29" i="2"/>
  <c r="F38" i="2"/>
  <c r="F86" i="2"/>
  <c r="F67" i="2"/>
  <c r="F93" i="2"/>
  <c r="F13" i="2"/>
  <c r="F115" i="2"/>
  <c r="F84" i="2"/>
  <c r="F61" i="2"/>
  <c r="F127" i="2"/>
  <c r="F8" i="2"/>
  <c r="F32" i="2"/>
  <c r="AA54" i="5"/>
  <c r="AA284" i="5"/>
  <c r="AA286" i="5"/>
  <c r="AA278" i="5"/>
  <c r="AA422" i="5"/>
  <c r="AA458" i="5"/>
  <c r="AA367" i="5"/>
  <c r="AA261" i="5"/>
  <c r="AA225" i="5"/>
  <c r="AA289" i="5"/>
  <c r="AA472" i="5"/>
  <c r="AA146" i="5"/>
  <c r="AA370" i="5"/>
  <c r="AA325" i="5"/>
  <c r="F107" i="2"/>
  <c r="F52" i="2"/>
  <c r="F19" i="2"/>
  <c r="F60" i="2"/>
  <c r="F118" i="2"/>
  <c r="F111" i="2"/>
  <c r="F72" i="2"/>
  <c r="F20" i="2"/>
  <c r="F149" i="2"/>
  <c r="F106" i="2"/>
  <c r="F121" i="2"/>
  <c r="F116" i="2"/>
  <c r="F51" i="2"/>
  <c r="F12" i="1"/>
  <c r="D12" i="1" s="1"/>
  <c r="AA170" i="5"/>
  <c r="AA48" i="5"/>
  <c r="AA52" i="5"/>
  <c r="AA60" i="5"/>
  <c r="AA406" i="5"/>
  <c r="AA330" i="5"/>
  <c r="AA299" i="5"/>
  <c r="AA309" i="5"/>
  <c r="AA363" i="5"/>
  <c r="AA141" i="5"/>
  <c r="AA175" i="5"/>
  <c r="AA468" i="5"/>
  <c r="AA279" i="5"/>
  <c r="AA403" i="5"/>
  <c r="AA429" i="5"/>
  <c r="AA265" i="5"/>
  <c r="AA199" i="5"/>
  <c r="AA129" i="5"/>
  <c r="AA51" i="5"/>
  <c r="AA104" i="5"/>
  <c r="AA136" i="5"/>
  <c r="AA76" i="5"/>
  <c r="AA206" i="5"/>
  <c r="AA193" i="5"/>
  <c r="AA307" i="5"/>
  <c r="AA125" i="5"/>
  <c r="AA267" i="5"/>
  <c r="AA380" i="5"/>
  <c r="AA131" i="5"/>
  <c r="F104" i="2"/>
  <c r="F49" i="2"/>
  <c r="F110" i="2"/>
  <c r="F131" i="2"/>
  <c r="F15" i="2"/>
  <c r="F146" i="2"/>
  <c r="F85" i="2"/>
  <c r="F143" i="2"/>
  <c r="F100" i="2"/>
  <c r="F87" i="2"/>
  <c r="F77" i="2"/>
  <c r="F74" i="2"/>
  <c r="F62" i="2"/>
  <c r="F43" i="2"/>
  <c r="F25" i="2"/>
  <c r="F126" i="2"/>
  <c r="F75" i="2"/>
  <c r="F89" i="2"/>
  <c r="N9" i="3"/>
  <c r="AA375" i="5"/>
  <c r="AA97" i="5"/>
  <c r="AA147" i="5"/>
  <c r="AA302" i="5"/>
  <c r="AA189" i="5"/>
  <c r="AA218" i="5"/>
  <c r="AA148" i="5"/>
  <c r="AA122" i="5"/>
  <c r="AA303" i="5"/>
  <c r="AA9" i="5"/>
  <c r="AA107" i="5"/>
  <c r="AA232" i="5"/>
  <c r="AA67" i="5"/>
  <c r="AA212" i="5"/>
  <c r="AA208" i="5"/>
  <c r="AA109" i="5"/>
  <c r="AA464" i="5"/>
  <c r="AA110" i="5"/>
  <c r="AA252" i="5"/>
  <c r="AA460" i="5"/>
  <c r="AA443" i="5"/>
  <c r="AA21" i="5"/>
  <c r="AA360" i="5"/>
  <c r="AA364" i="5"/>
  <c r="AA174" i="5"/>
  <c r="AA411" i="5"/>
  <c r="AA186" i="5"/>
  <c r="AA142" i="5"/>
  <c r="AA191" i="5"/>
  <c r="AA424" i="5"/>
  <c r="AA19" i="5"/>
  <c r="AA287" i="5"/>
  <c r="AA149" i="5"/>
  <c r="AA269" i="5"/>
  <c r="O9" i="3"/>
  <c r="O129" i="3"/>
  <c r="L9" i="3"/>
  <c r="O33" i="3"/>
  <c r="M153" i="3"/>
  <c r="F105" i="3"/>
  <c r="O105" i="3"/>
  <c r="P129" i="3"/>
  <c r="O81" i="3"/>
  <c r="H9" i="3"/>
  <c r="P81" i="3"/>
  <c r="P33" i="3" l="1"/>
  <c r="X482" i="5"/>
  <c r="X485" i="5" s="1"/>
  <c r="O482" i="5"/>
  <c r="O485" i="5" s="1"/>
  <c r="R482" i="5"/>
  <c r="R485" i="5" s="1"/>
  <c r="L479" i="5"/>
  <c r="Z479" i="5" s="1"/>
  <c r="L482" i="5"/>
  <c r="L485" i="5" s="1"/>
  <c r="K153" i="3"/>
  <c r="L153" i="3" s="1"/>
  <c r="I153" i="3"/>
  <c r="J153" i="3" s="1"/>
  <c r="P57" i="3"/>
  <c r="E153" i="3"/>
  <c r="F153" i="3" s="1"/>
  <c r="G153" i="3"/>
  <c r="H153" i="3" s="1"/>
  <c r="O57" i="3"/>
  <c r="O153" i="3" s="1"/>
  <c r="D142" i="3"/>
  <c r="Q34" i="3"/>
  <c r="Y479" i="5"/>
  <c r="Q114" i="3"/>
  <c r="Q121" i="3"/>
  <c r="Q19" i="3"/>
  <c r="D122" i="3"/>
  <c r="Q80" i="3"/>
  <c r="D61" i="3"/>
  <c r="Q101" i="3"/>
  <c r="Q15" i="3"/>
  <c r="Q94" i="3"/>
  <c r="Q130" i="3"/>
  <c r="Q117" i="3"/>
  <c r="D17" i="3"/>
  <c r="Q67" i="3"/>
  <c r="Q111" i="3"/>
  <c r="D82" i="3"/>
  <c r="D147" i="3"/>
  <c r="Q122" i="3"/>
  <c r="D54" i="3"/>
  <c r="Q108" i="3"/>
  <c r="D146" i="3"/>
  <c r="D58" i="3"/>
  <c r="D35" i="3"/>
  <c r="Q59" i="3"/>
  <c r="D124" i="3"/>
  <c r="D60" i="3"/>
  <c r="D55" i="3"/>
  <c r="D18" i="3"/>
  <c r="D21" i="3"/>
  <c r="D84" i="3"/>
  <c r="D73" i="3"/>
  <c r="D57" i="3"/>
  <c r="Q51" i="3"/>
  <c r="D11" i="3"/>
  <c r="D53" i="3"/>
  <c r="Q99" i="3"/>
  <c r="D99" i="3"/>
  <c r="Q123" i="3"/>
  <c r="D67" i="3"/>
  <c r="D149" i="3"/>
  <c r="Q149" i="3"/>
  <c r="D140" i="3"/>
  <c r="Q129" i="3"/>
  <c r="Q84" i="3"/>
  <c r="D113" i="3"/>
  <c r="Q127" i="3"/>
  <c r="D77" i="3"/>
  <c r="Q9" i="3"/>
  <c r="D39" i="3"/>
  <c r="D123" i="3"/>
  <c r="D96" i="3"/>
  <c r="Q58" i="3"/>
  <c r="D66" i="3"/>
  <c r="Q54" i="3"/>
  <c r="D80" i="3"/>
  <c r="Q87" i="3"/>
  <c r="Q62" i="3"/>
  <c r="Q68" i="3"/>
  <c r="Q143" i="3"/>
  <c r="D88" i="3"/>
  <c r="Q133" i="3"/>
  <c r="Q20" i="3"/>
  <c r="Q73" i="3"/>
  <c r="Q120" i="3"/>
  <c r="Q32" i="3"/>
  <c r="Q104" i="3"/>
  <c r="Q39" i="3"/>
  <c r="D143" i="3"/>
  <c r="J480" i="5"/>
  <c r="L480" i="5" s="1"/>
  <c r="D59" i="3"/>
  <c r="D86" i="3"/>
  <c r="D9" i="3"/>
  <c r="Q106" i="3"/>
  <c r="D25" i="3"/>
  <c r="D32" i="3"/>
  <c r="D144" i="3"/>
  <c r="D93" i="3"/>
  <c r="Q118" i="3"/>
  <c r="Q49" i="3"/>
  <c r="Q112" i="3"/>
  <c r="Q125" i="3"/>
  <c r="D30" i="3"/>
  <c r="Q105" i="3"/>
  <c r="Q64" i="3"/>
  <c r="D56" i="3"/>
  <c r="D70" i="3"/>
  <c r="D50" i="3"/>
  <c r="D46" i="3"/>
  <c r="D152" i="3"/>
  <c r="D97" i="3"/>
  <c r="D129" i="3"/>
  <c r="D139" i="3"/>
  <c r="D132" i="3"/>
  <c r="D118" i="3"/>
  <c r="D69" i="3"/>
  <c r="Q90" i="3"/>
  <c r="D31" i="3"/>
  <c r="D110" i="3"/>
  <c r="D92" i="3"/>
  <c r="Q42" i="3"/>
  <c r="D141" i="3"/>
  <c r="D68" i="3"/>
  <c r="Q41" i="3"/>
  <c r="D24" i="3"/>
  <c r="Q134" i="3"/>
  <c r="D114" i="3"/>
  <c r="Q11" i="3"/>
  <c r="D29" i="3"/>
  <c r="Q8" i="3"/>
  <c r="Q89" i="3"/>
  <c r="D42" i="3"/>
  <c r="Q86" i="3"/>
  <c r="D43" i="3"/>
  <c r="D128" i="3"/>
  <c r="D109" i="3"/>
  <c r="Q140" i="3"/>
  <c r="Q33" i="3"/>
  <c r="D51" i="3"/>
  <c r="D20" i="3"/>
  <c r="D130" i="3"/>
  <c r="Q70" i="3"/>
  <c r="D14" i="3"/>
  <c r="Q26" i="3"/>
  <c r="Q53" i="3"/>
  <c r="D115" i="3"/>
  <c r="Q47" i="3"/>
  <c r="Q128" i="3"/>
  <c r="D63" i="3"/>
  <c r="Q56" i="3"/>
  <c r="Q18" i="3"/>
  <c r="Q13" i="3"/>
  <c r="D45" i="3"/>
  <c r="D121" i="3"/>
  <c r="D91" i="3"/>
  <c r="Q124" i="3"/>
  <c r="Q22" i="3"/>
  <c r="D8" i="3"/>
  <c r="Q142" i="3"/>
  <c r="Q126" i="3"/>
  <c r="D111" i="3"/>
  <c r="Q85" i="3"/>
  <c r="D49" i="3"/>
  <c r="Q46" i="3"/>
  <c r="D33" i="3"/>
  <c r="D27" i="3"/>
  <c r="D48" i="3"/>
  <c r="Q43" i="3"/>
  <c r="D150" i="3"/>
  <c r="D22" i="3"/>
  <c r="D137" i="3"/>
  <c r="D112" i="3"/>
  <c r="Q60" i="3"/>
  <c r="Q45" i="3"/>
  <c r="Q152" i="3"/>
  <c r="D126" i="3"/>
  <c r="Q148" i="3"/>
  <c r="D75" i="3"/>
  <c r="Q75" i="3"/>
  <c r="D78" i="3"/>
  <c r="Q16" i="3"/>
  <c r="Q119" i="3"/>
  <c r="Q71" i="3"/>
  <c r="D133" i="3"/>
  <c r="Q107" i="3"/>
  <c r="Q82" i="3"/>
  <c r="Q14" i="3"/>
  <c r="D62" i="3"/>
  <c r="Q137" i="3"/>
  <c r="D108" i="3"/>
  <c r="D116" i="3"/>
  <c r="Q63" i="3"/>
  <c r="D72" i="3"/>
  <c r="D52" i="3"/>
  <c r="Q150" i="3"/>
  <c r="D15" i="3"/>
  <c r="D87" i="3"/>
  <c r="Q145" i="3"/>
  <c r="Q95" i="3"/>
  <c r="D148" i="3"/>
  <c r="D36" i="3"/>
  <c r="D85" i="3"/>
  <c r="Q38" i="3"/>
  <c r="D136" i="3"/>
  <c r="D135" i="3"/>
  <c r="D104" i="3"/>
  <c r="Q147" i="3"/>
  <c r="Q28" i="3"/>
  <c r="Q61" i="3"/>
  <c r="D106" i="3"/>
  <c r="D10" i="3"/>
  <c r="D107" i="3"/>
  <c r="D102" i="3"/>
  <c r="Q151" i="3"/>
  <c r="Q72" i="3"/>
  <c r="Q48" i="3"/>
  <c r="D40" i="3"/>
  <c r="P105" i="3"/>
  <c r="D37" i="3"/>
  <c r="Q12" i="3"/>
  <c r="Q146" i="3"/>
  <c r="D71" i="3"/>
  <c r="Q44" i="3"/>
  <c r="D119" i="3"/>
  <c r="Q131" i="3"/>
  <c r="Q29" i="3"/>
  <c r="D64" i="3"/>
  <c r="Q52" i="3"/>
  <c r="D101" i="3"/>
  <c r="D131" i="3"/>
  <c r="Q113" i="3"/>
  <c r="Q83" i="3"/>
  <c r="Q17" i="3"/>
  <c r="Q50" i="3"/>
  <c r="Q36" i="3"/>
  <c r="Q31" i="3"/>
  <c r="Q37" i="3"/>
  <c r="D117" i="3"/>
  <c r="Q110" i="3"/>
  <c r="Q30" i="3"/>
  <c r="Q136" i="3"/>
  <c r="D13" i="3"/>
  <c r="Q139" i="3"/>
  <c r="Q100" i="3"/>
  <c r="D79" i="3"/>
  <c r="Q93" i="3"/>
  <c r="D28" i="3"/>
  <c r="D105" i="3"/>
  <c r="D151" i="3"/>
  <c r="Q116" i="3"/>
  <c r="Q23" i="3"/>
  <c r="Q74" i="3"/>
  <c r="D125" i="3"/>
  <c r="Q91" i="3"/>
  <c r="D12" i="3"/>
  <c r="Q141" i="3"/>
  <c r="Q65" i="3"/>
  <c r="D98" i="3"/>
  <c r="Q21" i="3"/>
  <c r="D134" i="3"/>
  <c r="D89" i="3"/>
  <c r="Q92" i="3"/>
  <c r="Q40" i="3"/>
  <c r="Q24" i="3"/>
  <c r="Q10" i="3"/>
  <c r="Q103" i="3"/>
  <c r="D145" i="3"/>
  <c r="D120" i="3"/>
  <c r="D41" i="3"/>
  <c r="Q79" i="3"/>
  <c r="D44" i="3"/>
  <c r="D90" i="3"/>
  <c r="D65" i="3"/>
  <c r="Q77" i="3"/>
  <c r="D23" i="3"/>
  <c r="D47" i="3"/>
  <c r="D103" i="3"/>
  <c r="Q35" i="3"/>
  <c r="Q144" i="3"/>
  <c r="Q138" i="3"/>
  <c r="D138" i="3"/>
  <c r="D38" i="3"/>
  <c r="Q88" i="3"/>
  <c r="D81" i="3"/>
  <c r="Q115" i="3"/>
  <c r="D16" i="3"/>
  <c r="Q96" i="3"/>
  <c r="Q81" i="3"/>
  <c r="D76" i="3"/>
  <c r="D83" i="3"/>
  <c r="Q97" i="3"/>
  <c r="D19" i="3"/>
  <c r="Q135" i="3"/>
  <c r="D34" i="3"/>
  <c r="D100" i="3"/>
  <c r="D74" i="3"/>
  <c r="D95" i="3"/>
  <c r="Q132" i="3"/>
  <c r="Q76" i="3"/>
  <c r="Q98" i="3"/>
  <c r="D127" i="3"/>
  <c r="D26" i="3"/>
  <c r="Q25" i="3"/>
  <c r="Q78" i="3"/>
  <c r="Q66" i="3"/>
  <c r="Q27" i="3"/>
  <c r="Q69" i="3"/>
  <c r="Q55" i="3"/>
  <c r="D94" i="3"/>
  <c r="Q109" i="3"/>
  <c r="AA479" i="5"/>
  <c r="F152" i="2"/>
  <c r="P9" i="3"/>
  <c r="N153" i="3"/>
  <c r="E154" i="3" l="1"/>
  <c r="F154" i="3" s="1"/>
  <c r="Q57" i="3"/>
  <c r="Q153" i="3" s="1"/>
  <c r="M480" i="5"/>
  <c r="O480" i="5" s="1"/>
  <c r="D153" i="3"/>
  <c r="P153" i="3"/>
  <c r="G154" i="3" l="1"/>
  <c r="H154" i="3" s="1"/>
  <c r="P480" i="5"/>
  <c r="S480" i="5" s="1"/>
  <c r="U480" i="5" s="1"/>
  <c r="I154" i="3" l="1"/>
  <c r="J154" i="3" s="1"/>
  <c r="V480" i="5"/>
  <c r="X480" i="5" s="1"/>
  <c r="R480" i="5"/>
  <c r="K154" i="3" l="1"/>
  <c r="M154" i="3" s="1"/>
  <c r="N154" i="3" s="1"/>
  <c r="L154" i="3" l="1"/>
</calcChain>
</file>

<file path=xl/sharedStrings.xml><?xml version="1.0" encoding="utf-8"?>
<sst xmlns="http://schemas.openxmlformats.org/spreadsheetml/2006/main" count="8182" uniqueCount="1634">
  <si>
    <t>DADOS DA OBRA</t>
  </si>
  <si>
    <t>DATA BASE:</t>
  </si>
  <si>
    <t>SEM DESONERAÇÃO</t>
  </si>
  <si>
    <t>BDI Serviços (%):</t>
  </si>
  <si>
    <t>COEFICIENTES</t>
  </si>
  <si>
    <t>PRODUTIVIDADE</t>
  </si>
  <si>
    <t xml:space="preserve"> de 1 a 10</t>
  </si>
  <si>
    <t>LEIS SOCIAIS (%):</t>
  </si>
  <si>
    <t>DESC. INSUMOS</t>
  </si>
  <si>
    <t xml:space="preserve"> de 0 a 1</t>
  </si>
  <si>
    <t>RECURSO (R$)</t>
  </si>
  <si>
    <t>DIFERENÇA (R$)</t>
  </si>
  <si>
    <t>TOTAL (R$)</t>
  </si>
  <si>
    <t>OBSERVAÇÕES</t>
  </si>
  <si>
    <r>
      <t xml:space="preserve">OBS-1: Conforme metodologia de cálculo da Caixa Econômica Federal, foi utilizado arredondamento normal para duas casa decimais em todos os cálculos, exceto para o cálculo do valor total de cada item das composições de custos, no qual foi utilizado arredondamento truncado até a segunda casa decimal. Visto que a metodologia de cálculo das tabelas SEINFRA e ORSE utilizam arredondamentos diferentes, suas composições foram compatibilizadas com o mesmo arredondamento utilizado pela tabela SINAPI, assim, é expressamente recomendável que os preços calculados sejam revisados na planilha de composições, quando esta for gerada. 
OBS-2: Todas as composições de preços da tabela ORSE foram compatibilizadas nos seguintes quesitos:
1 - O ORSE divulga dois formatos de composições para cada serviço, sendo uma analítica e uma no formtato de lista de materiais, calculando a partir desta última o preço final de cada serviço. Visto que a tabela SINAPI, da Caixa Econômica Federal divulga as composições de serviços na forma analítica, apenas, optou-se pela utilização das composições da tabela ORSE também na forma analítica, mesmo que o cálculo do custo dos serviços sejam diferentes das tabelas publicadas;
2 - O ORSE divulga apenas os preços para o estado de Sergipe e SEM DESONERAÇÃO da folha, assim, todas as composições foram compatibilizadas nos preços de serviços e insumos com origem na tabela SINAPI, conforme a opção do estado e desoneração da folha, selecionados pelo usuários nos dados da Obra;
Ressaltamos que os preços das tabelas, de serviços e insumos, publicadas pelo ORSE não serão alterados, sendo alterados apenas os preços de serviços e insumos dentro de suas composições, dos itens com origem na tabela SINAPI, permanecendo inalterados os itens, de insumo ou composição, com origem na tabela ORSE. Esta metodologia foi adotada ao entender que os custos, numa mesma planilha orçamentária, não devem apresentar divergências numa mesma classe de serviços ou insumos. Assim, para o bom entendimento do profissional orçamentista, é expressamente recomendável que os preços calculados sejam revisados na planilha de composições, quando esta for gerada.
OBS-3: As composições dos preços com origem na tabela SICRO serão apresentadas conforme a metodologia de cálculo da mesma, com números e arredondamentos com 4 casas decimais e/ou 2 casas decimais, conforme cada caso, seguindo apresentadas exatamente como são publicadas pelo DNIT;
OBS-4: Para a tabela SICRO foram calculados os preços dos serviços COM DESONERAÇÃO, apesar de não publicados pelo DNIT, seguindo a mesma metodologia de suas publicações;
</t>
    </r>
    <r>
      <rPr>
        <sz val="11"/>
        <color indexed="10"/>
        <rFont val="Calibri"/>
        <family val="2"/>
      </rPr>
      <t>OBS-5: As tabelas de leis sociais, SINAPI e SICRO, deverão ser revisadas pelo usuário e adaptadas em cada caso. Sugerimos alterar o campo de LEIS SOCIAIS da aba DADOS quando utilizados apenas serviços da tabela SICRO.</t>
    </r>
  </si>
  <si>
    <t>PLANILHA RESUMO</t>
  </si>
  <si>
    <t>BDI (%):</t>
  </si>
  <si>
    <t>ITEM</t>
  </si>
  <si>
    <t>DESCRIÇÃO</t>
  </si>
  <si>
    <t>TOTAL (%)</t>
  </si>
  <si>
    <t>2.1</t>
  </si>
  <si>
    <t>2.2</t>
  </si>
  <si>
    <t>2.3</t>
  </si>
  <si>
    <t>2.3.1</t>
  </si>
  <si>
    <t>2.3.2</t>
  </si>
  <si>
    <t>2.3.3</t>
  </si>
  <si>
    <t>2.3.4</t>
  </si>
  <si>
    <t>2.3.5</t>
  </si>
  <si>
    <t>2.3.6</t>
  </si>
  <si>
    <t>2.3.7</t>
  </si>
  <si>
    <t>2.3.8</t>
  </si>
  <si>
    <t>2.3.9</t>
  </si>
  <si>
    <t>2.3.10</t>
  </si>
  <si>
    <t>2.3.11</t>
  </si>
  <si>
    <t>2.4</t>
  </si>
  <si>
    <t>2.5</t>
  </si>
  <si>
    <t>2.5.1</t>
  </si>
  <si>
    <t>2.5.2</t>
  </si>
  <si>
    <t>2.5.3</t>
  </si>
  <si>
    <t>2.6</t>
  </si>
  <si>
    <t>2.7</t>
  </si>
  <si>
    <t>2.7.1</t>
  </si>
  <si>
    <t>2.7.2</t>
  </si>
  <si>
    <t>3.1</t>
  </si>
  <si>
    <t>3.2</t>
  </si>
  <si>
    <t>3.3</t>
  </si>
  <si>
    <t>3.3.1</t>
  </si>
  <si>
    <t>3.3.2</t>
  </si>
  <si>
    <t>3.3.3</t>
  </si>
  <si>
    <t>3.3.4</t>
  </si>
  <si>
    <t>3.3.5</t>
  </si>
  <si>
    <t>3.3.6</t>
  </si>
  <si>
    <t>3.3.7</t>
  </si>
  <si>
    <t>3.3.8</t>
  </si>
  <si>
    <t>3.3.9</t>
  </si>
  <si>
    <t>3.3.10</t>
  </si>
  <si>
    <t>3.3.11</t>
  </si>
  <si>
    <t>3.4</t>
  </si>
  <si>
    <t>3.5</t>
  </si>
  <si>
    <t>3.5.1</t>
  </si>
  <si>
    <t>3.5.2</t>
  </si>
  <si>
    <t>3.5.3</t>
  </si>
  <si>
    <t>3.6</t>
  </si>
  <si>
    <t>3.7</t>
  </si>
  <si>
    <t>3.7.1</t>
  </si>
  <si>
    <t>3.7.2</t>
  </si>
  <si>
    <t>4.1</t>
  </si>
  <si>
    <t>4.2</t>
  </si>
  <si>
    <t>4.3</t>
  </si>
  <si>
    <t>4.3.1</t>
  </si>
  <si>
    <t>4.3.2</t>
  </si>
  <si>
    <t>4.3.3</t>
  </si>
  <si>
    <t>4.3.4</t>
  </si>
  <si>
    <t>4.3.5</t>
  </si>
  <si>
    <t>4.3.6</t>
  </si>
  <si>
    <t>4.3.7</t>
  </si>
  <si>
    <t>4.3.8</t>
  </si>
  <si>
    <t>4.3.9</t>
  </si>
  <si>
    <t>4.3.10</t>
  </si>
  <si>
    <t>4.3.11</t>
  </si>
  <si>
    <t>4.4</t>
  </si>
  <si>
    <t>4.5</t>
  </si>
  <si>
    <t>4.5.1</t>
  </si>
  <si>
    <t>4.5.2</t>
  </si>
  <si>
    <t>4.5.3</t>
  </si>
  <si>
    <t>4.6</t>
  </si>
  <si>
    <t>4.7</t>
  </si>
  <si>
    <t>4.7.1</t>
  </si>
  <si>
    <t>4.7.2</t>
  </si>
  <si>
    <t>5.1</t>
  </si>
  <si>
    <t>5.2</t>
  </si>
  <si>
    <t>5.3</t>
  </si>
  <si>
    <t>5.3.1</t>
  </si>
  <si>
    <t>5.3.2</t>
  </si>
  <si>
    <t>5.3.3</t>
  </si>
  <si>
    <t>5.3.4</t>
  </si>
  <si>
    <t>5.3.5</t>
  </si>
  <si>
    <t>5.3.6</t>
  </si>
  <si>
    <t>5.3.7</t>
  </si>
  <si>
    <t>5.3.8</t>
  </si>
  <si>
    <t>5.3.9</t>
  </si>
  <si>
    <t>5.3.10</t>
  </si>
  <si>
    <t>5.3.11</t>
  </si>
  <si>
    <t>5.4</t>
  </si>
  <si>
    <t>5.5</t>
  </si>
  <si>
    <t>5.5.1</t>
  </si>
  <si>
    <t>5.5.2</t>
  </si>
  <si>
    <t>5.5.3</t>
  </si>
  <si>
    <t>5.6</t>
  </si>
  <si>
    <t>5.7</t>
  </si>
  <si>
    <t>5.7.1</t>
  </si>
  <si>
    <t>5.7.2</t>
  </si>
  <si>
    <t>6.1</t>
  </si>
  <si>
    <t>6.2</t>
  </si>
  <si>
    <t>6.3</t>
  </si>
  <si>
    <t>6.3.1</t>
  </si>
  <si>
    <t>6.3.2</t>
  </si>
  <si>
    <t>6.3.3</t>
  </si>
  <si>
    <t>6.3.4</t>
  </si>
  <si>
    <t>6.3.5</t>
  </si>
  <si>
    <t>6.3.6</t>
  </si>
  <si>
    <t>6.3.7</t>
  </si>
  <si>
    <t>6.3.8</t>
  </si>
  <si>
    <t>6.3.9</t>
  </si>
  <si>
    <t>6.3.10</t>
  </si>
  <si>
    <t>6.3.11</t>
  </si>
  <si>
    <t>6.4</t>
  </si>
  <si>
    <t>6.5</t>
  </si>
  <si>
    <t>6.5.1</t>
  </si>
  <si>
    <t>6.5.2</t>
  </si>
  <si>
    <t>6.5.3</t>
  </si>
  <si>
    <t>6.6</t>
  </si>
  <si>
    <t>6.7</t>
  </si>
  <si>
    <t>6.7.1</t>
  </si>
  <si>
    <t>6.7.2</t>
  </si>
  <si>
    <t>7.1</t>
  </si>
  <si>
    <t>7.2</t>
  </si>
  <si>
    <t>7.3</t>
  </si>
  <si>
    <t>7.3.1</t>
  </si>
  <si>
    <t>7.3.2</t>
  </si>
  <si>
    <t>7.3.3</t>
  </si>
  <si>
    <t>7.3.4</t>
  </si>
  <si>
    <t>7.3.5</t>
  </si>
  <si>
    <t>7.3.6</t>
  </si>
  <si>
    <t>7.3.7</t>
  </si>
  <si>
    <t>7.3.8</t>
  </si>
  <si>
    <t>7.3.9</t>
  </si>
  <si>
    <t>7.3.10</t>
  </si>
  <si>
    <t>7.3.11</t>
  </si>
  <si>
    <t>7.4</t>
  </si>
  <si>
    <t>7.5</t>
  </si>
  <si>
    <t>7.5.1</t>
  </si>
  <si>
    <t>7.5.2</t>
  </si>
  <si>
    <t>7.5.3</t>
  </si>
  <si>
    <t>7.6</t>
  </si>
  <si>
    <t>7.7</t>
  </si>
  <si>
    <t>7.7.1</t>
  </si>
  <si>
    <t>7.7.2</t>
  </si>
  <si>
    <t>TOTAL</t>
  </si>
  <si>
    <t>CRONOGRAMA FÍSICO-FINANCEIRO</t>
  </si>
  <si>
    <t>30 DIAS</t>
  </si>
  <si>
    <t>60 DIAS</t>
  </si>
  <si>
    <t>90 DIAS</t>
  </si>
  <si>
    <t>120 DIAS</t>
  </si>
  <si>
    <t>150 DIAS</t>
  </si>
  <si>
    <t>META</t>
  </si>
  <si>
    <t>GERAL</t>
  </si>
  <si>
    <t>TOTAL GERAL</t>
  </si>
  <si>
    <t>TOTAL ACUMULADO</t>
  </si>
  <si>
    <t>PLANILHA ORÇAMENTÁRIA</t>
  </si>
  <si>
    <t>CÓDIGO</t>
  </si>
  <si>
    <t>FONTE</t>
  </si>
  <si>
    <t>UNID.</t>
  </si>
  <si>
    <t>QUANT.</t>
  </si>
  <si>
    <t>P. UNIT. S/BDI</t>
  </si>
  <si>
    <t>P. UNIT. C/BDI</t>
  </si>
  <si>
    <t>1.1</t>
  </si>
  <si>
    <t>1.2</t>
  </si>
  <si>
    <t>2.1.1</t>
  </si>
  <si>
    <t>2.1.2</t>
  </si>
  <si>
    <t>2.1.3</t>
  </si>
  <si>
    <t>2.1.4</t>
  </si>
  <si>
    <t>2.1.5</t>
  </si>
  <si>
    <t>2.1.6</t>
  </si>
  <si>
    <t>2.1.7</t>
  </si>
  <si>
    <t>2.1.8</t>
  </si>
  <si>
    <t>2.1.9</t>
  </si>
  <si>
    <t>2.1.10</t>
  </si>
  <si>
    <t>2.1.11</t>
  </si>
  <si>
    <t>2.1.12</t>
  </si>
  <si>
    <t>2.1.13</t>
  </si>
  <si>
    <t>2.1.14</t>
  </si>
  <si>
    <t>2.1.15</t>
  </si>
  <si>
    <t>2.2.1</t>
  </si>
  <si>
    <t>2.2.2</t>
  </si>
  <si>
    <t>2.2.3</t>
  </si>
  <si>
    <t>2.3.1.1</t>
  </si>
  <si>
    <t>2.3.1.2</t>
  </si>
  <si>
    <t>2.3.2.1</t>
  </si>
  <si>
    <t>2.3.3.1</t>
  </si>
  <si>
    <t>2.3.3.2</t>
  </si>
  <si>
    <t>2.3.3.3</t>
  </si>
  <si>
    <t>2.3.4.1</t>
  </si>
  <si>
    <t>2.3.4.2</t>
  </si>
  <si>
    <t>2.3.5.1</t>
  </si>
  <si>
    <t>2.3.5.2</t>
  </si>
  <si>
    <t>2.3.6.1</t>
  </si>
  <si>
    <t>2.3.6.2</t>
  </si>
  <si>
    <t>2.3.7.1</t>
  </si>
  <si>
    <t>2.3.7.2</t>
  </si>
  <si>
    <t>2.3.7.3</t>
  </si>
  <si>
    <t>2.3.8.1</t>
  </si>
  <si>
    <t>2.3.8.2</t>
  </si>
  <si>
    <t>2.3.9.1</t>
  </si>
  <si>
    <t>2.3.9.2</t>
  </si>
  <si>
    <t>2.3.10.1</t>
  </si>
  <si>
    <t>2.3.10.2</t>
  </si>
  <si>
    <t>2.3.11.1</t>
  </si>
  <si>
    <t>2.4.1</t>
  </si>
  <si>
    <t>2.4.2</t>
  </si>
  <si>
    <t>2.5.1.1</t>
  </si>
  <si>
    <t>2.5.1.2</t>
  </si>
  <si>
    <t>2.5.2.1</t>
  </si>
  <si>
    <t>2.5.3.1</t>
  </si>
  <si>
    <t>2.5.3.2</t>
  </si>
  <si>
    <t>2.6.1</t>
  </si>
  <si>
    <t>2.6.2</t>
  </si>
  <si>
    <t>2.6.3</t>
  </si>
  <si>
    <t>2.7.1.1</t>
  </si>
  <si>
    <t>2.7.1.2</t>
  </si>
  <si>
    <t>2.7.2.1</t>
  </si>
  <si>
    <t>2.7.2.2</t>
  </si>
  <si>
    <t>3.1.1</t>
  </si>
  <si>
    <t>3.1.2</t>
  </si>
  <si>
    <t>3.1.3</t>
  </si>
  <si>
    <t>3.1.4</t>
  </si>
  <si>
    <t>3.1.5</t>
  </si>
  <si>
    <t>3.1.6</t>
  </si>
  <si>
    <t>3.1.7</t>
  </si>
  <si>
    <t>3.1.8</t>
  </si>
  <si>
    <t>3.1.9</t>
  </si>
  <si>
    <t>3.1.10</t>
  </si>
  <si>
    <t>3.1.11</t>
  </si>
  <si>
    <t>3.1.12</t>
  </si>
  <si>
    <t>3.1.13</t>
  </si>
  <si>
    <t>3.1.14</t>
  </si>
  <si>
    <t>3.1.15</t>
  </si>
  <si>
    <t>3.2.1</t>
  </si>
  <si>
    <t>3.2.2</t>
  </si>
  <si>
    <t>3.2.3</t>
  </si>
  <si>
    <t>3.3.1.1</t>
  </si>
  <si>
    <t>3.3.1.2</t>
  </si>
  <si>
    <t>3.3.2.1</t>
  </si>
  <si>
    <t>3.3.3.1</t>
  </si>
  <si>
    <t>3.3.3.2</t>
  </si>
  <si>
    <t>3.3.3.3</t>
  </si>
  <si>
    <t>3.3.4.1</t>
  </si>
  <si>
    <t>3.3.4.2</t>
  </si>
  <si>
    <t>3.3.5.1</t>
  </si>
  <si>
    <t>3.3.5.2</t>
  </si>
  <si>
    <t>3.3.6.1</t>
  </si>
  <si>
    <t>3.3.6.2</t>
  </si>
  <si>
    <t>3.3.7.1</t>
  </si>
  <si>
    <t>3.3.7.2</t>
  </si>
  <si>
    <t>3.3.7.3</t>
  </si>
  <si>
    <t>3.3.8.1</t>
  </si>
  <si>
    <t>3.3.8.2</t>
  </si>
  <si>
    <t>3.3.9.1</t>
  </si>
  <si>
    <t>3.3.9.2</t>
  </si>
  <si>
    <t>3.3.10.1</t>
  </si>
  <si>
    <t>3.3.10.2</t>
  </si>
  <si>
    <t>3.3.11.1</t>
  </si>
  <si>
    <t>3.4.1</t>
  </si>
  <si>
    <t>3.4.2</t>
  </si>
  <si>
    <t>3.5.1.1</t>
  </si>
  <si>
    <t>3.5.1.2</t>
  </si>
  <si>
    <t>3.5.2.1</t>
  </si>
  <si>
    <t>3.5.3.1</t>
  </si>
  <si>
    <t>3.5.3.2</t>
  </si>
  <si>
    <t>3.6.1</t>
  </si>
  <si>
    <t>3.6.2</t>
  </si>
  <si>
    <t>3.6.3</t>
  </si>
  <si>
    <t>3.7.1.1</t>
  </si>
  <si>
    <t>3.7.1.2</t>
  </si>
  <si>
    <t>3.7.2.1</t>
  </si>
  <si>
    <t>3.7.2.2</t>
  </si>
  <si>
    <t>4.1.1</t>
  </si>
  <si>
    <t>4.1.2</t>
  </si>
  <si>
    <t>4.1.3</t>
  </si>
  <si>
    <t>4.1.4</t>
  </si>
  <si>
    <t>4.1.5</t>
  </si>
  <si>
    <t>4.1.6</t>
  </si>
  <si>
    <t>4.1.7</t>
  </si>
  <si>
    <t>4.1.8</t>
  </si>
  <si>
    <t>4.1.9</t>
  </si>
  <si>
    <t>4.1.10</t>
  </si>
  <si>
    <t>4.1.11</t>
  </si>
  <si>
    <t>4.1.12</t>
  </si>
  <si>
    <t>4.1.13</t>
  </si>
  <si>
    <t>4.1.14</t>
  </si>
  <si>
    <t>4.1.15</t>
  </si>
  <si>
    <t>4.2.1</t>
  </si>
  <si>
    <t>4.2.2</t>
  </si>
  <si>
    <t>4.2.3</t>
  </si>
  <si>
    <t>4.3.1.1</t>
  </si>
  <si>
    <t>4.3.1.2</t>
  </si>
  <si>
    <t>4.3.2.1</t>
  </si>
  <si>
    <t>4.3.3.1</t>
  </si>
  <si>
    <t>4.3.3.2</t>
  </si>
  <si>
    <t>4.3.3.3</t>
  </si>
  <si>
    <t>4.3.4.1</t>
  </si>
  <si>
    <t>4.3.4.2</t>
  </si>
  <si>
    <t>4.3.5.1</t>
  </si>
  <si>
    <t>4.3.5.2</t>
  </si>
  <si>
    <t>4.3.6.1</t>
  </si>
  <si>
    <t>4.3.6.2</t>
  </si>
  <si>
    <t>4.3.7.1</t>
  </si>
  <si>
    <t>4.3.7.2</t>
  </si>
  <si>
    <t>4.3.7.3</t>
  </si>
  <si>
    <t>4.3.8.1</t>
  </si>
  <si>
    <t>4.3.8.2</t>
  </si>
  <si>
    <t>4.3.9.1</t>
  </si>
  <si>
    <t>4.3.9.2</t>
  </si>
  <si>
    <t>4.3.10.1</t>
  </si>
  <si>
    <t>4.3.10.2</t>
  </si>
  <si>
    <t>4.3.11.1</t>
  </si>
  <si>
    <t>4.4.1</t>
  </si>
  <si>
    <t>4.4.2</t>
  </si>
  <si>
    <t>4.5.1.1</t>
  </si>
  <si>
    <t>4.5.1.2</t>
  </si>
  <si>
    <t>4.5.2.1</t>
  </si>
  <si>
    <t>4.5.3.1</t>
  </si>
  <si>
    <t>4.5.3.2</t>
  </si>
  <si>
    <t>4.6.1</t>
  </si>
  <si>
    <t>4.6.2</t>
  </si>
  <si>
    <t>4.6.3</t>
  </si>
  <si>
    <t>4.7.1.1</t>
  </si>
  <si>
    <t>4.7.1.2</t>
  </si>
  <si>
    <t>4.7.2.1</t>
  </si>
  <si>
    <t>4.7.2.2</t>
  </si>
  <si>
    <t>5.1.1</t>
  </si>
  <si>
    <t>5.1.2</t>
  </si>
  <si>
    <t>5.1.3</t>
  </si>
  <si>
    <t>5.1.4</t>
  </si>
  <si>
    <t>5.1.5</t>
  </si>
  <si>
    <t>5.1.6</t>
  </si>
  <si>
    <t>5.1.7</t>
  </si>
  <si>
    <t>5.1.8</t>
  </si>
  <si>
    <t>5.1.9</t>
  </si>
  <si>
    <t>5.1.10</t>
  </si>
  <si>
    <t>5.1.11</t>
  </si>
  <si>
    <t>5.1.12</t>
  </si>
  <si>
    <t>5.1.13</t>
  </si>
  <si>
    <t>5.1.14</t>
  </si>
  <si>
    <t>5.1.15</t>
  </si>
  <si>
    <t>5.2.1</t>
  </si>
  <si>
    <t>5.2.2</t>
  </si>
  <si>
    <t>5.2.3</t>
  </si>
  <si>
    <t>5.3.1.1</t>
  </si>
  <si>
    <t>5.3.1.2</t>
  </si>
  <si>
    <t>5.3.2.1</t>
  </si>
  <si>
    <t>5.3.3.1</t>
  </si>
  <si>
    <t>5.3.3.2</t>
  </si>
  <si>
    <t>5.3.3.3</t>
  </si>
  <si>
    <t>5.3.4.1</t>
  </si>
  <si>
    <t>5.3.4.2</t>
  </si>
  <si>
    <t>5.3.5.1</t>
  </si>
  <si>
    <t>5.3.5.2</t>
  </si>
  <si>
    <t>5.3.6.1</t>
  </si>
  <si>
    <t>5.3.6.2</t>
  </si>
  <si>
    <t>5.3.7.1</t>
  </si>
  <si>
    <t>5.3.7.2</t>
  </si>
  <si>
    <t>5.3.7.3</t>
  </si>
  <si>
    <t>5.3.8.1</t>
  </si>
  <si>
    <t>5.3.8.2</t>
  </si>
  <si>
    <t>5.3.9.1</t>
  </si>
  <si>
    <t>5.3.9.2</t>
  </si>
  <si>
    <t>5.3.10.1</t>
  </si>
  <si>
    <t>5.3.10.2</t>
  </si>
  <si>
    <t>5.3.11.1</t>
  </si>
  <si>
    <t>5.4.1</t>
  </si>
  <si>
    <t>5.4.2</t>
  </si>
  <si>
    <t>5.5.1.1</t>
  </si>
  <si>
    <t>5.5.1.2</t>
  </si>
  <si>
    <t>5.5.2.1</t>
  </si>
  <si>
    <t>5.5.3.1</t>
  </si>
  <si>
    <t>5.5.3.2</t>
  </si>
  <si>
    <t>5.6.1</t>
  </si>
  <si>
    <t>5.6.2</t>
  </si>
  <si>
    <t>5.6.3</t>
  </si>
  <si>
    <t>5.7.1.1</t>
  </si>
  <si>
    <t>5.7.1.2</t>
  </si>
  <si>
    <t>5.7.2.1</t>
  </si>
  <si>
    <t>5.7.2.2</t>
  </si>
  <si>
    <t>6.1.1</t>
  </si>
  <si>
    <t>6.1.2</t>
  </si>
  <si>
    <t>6.1.3</t>
  </si>
  <si>
    <t>6.1.4</t>
  </si>
  <si>
    <t>6.1.5</t>
  </si>
  <si>
    <t>6.1.6</t>
  </si>
  <si>
    <t>6.1.7</t>
  </si>
  <si>
    <t>6.1.8</t>
  </si>
  <si>
    <t>6.1.9</t>
  </si>
  <si>
    <t>6.1.10</t>
  </si>
  <si>
    <t>6.1.11</t>
  </si>
  <si>
    <t>6.1.12</t>
  </si>
  <si>
    <t>6.1.13</t>
  </si>
  <si>
    <t>6.1.14</t>
  </si>
  <si>
    <t>6.1.15</t>
  </si>
  <si>
    <t>6.2.1</t>
  </si>
  <si>
    <t>6.2.2</t>
  </si>
  <si>
    <t>6.2.3</t>
  </si>
  <si>
    <t>6.3.1.1</t>
  </si>
  <si>
    <t>6.3.1.2</t>
  </si>
  <si>
    <t>6.3.2.1</t>
  </si>
  <si>
    <t>6.3.3.1</t>
  </si>
  <si>
    <t>6.3.3.2</t>
  </si>
  <si>
    <t>6.3.3.3</t>
  </si>
  <si>
    <t>6.3.4.1</t>
  </si>
  <si>
    <t>6.3.4.2</t>
  </si>
  <si>
    <t>6.3.5.1</t>
  </si>
  <si>
    <t>6.3.5.2</t>
  </si>
  <si>
    <t>6.3.6.1</t>
  </si>
  <si>
    <t>6.3.6.2</t>
  </si>
  <si>
    <t>6.3.7.1</t>
  </si>
  <si>
    <t>6.3.7.2</t>
  </si>
  <si>
    <t>6.3.7.3</t>
  </si>
  <si>
    <t>6.3.8.1</t>
  </si>
  <si>
    <t>6.3.8.2</t>
  </si>
  <si>
    <t>6.3.9.1</t>
  </si>
  <si>
    <t>6.3.9.2</t>
  </si>
  <si>
    <t>6.3.10.1</t>
  </si>
  <si>
    <t>6.3.10.2</t>
  </si>
  <si>
    <t>6.3.11.1</t>
  </si>
  <si>
    <t>6.4.1</t>
  </si>
  <si>
    <t>6.4.2</t>
  </si>
  <si>
    <t>6.5.1.1</t>
  </si>
  <si>
    <t>6.5.1.2</t>
  </si>
  <si>
    <t>6.5.2.1</t>
  </si>
  <si>
    <t>6.5.3.1</t>
  </si>
  <si>
    <t>6.5.3.2</t>
  </si>
  <si>
    <t>6.6.1</t>
  </si>
  <si>
    <t>6.6.2</t>
  </si>
  <si>
    <t>6.6.3</t>
  </si>
  <si>
    <t>6.7.1.1</t>
  </si>
  <si>
    <t>6.7.1.2</t>
  </si>
  <si>
    <t>6.7.2.1</t>
  </si>
  <si>
    <t>6.7.2.2</t>
  </si>
  <si>
    <t>7.1.1</t>
  </si>
  <si>
    <t>7.1.2</t>
  </si>
  <si>
    <t>7.1.3</t>
  </si>
  <si>
    <t>7.1.4</t>
  </si>
  <si>
    <t>7.1.5</t>
  </si>
  <si>
    <t>7.1.6</t>
  </si>
  <si>
    <t>7.1.7</t>
  </si>
  <si>
    <t>7.1.8</t>
  </si>
  <si>
    <t>7.1.9</t>
  </si>
  <si>
    <t>7.1.10</t>
  </si>
  <si>
    <t>7.1.11</t>
  </si>
  <si>
    <t>7.1.12</t>
  </si>
  <si>
    <t>7.1.13</t>
  </si>
  <si>
    <t>7.1.14</t>
  </si>
  <si>
    <t>7.1.15</t>
  </si>
  <si>
    <t>7.2.1</t>
  </si>
  <si>
    <t>7.2.2</t>
  </si>
  <si>
    <t>7.2.3</t>
  </si>
  <si>
    <t>7.3.1.1</t>
  </si>
  <si>
    <t>7.3.1.2</t>
  </si>
  <si>
    <t>7.3.2.1</t>
  </si>
  <si>
    <t>7.3.3.1</t>
  </si>
  <si>
    <t>7.3.3.2</t>
  </si>
  <si>
    <t>7.3.3.3</t>
  </si>
  <si>
    <t>7.3.4.1</t>
  </si>
  <si>
    <t>7.3.4.2</t>
  </si>
  <si>
    <t>7.3.5.1</t>
  </si>
  <si>
    <t>7.3.5.2</t>
  </si>
  <si>
    <t>7.3.6.1</t>
  </si>
  <si>
    <t>7.3.6.2</t>
  </si>
  <si>
    <t>7.3.7.1</t>
  </si>
  <si>
    <t>7.3.7.2</t>
  </si>
  <si>
    <t>7.3.7.3</t>
  </si>
  <si>
    <t>7.3.8.1</t>
  </si>
  <si>
    <t>7.3.8.2</t>
  </si>
  <si>
    <t>7.3.9.1</t>
  </si>
  <si>
    <t>7.3.9.2</t>
  </si>
  <si>
    <t>7.3.10.1</t>
  </si>
  <si>
    <t>7.3.10.2</t>
  </si>
  <si>
    <t>7.3.11.1</t>
  </si>
  <si>
    <t>7.4.1</t>
  </si>
  <si>
    <t>7.4.2</t>
  </si>
  <si>
    <t>7.5.1.1</t>
  </si>
  <si>
    <t>7.5.1.2</t>
  </si>
  <si>
    <t>7.5.2.1</t>
  </si>
  <si>
    <t>7.5.3.1</t>
  </si>
  <si>
    <t>7.5.3.2</t>
  </si>
  <si>
    <t>7.6.1</t>
  </si>
  <si>
    <t>7.6.2</t>
  </si>
  <si>
    <t>7.6.3</t>
  </si>
  <si>
    <t>7.7.1.1</t>
  </si>
  <si>
    <t>7.7.1.2</t>
  </si>
  <si>
    <t>7.7.2.1</t>
  </si>
  <si>
    <t>7.7.2.2</t>
  </si>
  <si>
    <t>CRONOGRAMA DA OBRA</t>
  </si>
  <si>
    <t>%</t>
  </si>
  <si>
    <t>TOTAL GERAL (R$)</t>
  </si>
  <si>
    <t>TOTAL ACUMULADO (R$)</t>
  </si>
  <si>
    <t>MEMÓRIA DE CÁLCULO</t>
  </si>
  <si>
    <t>COEF.</t>
  </si>
  <si>
    <t>COMP. (m)</t>
  </si>
  <si>
    <t>LARG. (m)</t>
  </si>
  <si>
    <t>ALT. (m)</t>
  </si>
  <si>
    <t>ÁREA (m2)</t>
  </si>
  <si>
    <t>VOL. (m3)</t>
  </si>
  <si>
    <t>PARCIAL</t>
  </si>
  <si>
    <t>SERVIÇOS PRELIMINARES</t>
  </si>
  <si>
    <t>COMPOS31</t>
  </si>
  <si>
    <t>1.1.1</t>
  </si>
  <si>
    <t/>
  </si>
  <si>
    <t>COMP14</t>
  </si>
  <si>
    <t>1.2.1</t>
  </si>
  <si>
    <t>LOCALIDADE CAPIM GROSSO (PARNAGUÁ-PI)</t>
  </si>
  <si>
    <t>PERFURAÇÃO DE POÇO TUBULAR</t>
  </si>
  <si>
    <t>COMPOS3</t>
  </si>
  <si>
    <t>2.1.1.1</t>
  </si>
  <si>
    <t>COMPOS4</t>
  </si>
  <si>
    <t>2.1.2.1</t>
  </si>
  <si>
    <t>2.1.3.1</t>
  </si>
  <si>
    <t>TERESINA - CAPIM GROSSO (COMPRESSOR E REVESTIMENTO)</t>
  </si>
  <si>
    <t>COMPOS5</t>
  </si>
  <si>
    <t>2.1.4.1</t>
  </si>
  <si>
    <t>COMP197</t>
  </si>
  <si>
    <t>2.1.5.1</t>
  </si>
  <si>
    <t>VER PERFIL LITOLÓGICO</t>
  </si>
  <si>
    <t>COMP198</t>
  </si>
  <si>
    <t>2.1.6.1</t>
  </si>
  <si>
    <t>COMPOS10</t>
  </si>
  <si>
    <t>2.1.7.1</t>
  </si>
  <si>
    <t>COMPOS11</t>
  </si>
  <si>
    <t>2.1.8.1</t>
  </si>
  <si>
    <t>COMPOS12</t>
  </si>
  <si>
    <t>2.1.9.1</t>
  </si>
  <si>
    <t>COMPOS13</t>
  </si>
  <si>
    <t>2.1.10.1</t>
  </si>
  <si>
    <t>COMPOS14</t>
  </si>
  <si>
    <t>2.1.11.1</t>
  </si>
  <si>
    <t>COMPOS15</t>
  </si>
  <si>
    <t>2.1.12.1</t>
  </si>
  <si>
    <t>COMPOS16</t>
  </si>
  <si>
    <t>2.1.13.1</t>
  </si>
  <si>
    <t>COMPOS1</t>
  </si>
  <si>
    <t>2.1.14.1</t>
  </si>
  <si>
    <t>COMPOS2</t>
  </si>
  <si>
    <t>2.1.15.1</t>
  </si>
  <si>
    <t>AQUISIÇÃO E INSTALAÇÃO DE EQUIPAMENTOS DE BOMBEAMENTO, RECALQUE/BARRILETE E CONEXÕES PARA INTERLIGAÇÃO COM RESERVATÓRIO</t>
  </si>
  <si>
    <t>COMPOS19</t>
  </si>
  <si>
    <t>2.2.1.1</t>
  </si>
  <si>
    <t>COMPOS21</t>
  </si>
  <si>
    <t>2.2.2.1</t>
  </si>
  <si>
    <t>COMPOS26</t>
  </si>
  <si>
    <t>2.2.3.1</t>
  </si>
  <si>
    <t>CONSTRUÇÃO DA CASA DE COMANDO</t>
  </si>
  <si>
    <t>2.3.1.1.1</t>
  </si>
  <si>
    <t>2.3.1.2.1</t>
  </si>
  <si>
    <t>MOVIMENTO DE TERRA</t>
  </si>
  <si>
    <t>2.3.2.1.1</t>
  </si>
  <si>
    <t>2.3.2.1.2</t>
  </si>
  <si>
    <t>INFRAESTRUTURA</t>
  </si>
  <si>
    <t>2.3.3.1.1</t>
  </si>
  <si>
    <t>2.3.3.1.2</t>
  </si>
  <si>
    <t>2.3.3.2.1</t>
  </si>
  <si>
    <t>2.3.3.2.2</t>
  </si>
  <si>
    <t>2.3.3.3.1</t>
  </si>
  <si>
    <t>2.3.3.3.2</t>
  </si>
  <si>
    <t>SUPERESTRUTURA</t>
  </si>
  <si>
    <t>COMPCOM01</t>
  </si>
  <si>
    <t>2.3.4.1.1</t>
  </si>
  <si>
    <t>2.3.4.1.2</t>
  </si>
  <si>
    <t>COMPCOM02</t>
  </si>
  <si>
    <t>2.3.4.2.1</t>
  </si>
  <si>
    <t>PILAR</t>
  </si>
  <si>
    <t>2.3.4.2.2</t>
  </si>
  <si>
    <t>VEDAÇÃO VERTICAL</t>
  </si>
  <si>
    <t>2.3.5.1.1</t>
  </si>
  <si>
    <t>2.3.5.1.2</t>
  </si>
  <si>
    <t>2.3.5.1.3</t>
  </si>
  <si>
    <t>2.3.5.1.4</t>
  </si>
  <si>
    <t>2.3.5.1.5</t>
  </si>
  <si>
    <t>2.3.5.2.1</t>
  </si>
  <si>
    <t>COMPCOM03</t>
  </si>
  <si>
    <t>2.3.6.1.1</t>
  </si>
  <si>
    <t>COMPCOM04</t>
  </si>
  <si>
    <t>2.3.6.2.1</t>
  </si>
  <si>
    <t>PISO</t>
  </si>
  <si>
    <t>2.3.7.1.1</t>
  </si>
  <si>
    <t>2.3.7.2.1</t>
  </si>
  <si>
    <t>2.3.7.3.1</t>
  </si>
  <si>
    <t>2.3.7.3.2</t>
  </si>
  <si>
    <t>REVESTIMENTO</t>
  </si>
  <si>
    <t>2.3.8.1.1</t>
  </si>
  <si>
    <t>2 x ÁREA DA ALVENARIA</t>
  </si>
  <si>
    <t>2.3.8.2.1</t>
  </si>
  <si>
    <t>ESQUADRIAS</t>
  </si>
  <si>
    <t>2.3.9.1.1</t>
  </si>
  <si>
    <t>COMP219</t>
  </si>
  <si>
    <t>2.3.9.2.1</t>
  </si>
  <si>
    <t>PINTURA</t>
  </si>
  <si>
    <t>COMP205</t>
  </si>
  <si>
    <t>2.3.10.1.1</t>
  </si>
  <si>
    <t>2.3.10.2.1</t>
  </si>
  <si>
    <t>2 x ÁREA DA PORTA</t>
  </si>
  <si>
    <t>CERCAMENTO</t>
  </si>
  <si>
    <t>2.3.11.1.1</t>
  </si>
  <si>
    <t>2.3.11.1.2</t>
  </si>
  <si>
    <t>DESCONTO DE PORTÃO</t>
  </si>
  <si>
    <t>INSTALAÇÕES ELÉTRICAS</t>
  </si>
  <si>
    <t>COMP223</t>
  </si>
  <si>
    <t>2.4.1.1</t>
  </si>
  <si>
    <t>COMPOS24</t>
  </si>
  <si>
    <t>2.4.2.1</t>
  </si>
  <si>
    <t>ADUÇÃO</t>
  </si>
  <si>
    <t>2.5.1.1.1</t>
  </si>
  <si>
    <t>COMPOS28</t>
  </si>
  <si>
    <t>2.5.1.2.1</t>
  </si>
  <si>
    <t>COMP216</t>
  </si>
  <si>
    <t>2.5.2.1.1</t>
  </si>
  <si>
    <t>INSTALAÇÕES HIDRÁULICAS</t>
  </si>
  <si>
    <t>2.5.3.1.1</t>
  </si>
  <si>
    <t>COMPOS27</t>
  </si>
  <si>
    <t>2.5.3.2.1</t>
  </si>
  <si>
    <t>RESERVAÇÃO</t>
  </si>
  <si>
    <t>COMPOS34</t>
  </si>
  <si>
    <t>2.6.1.1</t>
  </si>
  <si>
    <t>2.6.2.1</t>
  </si>
  <si>
    <t>2.6.3.1</t>
  </si>
  <si>
    <t>DISTRIBUIÇÃO</t>
  </si>
  <si>
    <t>2.7.1.1.1</t>
  </si>
  <si>
    <t>2.7.1.1.2</t>
  </si>
  <si>
    <t>COMP199</t>
  </si>
  <si>
    <t>2.7.1.2.1</t>
  </si>
  <si>
    <t>2.7.1.2.2</t>
  </si>
  <si>
    <t>COMPOS35</t>
  </si>
  <si>
    <t>2.7.2.1.1</t>
  </si>
  <si>
    <t>COMPOS36</t>
  </si>
  <si>
    <t>2.7.2.2.1</t>
  </si>
  <si>
    <t>LOCALIDADE NAZARÉ (PARNAGUÁ-PI)</t>
  </si>
  <si>
    <t>3.1.1.1</t>
  </si>
  <si>
    <t>3.1.2.1</t>
  </si>
  <si>
    <t>DISTÂNCIA ENTRE LOCALIDADES (PERFURATRIZ)</t>
  </si>
  <si>
    <t>3.1.3.1</t>
  </si>
  <si>
    <t>DISTÂNCIA ENTRE LOCALIDADES (COMPRESSOR E REVESTIMENTO)</t>
  </si>
  <si>
    <t>3.1.4.1</t>
  </si>
  <si>
    <t>3.1.5.1</t>
  </si>
  <si>
    <t>3.1.6.1</t>
  </si>
  <si>
    <t>3.1.7.1</t>
  </si>
  <si>
    <t>3.1.8.1</t>
  </si>
  <si>
    <t>3.1.9.1</t>
  </si>
  <si>
    <t>3.1.10.1</t>
  </si>
  <si>
    <t>3.1.11.1</t>
  </si>
  <si>
    <t>3.1.12.1</t>
  </si>
  <si>
    <t>3.1.13.1</t>
  </si>
  <si>
    <t>3.1.14.1</t>
  </si>
  <si>
    <t>3.1.15.1</t>
  </si>
  <si>
    <t>3.2.1.1</t>
  </si>
  <si>
    <t>3.2.2.1</t>
  </si>
  <si>
    <t>3.2.3.1</t>
  </si>
  <si>
    <t>3.3.1.1.1</t>
  </si>
  <si>
    <t>3.3.1.2.1</t>
  </si>
  <si>
    <t>3.3.2.1.1</t>
  </si>
  <si>
    <t>3.3.2.1.2</t>
  </si>
  <si>
    <t>3.3.3.1.1</t>
  </si>
  <si>
    <t>3.3.3.1.2</t>
  </si>
  <si>
    <t>3.3.3.2.1</t>
  </si>
  <si>
    <t>3.3.3.2.2</t>
  </si>
  <si>
    <t>3.3.3.3.1</t>
  </si>
  <si>
    <t>3.3.3.3.2</t>
  </si>
  <si>
    <t>3.3.4.1.1</t>
  </si>
  <si>
    <t>3.3.4.1.2</t>
  </si>
  <si>
    <t>3.3.4.2.1</t>
  </si>
  <si>
    <t>3.3.4.2.2</t>
  </si>
  <si>
    <t>3.3.5.1.1</t>
  </si>
  <si>
    <t>3.3.5.1.2</t>
  </si>
  <si>
    <t>3.3.5.1.3</t>
  </si>
  <si>
    <t>3.3.5.1.4</t>
  </si>
  <si>
    <t>3.3.5.1.5</t>
  </si>
  <si>
    <t>3.3.5.2.1</t>
  </si>
  <si>
    <t>COBERTURA</t>
  </si>
  <si>
    <t>3.3.6.1.1</t>
  </si>
  <si>
    <t>3.3.6.2.1</t>
  </si>
  <si>
    <t>3.3.7.1.1</t>
  </si>
  <si>
    <t>3.3.7.2.1</t>
  </si>
  <si>
    <t>3.3.7.3.1</t>
  </si>
  <si>
    <t>3.3.7.3.2</t>
  </si>
  <si>
    <t>3.3.8.1.1</t>
  </si>
  <si>
    <t>3.3.8.2.1</t>
  </si>
  <si>
    <t>3.3.9.1.1</t>
  </si>
  <si>
    <t>3.3.9.2.1</t>
  </si>
  <si>
    <t>3.3.10.1.1</t>
  </si>
  <si>
    <t>3.3.10.2.1</t>
  </si>
  <si>
    <t>3.3.11.1.1</t>
  </si>
  <si>
    <t>3.3.11.1.2</t>
  </si>
  <si>
    <t>3.4.1.1</t>
  </si>
  <si>
    <t>3.4.2.1</t>
  </si>
  <si>
    <t>3.5.1.1.1</t>
  </si>
  <si>
    <t>3.5.1.2.1</t>
  </si>
  <si>
    <t>3.5.2.1.1</t>
  </si>
  <si>
    <t>3.5.3.1.1</t>
  </si>
  <si>
    <t>3.5.3.2.1</t>
  </si>
  <si>
    <t>3.6.1.1</t>
  </si>
  <si>
    <t>3.6.2.1</t>
  </si>
  <si>
    <t>3.6.3.1</t>
  </si>
  <si>
    <t>3.7.1.1.1</t>
  </si>
  <si>
    <t>3.7.1.1.2</t>
  </si>
  <si>
    <t>3.7.1.2.1</t>
  </si>
  <si>
    <t>3.7.1.2.2</t>
  </si>
  <si>
    <t>3.7.2.1.1</t>
  </si>
  <si>
    <t>3.7.2.2.1</t>
  </si>
  <si>
    <t>LOCALIDADE BAIXÃO DA GAMELEIRA II (ANÍSIO DE ABREU-PI)</t>
  </si>
  <si>
    <t>4.1.1.1</t>
  </si>
  <si>
    <t>4.1.2.1</t>
  </si>
  <si>
    <t>4.1.3.1</t>
  </si>
  <si>
    <t>4.1.4.1</t>
  </si>
  <si>
    <t>4.1.5.1</t>
  </si>
  <si>
    <t>4.1.6.1</t>
  </si>
  <si>
    <t>4.1.7.1</t>
  </si>
  <si>
    <t>4.1.8.1</t>
  </si>
  <si>
    <t>4.1.9.1</t>
  </si>
  <si>
    <t>4.1.10.1</t>
  </si>
  <si>
    <t>4.1.11.1</t>
  </si>
  <si>
    <t>4.1.12.1</t>
  </si>
  <si>
    <t>4.1.13.1</t>
  </si>
  <si>
    <t>4.1.14.1</t>
  </si>
  <si>
    <t>4.1.15.1</t>
  </si>
  <si>
    <t>4.2.1.1</t>
  </si>
  <si>
    <t>4.2.2.1</t>
  </si>
  <si>
    <t>4.2.3.1</t>
  </si>
  <si>
    <t>4.3.1.1.1</t>
  </si>
  <si>
    <t>4.3.1.2.1</t>
  </si>
  <si>
    <t>4.3.2.1.1</t>
  </si>
  <si>
    <t>4.3.2.1.2</t>
  </si>
  <si>
    <t>4.3.3.1.1</t>
  </si>
  <si>
    <t>4.3.3.1.2</t>
  </si>
  <si>
    <t>4.3.3.2.1</t>
  </si>
  <si>
    <t>4.3.3.2.2</t>
  </si>
  <si>
    <t>4.3.3.3.1</t>
  </si>
  <si>
    <t>4.3.3.3.2</t>
  </si>
  <si>
    <t>4.3.4.1.1</t>
  </si>
  <si>
    <t>4.3.4.1.2</t>
  </si>
  <si>
    <t>4.3.4.2.1</t>
  </si>
  <si>
    <t>4.3.4.2.2</t>
  </si>
  <si>
    <t>4.3.5.1.1</t>
  </si>
  <si>
    <t>4.3.5.1.2</t>
  </si>
  <si>
    <t>4.3.5.1.3</t>
  </si>
  <si>
    <t>4.3.5.1.4</t>
  </si>
  <si>
    <t>4.3.5.1.5</t>
  </si>
  <si>
    <t>4.3.5.2.1</t>
  </si>
  <si>
    <t>4.3.6.1.1</t>
  </si>
  <si>
    <t>4.3.6.2.1</t>
  </si>
  <si>
    <t>4.3.7.1.1</t>
  </si>
  <si>
    <t>4.3.7.2.1</t>
  </si>
  <si>
    <t>4.3.7.3.1</t>
  </si>
  <si>
    <t>4.3.7.3.2</t>
  </si>
  <si>
    <t>4.3.8.1.1</t>
  </si>
  <si>
    <t>4.3.8.2.1</t>
  </si>
  <si>
    <t>4.3.9.1.1</t>
  </si>
  <si>
    <t>4.3.9.2.1</t>
  </si>
  <si>
    <t>4.3.10.1.1</t>
  </si>
  <si>
    <t>4.3.10.2.1</t>
  </si>
  <si>
    <t>4.3.11.1.1</t>
  </si>
  <si>
    <t>4.3.11.1.2</t>
  </si>
  <si>
    <t>4.4.1.1</t>
  </si>
  <si>
    <t>4.4.2.1</t>
  </si>
  <si>
    <t>4.5.1.1.1</t>
  </si>
  <si>
    <t>4.5.1.2.1</t>
  </si>
  <si>
    <t>4.5.2.1.1</t>
  </si>
  <si>
    <t>4.5.3.1.1</t>
  </si>
  <si>
    <t>4.5.3.2.1</t>
  </si>
  <si>
    <t>4.6.1.1</t>
  </si>
  <si>
    <t>4.6.2.1</t>
  </si>
  <si>
    <t>4.6.3.1</t>
  </si>
  <si>
    <t>4.7.1.1.1</t>
  </si>
  <si>
    <t>4.7.1.1.2</t>
  </si>
  <si>
    <t>4.7.1.2.1</t>
  </si>
  <si>
    <t>4.7.1.2.2</t>
  </si>
  <si>
    <t>4.7.2.1.1</t>
  </si>
  <si>
    <t>4.7.2.2.1</t>
  </si>
  <si>
    <t>LOCALIDADE BARREIRINHO (ANÍSIO DE ABREU-PI)</t>
  </si>
  <si>
    <t>5.1.1.1</t>
  </si>
  <si>
    <t>5.1.2.1</t>
  </si>
  <si>
    <t>DISTÂNCIA ENTRE LOCALIDADES + VOLTA PRA TERESINA (PERFURATRIZ)</t>
  </si>
  <si>
    <t>5.1.3.1</t>
  </si>
  <si>
    <t>DISTÂNCIA ENTRE LOCALIDADES + VOLTA PRA TERESINA (COMPRESSOR E REVESTIMENTO)</t>
  </si>
  <si>
    <t>5.1.4.1</t>
  </si>
  <si>
    <t>5.1.5.1</t>
  </si>
  <si>
    <t>5.1.6.1</t>
  </si>
  <si>
    <t>5.1.7.1</t>
  </si>
  <si>
    <t>5.1.8.1</t>
  </si>
  <si>
    <t>5.1.9.1</t>
  </si>
  <si>
    <t>5.1.10.1</t>
  </si>
  <si>
    <t>5.1.11.1</t>
  </si>
  <si>
    <t>5.1.12.1</t>
  </si>
  <si>
    <t>5.1.13.1</t>
  </si>
  <si>
    <t>5.1.14.1</t>
  </si>
  <si>
    <t>5.1.15.1</t>
  </si>
  <si>
    <t>5.2.1.1</t>
  </si>
  <si>
    <t>5.2.2.1</t>
  </si>
  <si>
    <t>5.2.3.1</t>
  </si>
  <si>
    <t>5.3.1.1.1</t>
  </si>
  <si>
    <t>5.3.1.2.1</t>
  </si>
  <si>
    <t>5.3.2.1.1</t>
  </si>
  <si>
    <t>5.3.2.1.2</t>
  </si>
  <si>
    <t>5.3.3.1.1</t>
  </si>
  <si>
    <t>5.3.3.1.2</t>
  </si>
  <si>
    <t>5.3.3.2.1</t>
  </si>
  <si>
    <t>5.3.3.2.2</t>
  </si>
  <si>
    <t>5.3.3.3.1</t>
  </si>
  <si>
    <t>5.3.3.3.2</t>
  </si>
  <si>
    <t>5.3.4.1.1</t>
  </si>
  <si>
    <t>5.3.4.1.2</t>
  </si>
  <si>
    <t>5.3.4.2.1</t>
  </si>
  <si>
    <t>5.3.4.2.2</t>
  </si>
  <si>
    <t>5.3.5.1.1</t>
  </si>
  <si>
    <t>5.3.5.1.2</t>
  </si>
  <si>
    <t>5.3.5.1.3</t>
  </si>
  <si>
    <t>5.3.5.1.4</t>
  </si>
  <si>
    <t>5.3.5.1.5</t>
  </si>
  <si>
    <t>5.3.5.2.1</t>
  </si>
  <si>
    <t>5.3.6.1.1</t>
  </si>
  <si>
    <t>5.3.6.2.1</t>
  </si>
  <si>
    <t>5.3.7.1.1</t>
  </si>
  <si>
    <t>5.3.7.2.1</t>
  </si>
  <si>
    <t>5.3.7.3.1</t>
  </si>
  <si>
    <t>5.3.7.3.2</t>
  </si>
  <si>
    <t>5.3.8.1.1</t>
  </si>
  <si>
    <t>5.3.8.2.1</t>
  </si>
  <si>
    <t>5.3.9.1.1</t>
  </si>
  <si>
    <t>5.3.9.2.1</t>
  </si>
  <si>
    <t>5.3.10.1.1</t>
  </si>
  <si>
    <t>5.3.10.2.1</t>
  </si>
  <si>
    <t>5.3.11.1.1</t>
  </si>
  <si>
    <t>5.3.11.1.2</t>
  </si>
  <si>
    <t>5.4.1.1</t>
  </si>
  <si>
    <t>5.4.2.1</t>
  </si>
  <si>
    <t>5.5.1.1.1</t>
  </si>
  <si>
    <t>5.5.1.2.1</t>
  </si>
  <si>
    <t>5.5.2.1.1</t>
  </si>
  <si>
    <t>5.5.3.1.1</t>
  </si>
  <si>
    <t>5.5.3.2.1</t>
  </si>
  <si>
    <t>COMPS35</t>
  </si>
  <si>
    <t>5.6.1.1</t>
  </si>
  <si>
    <t>5.6.2.1</t>
  </si>
  <si>
    <t>5.6.3.1</t>
  </si>
  <si>
    <t>5.7.1.1.1</t>
  </si>
  <si>
    <t>5.7.1.1.2</t>
  </si>
  <si>
    <t>5.7.1.2.1</t>
  </si>
  <si>
    <t>5.7.1.2.2</t>
  </si>
  <si>
    <t>5.7.2.1.1</t>
  </si>
  <si>
    <t>5.7.2.2.1</t>
  </si>
  <si>
    <t>LOCALIDADE LAGOA DO CABOCLO (ANÍSIO DE ABREU-PI)</t>
  </si>
  <si>
    <t>6.1.1.1</t>
  </si>
  <si>
    <t>6.1.2.1</t>
  </si>
  <si>
    <t>6.1.3.1</t>
  </si>
  <si>
    <t>6.1.4.1</t>
  </si>
  <si>
    <t>6.1.5.1</t>
  </si>
  <si>
    <t>6.1.6.1</t>
  </si>
  <si>
    <t>6.1.7.1</t>
  </si>
  <si>
    <t>6.1.8.1</t>
  </si>
  <si>
    <t>6.1.9.1</t>
  </si>
  <si>
    <t>6.1.10.1</t>
  </si>
  <si>
    <t>6.1.11.1</t>
  </si>
  <si>
    <t>6.1.12.1</t>
  </si>
  <si>
    <t>6.1.13.1</t>
  </si>
  <si>
    <t>6.1.14.1</t>
  </si>
  <si>
    <t>6.1.15.1</t>
  </si>
  <si>
    <t>6.2.1.1</t>
  </si>
  <si>
    <t>6.2.2.1</t>
  </si>
  <si>
    <t>6.2.3.1</t>
  </si>
  <si>
    <t>6.3.1.1.1</t>
  </si>
  <si>
    <t>6.3.1.2.1</t>
  </si>
  <si>
    <t>6.3.2.1.1</t>
  </si>
  <si>
    <t>6.3.2.1.2</t>
  </si>
  <si>
    <t>6.3.3.1.1</t>
  </si>
  <si>
    <t>6.3.3.1.2</t>
  </si>
  <si>
    <t>6.3.3.2.1</t>
  </si>
  <si>
    <t>6.3.3.2.2</t>
  </si>
  <si>
    <t>6.3.3.3.1</t>
  </si>
  <si>
    <t>6.3.3.3.2</t>
  </si>
  <si>
    <t>6.3.4.1.1</t>
  </si>
  <si>
    <t>6.3.4.1.2</t>
  </si>
  <si>
    <t>6.3.4.2.1</t>
  </si>
  <si>
    <t>6.3.4.2.2</t>
  </si>
  <si>
    <t>6.3.5.1.1</t>
  </si>
  <si>
    <t>6.3.5.1.2</t>
  </si>
  <si>
    <t>6.3.5.1.3</t>
  </si>
  <si>
    <t>6.3.5.1.4</t>
  </si>
  <si>
    <t>6.3.5.1.5</t>
  </si>
  <si>
    <t>6.3.5.2.1</t>
  </si>
  <si>
    <t>6.3.6.1.1</t>
  </si>
  <si>
    <t>6.3.6.2.1</t>
  </si>
  <si>
    <t>6.3.7.1.1</t>
  </si>
  <si>
    <t>6.3.7.2.1</t>
  </si>
  <si>
    <t>6.3.7.3.1</t>
  </si>
  <si>
    <t>6.3.7.3.2</t>
  </si>
  <si>
    <t>6.3.8.1.1</t>
  </si>
  <si>
    <t>6.3.8.2.1</t>
  </si>
  <si>
    <t>6.3.9.1.1</t>
  </si>
  <si>
    <t>6.3.9.2.1</t>
  </si>
  <si>
    <t>6.3.10.1.1</t>
  </si>
  <si>
    <t>6.3.10.2.1</t>
  </si>
  <si>
    <t>6.3.11.1.1</t>
  </si>
  <si>
    <t>6.3.11.1.2</t>
  </si>
  <si>
    <t>6.4.1.1</t>
  </si>
  <si>
    <t>6.4.2.1</t>
  </si>
  <si>
    <t>6.5.1.1.1</t>
  </si>
  <si>
    <t>6.5.1.2.1</t>
  </si>
  <si>
    <t>6.5.2.1.1</t>
  </si>
  <si>
    <t>6.5.3.1.1</t>
  </si>
  <si>
    <t>6.5.3.2.1</t>
  </si>
  <si>
    <t>6.6.1.1</t>
  </si>
  <si>
    <t>6.6.2.1</t>
  </si>
  <si>
    <t>6.6.3.1</t>
  </si>
  <si>
    <t>6.7.1.1.1</t>
  </si>
  <si>
    <t>6.7.1.1.2</t>
  </si>
  <si>
    <t>6.7.1.2.1</t>
  </si>
  <si>
    <t>6.7.1.2.2</t>
  </si>
  <si>
    <t>6.7.2.1.1</t>
  </si>
  <si>
    <t>6.7.2.2.1</t>
  </si>
  <si>
    <t>LOCALIDADE SANTA MADALENA (ANÍSIO DE ABREU-PI)</t>
  </si>
  <si>
    <t>7.1.1.1</t>
  </si>
  <si>
    <t>7.1.2.1</t>
  </si>
  <si>
    <t>7.1.3.1</t>
  </si>
  <si>
    <t>7.1.4.1</t>
  </si>
  <si>
    <t>7.1.5.1</t>
  </si>
  <si>
    <t>7.1.6.1</t>
  </si>
  <si>
    <t>7.1.7.1</t>
  </si>
  <si>
    <t>7.1.8.1</t>
  </si>
  <si>
    <t>7.1.9.1</t>
  </si>
  <si>
    <t>7.1.10.1</t>
  </si>
  <si>
    <t>7.1.11.1</t>
  </si>
  <si>
    <t>7.1.12.1</t>
  </si>
  <si>
    <t>7.1.13.1</t>
  </si>
  <si>
    <t>7.1.14.1</t>
  </si>
  <si>
    <t>7.1.15.1</t>
  </si>
  <si>
    <t>7.2.1.1</t>
  </si>
  <si>
    <t>7.2.2.1</t>
  </si>
  <si>
    <t>7.2.3.1</t>
  </si>
  <si>
    <t>7.3.1.1.1</t>
  </si>
  <si>
    <t>7.3.1.2.1</t>
  </si>
  <si>
    <t>7.3.2.1.1</t>
  </si>
  <si>
    <t>7.3.2.1.2</t>
  </si>
  <si>
    <t>7.3.3.1.1</t>
  </si>
  <si>
    <t>7.3.3.1.2</t>
  </si>
  <si>
    <t>7.3.3.2.1</t>
  </si>
  <si>
    <t>7.3.3.2.2</t>
  </si>
  <si>
    <t>7.3.3.3.1</t>
  </si>
  <si>
    <t>7.3.3.3.2</t>
  </si>
  <si>
    <t>7.3.4.1.1</t>
  </si>
  <si>
    <t>7.3.4.1.2</t>
  </si>
  <si>
    <t>7.3.4.2.1</t>
  </si>
  <si>
    <t>7.3.4.2.2</t>
  </si>
  <si>
    <t>7.3.5.1.1</t>
  </si>
  <si>
    <t>7.3.5.1.2</t>
  </si>
  <si>
    <t>7.3.5.1.3</t>
  </si>
  <si>
    <t>7.3.5.1.4</t>
  </si>
  <si>
    <t>7.3.5.1.5</t>
  </si>
  <si>
    <t>7.3.5.2.1</t>
  </si>
  <si>
    <t>7.3.6.1.1</t>
  </si>
  <si>
    <t>7.3.6.2.1</t>
  </si>
  <si>
    <t>7.3.7.1.1</t>
  </si>
  <si>
    <t>7.3.7.2.1</t>
  </si>
  <si>
    <t>7.3.7.3.1</t>
  </si>
  <si>
    <t>7.3.7.3.2</t>
  </si>
  <si>
    <t>7.3.8.1.1</t>
  </si>
  <si>
    <t>7.3.8.2.1</t>
  </si>
  <si>
    <t>7.3.9.1.1</t>
  </si>
  <si>
    <t>7.3.9.2.1</t>
  </si>
  <si>
    <t>7.3.10.1.1</t>
  </si>
  <si>
    <t>7.3.10.2.1</t>
  </si>
  <si>
    <t>7.3.11.1.1</t>
  </si>
  <si>
    <t>7.3.11.1.2</t>
  </si>
  <si>
    <t>7.4.1.1</t>
  </si>
  <si>
    <t>7.4.2.1</t>
  </si>
  <si>
    <t>7.5.1.1.1</t>
  </si>
  <si>
    <t>7.5.1.2.1</t>
  </si>
  <si>
    <t>7.5.2.1.1</t>
  </si>
  <si>
    <t>7.5.3.1.1</t>
  </si>
  <si>
    <t>7.5.3.2.1</t>
  </si>
  <si>
    <t>7.6.1.1</t>
  </si>
  <si>
    <t>7.6.2.1</t>
  </si>
  <si>
    <t>7.6.3.1</t>
  </si>
  <si>
    <t>7.7.1.1.1</t>
  </si>
  <si>
    <t>7.7.1.1.2</t>
  </si>
  <si>
    <t>7.7.1.2.1</t>
  </si>
  <si>
    <t>7.7.1.2.2</t>
  </si>
  <si>
    <t>7.7.2.1.1</t>
  </si>
  <si>
    <t>7.7.2.2.1</t>
  </si>
  <si>
    <t>PLANILHA DE COMPOSIÇÕES UNITÁRIAS</t>
  </si>
  <si>
    <t>ORÇAMENTO</t>
  </si>
  <si>
    <t>CRONOGRAMA</t>
  </si>
  <si>
    <t>QUANTIDADE</t>
  </si>
  <si>
    <t>TOTAL (CHI)</t>
  </si>
  <si>
    <t>CLASSE/TIPO</t>
  </si>
  <si>
    <t>P. UNIT. (R$)</t>
  </si>
  <si>
    <t>SERP</t>
  </si>
  <si>
    <t>COMPOSIÇÃO DO USUÁRIO</t>
  </si>
  <si>
    <t>COMPOSICAO</t>
  </si>
  <si>
    <t>INSUMO</t>
  </si>
  <si>
    <t>I0537</t>
  </si>
  <si>
    <t>I1691</t>
  </si>
  <si>
    <t>I1725</t>
  </si>
  <si>
    <t>I1100</t>
  </si>
  <si>
    <t>INSTHR</t>
  </si>
  <si>
    <t>COTACAO</t>
  </si>
  <si>
    <t>CAESB2</t>
  </si>
  <si>
    <t>02789/ORSE</t>
  </si>
  <si>
    <t>13957/ORSE</t>
  </si>
  <si>
    <t>CAESB3</t>
  </si>
  <si>
    <t>05053/ORSE</t>
  </si>
  <si>
    <t>05048/ORSE</t>
  </si>
  <si>
    <t>CAESB8</t>
  </si>
  <si>
    <t>CAESB9</t>
  </si>
  <si>
    <t>EMBASA1</t>
  </si>
  <si>
    <t>CAESB10</t>
  </si>
  <si>
    <t>06312/ORSE</t>
  </si>
  <si>
    <t>CAESB1</t>
  </si>
  <si>
    <t>05128/ORSE</t>
  </si>
  <si>
    <t>04840/ORSE</t>
  </si>
  <si>
    <t>01431/ORSE</t>
  </si>
  <si>
    <t>COTA10</t>
  </si>
  <si>
    <t>07065/ORSE</t>
  </si>
  <si>
    <t>SUPRV</t>
  </si>
  <si>
    <t>LOCA</t>
  </si>
  <si>
    <t>ESCAVL</t>
  </si>
  <si>
    <t>LAST</t>
  </si>
  <si>
    <t>DISS</t>
  </si>
  <si>
    <t>ALVEV</t>
  </si>
  <si>
    <t>ALVED</t>
  </si>
  <si>
    <t>PISOS</t>
  </si>
  <si>
    <t>PASS</t>
  </si>
  <si>
    <t>CHAP</t>
  </si>
  <si>
    <t>MASSI</t>
  </si>
  <si>
    <t>ESQUP</t>
  </si>
  <si>
    <t>I0108</t>
  </si>
  <si>
    <t>I0208</t>
  </si>
  <si>
    <t>I0805</t>
  </si>
  <si>
    <t>I1158</t>
  </si>
  <si>
    <t>I1224</t>
  </si>
  <si>
    <t>I2496</t>
  </si>
  <si>
    <t>PINTSM</t>
  </si>
  <si>
    <t>CERC</t>
  </si>
  <si>
    <t>COTA111</t>
  </si>
  <si>
    <t>COTA121</t>
  </si>
  <si>
    <t>COTA131</t>
  </si>
  <si>
    <t>COTA141</t>
  </si>
  <si>
    <t>COTA151</t>
  </si>
  <si>
    <t>COTA161</t>
  </si>
  <si>
    <t>COTA171</t>
  </si>
  <si>
    <t>COTA184</t>
  </si>
  <si>
    <t>COTA136</t>
  </si>
  <si>
    <t>COTA137</t>
  </si>
  <si>
    <t>comp196</t>
  </si>
  <si>
    <t>MOVT</t>
  </si>
  <si>
    <t>COMP214</t>
  </si>
  <si>
    <t>COMP215</t>
  </si>
  <si>
    <t>VALV</t>
  </si>
  <si>
    <t>ASTU</t>
  </si>
  <si>
    <t>COTA13</t>
  </si>
  <si>
    <t>COMPOS33</t>
  </si>
  <si>
    <t>ATERV</t>
  </si>
  <si>
    <t>05240/ORSE</t>
  </si>
  <si>
    <t>COTA14</t>
  </si>
  <si>
    <t>PLANILHA DE COMPOSIÇÕES UNITÁRIAS AUXILIARES - NÍVEL 1</t>
  </si>
  <si>
    <t>LIVR</t>
  </si>
  <si>
    <t>ARGA</t>
  </si>
  <si>
    <t>PRODC</t>
  </si>
  <si>
    <t>RADI</t>
  </si>
  <si>
    <t>05022/ORSE</t>
  </si>
  <si>
    <t>CUSTH</t>
  </si>
  <si>
    <t>FORMCA</t>
  </si>
  <si>
    <t>ARMAC</t>
  </si>
  <si>
    <t>CONCCA</t>
  </si>
  <si>
    <t>FUND</t>
  </si>
  <si>
    <t>SEDI</t>
  </si>
  <si>
    <t>COMP196</t>
  </si>
  <si>
    <t>10217/ORSE</t>
  </si>
  <si>
    <t>13143/ORSE</t>
  </si>
  <si>
    <t>12991/ORSE</t>
  </si>
  <si>
    <t>05014/ORSE</t>
  </si>
  <si>
    <t>I0682</t>
  </si>
  <si>
    <t>I0109</t>
  </si>
  <si>
    <t>I1605</t>
  </si>
  <si>
    <t>I0965</t>
  </si>
  <si>
    <t>I1728</t>
  </si>
  <si>
    <t>I1846</t>
  </si>
  <si>
    <t>I1916</t>
  </si>
  <si>
    <t>PINTE</t>
  </si>
  <si>
    <t>PLANILHA DE COMPOSIÇÕES UNITÁRIAS AUXILIARES - NÍVEL 2</t>
  </si>
  <si>
    <t>DEPR</t>
  </si>
  <si>
    <t>PLANILHA DE COMPOSIÇÕES UNITÁRIAS AUXILIARES - NÍVEL 3</t>
  </si>
  <si>
    <t>PLANILHA DE COMPOSIÇÕES UNITÁRIAS AUXILIARES - NÍVEL 4</t>
  </si>
  <si>
    <t>PLANILHA DE COMPOSIÇÕES UNITÁRIAS AUXILIARES - NÍVEL 5</t>
  </si>
  <si>
    <t>COMPOSIÇÃO DA TAXA DE BDI PARA SERVIÇOS</t>
  </si>
  <si>
    <t>Limites Acórdão nº 2622/2013-TCU</t>
  </si>
  <si>
    <t>AC</t>
  </si>
  <si>
    <t>ADMINISTRAÇÃO CENTRAL</t>
  </si>
  <si>
    <t>de 3,43 a 6,71%</t>
  </si>
  <si>
    <t>SG</t>
  </si>
  <si>
    <t>SEGURO E GARANTIA</t>
  </si>
  <si>
    <t>de 0,28 a 0,75%</t>
  </si>
  <si>
    <t>R</t>
  </si>
  <si>
    <t>RISCOS</t>
  </si>
  <si>
    <t>de 1,00 a 1,74%</t>
  </si>
  <si>
    <t>DF</t>
  </si>
  <si>
    <t>DESPESA FINANCEIRA</t>
  </si>
  <si>
    <t>de 0,94 a 1,17%</t>
  </si>
  <si>
    <t>L</t>
  </si>
  <si>
    <t>LUCRO</t>
  </si>
  <si>
    <t>de 6,74 a 9,40%</t>
  </si>
  <si>
    <t>T</t>
  </si>
  <si>
    <t>TRIBUTOS E IMPOSTOS</t>
  </si>
  <si>
    <t>PIS</t>
  </si>
  <si>
    <t>PROGRAMA DE INTEGRAÇÃO SOCIAL</t>
  </si>
  <si>
    <t>COFINS</t>
  </si>
  <si>
    <t>CONSTRIBUIÇÃO SOCIAL PARA FINANCIAMENTO DA SEGURIDADE SOCIAL</t>
  </si>
  <si>
    <t>ISS</t>
  </si>
  <si>
    <t>ISS COBRADO NO MUNICÍPIO CONFORME O TIPO DA OBRA</t>
  </si>
  <si>
    <t>sugerido</t>
  </si>
  <si>
    <t>PARTICIPAÇÃO DO CUSTO DE MÃO OBRA (SERVIÇOS) EM RELAÇÃO AO CUSTO TOTAL DA OBRA</t>
  </si>
  <si>
    <t>CPRB</t>
  </si>
  <si>
    <t>CONTRIBUIÇÃO PREVIDENCIÁRIA SOBRE A RECEITA BRUTA</t>
  </si>
  <si>
    <t>BDI</t>
  </si>
  <si>
    <t>TAXA DE BENEFÍCIOS E DESPESAS INDIRETAS</t>
  </si>
  <si>
    <t>de 20,76 a 26,44% (sem CPRB)</t>
  </si>
  <si>
    <t>BDI = { [ ( 1 + AC + SG + R ) x ( 1 + DF ) x ( 1 + L ) ] / [ 1 - ( PIS + COFINS + ISS + CPRB ) ] } - 1</t>
  </si>
  <si>
    <t>OBS-1: Cálculo em conformidade com o acórdão nº 2622/2013-TCU e Lei nº 13.161 de 31 de agosto de 2015. 
OBS-2: Os percentuais de Impostos a serem adotados devem ser indicados pelo Tomador, conforme legislação vigente. Deverão ser definidos, conforme Código Tributário do município, o valor do ISS, que será um percentual entre 2% e 5%, e a alíquota aplicada sobre o mesmo, representando o percentual de mão de obra em relação ao valor total da obra. 
OBS-3: Para análise de orçamentos considerando a desoneração sobre a folha de pagamento, prevista na lei nº 14.973, de 16 de setembro de 2024, deverá ser adotada na contribuição previenciária sobre a receita bruta, uma alíquota de 3,6% em orçamentos COM Desoneraçao e de 0% em orçamentos SEM Desoneração. 
 OBS-4: Para o tipo de obra “Construção de redes de abastecimento de água, coleta de esgoto e construções correlatas”, enquadram-se: a construção de sistemas para o abastecimento de água tratada; reservatórios de distribuição, estações elevatórias de bombeamento, linhas principais de adução de longa e média distância e redes de distribuição de água; a construção de redes de coleta de esgoto, inclusive de interceptores; a construção de estações de tratamento de esgoto (ETE); a construção de estações de bombeamento de esgoto; a construção de galerias pluviais; a manutenção de redes de abastecimento de água tratada; a manutenção de redes de coleta e de sistemas de tratamento de esgoto, conforme classificação 4222-7/01 do CNAE.</t>
  </si>
  <si>
    <t>PLANILHA DE LEIS SOCIAIS - SINAPI</t>
  </si>
  <si>
    <t>COM DESONERAÇÃO</t>
  </si>
  <si>
    <t>HORISTA</t>
  </si>
  <si>
    <t>MENSALISTA</t>
  </si>
  <si>
    <t>GRUPO A</t>
  </si>
  <si>
    <t>A1</t>
  </si>
  <si>
    <t>INSS</t>
  </si>
  <si>
    <t>A2</t>
  </si>
  <si>
    <t>SESI</t>
  </si>
  <si>
    <t>A3</t>
  </si>
  <si>
    <t>SENAI</t>
  </si>
  <si>
    <t>A4</t>
  </si>
  <si>
    <t>INCRA</t>
  </si>
  <si>
    <t>A5</t>
  </si>
  <si>
    <t>SEBRAE</t>
  </si>
  <si>
    <t>A6</t>
  </si>
  <si>
    <t>SALÁRIO EDUCAÇÃO</t>
  </si>
  <si>
    <t>A7</t>
  </si>
  <si>
    <t>SEGURO CONTRA ACIDENTES DE TRABALHO</t>
  </si>
  <si>
    <t>A8</t>
  </si>
  <si>
    <t>FGTS</t>
  </si>
  <si>
    <t>A9</t>
  </si>
  <si>
    <t>SECONCI</t>
  </si>
  <si>
    <t>A</t>
  </si>
  <si>
    <t>GRUPO B</t>
  </si>
  <si>
    <t>B1</t>
  </si>
  <si>
    <t>REPOUSO SEMANAL REMUNERADO</t>
  </si>
  <si>
    <t>Não incide</t>
  </si>
  <si>
    <t>B2</t>
  </si>
  <si>
    <t>FERIADOS</t>
  </si>
  <si>
    <t>B3</t>
  </si>
  <si>
    <t>AUXÍLIO - ENFERMIDADE</t>
  </si>
  <si>
    <t>B4</t>
  </si>
  <si>
    <t>13º SALÁRIO</t>
  </si>
  <si>
    <t>B5</t>
  </si>
  <si>
    <t>LICENÇA PATERNIDADE</t>
  </si>
  <si>
    <t>B6</t>
  </si>
  <si>
    <t>FALTAS JUSTIFICADAS</t>
  </si>
  <si>
    <t>B7</t>
  </si>
  <si>
    <t>DIAS DE CHUVAS</t>
  </si>
  <si>
    <t>B8</t>
  </si>
  <si>
    <t>AUXÍLIO ACIDENTE DE TRABALHO</t>
  </si>
  <si>
    <t>B9</t>
  </si>
  <si>
    <t>FÉRIAS GOZADAS</t>
  </si>
  <si>
    <t>B10</t>
  </si>
  <si>
    <t>SALÁRIO MATERNIDADE</t>
  </si>
  <si>
    <t>B</t>
  </si>
  <si>
    <t>GRUPO C</t>
  </si>
  <si>
    <t>C1</t>
  </si>
  <si>
    <t>AVISO PRÉVIO INDENIZADO</t>
  </si>
  <si>
    <t>C2</t>
  </si>
  <si>
    <t>AVISO PRÉVIO TRABALHADO</t>
  </si>
  <si>
    <t>C3</t>
  </si>
  <si>
    <t>FÉRIAS INDENIZADAS</t>
  </si>
  <si>
    <t>C4</t>
  </si>
  <si>
    <t>DEPÓSITO RESCISÃO SEM JUSTA CAUSA</t>
  </si>
  <si>
    <t>C5</t>
  </si>
  <si>
    <t>INDENIZAÇÃO ADICIONAL</t>
  </si>
  <si>
    <t>C</t>
  </si>
  <si>
    <t>GRUPO D</t>
  </si>
  <si>
    <t>D1</t>
  </si>
  <si>
    <t>REINCIDÊNCIA DE GRUPO A SOBRE GRUPO B</t>
  </si>
  <si>
    <t>D2</t>
  </si>
  <si>
    <t>REINCIDÊNCIA DE GRUPO A SOBRE AVISO PRÉVIO TRABALHADO E REINCIDÊNCIA DO FGTS SOBRE AVISO PRÉVIO INDENIZADO</t>
  </si>
  <si>
    <t>D</t>
  </si>
  <si>
    <t>GRUPO A + B + C + D</t>
  </si>
  <si>
    <t>FONTE: http://www.caixa.gov.br/site/paginas/downloads.aspx</t>
  </si>
  <si>
    <t>CURVA ABC DE SERVIÇOS</t>
  </si>
  <si>
    <t>ORDEM</t>
  </si>
  <si>
    <t>CURVA ABC DE INSUMOS</t>
  </si>
  <si>
    <t>PREÇO (R$)</t>
  </si>
  <si>
    <t>TOTAL SEM BDI</t>
  </si>
  <si>
    <t>TOTAL DE MATERIAIS</t>
  </si>
  <si>
    <t>TOTAL DE SERVIÇOS/MÃO DE OBRA</t>
  </si>
  <si>
    <t>TOTAL COM BDI</t>
  </si>
  <si>
    <t>TOTAL DE MATERIAIS COM BDI</t>
  </si>
  <si>
    <t>TOTAL DE SERVIÇOS/MÃO DE OBRA COM BDI</t>
  </si>
  <si>
    <t>COMPRA DE MATERIAIS</t>
  </si>
  <si>
    <t>ETAPA</t>
  </si>
  <si>
    <t>ABRAÇADEIRA EM FERRO GALVANIZADO DN 150MM</t>
  </si>
  <si>
    <t>UN</t>
  </si>
  <si>
    <t>ACO CA-50, 10,0 MM, VERGALHAO</t>
  </si>
  <si>
    <t>KG</t>
  </si>
  <si>
    <t>ACO CA-50, 12,5 MM OU 16,0 MM, VERGALHAO</t>
  </si>
  <si>
    <t>ACO CA-50, 20,0 MM OU 25,0 MM, VERGALHAO</t>
  </si>
  <si>
    <t>ACO CA-50, 6,3 MM, VERGALHAO</t>
  </si>
  <si>
    <t>ACO CA-50, 8,0 MM, VERGALHAO</t>
  </si>
  <si>
    <t>ACO CA-60, 4,2 MM, OU 5,0 MM, OU 6,0 MM, OU 7,0 MM, VERGALHAO</t>
  </si>
  <si>
    <t>ADAPTADOR PVC SOLDAVEL CURTO COM BOLSA E ROSCA, 32 MM X 1", PARA AGUA FRIA</t>
  </si>
  <si>
    <t>ADAPTADOR PVC, ROSCAVEL, COM FLANGES E ANEL DE VEDACAO, 1 1/2", PARA CAIXA D'AGUA</t>
  </si>
  <si>
    <t>ANEL BORRACHA, PARA TUBO/CONEXAO PVC PBA, DN 50 MM, PARA REDE AGUA</t>
  </si>
  <si>
    <t>ANÁLISE FÍSICO-QUÍMICA DE ÁGUA</t>
  </si>
  <si>
    <t>ARAME FARPADO GALVANIZADO, 14 BWG (2,11 MM), CLASSE 250</t>
  </si>
  <si>
    <t>M</t>
  </si>
  <si>
    <t>ARAME GALVANIZADO 12 BWG, D = 2,76 MM (0,048 KG/M) OU 14 BWG, D = 2,11 MM (0,026 KG/M)</t>
  </si>
  <si>
    <t>ARAME RECOZIDO 16 BWG, D = 1,65 MM (0,016 KG/M) OU 18 BWG, D = 1,25 MM (0,01 KG/M)</t>
  </si>
  <si>
    <t>AREIA GROSSA</t>
  </si>
  <si>
    <t>M3</t>
  </si>
  <si>
    <t>AREIA GROSSA - POSTO JAZIDA/FORNECEDOR (RETIRADO NA JAZIDA, SEM TRANSPORTE)</t>
  </si>
  <si>
    <t>AREIA MEDIA</t>
  </si>
  <si>
    <t>AREIA MEDIA - POSTO JAZIDA/FORNECEDOR (RETIRADO NA JAZIDA, SEM TRANSPORTE)</t>
  </si>
  <si>
    <t>BASE PARA RESERVATÓRIO EM CONCRETO PRÉ-MOLDADO COM H=8,00 M, COM 02 PILARES E 01 LAJE</t>
  </si>
  <si>
    <t>BASE PARA RESERVATÓRIO EM CONCRETO PRÉ-MOLDADO COM H=8,00 M, COM 03 PILARES E 01 LAJE</t>
  </si>
  <si>
    <t>BATENTE DE FERRO</t>
  </si>
  <si>
    <t>BETONEIRA CAPACIDADE NOMINAL 400 L, CAPACIDADE DE MISTURA 280 L, MOTOR ELETRICO TRIFASICO 220/380 V POTENCIA 2 CV, SEM CARREGADOR</t>
  </si>
  <si>
    <t>BETONEIRA, CAPACIDADE NOMINAL 600 L, CAPACIDADE DE MISTURA 360L, MOTOR ELETRICO TRIFASICO 220/380V, POTENCIA 4CV, EXCLUSO CARREGADOR</t>
  </si>
  <si>
    <t>BLOCO CERAMICO / TIJOLO VAZADO PARA ALVENARIA DE VEDACAO, 6 FUROS NA HORIZONTAL DE 9 X 14 X 19 CM (L X A X C)</t>
  </si>
  <si>
    <t>BLOCO CERAMICO / TIJOLO VAZADO PARA ALVENARIA DE VEDACAO, 8 FUROS NA HORIZONTAL DE 9 X 19 X 19 CM (L X A X C)</t>
  </si>
  <si>
    <t>BOMBA SUBMERSA PARA POÇO TUBULAR TRIFÁSICA 3 CV, LEÃO OU SIMILAR</t>
  </si>
  <si>
    <t>UND</t>
  </si>
  <si>
    <t>BUCHA DE REDUCAO DE FERRO GALVANIZADO, COM ROSCA BSP, DE 2" X 1 1/2"</t>
  </si>
  <si>
    <t>CABO FLEXIVEL PVC 750 V, 3 CONDUTORES DE 6,0 MM2</t>
  </si>
  <si>
    <t>CABO SOLAR 6MM</t>
  </si>
  <si>
    <t>CAIBRO NAO APARELHADO *5 X 6* CM, EM MACARANDUBA/MASSARANDUBA, ANGELIM OU EQUIVALENTE DA REGIAO - BRUTA</t>
  </si>
  <si>
    <t>CAIBRO NAO APARELHADO *6 X 6* CM, EM MACARANDUBA/MASSARANDUBA, ANGELIM OU EQUIVALENTE DA REGIAO - BRUTA</t>
  </si>
  <si>
    <t>CAIXA D'AGUA / RESERVATORIO EM POLIESTER REFORCADO COM FIBRA DE VIDRO, 10000 LITROS, COM TAMPA</t>
  </si>
  <si>
    <t>CAIXA D'AGUA / RESERVATORIO EM POLIESTER REFORCADO COM FIBRA DE VIDRO, 5000 LITROS, COM TAMPA</t>
  </si>
  <si>
    <t>CAL HIDRATADA CH-I PARA ARGAMASSAS</t>
  </si>
  <si>
    <t>CHAPA DE AÇO GALVANIZADA ESP. 0.3MM</t>
  </si>
  <si>
    <t>M2</t>
  </si>
  <si>
    <t>CHAPA/PAINEL DE MADEIRA COMPENSADA PLASTIFICADA (MADEIRITE PLASTIFICADO) PARA FORMA DE CONCRETO, DE 2200 X 1100 MM, E = *17* MM</t>
  </si>
  <si>
    <t>CHAPA/PAINEL DE MADEIRA COMPENSADA RESINADA (MADEIRITE RESINADO ROSA) PARA FORMA DE CONCRETO, DE 2200 X 1100 MM, E = 17 MM</t>
  </si>
  <si>
    <t>CIMENTO PORTLAND</t>
  </si>
  <si>
    <t>CIMENTO PORTLAND COMPOSTO CP II-32</t>
  </si>
  <si>
    <t>COLAR DE TOMADA EM PVC COM TRAVAS E SAÍDA ROSCÁVEL DE = 60MM X 1/2"</t>
  </si>
  <si>
    <t>COLAR DE TOMADA FOFO PARA PVC 40MM X 32MM</t>
  </si>
  <si>
    <t>CONCRETO USINADO BOMBEAVEL, CLASSE DE RESISTENCIA C25, BRITA 0 E 1, SLUMP = 100 +/- 20 MM, COM BOMBEAMENTO (DISPONIBILIZACAO DE BOMBA), SEM O LANCAMENTO (NBR 8953)</t>
  </si>
  <si>
    <t>CONECTOR MC4</t>
  </si>
  <si>
    <t>CURVA 90 GRAUS DE FERRO GALVANIZADO, COM ROSCA BSP FEMEA, DE 1 1/2"</t>
  </si>
  <si>
    <t>CURVA DE PVC 90 GRAUS, SOLDAVEL, 32 MM, COR MARROM, PARA AGUA FRIA PREDIAL</t>
  </si>
  <si>
    <t>DESMOLDANTE PARA FORMAS</t>
  </si>
  <si>
    <t>DESMOLDANTE PROTETOR PARA FORMAS DE MADEIRA, DE BASE OLEOSA EMULSIONADA EM AGUA</t>
  </si>
  <si>
    <t>DILUENTE AGUARRAS</t>
  </si>
  <si>
    <t>DISJUNTOR 32A CA</t>
  </si>
  <si>
    <t>DISJUNTOR CC 32A 1000 VDC</t>
  </si>
  <si>
    <t>DISPOSITIVO CONTRA SURTO - DPS CC 1000 VDC</t>
  </si>
  <si>
    <t>ELEMENTO VAZADO DE CONCRETO, QUADRICULADO, 16 FUROS *50 X 50 X 7* CM</t>
  </si>
  <si>
    <t>ENERGIA ELETRICA ATE 2000 KWH INDUSTRIAL, SEM DEMANDA</t>
  </si>
  <si>
    <t>KWH</t>
  </si>
  <si>
    <t>EQUIPAMENTOS PARA PERFURAÇÃO PELO "SISTEMA ROTOPNEUMÁTICO", COMPOSTO POR MÁQUINA ROTOPNEUMÁTICO, DIESEL</t>
  </si>
  <si>
    <t>HPROD</t>
  </si>
  <si>
    <t>ESCAVADEIRA HIDRAULICA SOBRE ESTEIRAS, CACAMBA 0,80M3, PESO OPERACIONAL 17T, POTENCIA BRUTA 111HP</t>
  </si>
  <si>
    <t>ESMALTE SINTETICO</t>
  </si>
  <si>
    <t>ESPACADOR / DISTANCIADOR CIRCULAR COM ENTRADA LATERAL, EM PLASTICO, PARA VERGALHAO *4,2 A 12,5* MM, COBRIMENTO 20 MM</t>
  </si>
  <si>
    <t>FECHO DE ALAVANCA DE FERR0 DE 22CM</t>
  </si>
  <si>
    <t>FITA VEDA ROSCA, EM PTFE, ROLO DE 18 MM X 10 M (L X C)</t>
  </si>
  <si>
    <t>FITA VEDA ROSCA, EM PTFE, ROLO DE 18 MM X 50 M (L X C)</t>
  </si>
  <si>
    <t>GRADIL DE FERRO COM BARRA CHATA</t>
  </si>
  <si>
    <t>HIPOCLORADOR OU DOSADOR DE SOLUÇÕES, COM REGULADOR P/ 6,12 OU 24 L/H</t>
  </si>
  <si>
    <t>HIPOCLORITO DE SÓDIO</t>
  </si>
  <si>
    <t>INVERSOR 2,2KW TRIFÁSICO 220 V, POWTRAN OU SIMILAR</t>
  </si>
  <si>
    <t>JOELHO PVC, SOLDAVEL, 90 GRAUS, 20 MM, COR MARROM, PARA AGUA FRIA PREDIAL</t>
  </si>
  <si>
    <t>JOELHO PVC, SOLDAVEL, 90 GRAUS, 32 MM, COR MARROM, PARA AGUA FRIA PREDIAL</t>
  </si>
  <si>
    <t>JUNTA PLASTICA DE DILATACAO PARA PISOS, COR CINZA, 17 X 3 MM (ALTURA X ESPESSURA)</t>
  </si>
  <si>
    <t>KIT ATERRAMENTO (HASTE, CONECTOR E CAIXA)</t>
  </si>
  <si>
    <t>LOCACAO DE APRUMADOR METALICO DE PILAR, COM ALTURA E ANGULO REGULAVEIS, EXTENSAO DE *1,50* A *2,80* M</t>
  </si>
  <si>
    <t>UNXMES</t>
  </si>
  <si>
    <t>LOCACAO DE VIGA SANDUICHE METALICA VAZADA PARA TRAVAMENTO DE PILARES, ALTURA DE *8* CM, LARGURA DE *6* CM E EXTENSAO DE 2 M</t>
  </si>
  <si>
    <t>LUVA DE FERRO GALVANIZADO, COM ROSCA BSP, DE 1 1/2"</t>
  </si>
  <si>
    <t>LUVA PVC RIGIDO ROSCAVEL D=1 "</t>
  </si>
  <si>
    <t>MANOMETRO COM CAIXA EM ACO PINTADO, ESCALA *10* KGF/CM2 (*10* BAR), DIAMETRO NOMINAL DE 100 MM, CONEXAO DE 1/2"</t>
  </si>
  <si>
    <t>MOURAO CONCRETO CURVO, SECAO "T", H = 2,80 M + CURVA COM 0,45 M, COM FUROS PARA FIOS</t>
  </si>
  <si>
    <t>NIPLE DE FERRO GALVANIZADO, COM ROSCA BSP, DE 1 1/2"</t>
  </si>
  <si>
    <t>OLEO DIESEL COMBUSTIVEL COMUM METROPOLITANO S-10 OU S-500</t>
  </si>
  <si>
    <t>PAINEL FOTOVOLTÁICO 605 W</t>
  </si>
  <si>
    <t>PARAFUSO C/ PORCA E ARRUELA 3/8"</t>
  </si>
  <si>
    <t>PASTA LUBRIFICANTE PARA TUBOS E CONEXOES COM JUNTA ELASTICA, EMBALAGEM DE *400* GR (USO EM PVC, ACO, POLIETILENO E OUTROS)</t>
  </si>
  <si>
    <t>PEDRA BRITADA N. 1 (9,5 A 19 MM) POSTO PEDREIRA/FORNECEDOR, SEM FRETE</t>
  </si>
  <si>
    <t>PEDRA DE MAO OU PEDRA RACHAO PARA ARRIMO/FUNDACAO (POSTO PEDREIRA/FORNECEDOR, SEM FRETE)</t>
  </si>
  <si>
    <t>PEDRISCO</t>
  </si>
  <si>
    <t>PERFIL ALUMÍNIO, "U" 25,4MM X 3,2MM X 0,604KG/M</t>
  </si>
  <si>
    <t>PERFIL ALUMÍNIO, CANTONEIRA ANODIZADA, 25,40MM X 4,80MM X 0,598KG/M</t>
  </si>
  <si>
    <t>PERFIL ALUMÍNIO, TUBO RETANGULAR 76,20MM X 25,40MM X 1,58MM (0,842KG/M)</t>
  </si>
  <si>
    <t>PERFURAÇÃO EM ROCHA CRISTALINA - ROCHA CRISTALINA ALTERADA / COMPACTA DN 6" (POÇO ATÉ 120M)</t>
  </si>
  <si>
    <t>PERFURAÇÃO ROCHA CALCÁRIA - CALCÁRIO / CAMADAS ALTERADAS DN 10" (POÇO 150M)</t>
  </si>
  <si>
    <t>PINO DE ACO COM FURO, HASTE = 27 MM (ACAO DIRETA)</t>
  </si>
  <si>
    <t>CENTO</t>
  </si>
  <si>
    <t>PLUG OU BUJAO DE FERRO GALVANIZADO, DE 1 1/2"</t>
  </si>
  <si>
    <t>PONTALETE *7,5 X 7,5* CM EM PINUS, MISTA OU EQUIVALENTE DA REGIAO - BRUTA</t>
  </si>
  <si>
    <t>PONTALETE / BARROTE DE 3"X3"</t>
  </si>
  <si>
    <t>PORTA DE ABRIR / GIRO, EM GRADIL FERRO, COM BARRA CHATA 3 CM X 1/4", COM REQUADRO E GUARNICAO - COMPLETO - ACABAMENTO NATURAL</t>
  </si>
  <si>
    <t>PREGO 15X15 (1.1/4" X 13) (APROXIMADAMENTE 672UN/KG)</t>
  </si>
  <si>
    <t>PREGO 18X27 (2.1/2" X 10) (APROXIMADAMENTE 198UN/KG)</t>
  </si>
  <si>
    <t>PREGO DE ACO POLIDO COM CABECA 15 X 15 (1 1/4 X 13)</t>
  </si>
  <si>
    <t>PREGO DE ACO POLIDO COM CABECA 17 X 21 (2 X 11)</t>
  </si>
  <si>
    <t>PREGO DE ACO POLIDO COM CABECA 19 X 36 (3 1/4 X 9)</t>
  </si>
  <si>
    <t>PREGO DE ACO POLIDO COM CABECA 22 X 48 (4 1/4 X 5)</t>
  </si>
  <si>
    <t>PREGO DE ACO POLIDO COM CABECA DUPLA 17 X 27 (2 1/2 X 11)</t>
  </si>
  <si>
    <t>QUADRO DE COMANDO 400 X 300 X 200</t>
  </si>
  <si>
    <t>REGISTRO DE ESFERA, PVC, COM VOLANTE, VS, SOLDAVEL, DN 32 MM, COM CORPO DIVIDIDO</t>
  </si>
  <si>
    <t>REGISTRO GAVETA BRUTO EM LATAO FORJADO, BITOLA 1 1/2"</t>
  </si>
  <si>
    <t>REGISTRO GAVETA BRUTO EM LATAO FORJADO, BITOLA 2"</t>
  </si>
  <si>
    <t>RETROESCAVADEIRA SOBRE RODAS COM CARREGADEIRA, TRACAO 4 X 4, POTENCIA LIQUIDA 88 HP, PESO OPERACIONAL MINIMO DE 6674 KG, CAPACIDADE DA CARREGADEIRA DE 1,00 M3 E DA RETROESCAVADEIRA MINIMA DE 0,26 M3, PROFUNDIDADE DE ESCAVACAO MAXIMA DE 4,37 M</t>
  </si>
  <si>
    <t>RIPA NAO APARELHADA, *1,5 X 5* CM, EM MACARANDUBA/MASSARANDUBA, ANGELIM OU EQUIVALENTE DA REGIAO - BRUTA</t>
  </si>
  <si>
    <t>SARRAFO *2,5 X 10* CM EM PINUS, MISTA OU EQUIVALENTE DA REGIAO - BRUTA</t>
  </si>
  <si>
    <t>SARRAFO *2,5 X 7,5* CM EM PINUS, MISTA OU EQUIVALENTE DA REGIAO - BRUTA</t>
  </si>
  <si>
    <t>SARRAFO DE 1"X4"</t>
  </si>
  <si>
    <t>SARRAFO NAO APARELHADO *2,5 X 7* CM, EM MACARANDUBA/MASSARANDUBA, ANGELIM, PEROBA-ROSA OU EQUIVALENTE DA REGIAO - BRUTA</t>
  </si>
  <si>
    <t>SERRA CIRCULAR DE BANCADA COM MOTOR ELETRICO, POTENCIA DE *1600* W, PARA DISCO DE DIAMETRO DE 10" (250 MM)</t>
  </si>
  <si>
    <t>SUPERCAL</t>
  </si>
  <si>
    <t>TABUA *2,5 X 23* CM EM PINUS, MISTA OU EQUIVALENTE DA REGIAO - BRUTA</t>
  </si>
  <si>
    <t>TABUA DE 1" DE 3A. - L = 30CM</t>
  </si>
  <si>
    <t>TABUA NAO APARELHADA *2,5 X 20* CM, EM MACARANDUBA/MASSARANDUBA, ANGELIM OU EQUIVALENTE DA REGIAO - BRUTA</t>
  </si>
  <si>
    <t>TABUA NAO APARELHADA *2,5 X 30* CM, EM MACARANDUBA/MASSARANDUBA, ANGELIM OU EQUIVALENTE DA REGIAO - BRUTA</t>
  </si>
  <si>
    <t>TAMPA DE POÇO GALVANIZADA EM 6"</t>
  </si>
  <si>
    <t>TE DE FERRO GALVANIZADO, DE 1 1/2"</t>
  </si>
  <si>
    <t>TE SOLDAVEL, PVC, 90 GRAUS, 32 MM, PARA AGUA FRIA PREDIAL (NBR 5648)</t>
  </si>
  <si>
    <t>TELA DE ACO SOLDADA GALVANIZADA/ZINCADA PARA ALVENARIA, FIO D = *1,20 A 1,70* MM, MALHA 15 X 15 MM, (C X L) *50 X 12* CM</t>
  </si>
  <si>
    <t>TELA DE ACO SOLDADA GALVANIZADA/ZINCADA PARA ALVENARIA, FIO D = *1,20 A 1,70* MM, MALHA 15 X 15 MM, (C X L) *50 X 7,5* CM</t>
  </si>
  <si>
    <t>TELA DE ACO SOLDADA NERVURADA, CA-60, Q-196, (3,11 KG/M2), DIAMETRO DO FIO = 5,0 MM, LARGURA = 2,45 M, ESPACAMENTO DA MALHA = 10 X 10 CM</t>
  </si>
  <si>
    <t>TELHA DE BARRO / CERAMICA, NAO ESMALTADA, TIPO COLONIAL, CANAL, PLAN, PAULISTA, COMPRIMENTO DE *44 A 50* CM, RENDIMENTO DE COBERTURA DE *26* TELHAS/M2</t>
  </si>
  <si>
    <t>MIL</t>
  </si>
  <si>
    <t>TINTA A OLEO BRILHANTE, PARA MADEIRAS E METAIS</t>
  </si>
  <si>
    <t>TINTA ESMALTE SINTETICO PREMIUM ACETINADO</t>
  </si>
  <si>
    <t>TINTA LATEX ACRILICA PREMIUM, COR BRANCO FOSCO</t>
  </si>
  <si>
    <t>TORNEIRA PLASTICA PARA TANQUE 1/2" OU 3/4" COM BICO PARA MANGUEIRA</t>
  </si>
  <si>
    <t>TRANSPORTES DE MÁQUINAS E EQUIPAMENTOS POR CAMINHÃO MUNCK</t>
  </si>
  <si>
    <t>KM</t>
  </si>
  <si>
    <t>TUBO ACO GALVANIZADO COM COSTURA, CLASSE LEVE, DN 40 MM (1 1/2"), E = 3,00 MM, *3,48* KG/M (NBR 5580)</t>
  </si>
  <si>
    <t>TUBO PVC DE REVESTIMENTO GEOMECANICO NERVURADO STANDARD, DN = 154 MM, COMPRIMENTO = 2 M</t>
  </si>
  <si>
    <t>TUBO PVC PBA JEI, CLASSE 12, DN 50 MM, PARA REDE DE AGUA (NBR 5647)</t>
  </si>
  <si>
    <t>TUBO PVC, ROSCAVEL, 1 1/2", AGUA FRIA PREDIAL</t>
  </si>
  <si>
    <t>TUBO PVC, SOLDAVEL, DE 20 MM, AGUA FRIA (NBR-5648)</t>
  </si>
  <si>
    <t>TUBO PVC, SOLDAVEL, DE 32 MM, AGUA FRIA (NBR-5648)</t>
  </si>
  <si>
    <t>TUBO PVC, SOLDAVEL, DE 60 MM, AGUA FRIA (NBR-5648)</t>
  </si>
  <si>
    <t>UNIAO DE FERRO GALVANIZADO, COM ASSENTO CONICO DE BRONZE, DE 1 1/2"</t>
  </si>
  <si>
    <t>VALVULA DE RETENCAO HORIZONTAL, DE BRONZE (PN-25), 1 1/2", 400 PSI, TAMPA DE PORCA DE UNIAO, EXTREMIDADES COM ROSCA</t>
  </si>
  <si>
    <t>VIBRADOR DE IMERSAO, DIAMETRO DA PONTEIRA DE *45* MM, COM MOTOR ELETRICO TRIFASICO DE 2 HP (2 CV)</t>
  </si>
  <si>
    <t>VIGA NAO APARELHADA *6 X 12* CM, EM MACARANDUBA/MASSARANDUBA, ANGELIM OU EQUIVALENTE DA REGIAO - BRUTA</t>
  </si>
  <si>
    <t>CONTRATAÇÃO DE SERVIÇOS E EMPREITADAS</t>
  </si>
  <si>
    <t>*Etapa conforme aba anterior, COMPRAS.</t>
  </si>
  <si>
    <t>AJUDANTE DE ARMADOR (HORISTA)</t>
  </si>
  <si>
    <t>H</t>
  </si>
  <si>
    <t>AJUDANTE DE ELETRICISTA (HORISTA)</t>
  </si>
  <si>
    <t>ALIMENTACAO - HORISTA (COLETADO CAIXA - ENCARGOS COMPLEMENTARES)</t>
  </si>
  <si>
    <t>ARMADOR (HORISTA)</t>
  </si>
  <si>
    <t>ASSENTADOR DE MANILHAS (HORISTA)</t>
  </si>
  <si>
    <t>AUXILIAR DE ENCANADOR OU BOMBEIRO HIDRAULICO (HORISTA)</t>
  </si>
  <si>
    <t>AUXILIAR DE ESCRITORIO (HORISTA)</t>
  </si>
  <si>
    <t>AUXILIAR DE MECANICO (HORISTA)</t>
  </si>
  <si>
    <t>AUXILIAR DE PEDREIRO (HORISTA)</t>
  </si>
  <si>
    <t>AUXILIAR TECNICO / ASSISTENTE DE ENGENHARIA (HORISTA)</t>
  </si>
  <si>
    <t>BETONEIRA ELÉTRICA 580L (CHP)</t>
  </si>
  <si>
    <t>CARPINTEIRO AUXILIAR (HORISTA)</t>
  </si>
  <si>
    <t>CARPINTEIRO DE FORMAS PARA CONCRETO (HORISTA)</t>
  </si>
  <si>
    <t>ELETRICISTA (HORISTA)</t>
  </si>
  <si>
    <t>ENCANADOR OU BOMBEIRO HIDRAULICO (HORISTA)</t>
  </si>
  <si>
    <t>ENCARREGADO GERAL DE OBRAS (HORISTA)</t>
  </si>
  <si>
    <t>ENGENHEIRO CIVIL DE OBRA JUNIOR (HORISTA)</t>
  </si>
  <si>
    <t>ENGENHEIRO CIVIL DE OBRA SENIOR (HORISTA)</t>
  </si>
  <si>
    <t>EPI - FAMILIA ALMOXARIFE - HORISTA (ENCARGOS COMPLEMENTARES - COLETADO CAIXA)</t>
  </si>
  <si>
    <t>EPI - FAMILIA CARPINTEIRO DE FORMAS - HORISTA (ENCARGOS COMPLEMENTARES - COLETADO CAIXA)</t>
  </si>
  <si>
    <t>EPI - FAMILIA ELETRICISTA - HORISTA (ENCARGOS COMPLEMENTARES - COLETADO CAIXA)</t>
  </si>
  <si>
    <t>EPI - FAMILIA ENCANADOR - HORISTA (ENCARGOS COMPLEMENTARES - COLETADO CAIXA)</t>
  </si>
  <si>
    <t>EPI - FAMILIA ENCARREGADO GERAL - HORISTA (ENCARGOS COMPLEMENTARES - COLETADO CAIXA)</t>
  </si>
  <si>
    <t>EPI - FAMILIA ENGENHEIRO CIVIL - HORISTA (ENCARGOS COMPLEMENTARES - COLETADO CAIXA)</t>
  </si>
  <si>
    <t>EPI - FAMILIA OPERADOR ESCAVADEIRA - HORISTA (ENCARGOS COMPLEMENTARES - COLETADO CAIXA)</t>
  </si>
  <si>
    <t>EPI - FAMILIA PEDREIRO - HORISTA (ENCARGOS COMPLEMENTARES - COLETADO CAIXA)</t>
  </si>
  <si>
    <t>EPI - FAMILIA PINTOR - HORISTA (ENCARGOS COMPLEMENTARES - COLETADO CAIXA)</t>
  </si>
  <si>
    <t>EPI - FAMILIA SERVENTE - HORISTA (ENCARGOS COMPLEMENTARES - COLETADO CAIXA)</t>
  </si>
  <si>
    <t>EQUIPAMENTOS PARA PERFURAÇÃO PELO ''SISTEMA ROTOPNEUMÁTICO'', COMPOSTO POR MÁQUINA ROTOPNEUMÁTICO, DIESEL</t>
  </si>
  <si>
    <t>EXAMES - HORISTA (COLETADO CAIXA - ENCARGOS COMPLEMENTARES)</t>
  </si>
  <si>
    <t>FERRAMENTAS - FAMILIA ALMOXARIFE - HORISTA (ENCARGOS COMPLEMENTARES - COLETADO CAIXA)</t>
  </si>
  <si>
    <t>FERRAMENTAS - FAMILIA CARPINTEIRO DE FORMAS - HORISTA (ENCARGOS COMPLEMENTARES - COLETADO CAIXA)</t>
  </si>
  <si>
    <t>FERRAMENTAS - FAMILIA ELETRICISTA - HORISTA (ENCARGOS COMPLEMENTARES - COLETADO CAIXA)</t>
  </si>
  <si>
    <t>FERRAMENTAS - FAMILIA ENCANADOR - HORISTA (ENCARGOS COMPLEMENTARES - COLETADO CAIXA)</t>
  </si>
  <si>
    <t>FERRAMENTAS - FAMILIA ENCARREGADO GERAL - HORISTA (ENCARGOS COMPLEMENTARES - COLETADO CAIXA)</t>
  </si>
  <si>
    <t>FERRAMENTAS - FAMILIA ENGENHEIRO CIVIL - HORISTA (ENCARGOS COMPLEMENTARES - COLETADO CAIXA)</t>
  </si>
  <si>
    <t>FERRAMENTAS - FAMILIA OPERADOR ESCAVADEIRA - HORISTA (ENCARGOS COMPLEMENTARES - COLETADO CAIXA)</t>
  </si>
  <si>
    <t>FERRAMENTAS - FAMILIA PEDREIRO - HORISTA (ENCARGOS COMPLEMENTARES - COLETADO CAIXA)</t>
  </si>
  <si>
    <t>FERRAMENTAS - FAMILIA PINTOR - HORISTA (ENCARGOS COMPLEMENTARES - COLETADO CAIXA)</t>
  </si>
  <si>
    <t>FERRAMENTAS - FAMILIA SERVENTE - HORISTA (ENCARGOS COMPLEMENTARES - COLETADO CAIXA)</t>
  </si>
  <si>
    <t>GEÓLOGO SÊNIOR</t>
  </si>
  <si>
    <t>GEÓLOGO SÊNIOR COM ENCARGOS COMPLEMENTARES</t>
  </si>
  <si>
    <t>GEÓLOGO SÊNIOR ENCARGOS COMPLEMENTARES</t>
  </si>
  <si>
    <t>LOCACAO DE BARRA DE ANCORAGEM DE 0,80 A 1,20 M DE EXTENSAO, COM ROSCA DE 5/8", INCLUINDO PORCA E FLANGE</t>
  </si>
  <si>
    <t>MES</t>
  </si>
  <si>
    <t>LOCACAO DE BOMBA SUBMERSIVEL PARA DRENAGEM E ESGOTAMENTO, MOTOR ELETRICO TRIFASICO, POTENCIA DE 2 CV, DIAMETRO DE RECALQUE DE 2", FAIXA DE OPERACAO Q=35 M3/H (+ OU - 3 M3/H) E AMT=2 M, Q=13 M3/H (+ OU - 3 M3/H) E AMT = 17 M (+ OU - 3 M)</t>
  </si>
  <si>
    <t>LOCACAO DE GRUPO GERADOR *80 A 125* KVA, MOTOR DIESEL, REBOCAVEL, ACIONAMENTO MANUAL</t>
  </si>
  <si>
    <t>MEDIDOR DE VAZÃO</t>
  </si>
  <si>
    <t>OPERADOR DE BETONEIRA ESTACIONARIA / MISTURADOR (HORISTA)</t>
  </si>
  <si>
    <t>OPERADOR DE ESCAVADEIRA (HORISTA)</t>
  </si>
  <si>
    <t>OPERADOR DE MAQUINAS E TRATORES DIVERSOS - TERRAPLANAGEM (HORISTA)</t>
  </si>
  <si>
    <t>PEDREIRO (HORISTA)</t>
  </si>
  <si>
    <t>PINTOR (HORISTA)</t>
  </si>
  <si>
    <t>SEGURO - HORISTA (COLETADO CAIXA - ENCARGOS COMPLEMENTARES)</t>
  </si>
  <si>
    <t>SERVENTE DE OBRAS (HORISTA)</t>
  </si>
  <si>
    <t>TELHADOR / TELHADISTA (HORISTA)</t>
  </si>
  <si>
    <t>TRANSPORTE - HORISTA (COLETADO CAIXA - ENCARGOS COMPLEMENTARES)</t>
  </si>
  <si>
    <t>VEÍCULO LEVE - PICK UP (97KW)</t>
  </si>
  <si>
    <t>LISTA DE SERVIÇOS</t>
  </si>
  <si>
    <t>PREÇO</t>
  </si>
  <si>
    <t>PREÇO CD</t>
  </si>
  <si>
    <t>PREÇO SD</t>
  </si>
  <si>
    <t>PRÓPRIA</t>
  </si>
  <si>
    <t>(COMPOSIÇÃO REPRESENTATIVA) EXECUÇÃO DE ESTRUTURAS DE CONCRETO ARMADO, PARA EDIFICAÇÃO INSTITUCIONAL TÉRREA, FCK = 25 MPA</t>
  </si>
  <si>
    <t>M³</t>
  </si>
  <si>
    <t>ADMINISTRAÇÃO LOCAL DA OBRA</t>
  </si>
  <si>
    <t>MÊS</t>
  </si>
  <si>
    <t>SINAPI</t>
  </si>
  <si>
    <t>AJUDANTE DE ARMADOR COM ENCARGOS COMPLEMENTARES</t>
  </si>
  <si>
    <t>AJUDANTE DE CARPINTEIRO COM ENCARGOS COMPLEMENTARES</t>
  </si>
  <si>
    <t>AJUDANTE DE PEDREIRO COM ENCARGOS COMPLEMENTARES</t>
  </si>
  <si>
    <t>ALVENARIA DE VEDAÇÃO COM ELEMENTO VAZADO DE CONCRETO (COBOGÓ) DE 7X50X50CM E ARGAMASSA DE ASSENTAMENTO COM PREPARO EM BETONEIRA. AF_05/2020</t>
  </si>
  <si>
    <t>ALVENARIA DE VEDAÇÃO DE BLOCOS CERÂMICOS FURADOS NA HORIZONTAL DE 14X9X19 CM (ESPESSURA 14 CM, BLOCO DEITADO) E ARGAMASSA DE ASSENTAMENTO COM PREPARO MANUAL. AF_12/2021</t>
  </si>
  <si>
    <t>ALVENARIA DE VEDAÇÃO DE BLOCOS CERÂMICOS FURADOS NA HORIZONTAL DE 9X19X19 CM (ESPESSURA 9 CM) E ARGAMASSA DE ASSENTAMENTO COM PREPARO MANUAL. AF_12/2021</t>
  </si>
  <si>
    <t>ANÁLISE FÍSICO-QUÍMICA DA ÁGUA</t>
  </si>
  <si>
    <t>ORSE</t>
  </si>
  <si>
    <t>AQUISIÇÃO E ASSENTAMENTO DE TUBO RÍGIDO PVC, CLASSE 12, DN 50 MM, INCLUSO CONEXÕES</t>
  </si>
  <si>
    <t>AQUISIÇÃO E ASSENTAMENTO DE TUBO RÍGIDO PVC, CLASSE 12, DN 60 MM, INCLUSO CONEXÕES</t>
  </si>
  <si>
    <t>AQUISIÇÃO E INSTALAÇÃO DE DOSADOR DE CLORO</t>
  </si>
  <si>
    <t>ARGAMASSA TRAÇO 1:0,5:4,5 (EM VOLUME DE CIMENTO, CAL E AREIA MÉDIA ÚMIDA) PARA ASSENTAMENTO DE ALVENARIA, PREPARO MANUAL. AF_08/2019</t>
  </si>
  <si>
    <t>ARGAMASSA TRAÇO 1:2:8 (EM VOLUME DE CIMENTO, CAL E AREIA MÉDIA ÚMIDA) PARA EMBOÇO/MASSA ÚNICA/ASSENTAMENTO DE ALVENARIA DE VEDAÇÃO, PREPARO MANUAL. AF_08/2019</t>
  </si>
  <si>
    <t>ARGAMASSA TRAÇO 1:3 (EM VOLUME DE CIMENTO E AREIA GROSSA ÚMIDA) PARA CHAPISCO CONVENCIONAL, PREPARO MANUAL. AF_08/2019</t>
  </si>
  <si>
    <t>ARGAMASSA TRAÇO 1:3 (EM VOLUME DE CIMENTO E AREIA MÉDIA ÚMIDA) PARA CONTRAPISO, PREPARO MECÂNICO COM BETONEIRA 400 L. AF_08/2019</t>
  </si>
  <si>
    <t>ARGAMASSA TRAÇO 1:3 (EM VOLUME DE CIMENTO E AREIA MÉDIA ÚMIDA), PREPARO MANUAL. AF_08/2019</t>
  </si>
  <si>
    <t>ARGAMASSA TRAÇO 1:3 (EM VOLUME DE CIMENTO E AREIA MÉDIA ÚMIDA), PREPARO MECÂNICO COM BETONEIRA 400 L. AF_08/2019</t>
  </si>
  <si>
    <t>ARGAMASSA TRAÇO 1:3 (EM VOLUME DE CIMENTO E AREIA MÉDIA ÚMIDA), PREPARO MECÂNICO COM BETONEIRA 600 L. AF_08/2019</t>
  </si>
  <si>
    <t>ARMADOR COM ENCARGOS COMPLEMENTARES</t>
  </si>
  <si>
    <t>ARMAÇÃO DE BLOCO UTILIZANDO AÇO CA-50 DE 10 MM - MONTAGEM. AF_01/2024</t>
  </si>
  <si>
    <t>ARMAÇÃO DE BLOCO UTILIZANDO AÇO CA-50 DE 6,3 MM - MONTAGEM. AF_01/2024</t>
  </si>
  <si>
    <t>ARMAÇÃO DE BLOCO UTILIZANDO AÇO CA-50 DE 8 MM - MONTAGEM. AF_01/2024</t>
  </si>
  <si>
    <t>ARMAÇÃO DE BLOCO UTILIZANDO AÇO CA-60 DE 5 MM - MONTAGEM. AF_01/2024</t>
  </si>
  <si>
    <t>ARMAÇÃO DE BLOCO, SAPATA ISOLADA, VIGA BALDRAME E SAPATA CORRIDA UTILIZANDO AÇO CA-50 DE 12,5 MM - MONTAGEM. AF_01/2024</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</si>
  <si>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</si>
  <si>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</si>
  <si>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</si>
  <si>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</si>
  <si>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</si>
  <si>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</si>
  <si>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CA-60 DE 5,0 MM - MONTAGEM. AF_06/2022</t>
  </si>
  <si>
    <t>ASSENTADOR DE TUBOS COM ENCARGOS COMPLEMENTARES</t>
  </si>
  <si>
    <t>AUXILIAR DE ELETRICISTA COM ENCARGOS COMPLEMENTARES</t>
  </si>
  <si>
    <t>AUXILIAR DE ENCANADOR OU BOMBEIRO HIDRÁULICO COM ENCARGOS COMPLEMENTARES</t>
  </si>
  <si>
    <t>AUXILIAR DE ESCRITORIO COM ENCARGOS COMPLEMENTARES</t>
  </si>
  <si>
    <t>AUXILIAR DE MECÂNICO COM ENCARGOS COMPLEMENTARES</t>
  </si>
  <si>
    <t>AUXILIAR TÉCNICO DE ENGENHARIA COM ENCARGOS COMPLEMENTARES</t>
  </si>
  <si>
    <t>BARRILETE (CURVAS E CONEXÕES)</t>
  </si>
  <si>
    <t>BETONEIRA CAPACIDADE NOMINAL DE 400 L, CAPACIDADE DE MISTURA 280 L, MOTOR ELÉTRICO TRIFÁSICO POTÊNCIA DE 2 CV, SEM CARREGADOR - CHI DIURNO. AF_05/2023</t>
  </si>
  <si>
    <t>CHI</t>
  </si>
  <si>
    <t>BETONEIRA CAPACIDADE NOMINAL DE 400 L, CAPACIDADE DE MISTURA 280 L, MOTOR ELÉTRICO TRIFÁSICO POTÊNCIA DE 2 CV, SEM CARREGADOR - CHP DIURNO. AF_05/2023</t>
  </si>
  <si>
    <t>CHP</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</si>
  <si>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</si>
  <si>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</si>
  <si>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</si>
  <si>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BETONEIRA CAPACIDADE NOMINAL DE 400 L, CAPACIDADE DE MISTURA 280 L, MOTOR ELÉTRICO TRIFÁSICO POTÊNCIA DE 2 CV, SEM CARREGADOR - MATERIAIS NA OPERAÇÃO. AF_05/2023</t>
  </si>
  <si>
    <t>BETONEIRA CAPACIDADE NOMINAL DE 600 L, CAPACIDADE DE MISTURA 360 L, MOTOR ELÉTRICO TRIFÁSICO POTÊNCIA DE 4 CV, SEM CARREGADOR - CHI DIURNO. AF_05/2023</t>
  </si>
  <si>
    <t>BETONEIRA CAPACIDADE NOMINAL DE 600 L, CAPACIDADE DE MISTURA 360 L, MOTOR ELÉTRICO TRIFÁSICO POTÊNCIA DE 4 CV, SEM CARREGADOR - CHP DIURNO. AF_05/2023</t>
  </si>
  <si>
    <t>BETONEIRA CAPACIDADE NOMINAL DE 600 L, CAPACIDADE DE MISTURA 360 L, MOTOR ELÉTRICO TRIFÁSICO POTÊNCIA DE 4 CV, SEM CARREGADOR - DEPRECIAÇÃO. AF_05/2023</t>
  </si>
  <si>
    <t>BETONEIRA CAPACIDADE NOMINAL DE 600 L, CAPACIDADE DE MISTURA 360 L, MOTOR ELÉTRICO TRIFÁSICO POTÊNCIA DE 4 CV, SEM CARREGADOR - JUROS. AF_05/2023</t>
  </si>
  <si>
    <t>BETONEIRA CAPACIDADE NOMINAL DE 600 L, CAPACIDADE DE MISTURA 360 L, MOTOR ELÉTRICO TRIFÁSICO POTÊNCIA DE 4 CV, SEM CARREGADOR - MANUTENÇÃO. AF_05/2023</t>
  </si>
  <si>
    <t>BETONEIRA CAPACIDADE NOMINAL DE 600 L, CAPACIDADE DE MISTURA 360 L, MOTOR ELÉTRICO TRIFÁSICO POTÊNCIA DE 4 CV, SEM CARREGADOR - MATERIAIS NA OPERAÇÃO. AF_05/2023</t>
  </si>
  <si>
    <t>BLOCO DE ANCORAGEM EM CONCRETO SIMPLES FCK=10MPA (REF: C3403-SEINFRA 28)</t>
  </si>
  <si>
    <t>CAIAÇÃO EM TRES DEMÃOS EM PAREDES (REF: C0589-SEINFRA 28)</t>
  </si>
  <si>
    <t>CARPINTEIRO DE FORMAS COM ENCARGOS COMPLEMENTARES</t>
  </si>
  <si>
    <t>CERCA COM MOURÕES DE CONCRETO, SEÇÃO "T" PONTA INCLINADA, 10X10 CM, ESPAÇAMENTO DE 2,5 M, CRAVADOS 0,5 M, COM 11 FIOS DE ARAME FARPADO Nº 14 - FORNECIMENTO E INSTALAÇÃO. AF_05/2020</t>
  </si>
  <si>
    <t>CHAPISCO APLICADO EM ALVENARIA (COM PRESENÇA DE VÃOS) E ESTRUTURAS DE CONCRETO DE FACHADA, COM COLHER DE PEDREIRO. ARGAMASSA TRAÇO 1:3 COM PREPARO MANUAL. AF_10/2022</t>
  </si>
  <si>
    <t>CIMENTAÇÃO SANITÁRIA</t>
  </si>
  <si>
    <t>CINTA DE AMARRAÇÃO DE ALVENARIA MOLDADA IN LOCO EM CONCRETO</t>
  </si>
  <si>
    <t>CONCRETAGEM DE PILARES, FCK = 25 MPA, COM USO DE BOMBA - LANÇAMENTO, ADENSAMENTO E ACABAMENTO. AF_02/2022_PS</t>
  </si>
  <si>
    <t>CONCRETO CICLÓPICO FCK = 15MPA, 30% PEDRA DE MÃO EM VOLUME REAL, INCLUSIVE LANÇAMENTO.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</si>
  <si>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</si>
  <si>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</si>
  <si>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20MPA, TRAÇO 1:2,7:3 (EM MASSA SECA DE CIMENTO/ AREIA MÉDIA/ BRITA 1) - PREPARO MECÂNICO COM BETONEIRA 600 L. AF_05/2021</t>
  </si>
  <si>
    <t>CONCRETO MAGRO PARA LASTRO, TRAÇO 1:4,5:4,5 (EM MASSA SECA DE CIMENTO/ AREIA MÉDIA/ BRITA 1) - PREPARO MANUAL. AF_05/2021</t>
  </si>
  <si>
    <t>CONCRETO MAGRO PARA LASTRO, TRAÇO 1:4,5:4,5 (EM MASSA SECA DE CIMENTO/ AREIA MÉDIA/ BRITA 1) - PREPARO MECÂNICO COM BETONEIRA 400 L. AF_05/2021</t>
  </si>
  <si>
    <t>CONCRETO MAGRO PARA LASTRO, TRAÇO 1:4,5:4,5 (EM MASSA SECA DE CIMENTO/ AREIA MÉDIA/ BRITA 1) - PREPARO MECÂNICO COM BETONEIRA 600 L. AF_05/2021</t>
  </si>
  <si>
    <t>CONCRETO P/VIBR., FCK 10 MPA COM AGREGADO ADQUIRIDO (REF: C0838-SEINFRA 28)</t>
  </si>
  <si>
    <t>CORTE E DOBRA DE AÇO CA-50, DIÂMETRO DE 10,0 MM. AF_06/2022</t>
  </si>
  <si>
    <t>CORTE E DOBRA DE AÇO CA-50, DIÂMETRO DE 12,5 MM. AF_06/2022</t>
  </si>
  <si>
    <t>CORTE E DOBRA DE AÇO CA-50, DIÂMETRO DE 16,0 MM. AF_06/2022</t>
  </si>
  <si>
    <t>CORTE E DOBRA DE AÇO CA-50, DIÂMETRO DE 20,0 MM. AF_06/2022</t>
  </si>
  <si>
    <t>CORTE E DOBRA DE AÇO CA-50, DIÂMETRO DE 6,3 MM. AF_06/2022</t>
  </si>
  <si>
    <t>CORTE E DOBRA DE AÇO CA-50, DIÂMETRO DE 8,0 MM. AF_06/2022</t>
  </si>
  <si>
    <t>CORTE E DOBRA DE AÇO CA-60, DIÂMETRO DE 5,0 MM. AF_06/2022</t>
  </si>
  <si>
    <t>CURSO DE CAPACITAÇÃO PARA AJUDANTE DE ARMADOR (ENCARGOS COMPLEMENTARES) - HORISTA</t>
  </si>
  <si>
    <t>CURSO DE CAPACITAÇÃO PARA AJUDANTE DE CARPINTEIRO (ENCARGOS COMPLEMENTARES) - HORISTA</t>
  </si>
  <si>
    <t>CURSO DE CAPACITAÇÃO PARA AJUDANTE DE PEDREIRO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</si>
  <si>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</si>
  <si>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</si>
  <si>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</si>
  <si>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</si>
  <si>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ESCRITÓRIO (ENCARGOS COMPLEMENTARES) - HORISTA</t>
  </si>
  <si>
    <t>CURSO DE CAPACITAÇÃO PARA AUXILIAR DE MECÂNICO (ENCARGOS COMPLEMENTARES) - HORISTA</t>
  </si>
  <si>
    <t>CURSO DE CAPACITAÇÃO PARA AUXILIAR TÉCNICO DE ENGENHARIA (ENCARGOS COMPLEMENTARES) - HORISTA</t>
  </si>
  <si>
    <t>CURSO DE CAPACITAÇÃO PARA CARPINTEIRO DE FÔRMAS (ENCARGOS COMPLEMENTARES) - HORISTA</t>
  </si>
  <si>
    <t>CURSO DE CAPACITAÇÃO PARA ELETRICISTA (ENCARGOS COMPLEMENTARES) - HORISTA</t>
  </si>
  <si>
    <t>CURSO DE CAPACITAÇÃO PARA ENCANADOR OU BOMBEIRO HIDRÁULICO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</si>
  <si>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</si>
  <si>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</si>
  <si>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SÊNIOR (ENCARGOS COMPLEMENTARES) - HORISTA</t>
  </si>
  <si>
    <t>CURSO DE CAPACITAÇÃO PARA OPERADOR DE BETONEIRA ESTACIONÁRIA/MISTURADOR (ENCARGOS COMPLEMENTARES) - HORISTA</t>
  </si>
  <si>
    <t>CURSO DE CAPACITAÇÃO PARA OPERADOR DE ESCAVADEIRA (ENCARGOS COMPLEMENTARES) - HORISTA</t>
  </si>
  <si>
    <t>CURSO DE CAPACITAÇÃO PARA OPERADOR DE MÁQUINAS E EQUIPAMENTOS (ENCARGOS COMPLEMENTARES) - HORISTA</t>
  </si>
  <si>
    <t>CURSO DE CAPACITAÇÃO PARA PEDREIRO (ENCARGOS COMPLEMENTARES) - HORISTA</t>
  </si>
  <si>
    <t>CURSO DE CAPACITAÇÃO PARA PINTOR (ENCARGOS COMPLEMENTARES) - HORISTA</t>
  </si>
  <si>
    <t>CURSO DE CAPACITAÇÃO PARA SERVENTE (ENCARGOS COMPLEMENTARES) - HORISTA</t>
  </si>
  <si>
    <t>CURSO DE CAPACITAÇÃO PARA TELHADISTA (ENCARGOS COMPLEMENTARES) - HORISTA</t>
  </si>
  <si>
    <t>DESENVOLVIMENTO COM BOMBA SUBMERSA</t>
  </si>
  <si>
    <t>DESINFECÇÃO</t>
  </si>
  <si>
    <t>ELETRICISTA COM ENCARGOS COMPLEMENTARES</t>
  </si>
  <si>
    <t>ENCANADOR OU BOMBEIRO HIDRÁULICO COM ENCARGOS COMPLEMENTARES</t>
  </si>
  <si>
    <t>ENCARREGADO GERAL COM ENCARGOS COMPLEMENTARES</t>
  </si>
  <si>
    <t>ENGENHEIRO CIVIL DE OBRA JUNIOR COM ENCARGOS COMPLEMENTARES</t>
  </si>
  <si>
    <t>ENGENHEIRO CIVIL DE OBRA SENIOR COM ENCARGOS COMPLEMENTARES</t>
  </si>
  <si>
    <t>ESCAVADEIRA HIDRÁULICA SOBRE ESTEIRAS, CAÇAMBA 0,80 M3, PESO OPERACIONAL 17 T, POTENCIA BRUTA 111 HP - CHI DIURNO. AF_06/2014</t>
  </si>
  <si>
    <t>ESCAVADEIRA HIDRÁULICA SOBRE ESTEIRAS, CAÇAMBA 0,80 M3, PESO OPERACIONAL 17 T, POTENCIA BRUTA 111 HP - CHP DIURNO. AF_06/2014</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</si>
  <si>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</si>
  <si>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</si>
  <si>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</si>
  <si>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</si>
  <si>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ESCAVAÇÃO MANUAL DE VALA. AF_09/2024</t>
  </si>
  <si>
    <t>ESCAVAÇÃO MECANIZADA DE VALA COM PROF. ATÉ 1,5 M (MÉDIA MONTANTE E JUSANTE/UMA COMPOSIÇÃO POR TRECHO),COM ESCAVADEIRA (0,8 M3), LARG. MENOR QUE 1,5 M, EM SOLO DE 2A CATEGORIA, LOCAIS COM BAIXO NÍVEL DE INTERFERÊNCIA. AF_09/2024</t>
  </si>
  <si>
    <t>EXECUÇÃO DE PASSEIO (CALÇADA) OU PISO DE CONCRETO COM CONCRETO MOLDADO IN LOCO, FEITO EM OBRA, ACABAMENTO CONVENCIONAL, ESPESSURA 8 CM, ARMADO. AF_08/2022</t>
  </si>
  <si>
    <t>FABRICAÇÃO DE ESCORAS DE VIGA DO TIPO GARFO, EM MADEIRA. AF_09/2020</t>
  </si>
  <si>
    <t>FABRICAÇÃO DE FÔRMA PARA PILARES E ESTRUTURAS SIMILARES, EM CHAPA DE MADEIRA COMPENSADA RESINADA, E = 17 MM. AF_09/2020</t>
  </si>
  <si>
    <t>FABRICAÇÃO DE FÔRMA PARA VIGAS, COM MADEIRA SERRADA, E = 25 MM. AF_09/2020</t>
  </si>
  <si>
    <t>FABRICAÇÃO DE FÔRMA PARA VIGAS, EM CHAPA DE MADEIRA COMPENSADA RESINADA, E = 17 MM. AF_09/2020</t>
  </si>
  <si>
    <t>FABRICAÇÃO, MONTAGEM E DESMONTAGEM DE FORMA PARA RADIER, PISO DE CONCRETO OU LAJE SOBRE SOLO, EM MADEIRA SERRADA, 4 UTILIZAÇÕES. AF_09/2021</t>
  </si>
  <si>
    <t>FORMA DE TÁBUAS DE 1" DE 3A. P/FUNDAÇÕES UTIL. 5 X (REF: C1400-SEINFRA 28)</t>
  </si>
  <si>
    <t>FORNECIMENTO E INSTALAÇÃO DE CABO CHATO SUBMERSO DE 3 X 6 MM²</t>
  </si>
  <si>
    <t>FORNECIMENTO E INSTALAÇÃO DE REVESTIMENTO GEOMECÂNICO STANDART DN-154-S</t>
  </si>
  <si>
    <t>FORNECIMENTO E INSTALAÇÃO DE TAMPA PARA POÇO</t>
  </si>
  <si>
    <t>FORNECIMENTO E INSTALAÇÃO DE TUBO EDUTOR DE PVC DE 1.1/2'' COM LUVA</t>
  </si>
  <si>
    <t>LAJE DE PROTEÇÃO EM CONCRETO (1,0 M X 1,0 M X 0,15 M)</t>
  </si>
  <si>
    <t>LASTRO DE CONCRETO MAGRO, APLICADO EM BLOCOS DE COROAMENTO OU SAPATAS, ESPESSURA DE 3 CM. AF_01/2024</t>
  </si>
  <si>
    <t>LIGAÇÃO DOMICILIAR</t>
  </si>
  <si>
    <t>LIMPEZA MANUAL DE VEGETAÇÃO EM TERRENO COM ENXADA. AF_03/2024</t>
  </si>
  <si>
    <t>LOCAÇÃO CONVENCIONAL DE OBRA, UTILIZANDO GABARITO DE TÁBUAS CORRIDAS PONTALETADAS A CADA 2,00M - 2 UTILIZAÇÕES. AF_03/2024</t>
  </si>
  <si>
    <t>LOCAÇÃO DO POÇO COM ESTUDO GEOLÓGICO/HIDROGEOLÓGICO/GEOFÍSICO</t>
  </si>
  <si>
    <t>MASSA ÚNICA, EM ARGAMASSA TRAÇO 1:2:8, PREPARO MANUAL, APLICADA MANUALMENTE EM PAREDES INTERNAS DE AMBIENTES COM ÁREA ENTRE 5M² E 10M², E = 17,5MM, COM TALISCAS. AF_03/2024</t>
  </si>
  <si>
    <t>MONTAGEM E DESMONTAGEM DE FÔRMA DE PILARES RETANGULARES E ESTRUTURAS SIMILARES, PÉ-DIREITO SIMPLES, EM CHAPA DE MADEIRA COMPENSADA RESINADA, 2 UTILIZAÇÕES. AF_09/2020</t>
  </si>
  <si>
    <t>MONTAGEM E DESMONTAGEM DE FÔRMA DE VIGA, ESCORAMENTO COM GARFO DE MADEIRA, PÉ-DIREITO SIMPLES, EM CHAPA DE MADEIRA RESINADA, 2 UTILIZAÇÕES. AF_09/2020</t>
  </si>
  <si>
    <t>OPERADOR DE BETONEIRA ESTACIONÁRIA/MISTURADOR COM ENCARGOS COMPLEMENTARES</t>
  </si>
  <si>
    <t>OPERADOR DE ESCAVADEIRA COM ENCARGOS COMPLEMENTARES</t>
  </si>
  <si>
    <t>OPERADOR DE MÁQUINAS E EQUIPAMENTOS COM ENCARGOS COMPLEMENTARES</t>
  </si>
  <si>
    <t>PEDRA ARGAMASSADA COM CIMENTO E AREIA 1:3, 40% DE ARGAMASSA EM VOLUME - AREIA E PEDRA DE MÃO COMERCIAIS - FORNECIMENTO E ASSENTAMENTO. AF_08/2022</t>
  </si>
  <si>
    <t>PEDREIRO COM ENCARGOS COMPLEMENTARES</t>
  </si>
  <si>
    <t>PERFILAGEM ÓTICA</t>
  </si>
  <si>
    <t>PERFURAÇÃO EM ROCHA CRISTALINA DN 6" (REF: 06237/ORSE-ORSE-04/2025)</t>
  </si>
  <si>
    <t>PERFURAÇÃO EM ROCHA SEDIMENTAR DN 10" (REF: 06230/ORSE-ORSE-04/2025)</t>
  </si>
  <si>
    <t>PINTOR COM ENCARGOS COMPLEMENTARES</t>
  </si>
  <si>
    <t>PINTURA COM TINTA ALQUÍDICA DE ACABAMENTO (ESMALTE SINTÉTICO ACETINADO) APLICADA A ROLO OU PINCEL SOBRE SUPERFÍCIES METÁLICAS (EXCETO PERFIL) EXECUTADO EM OBRA (02 DEMÃOS). AF_01/2020</t>
  </si>
  <si>
    <t>PINTURA LOGOTIPO DA SECRETARIA EM RESERVATÓRIO DE FIBRA DE VIDRO</t>
  </si>
  <si>
    <t>PISO CIMENTADO, TRAÇO 1:3 (CIMENTO E AREIA), ACABAMENTO LISO, ESPESSURA 4,0 CM, PREPARO MECÂNICO DA ARGAMASSA. AF_09/2020</t>
  </si>
  <si>
    <t>PLACAS PADRÃO DE OBRA</t>
  </si>
  <si>
    <t>PORTA DE FERRO, DE ABRIR, TIPO GRADE COM CHAPA, COM GUARNIÇÕES. AF_12/2019</t>
  </si>
  <si>
    <t>PORTÃO DE FERRO EM BARRA CHATA TIPO TIJOLINHO (REF: C1999-SEINFRA 28)</t>
  </si>
  <si>
    <t>REATERRO DE VALA COM COMPACTAÇÃO MANUAL</t>
  </si>
  <si>
    <t>REATERRO MECANIZADO DE VALA COM RETROESCAVADEIRA (CAPACIDADE DA CAÇAMBA DA RETRO: 0,26 M³/POTÊNCIA: 88 HP), LARGURA ATÉ 0,8 M, PROFUNDIDADE ATÉ 1,5 M, COM SOLO (SEM SUBSTITUIÇÃO) DE 1ª CATEGORIA. AF_08/2023 (REF: 104733-SINAPI-05/2025)</t>
  </si>
  <si>
    <t>REGISTRO DE GAVETA BRUTO, LATÃO, ROSCÁVEL, 2" - FORNECIMENTO E INSTALAÇÃO. AF_08/2021</t>
  </si>
  <si>
    <t>RELATÓRIO TÉCNICO</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</si>
  <si>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</si>
  <si>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</si>
  <si>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</si>
  <si>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</si>
  <si>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</si>
  <si>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4X4, POTÊNCIA LÍQ. 88 HP, CAÇAMBA CARREG. CAP. MÍN. 1 M3, CAÇAMBA RETRO CAP. 0,26 M3, PESO OPERACIONAL MÍN. 6.674 KG, PROFUNDIDADE ESCAVAÇÃO MÁX. 4,37 M - MATERIAIS NA OPERAÇÃO. AF_06/2014</t>
  </si>
  <si>
    <t>SERRA CIRCULAR DE BANCADA COM MOTOR ELÉTRICO POTÊNCIA DE 5HP, COM COIFA PARA DISCO 10" - CHI DIURNO. AF_08/2015</t>
  </si>
  <si>
    <t>SERRA CIRCULAR DE BANCADA COM MOTOR ELÉTRICO POTÊNCIA DE 5HP, COM COIFA PARA DISCO 10" - CHP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</si>
  <si>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</si>
  <si>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</si>
  <si>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</si>
  <si>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</si>
  <si>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SERVENTE COM ENCARGOS COMPLEMENTARES</t>
  </si>
  <si>
    <t>TELHADISTA COM ENCARGOS COMPLEMENTARES</t>
  </si>
  <si>
    <t>TELHAMENTO COM TELHA CERÂMICA CAPA-CANAL, TIPO COLONIAL, COM ATÉ 2 ÁGUAS, INCLUSO TRANSPORTE VERTICAL</t>
  </si>
  <si>
    <t>M²</t>
  </si>
  <si>
    <t>TESTE VAZÃO COM BOMBA SUBMERSA</t>
  </si>
  <si>
    <t>TRAMA DE MADEIRA COMPOSTA POR RIPAS, CAIBROS E TERÇAS PARA TELHADOS DE ATÉ 2 ÁGUAS PARA TELHA CERÂMICA CAPA-CANAL, INCLUSO TRANSPORTE VERTICAL</t>
  </si>
  <si>
    <t>TRANSPORTE DE MÁQUINAS E EQUIPAMENTOS</t>
  </si>
  <si>
    <t>VIBRADOR DE IMERSÃO, DIÂMETRO DE PONTEIRA 45MM, MOTOR ELÉTRICO TRIFÁSICO POTÊNCIA DE 2 CV - CHI DIURNO. AF_06/2015</t>
  </si>
  <si>
    <t>VIBRADOR DE IMERSÃO, DIÂMETRO DE PONTEIRA 45MM, MOTOR ELÉTRICO TRIFÁSICO POTÊNCIA DE 2 CV - CHP DIURNO. AF_06/2015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</si>
  <si>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</si>
  <si>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</si>
  <si>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</si>
  <si>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</si>
  <si>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LISTA DE INSUMOS</t>
  </si>
  <si>
    <t>SEINFRA</t>
  </si>
  <si>
    <t>MUNICÍPIOS DE PARNAGUÁ - PI E ANÍSIO DE ABREU-PI</t>
  </si>
  <si>
    <t>FORNECIMENTO E INSTALAÇÃO DE ESTRUTURA TIPO SOLO PARA PAINEIS, INCLUSO FRETE, PERFIS E CANTONEIRAS EM ALUMÍNIO E CONECTORES</t>
  </si>
  <si>
    <t>COLAR TOMADA PVC, COM TRAVAS, SAIDA COM ROSCA, DE 40 MM X 1/2" OU 40 MM X 3/4", PARA LIGACAO PREDIAL DE AGUA</t>
  </si>
  <si>
    <t>FORNECIMENTO E INSTALAÇÃO DE RESERVATÓRIO ELEVADO C/ CAIXA D'AGUA EM POLIESTER REFORCADO COM FIBRA DE VIDRO DE 10.000 LITROS, APOIADO EM ESTRUTURA PRÉ-MOLDADA EM CONCRETO, COMPOSTA DE CAPITEL P/APOIO DA CAIXA E PILAR C/ALTURA ÚTIL = 10,00M, INCLUSO FRETE E MONTAGEM NO LOCAL, COM FUNDAÇÃO EM CONCRETO SIMPLES FCK=20MPA</t>
  </si>
  <si>
    <t>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t>
  </si>
  <si>
    <t>LIGAÇÃO DO RESERVATÓRIO COM O RAMAL PRINCIPAL</t>
  </si>
  <si>
    <t>FORNECIMENTO E INSTALAÇÃO DE KIT DE BOMBEAMENTO SOLAR P/ POÇO COM PROFUNDIDADE DE 100 A 120 M, INCLUSO BOMBA 3CV, INVERSOR, PAINÉIS, QUADRO DE COMANDO, DISJUNTORES, CABOS E CONEXÕES E ESTRUTURA TIPO SOLO</t>
  </si>
  <si>
    <t>IMPLANTAÇÃO DE 6 (SEIS) SISTEMAS DE ABASTECIMENTO DE ÁGUA EM COMUNIDADES RURAIS NOS MUNICÍPIOS DE PARNAGUÁ-PI E ANÍSIO DE ABREU-PI (TC 967175/2024)</t>
  </si>
  <si>
    <t>FORNECIMENTO E INSTALAÇÃO DE BASE PARA RESERVATÓRIO EM CONCRETO PRÉ-MOLDADO COM H=10,00 M LIVRE, COM 03 PILARES E 01 LAJE,  INCLUSO FRETE E FUNDAÇÃO EM CONCRETO SIMPLES FCK = 20 MPA</t>
  </si>
  <si>
    <t>PAINEL FOTOVOLTÁICO 605 W, 2384 MM X 1134 MM X 30 MM, TSUN OU SIMILAR</t>
  </si>
  <si>
    <t>BOMBA SUBMERSA 3 CV TRIFÁSICA MODELO 4R5PA-18  LEÃO OU SIMILAR</t>
  </si>
  <si>
    <t>INVERSOR PARA BOMBEAMENTO SOLAR TRIFÁSICO 220V – 2.2KW, COM FREQUÊNCIA DE ENTRADA 50/60 HZ, POWTRAN OU SILIMAR</t>
  </si>
  <si>
    <t>DISJUNTOR BIPOLAR CORRENTE CONTÍNUA, 32A 1000 VDC, PARA SISTEMA FOTOVOLTAICO</t>
  </si>
  <si>
    <t>KIT DE ATERRAMENTO (HASTE DE COBRE, CONECTOR E CAIXA DE INSPEÇÃO), FORNECIMENTO E INSTALAÇÃO</t>
  </si>
  <si>
    <t>DISJUNTOR TRIPOLAR 32A CA, TIPO DIN, FORNECIMENTO E INSTALAÇÃO</t>
  </si>
  <si>
    <t>CABO SOLAR FOTOVOLTAICO 6MM, 0,6/ 1 KV CA - 1,8 KV CC, COM CONDUTORES EM COBRE ESTANHADO, ISOLAÇÃO EM XLPE</t>
  </si>
  <si>
    <t>CONECTOR MC4 (PAR) PARA CABOS DE 6 MM, EM SISTEMA DE ENERGIA SOLAR</t>
  </si>
  <si>
    <t>SINAPI PI 07/2025, SEINFRA CE 28, ORSE SE 06/2025, CAESB 10/2024</t>
  </si>
  <si>
    <t>DISPOSITIVO CONTRA SURTO DE TENSÃO - DPS CORRENTE CONTÍNUA 1000 VDC</t>
  </si>
  <si>
    <t>QUADRO DE COMANDO METÁLICO DE SOBREPOR, COM DIMENSÕES 400 X 300 X 200 MM</t>
  </si>
  <si>
    <t>FORNECIMENTO E INSTALAÇÃO DE BASE PARA RESERVATÓRIO EM CONCRETO PRÉ-MOLDADO COM H=8,00 M LIVRE, COM 03 PILARES E 01 LAJE, INCLUSO FRETE E FUNDAÇÃO EM CONCRETO SIMPLES FCK = 20 MPA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</si>
</sst>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00%"/>
  </numFmts>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indexed="8"/>
      <name val="Calibri"/>
      <family val="2"/>
    </font>
    <font>
      <sz val="11"/>
      <color indexed="10"/>
      <name val="Calibri"/>
      <family val="2"/>
    </font>
    <font>
      <b/>
      <sz val="11"/>
      <color indexed="8"/>
      <name val="Calibri"/>
      <family val="2"/>
    </font>
    <font>
      <b/>
      <sz val="11"/>
      <color indexed="9"/>
      <name val="Calibri"/>
      <family val="2"/>
    </font>
    <font>
      <sz val="11"/>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420BF"/>
        <bgColor indexed="64"/>
      </patternFill>
    </fill>
    <fill>
      <patternFill patternType="solid">
        <fgColor rgb="FFC8C6C6"/>
        <bgColor indexed="64"/>
      </patternFill>
    </fill>
    <fill>
      <patternFill patternType="solid">
        <fgColor rgb="FFECECEC"/>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99">
    <xf numFmtId="0" fontId="0" fillId="0" borderId="0" xfId="0"/>
    <xf numFmtId="0" fontId="20" fillId="0" borderId="0" xfId="0" applyFont="1" applyAlignment="1">
      <alignment horizontal="center" vertical="center"/>
    </xf>
    <xf numFmtId="0" fontId="18" fillId="0" borderId="0" xfId="0" applyFont="1" applyAlignment="1">
      <alignment horizontal="left" vertical="center"/>
    </xf>
    <xf numFmtId="0" fontId="18" fillId="0" borderId="0" xfId="0" applyFont="1" applyAlignment="1">
      <alignment horizontal="center" vertical="center"/>
    </xf>
    <xf numFmtId="0" fontId="21" fillId="33" borderId="10" xfId="0" applyFont="1" applyFill="1" applyBorder="1" applyAlignment="1">
      <alignment horizontal="center" vertical="center"/>
    </xf>
    <xf numFmtId="4" fontId="0" fillId="0" borderId="10" xfId="0" applyNumberFormat="1" applyBorder="1" applyAlignment="1">
      <alignment horizontal="center" vertical="center"/>
    </xf>
    <xf numFmtId="0" fontId="19" fillId="0" borderId="0" xfId="0" applyFont="1" applyAlignment="1">
      <alignment horizontal="left" vertical="center"/>
    </xf>
    <xf numFmtId="0" fontId="20" fillId="0" borderId="0" xfId="0" applyFont="1" applyAlignment="1">
      <alignment horizontal="left" vertical="center"/>
    </xf>
    <xf numFmtId="4" fontId="20" fillId="0" borderId="0" xfId="0" applyNumberFormat="1" applyFont="1" applyAlignment="1">
      <alignment horizontal="center" vertical="center"/>
    </xf>
    <xf numFmtId="0" fontId="20" fillId="34" borderId="10" xfId="0" applyFont="1" applyFill="1" applyBorder="1" applyAlignment="1">
      <alignment horizontal="center" vertical="center"/>
    </xf>
    <xf numFmtId="4" fontId="20" fillId="34" borderId="10" xfId="0" applyNumberFormat="1" applyFont="1" applyFill="1" applyBorder="1" applyAlignment="1">
      <alignment horizontal="center" vertical="center"/>
    </xf>
    <xf numFmtId="10" fontId="20" fillId="34" borderId="10" xfId="0" applyNumberFormat="1" applyFont="1" applyFill="1" applyBorder="1" applyAlignment="1">
      <alignment horizontal="center" vertical="center"/>
    </xf>
    <xf numFmtId="0" fontId="20" fillId="35" borderId="10" xfId="0" applyFont="1" applyFill="1" applyBorder="1" applyAlignment="1">
      <alignment horizontal="center" vertical="center"/>
    </xf>
    <xf numFmtId="4" fontId="20" fillId="35" borderId="10" xfId="0" applyNumberFormat="1" applyFont="1" applyFill="1" applyBorder="1" applyAlignment="1">
      <alignment horizontal="center" vertical="center"/>
    </xf>
    <xf numFmtId="10" fontId="20" fillId="35" borderId="10" xfId="0" applyNumberFormat="1" applyFont="1" applyFill="1" applyBorder="1" applyAlignment="1">
      <alignment horizontal="center" vertical="center"/>
    </xf>
    <xf numFmtId="0" fontId="20" fillId="0" borderId="10" xfId="0" applyFont="1" applyBorder="1" applyAlignment="1">
      <alignment horizontal="center" vertical="center"/>
    </xf>
    <xf numFmtId="4" fontId="20" fillId="0" borderId="10" xfId="0" applyNumberFormat="1" applyFont="1" applyBorder="1" applyAlignment="1">
      <alignment horizontal="center" vertical="center"/>
    </xf>
    <xf numFmtId="10" fontId="20" fillId="0" borderId="10" xfId="0" applyNumberFormat="1" applyFont="1" applyBorder="1" applyAlignment="1">
      <alignment horizontal="center" vertical="center"/>
    </xf>
    <xf numFmtId="4" fontId="21" fillId="33" borderId="10" xfId="0" applyNumberFormat="1" applyFont="1" applyFill="1" applyBorder="1" applyAlignment="1">
      <alignment horizontal="center" vertical="center"/>
    </xf>
    <xf numFmtId="10" fontId="21" fillId="33" borderId="10" xfId="0" applyNumberFormat="1" applyFont="1" applyFill="1" applyBorder="1" applyAlignment="1">
      <alignment horizontal="center" vertical="center"/>
    </xf>
    <xf numFmtId="0" fontId="20" fillId="34" borderId="10" xfId="0" applyFont="1" applyFill="1" applyBorder="1" applyAlignment="1">
      <alignment horizontal="justify" vertical="center" wrapText="1"/>
    </xf>
    <xf numFmtId="0" fontId="20" fillId="35" borderId="10" xfId="0" applyFont="1" applyFill="1" applyBorder="1" applyAlignment="1">
      <alignment horizontal="justify" vertical="center" wrapText="1"/>
    </xf>
    <xf numFmtId="0" fontId="20" fillId="0" borderId="10" xfId="0" applyFont="1" applyBorder="1" applyAlignment="1">
      <alignment horizontal="justify" vertical="center" wrapText="1"/>
    </xf>
    <xf numFmtId="0" fontId="0" fillId="0" borderId="10" xfId="0" applyBorder="1" applyAlignment="1">
      <alignment horizontal="center" vertical="center"/>
    </xf>
    <xf numFmtId="0" fontId="0" fillId="0" borderId="10" xfId="0" applyBorder="1" applyAlignment="1">
      <alignment horizontal="justify" vertical="center" wrapText="1"/>
    </xf>
    <xf numFmtId="10" fontId="0" fillId="0" borderId="10" xfId="0" applyNumberFormat="1" applyBorder="1" applyAlignment="1">
      <alignment horizontal="center" vertical="center"/>
    </xf>
    <xf numFmtId="164" fontId="0" fillId="0" borderId="10" xfId="0" applyNumberFormat="1" applyBorder="1" applyAlignment="1">
      <alignment horizontal="center" vertical="center"/>
    </xf>
    <xf numFmtId="0" fontId="20" fillId="0" borderId="0" xfId="0" applyFont="1" applyAlignment="1">
      <alignment horizontal="right" vertical="center"/>
    </xf>
    <xf numFmtId="0" fontId="19" fillId="0" borderId="0" xfId="0" applyFont="1" applyAlignment="1">
      <alignment horizontal="center" vertical="center"/>
    </xf>
    <xf numFmtId="165" fontId="0" fillId="0" borderId="10" xfId="0" applyNumberFormat="1" applyBorder="1" applyAlignment="1">
      <alignment horizontal="center" vertical="center"/>
    </xf>
    <xf numFmtId="0" fontId="0" fillId="0" borderId="10" xfId="0" applyBorder="1" applyAlignment="1">
      <alignment horizontal="center" vertical="center" wrapText="1"/>
    </xf>
    <xf numFmtId="4" fontId="0" fillId="0" borderId="0" xfId="0" applyNumberFormat="1"/>
    <xf numFmtId="10" fontId="0" fillId="0" borderId="0" xfId="42" applyNumberFormat="1" applyFont="1"/>
    <xf numFmtId="2" fontId="0" fillId="0" borderId="0" xfId="0" applyNumberFormat="1"/>
    <xf numFmtId="0" fontId="0" fillId="0" borderId="10" xfId="0" applyBorder="1" applyAlignment="1">
      <alignment horizontal="left" vertical="center" wrapText="1"/>
    </xf>
    <xf numFmtId="0" fontId="22" fillId="0" borderId="16" xfId="0" applyFont="1" applyBorder="1" applyAlignment="1">
      <alignment horizontal="justify" vertical="top" wrapText="1"/>
    </xf>
    <xf numFmtId="0" fontId="22" fillId="0" borderId="15" xfId="0" applyFont="1" applyBorder="1" applyAlignment="1">
      <alignment horizontal="justify" vertical="top" wrapText="1"/>
    </xf>
    <xf numFmtId="0" fontId="22" fillId="0" borderId="17" xfId="0" applyFont="1" applyBorder="1" applyAlignment="1">
      <alignment horizontal="justify" vertical="top" wrapText="1"/>
    </xf>
    <xf numFmtId="0" fontId="22" fillId="0" borderId="11" xfId="0" applyFont="1" applyBorder="1" applyAlignment="1">
      <alignment horizontal="justify" vertical="top" wrapText="1"/>
    </xf>
    <xf numFmtId="0" fontId="22" fillId="0" borderId="0" xfId="0" applyFont="1" applyAlignment="1">
      <alignment horizontal="justify" vertical="top" wrapText="1"/>
    </xf>
    <xf numFmtId="0" fontId="22" fillId="0" borderId="21" xfId="0" applyFont="1" applyBorder="1" applyAlignment="1">
      <alignment horizontal="justify" vertical="top" wrapText="1"/>
    </xf>
    <xf numFmtId="0" fontId="22" fillId="0" borderId="18" xfId="0" applyFont="1" applyBorder="1" applyAlignment="1">
      <alignment horizontal="justify" vertical="top" wrapText="1"/>
    </xf>
    <xf numFmtId="0" fontId="22" fillId="0" borderId="20" xfId="0" applyFont="1" applyBorder="1" applyAlignment="1">
      <alignment horizontal="justify" vertical="top" wrapText="1"/>
    </xf>
    <xf numFmtId="0" fontId="22" fillId="0" borderId="19" xfId="0" applyFont="1" applyBorder="1" applyAlignment="1">
      <alignment horizontal="justify" vertical="top" wrapText="1"/>
    </xf>
    <xf numFmtId="0" fontId="20" fillId="0" borderId="0" xfId="0" applyFont="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xf numFmtId="0" fontId="21" fillId="33" borderId="14" xfId="0" applyFont="1" applyFill="1" applyBorder="1" applyAlignment="1">
      <alignment horizontal="center" vertical="center"/>
    </xf>
    <xf numFmtId="0" fontId="20" fillId="0" borderId="12" xfId="0" applyFont="1" applyBorder="1" applyAlignment="1">
      <alignment horizontal="left" vertical="center"/>
    </xf>
    <xf numFmtId="0" fontId="20" fillId="0" borderId="14" xfId="0" applyFont="1" applyBorder="1" applyAlignment="1">
      <alignment horizontal="left" vertical="center"/>
    </xf>
    <xf numFmtId="0" fontId="20" fillId="0" borderId="13" xfId="0" applyFont="1" applyBorder="1" applyAlignment="1">
      <alignment horizontal="left" vertical="center"/>
    </xf>
    <xf numFmtId="0" fontId="20" fillId="35" borderId="12" xfId="0" applyFont="1" applyFill="1" applyBorder="1" applyAlignment="1">
      <alignment horizontal="left" vertical="center"/>
    </xf>
    <xf numFmtId="0" fontId="20" fillId="35" borderId="14" xfId="0" applyFont="1" applyFill="1" applyBorder="1" applyAlignment="1">
      <alignment horizontal="left" vertical="center"/>
    </xf>
    <xf numFmtId="0" fontId="20" fillId="35" borderId="13" xfId="0" applyFont="1" applyFill="1" applyBorder="1" applyAlignment="1">
      <alignment horizontal="left" vertical="center"/>
    </xf>
    <xf numFmtId="0" fontId="20" fillId="34" borderId="12" xfId="0" applyFont="1" applyFill="1" applyBorder="1" applyAlignment="1">
      <alignment horizontal="left" vertical="center"/>
    </xf>
    <xf numFmtId="0" fontId="20" fillId="34" borderId="14" xfId="0" applyFont="1" applyFill="1" applyBorder="1" applyAlignment="1">
      <alignment horizontal="left" vertical="center"/>
    </xf>
    <xf numFmtId="0" fontId="20" fillId="34" borderId="13" xfId="0" applyFont="1" applyFill="1" applyBorder="1" applyAlignment="1">
      <alignment horizontal="left" vertical="center"/>
    </xf>
    <xf numFmtId="0" fontId="20" fillId="35" borderId="12" xfId="0" applyFont="1" applyFill="1" applyBorder="1" applyAlignment="1">
      <alignment horizontal="left" vertical="center" wrapText="1"/>
    </xf>
    <xf numFmtId="0" fontId="20" fillId="35" borderId="14" xfId="0" applyFont="1" applyFill="1" applyBorder="1" applyAlignment="1">
      <alignment horizontal="left" vertical="center" wrapText="1"/>
    </xf>
    <xf numFmtId="0" fontId="20" fillId="35" borderId="13" xfId="0" applyFont="1" applyFill="1" applyBorder="1" applyAlignment="1">
      <alignment horizontal="left" vertical="center" wrapText="1"/>
    </xf>
    <xf numFmtId="4" fontId="21" fillId="33" borderId="22" xfId="0" applyNumberFormat="1" applyFont="1" applyFill="1" applyBorder="1" applyAlignment="1">
      <alignment horizontal="center" vertical="center"/>
    </xf>
    <xf numFmtId="4" fontId="21" fillId="33" borderId="23" xfId="0" applyNumberFormat="1" applyFont="1" applyFill="1" applyBorder="1" applyAlignment="1">
      <alignment horizontal="center" vertical="center"/>
    </xf>
    <xf numFmtId="10" fontId="21" fillId="33" borderId="22" xfId="0" applyNumberFormat="1" applyFont="1" applyFill="1" applyBorder="1" applyAlignment="1">
      <alignment horizontal="center" vertical="center"/>
    </xf>
    <xf numFmtId="10" fontId="21" fillId="33" borderId="23" xfId="0" applyNumberFormat="1" applyFont="1" applyFill="1" applyBorder="1" applyAlignment="1">
      <alignment horizontal="center" vertical="center"/>
    </xf>
    <xf numFmtId="0" fontId="21" fillId="33" borderId="22" xfId="0" applyFont="1" applyFill="1" applyBorder="1" applyAlignment="1">
      <alignment horizontal="center" vertical="center"/>
    </xf>
    <xf numFmtId="0" fontId="21" fillId="33" borderId="23" xfId="0" applyFont="1" applyFill="1" applyBorder="1" applyAlignment="1">
      <alignment horizontal="center" vertical="center"/>
    </xf>
    <xf numFmtId="0" fontId="21" fillId="33" borderId="16" xfId="0" applyFont="1" applyFill="1" applyBorder="1" applyAlignment="1">
      <alignment horizontal="center" vertical="center"/>
    </xf>
    <xf numFmtId="0" fontId="21" fillId="33" borderId="17" xfId="0" applyFont="1" applyFill="1" applyBorder="1" applyAlignment="1">
      <alignment horizontal="center" vertical="center"/>
    </xf>
    <xf numFmtId="0" fontId="21" fillId="33" borderId="18" xfId="0" applyFont="1" applyFill="1" applyBorder="1" applyAlignment="1">
      <alignment horizontal="center" vertical="center"/>
    </xf>
    <xf numFmtId="0" fontId="21" fillId="33" borderId="19" xfId="0" applyFont="1" applyFill="1" applyBorder="1" applyAlignment="1">
      <alignment horizontal="center" vertical="center"/>
    </xf>
    <xf numFmtId="0" fontId="0" fillId="0" borderId="12" xfId="0" applyBorder="1" applyAlignment="1">
      <alignment horizontal="justify" vertical="center" wrapText="1"/>
    </xf>
    <xf numFmtId="0" fontId="0" fillId="0" borderId="14" xfId="0" applyBorder="1" applyAlignment="1">
      <alignment horizontal="justify" vertical="center" wrapText="1"/>
    </xf>
    <xf numFmtId="0" fontId="0" fillId="0" borderId="13" xfId="0" applyBorder="1" applyAlignment="1">
      <alignment horizontal="justify" vertical="center" wrapText="1"/>
    </xf>
    <xf numFmtId="0" fontId="0" fillId="0" borderId="12" xfId="0" applyBorder="1" applyAlignment="1">
      <alignment horizontal="left" vertical="center"/>
    </xf>
    <xf numFmtId="0" fontId="0" fillId="0" borderId="14" xfId="0" applyBorder="1" applyAlignment="1">
      <alignment horizontal="left" vertical="center"/>
    </xf>
    <xf numFmtId="0" fontId="0" fillId="0" borderId="13" xfId="0" applyBorder="1" applyAlignment="1">
      <alignment horizontal="left" vertical="center"/>
    </xf>
    <xf numFmtId="4" fontId="0" fillId="0" borderId="12" xfId="0" applyNumberFormat="1" applyBorder="1" applyAlignment="1">
      <alignment horizontal="center" vertical="center"/>
    </xf>
    <xf numFmtId="4" fontId="0" fillId="0" borderId="13" xfId="0" applyNumberFormat="1" applyBorder="1" applyAlignment="1">
      <alignment horizontal="center" vertical="center"/>
    </xf>
    <xf numFmtId="4" fontId="20" fillId="0" borderId="12" xfId="0" applyNumberFormat="1" applyFont="1" applyBorder="1" applyAlignment="1">
      <alignment horizontal="center" vertical="center"/>
    </xf>
    <xf numFmtId="4" fontId="20" fillId="0" borderId="13" xfId="0" applyNumberFormat="1" applyFont="1" applyBorder="1" applyAlignment="1">
      <alignment horizontal="center" vertical="center"/>
    </xf>
    <xf numFmtId="0" fontId="18" fillId="0" borderId="0" xfId="0" applyFont="1" applyAlignment="1">
      <alignment horizontal="center" vertical="center"/>
    </xf>
    <xf numFmtId="0" fontId="18" fillId="0" borderId="16" xfId="0" applyFont="1" applyBorder="1" applyAlignment="1">
      <alignment horizontal="justify" vertical="top" wrapText="1"/>
    </xf>
    <xf numFmtId="0" fontId="18" fillId="0" borderId="15" xfId="0" applyFont="1" applyBorder="1" applyAlignment="1">
      <alignment horizontal="justify" vertical="top" wrapText="1"/>
    </xf>
    <xf numFmtId="0" fontId="18" fillId="0" borderId="17" xfId="0" applyFont="1" applyBorder="1" applyAlignment="1">
      <alignment horizontal="justify" vertical="top" wrapText="1"/>
    </xf>
    <xf numFmtId="0" fontId="18" fillId="0" borderId="11" xfId="0" applyFont="1" applyBorder="1" applyAlignment="1">
      <alignment horizontal="justify" vertical="top" wrapText="1"/>
    </xf>
    <xf numFmtId="0" fontId="18" fillId="0" borderId="0" xfId="0" applyFont="1" applyAlignment="1">
      <alignment horizontal="justify" vertical="top" wrapText="1"/>
    </xf>
    <xf numFmtId="0" fontId="18" fillId="0" borderId="21" xfId="0" applyFont="1" applyBorder="1" applyAlignment="1">
      <alignment horizontal="justify" vertical="top" wrapText="1"/>
    </xf>
    <xf numFmtId="0" fontId="18" fillId="0" borderId="18" xfId="0" applyFont="1" applyBorder="1" applyAlignment="1">
      <alignment horizontal="justify" vertical="top" wrapText="1"/>
    </xf>
    <xf numFmtId="0" fontId="18" fillId="0" borderId="20" xfId="0" applyFont="1" applyBorder="1" applyAlignment="1">
      <alignment horizontal="justify" vertical="top" wrapText="1"/>
    </xf>
    <xf numFmtId="0" fontId="18" fillId="0" borderId="19" xfId="0" applyFont="1" applyBorder="1" applyAlignment="1">
      <alignment horizontal="justify" vertical="top" wrapText="1"/>
    </xf>
    <xf numFmtId="0" fontId="0" fillId="0" borderId="22"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20" fillId="0" borderId="12"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center" vertical="center"/>
    </xf>
  </cellXfs>
  <cellStyles count="43">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Porcentagem" xfId="42" builtinId="5"/>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617EE-C45D-441A-913C-2DEF3F782697}">
  <sheetPr>
    <tabColor indexed="10"/>
    <pageSetUpPr fitToPage="1"/>
  </sheetPr>
  <dimension ref="A1:G47"/>
  <sheetViews>
    <sheetView showGridLines="0" workbookViewId="0">
      <selection activeCell="J8" sqref="J8"/>
    </sheetView>
  </sheetViews>
  <sheetFormatPr defaultRowHeight="15" customHeight="1" x14ac:dyDescent="0.3"/>
  <cols>
    <col min="1" max="6" width="20.33203125" bestFit="1" customWidth="1"/>
  </cols>
  <sheetData>
    <row r="1" spans="1:7" ht="15" customHeight="1" x14ac:dyDescent="0.3">
      <c r="A1" s="44" t="s">
        <v>1613</v>
      </c>
      <c r="B1" s="44"/>
      <c r="C1" s="44"/>
      <c r="D1" s="44"/>
      <c r="E1" s="44"/>
      <c r="F1" s="44"/>
    </row>
    <row r="2" spans="1:7" ht="15" customHeight="1" x14ac:dyDescent="0.3">
      <c r="A2" s="44" t="s">
        <v>1620</v>
      </c>
      <c r="B2" s="44"/>
      <c r="C2" s="44"/>
      <c r="D2" s="44"/>
      <c r="E2" s="44"/>
      <c r="F2" s="44"/>
    </row>
    <row r="3" spans="1:7" ht="15" customHeight="1" x14ac:dyDescent="0.3">
      <c r="A3" s="44" t="s">
        <v>0</v>
      </c>
      <c r="B3" s="44"/>
      <c r="C3" s="44"/>
      <c r="D3" s="44"/>
      <c r="E3" s="44"/>
      <c r="F3" s="44"/>
    </row>
    <row r="5" spans="1:7" ht="15" customHeight="1" x14ac:dyDescent="0.3">
      <c r="A5" s="1" t="s">
        <v>1</v>
      </c>
      <c r="B5" s="2" t="s">
        <v>1630</v>
      </c>
      <c r="C5" s="3"/>
      <c r="D5" s="3"/>
      <c r="E5" s="3" t="s">
        <v>2</v>
      </c>
    </row>
    <row r="7" spans="1:7" ht="15" customHeight="1" x14ac:dyDescent="0.3">
      <c r="A7" s="4" t="s">
        <v>3</v>
      </c>
      <c r="B7" s="5">
        <f>BDI!$F$19*100</f>
        <v>22.33</v>
      </c>
      <c r="C7" s="3"/>
      <c r="D7" s="3"/>
      <c r="E7" s="45" t="s">
        <v>4</v>
      </c>
      <c r="F7" s="46"/>
    </row>
    <row r="8" spans="1:7" ht="15" customHeight="1" x14ac:dyDescent="0.3">
      <c r="A8" s="3"/>
      <c r="B8" s="3"/>
      <c r="C8" s="3"/>
      <c r="D8" s="3"/>
      <c r="E8" s="4" t="s">
        <v>5</v>
      </c>
      <c r="F8" s="5">
        <v>1</v>
      </c>
      <c r="G8" s="6" t="s">
        <v>6</v>
      </c>
    </row>
    <row r="9" spans="1:7" ht="15" customHeight="1" x14ac:dyDescent="0.3">
      <c r="A9" s="4" t="s">
        <v>7</v>
      </c>
      <c r="B9" s="5">
        <f>IF(FOLHA="COM DESONERAÇÃO",LSINAPI!$C$43*100,LSINAPI!$E$43*100)</f>
        <v>113.33</v>
      </c>
      <c r="C9" s="3"/>
      <c r="D9" s="3"/>
      <c r="E9" s="4" t="s">
        <v>8</v>
      </c>
      <c r="F9" s="5">
        <v>1</v>
      </c>
      <c r="G9" s="6" t="s">
        <v>9</v>
      </c>
    </row>
    <row r="12" spans="1:7" ht="15" customHeight="1" x14ac:dyDescent="0.3">
      <c r="A12" s="4" t="s">
        <v>10</v>
      </c>
      <c r="B12" s="5">
        <v>1611886.49</v>
      </c>
      <c r="C12" s="4" t="s">
        <v>11</v>
      </c>
      <c r="D12" s="5">
        <f>F12-B12</f>
        <v>-2.2199999999720603</v>
      </c>
      <c r="E12" s="4" t="s">
        <v>12</v>
      </c>
      <c r="F12" s="5">
        <f>VLOOKUP("TOTAL",RESUMO!$A:$E,5,FALSE)</f>
        <v>1611884.27</v>
      </c>
    </row>
    <row r="14" spans="1:7" ht="15" customHeight="1" x14ac:dyDescent="0.3">
      <c r="A14" s="45" t="s">
        <v>13</v>
      </c>
      <c r="B14" s="47"/>
      <c r="C14" s="47"/>
      <c r="D14" s="47"/>
      <c r="E14" s="47"/>
      <c r="F14" s="46"/>
    </row>
    <row r="15" spans="1:7" ht="15" customHeight="1" x14ac:dyDescent="0.3">
      <c r="A15" s="35" t="s">
        <v>14</v>
      </c>
      <c r="B15" s="36"/>
      <c r="C15" s="36"/>
      <c r="D15" s="36"/>
      <c r="E15" s="36"/>
      <c r="F15" s="37"/>
    </row>
    <row r="16" spans="1:7" ht="15" customHeight="1" x14ac:dyDescent="0.3">
      <c r="A16" s="38"/>
      <c r="B16" s="39"/>
      <c r="C16" s="39"/>
      <c r="D16" s="39"/>
      <c r="E16" s="39"/>
      <c r="F16" s="40"/>
    </row>
    <row r="17" spans="1:6" ht="15" customHeight="1" x14ac:dyDescent="0.3">
      <c r="A17" s="38"/>
      <c r="B17" s="39"/>
      <c r="C17" s="39"/>
      <c r="D17" s="39"/>
      <c r="E17" s="39"/>
      <c r="F17" s="40"/>
    </row>
    <row r="18" spans="1:6" ht="15" customHeight="1" x14ac:dyDescent="0.3">
      <c r="A18" s="38"/>
      <c r="B18" s="39"/>
      <c r="C18" s="39"/>
      <c r="D18" s="39"/>
      <c r="E18" s="39"/>
      <c r="F18" s="40"/>
    </row>
    <row r="19" spans="1:6" ht="15" customHeight="1" x14ac:dyDescent="0.3">
      <c r="A19" s="38"/>
      <c r="B19" s="39"/>
      <c r="C19" s="39"/>
      <c r="D19" s="39"/>
      <c r="E19" s="39"/>
      <c r="F19" s="40"/>
    </row>
    <row r="20" spans="1:6" ht="15" customHeight="1" x14ac:dyDescent="0.3">
      <c r="A20" s="38"/>
      <c r="B20" s="39"/>
      <c r="C20" s="39"/>
      <c r="D20" s="39"/>
      <c r="E20" s="39"/>
      <c r="F20" s="40"/>
    </row>
    <row r="21" spans="1:6" ht="15" customHeight="1" x14ac:dyDescent="0.3">
      <c r="A21" s="38"/>
      <c r="B21" s="39"/>
      <c r="C21" s="39"/>
      <c r="D21" s="39"/>
      <c r="E21" s="39"/>
      <c r="F21" s="40"/>
    </row>
    <row r="22" spans="1:6" ht="15" customHeight="1" x14ac:dyDescent="0.3">
      <c r="A22" s="38"/>
      <c r="B22" s="39"/>
      <c r="C22" s="39"/>
      <c r="D22" s="39"/>
      <c r="E22" s="39"/>
      <c r="F22" s="40"/>
    </row>
    <row r="23" spans="1:6" ht="15" customHeight="1" x14ac:dyDescent="0.3">
      <c r="A23" s="38"/>
      <c r="B23" s="39"/>
      <c r="C23" s="39"/>
      <c r="D23" s="39"/>
      <c r="E23" s="39"/>
      <c r="F23" s="40"/>
    </row>
    <row r="24" spans="1:6" ht="15" customHeight="1" x14ac:dyDescent="0.3">
      <c r="A24" s="38"/>
      <c r="B24" s="39"/>
      <c r="C24" s="39"/>
      <c r="D24" s="39"/>
      <c r="E24" s="39"/>
      <c r="F24" s="40"/>
    </row>
    <row r="25" spans="1:6" ht="15" customHeight="1" x14ac:dyDescent="0.3">
      <c r="A25" s="38"/>
      <c r="B25" s="39"/>
      <c r="C25" s="39"/>
      <c r="D25" s="39"/>
      <c r="E25" s="39"/>
      <c r="F25" s="40"/>
    </row>
    <row r="26" spans="1:6" ht="15" customHeight="1" x14ac:dyDescent="0.3">
      <c r="A26" s="38"/>
      <c r="B26" s="39"/>
      <c r="C26" s="39"/>
      <c r="D26" s="39"/>
      <c r="E26" s="39"/>
      <c r="F26" s="40"/>
    </row>
    <row r="27" spans="1:6" ht="15" customHeight="1" x14ac:dyDescent="0.3">
      <c r="A27" s="38"/>
      <c r="B27" s="39"/>
      <c r="C27" s="39"/>
      <c r="D27" s="39"/>
      <c r="E27" s="39"/>
      <c r="F27" s="40"/>
    </row>
    <row r="28" spans="1:6" ht="15" customHeight="1" x14ac:dyDescent="0.3">
      <c r="A28" s="38"/>
      <c r="B28" s="39"/>
      <c r="C28" s="39"/>
      <c r="D28" s="39"/>
      <c r="E28" s="39"/>
      <c r="F28" s="40"/>
    </row>
    <row r="29" spans="1:6" ht="15" customHeight="1" x14ac:dyDescent="0.3">
      <c r="A29" s="38"/>
      <c r="B29" s="39"/>
      <c r="C29" s="39"/>
      <c r="D29" s="39"/>
      <c r="E29" s="39"/>
      <c r="F29" s="40"/>
    </row>
    <row r="30" spans="1:6" ht="15" customHeight="1" x14ac:dyDescent="0.3">
      <c r="A30" s="38"/>
      <c r="B30" s="39"/>
      <c r="C30" s="39"/>
      <c r="D30" s="39"/>
      <c r="E30" s="39"/>
      <c r="F30" s="40"/>
    </row>
    <row r="31" spans="1:6" ht="15" customHeight="1" x14ac:dyDescent="0.3">
      <c r="A31" s="38"/>
      <c r="B31" s="39"/>
      <c r="C31" s="39"/>
      <c r="D31" s="39"/>
      <c r="E31" s="39"/>
      <c r="F31" s="40"/>
    </row>
    <row r="32" spans="1:6" ht="15" customHeight="1" x14ac:dyDescent="0.3">
      <c r="A32" s="38"/>
      <c r="B32" s="39"/>
      <c r="C32" s="39"/>
      <c r="D32" s="39"/>
      <c r="E32" s="39"/>
      <c r="F32" s="40"/>
    </row>
    <row r="33" spans="1:6" ht="15" customHeight="1" x14ac:dyDescent="0.3">
      <c r="A33" s="38"/>
      <c r="B33" s="39"/>
      <c r="C33" s="39"/>
      <c r="D33" s="39"/>
      <c r="E33" s="39"/>
      <c r="F33" s="40"/>
    </row>
    <row r="34" spans="1:6" ht="15" customHeight="1" x14ac:dyDescent="0.3">
      <c r="A34" s="38"/>
      <c r="B34" s="39"/>
      <c r="C34" s="39"/>
      <c r="D34" s="39"/>
      <c r="E34" s="39"/>
      <c r="F34" s="40"/>
    </row>
    <row r="35" spans="1:6" ht="15" customHeight="1" x14ac:dyDescent="0.3">
      <c r="A35" s="38"/>
      <c r="B35" s="39"/>
      <c r="C35" s="39"/>
      <c r="D35" s="39"/>
      <c r="E35" s="39"/>
      <c r="F35" s="40"/>
    </row>
    <row r="36" spans="1:6" ht="15" customHeight="1" x14ac:dyDescent="0.3">
      <c r="A36" s="38"/>
      <c r="B36" s="39"/>
      <c r="C36" s="39"/>
      <c r="D36" s="39"/>
      <c r="E36" s="39"/>
      <c r="F36" s="40"/>
    </row>
    <row r="37" spans="1:6" ht="15" customHeight="1" x14ac:dyDescent="0.3">
      <c r="A37" s="38"/>
      <c r="B37" s="39"/>
      <c r="C37" s="39"/>
      <c r="D37" s="39"/>
      <c r="E37" s="39"/>
      <c r="F37" s="40"/>
    </row>
    <row r="38" spans="1:6" ht="15" customHeight="1" x14ac:dyDescent="0.3">
      <c r="A38" s="38"/>
      <c r="B38" s="39"/>
      <c r="C38" s="39"/>
      <c r="D38" s="39"/>
      <c r="E38" s="39"/>
      <c r="F38" s="40"/>
    </row>
    <row r="39" spans="1:6" ht="15" customHeight="1" x14ac:dyDescent="0.3">
      <c r="A39" s="38"/>
      <c r="B39" s="39"/>
      <c r="C39" s="39"/>
      <c r="D39" s="39"/>
      <c r="E39" s="39"/>
      <c r="F39" s="40"/>
    </row>
    <row r="40" spans="1:6" ht="15" customHeight="1" x14ac:dyDescent="0.3">
      <c r="A40" s="38"/>
      <c r="B40" s="39"/>
      <c r="C40" s="39"/>
      <c r="D40" s="39"/>
      <c r="E40" s="39"/>
      <c r="F40" s="40"/>
    </row>
    <row r="41" spans="1:6" ht="15" customHeight="1" x14ac:dyDescent="0.3">
      <c r="A41" s="38"/>
      <c r="B41" s="39"/>
      <c r="C41" s="39"/>
      <c r="D41" s="39"/>
      <c r="E41" s="39"/>
      <c r="F41" s="40"/>
    </row>
    <row r="42" spans="1:6" ht="15" customHeight="1" x14ac:dyDescent="0.3">
      <c r="A42" s="38"/>
      <c r="B42" s="39"/>
      <c r="C42" s="39"/>
      <c r="D42" s="39"/>
      <c r="E42" s="39"/>
      <c r="F42" s="40"/>
    </row>
    <row r="43" spans="1:6" ht="15" customHeight="1" x14ac:dyDescent="0.3">
      <c r="A43" s="38"/>
      <c r="B43" s="39"/>
      <c r="C43" s="39"/>
      <c r="D43" s="39"/>
      <c r="E43" s="39"/>
      <c r="F43" s="40"/>
    </row>
    <row r="44" spans="1:6" ht="15" customHeight="1" x14ac:dyDescent="0.3">
      <c r="A44" s="38"/>
      <c r="B44" s="39"/>
      <c r="C44" s="39"/>
      <c r="D44" s="39"/>
      <c r="E44" s="39"/>
      <c r="F44" s="40"/>
    </row>
    <row r="45" spans="1:6" ht="15" customHeight="1" x14ac:dyDescent="0.3">
      <c r="A45" s="38"/>
      <c r="B45" s="39"/>
      <c r="C45" s="39"/>
      <c r="D45" s="39"/>
      <c r="E45" s="39"/>
      <c r="F45" s="40"/>
    </row>
    <row r="46" spans="1:6" ht="15" customHeight="1" x14ac:dyDescent="0.3">
      <c r="A46" s="38"/>
      <c r="B46" s="39"/>
      <c r="C46" s="39"/>
      <c r="D46" s="39"/>
      <c r="E46" s="39"/>
      <c r="F46" s="40"/>
    </row>
    <row r="47" spans="1:6" ht="15" customHeight="1" x14ac:dyDescent="0.3">
      <c r="A47" s="41"/>
      <c r="B47" s="42"/>
      <c r="C47" s="42"/>
      <c r="D47" s="42"/>
      <c r="E47" s="42"/>
      <c r="F47" s="43"/>
    </row>
  </sheetData>
  <mergeCells count="6">
    <mergeCell ref="A15:F47"/>
    <mergeCell ref="A1:F1"/>
    <mergeCell ref="A2:F2"/>
    <mergeCell ref="A3:F3"/>
    <mergeCell ref="E7:F7"/>
    <mergeCell ref="A14:F14"/>
  </mergeCells>
  <dataValidations disablePrompts="1" count="3">
    <dataValidation type="list" allowBlank="1" showInputMessage="1" showErrorMessage="1" sqref="E5" xr:uid="{859C2C6F-6330-4F7C-B438-6515602F465B}">
      <formula1>"COM DESONERAÇÃO,SEM DESONERAÇÃO"</formula1>
    </dataValidation>
    <dataValidation type="decimal" allowBlank="1" showInputMessage="1" showErrorMessage="1" sqref="F8" xr:uid="{AC23EB85-800B-4300-8D9D-4ED86258323F}">
      <formula1>1</formula1>
      <formula2>10</formula2>
    </dataValidation>
    <dataValidation type="decimal" allowBlank="1" showInputMessage="1" showErrorMessage="1" sqref="F9" xr:uid="{9BE1057B-4A52-48BF-AF01-5EC048B904FA}">
      <formula1>0</formula1>
      <formula2>1</formula2>
    </dataValidation>
  </dataValidations>
  <pageMargins left="0.78740157480314965" right="0.39370078740157483" top="1.1811023622047243" bottom="0.78740157480314965" header="0.31496062992125984" footer="0.31496062992125984"/>
  <pageSetup paperSize="9" scale="71" fitToHeight="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D4CC6-04CF-41BB-8B84-0D9ADDF16434}">
  <sheetPr>
    <pageSetUpPr fitToPage="1"/>
  </sheetPr>
  <dimension ref="A1:S259"/>
  <sheetViews>
    <sheetView showGridLines="0" workbookViewId="0">
      <selection sqref="A1:J1"/>
    </sheetView>
  </sheetViews>
  <sheetFormatPr defaultRowHeight="14.4" x14ac:dyDescent="0.3"/>
  <cols>
    <col min="1" max="3" width="13.88671875" bestFit="1" customWidth="1"/>
    <col min="4" max="4" width="55.5546875" bestFit="1" customWidth="1"/>
    <col min="5" max="10" width="17.5546875" bestFit="1" customWidth="1"/>
    <col min="11" max="11" width="12" bestFit="1" customWidth="1"/>
    <col min="12" max="12" width="33.33203125" bestFit="1" customWidth="1"/>
    <col min="13" max="19" width="14.77734375" bestFit="1" customWidth="1"/>
  </cols>
  <sheetData>
    <row r="1" spans="1:19" x14ac:dyDescent="0.3">
      <c r="A1" s="44" t="str">
        <f>CIDADE</f>
        <v>MUNICÍPIOS DE PARNAGUÁ - PI E ANÍSIO DE ABREU-PI</v>
      </c>
      <c r="B1" s="44"/>
      <c r="C1" s="44"/>
      <c r="D1" s="44"/>
      <c r="E1" s="44"/>
      <c r="F1" s="44"/>
      <c r="G1" s="44"/>
      <c r="H1" s="44"/>
      <c r="I1" s="44"/>
      <c r="J1" s="44"/>
    </row>
    <row r="2" spans="1:19" x14ac:dyDescent="0.3">
      <c r="A2" s="44" t="str">
        <f>OBRA</f>
        <v>IMPLANTAÇÃO DE 6 (SEIS) SISTEMAS DE ABASTECIMENTO DE ÁGUA EM COMUNIDADES RURAIS NOS MUNICÍPIOS DE PARNAGUÁ-PI E ANÍSIO DE ABREU-PI (TC 967175/2024)</v>
      </c>
      <c r="B2" s="44"/>
      <c r="C2" s="44"/>
      <c r="D2" s="44"/>
      <c r="E2" s="44"/>
      <c r="F2" s="44"/>
      <c r="G2" s="44"/>
      <c r="H2" s="44"/>
      <c r="I2" s="44"/>
      <c r="J2" s="44"/>
    </row>
    <row r="3" spans="1:19" x14ac:dyDescent="0.3">
      <c r="A3" s="44" t="s">
        <v>1097</v>
      </c>
      <c r="B3" s="44"/>
      <c r="C3" s="44"/>
      <c r="D3" s="44"/>
      <c r="E3" s="44"/>
      <c r="F3" s="44"/>
      <c r="G3" s="44"/>
      <c r="H3" s="44"/>
      <c r="I3" s="44"/>
      <c r="J3" s="44"/>
    </row>
    <row r="4" spans="1:19" x14ac:dyDescent="0.3">
      <c r="N4" s="45" t="s">
        <v>996</v>
      </c>
      <c r="O4" s="47"/>
      <c r="P4" s="46"/>
      <c r="Q4" s="45" t="s">
        <v>997</v>
      </c>
      <c r="R4" s="47"/>
      <c r="S4" s="46"/>
    </row>
    <row r="5" spans="1:19" x14ac:dyDescent="0.3">
      <c r="A5" s="1" t="s">
        <v>1</v>
      </c>
      <c r="B5" s="7" t="str">
        <f>FONTE&amp;FOLHA</f>
        <v>SINAPI PI 07/2025, SEINFRA CE 28, ORSE SE 06/2025, CAESB 10/2024SEM DESONERAÇÃO</v>
      </c>
      <c r="C5" s="3"/>
      <c r="D5" s="3"/>
      <c r="E5" s="3"/>
      <c r="F5" s="3"/>
      <c r="G5" s="27" t="s">
        <v>7</v>
      </c>
      <c r="H5" s="8">
        <f>LEI</f>
        <v>113.33</v>
      </c>
      <c r="I5" s="1" t="s">
        <v>16</v>
      </c>
      <c r="J5" s="8">
        <f>BDI</f>
        <v>22.33</v>
      </c>
      <c r="M5" s="4" t="s">
        <v>170</v>
      </c>
      <c r="N5" s="4" t="s">
        <v>998</v>
      </c>
      <c r="O5" s="4" t="s">
        <v>158</v>
      </c>
      <c r="P5" s="4" t="s">
        <v>999</v>
      </c>
      <c r="Q5" s="4" t="s">
        <v>998</v>
      </c>
      <c r="R5" s="4" t="s">
        <v>158</v>
      </c>
      <c r="S5" s="4" t="s">
        <v>999</v>
      </c>
    </row>
    <row r="6" spans="1:19" x14ac:dyDescent="0.3">
      <c r="A6" s="4" t="s">
        <v>1000</v>
      </c>
      <c r="B6" s="4" t="s">
        <v>170</v>
      </c>
      <c r="C6" s="4" t="s">
        <v>171</v>
      </c>
      <c r="D6" s="4" t="s">
        <v>18</v>
      </c>
      <c r="E6" s="4" t="s">
        <v>172</v>
      </c>
      <c r="F6" s="4" t="s">
        <v>507</v>
      </c>
      <c r="G6" s="45" t="s">
        <v>1001</v>
      </c>
      <c r="H6" s="46"/>
      <c r="I6" s="45" t="s">
        <v>12</v>
      </c>
      <c r="J6" s="46"/>
    </row>
    <row r="7" spans="1:19" ht="60" customHeight="1" x14ac:dyDescent="0.3">
      <c r="A7" s="15" t="s">
        <v>1096</v>
      </c>
      <c r="B7" s="15">
        <v>88827</v>
      </c>
      <c r="C7" s="15" t="str">
        <f>VLOOKUP(B7,S!$A:$G,2,FALSE)</f>
        <v>SINAPI</v>
      </c>
      <c r="D7" s="22" t="str">
        <f>VLOOKUP(B7,S!$A:$G,3,FALSE)</f>
        <v>BETONEIRA CAPACIDADE NOMINAL DE 400 L, CAPACIDADE DE MISTURA 280 L, MOTOR ELÉTRICO TRIFÁSICO POTÊNCIA DE 2 CV, SEM CARREGADOR - JUROS. AF_05/2023</v>
      </c>
      <c r="E7" s="15" t="str">
        <f>VLOOKUP(B7,S!$A:$G,4,FALSE)</f>
        <v>H</v>
      </c>
      <c r="F7" s="15"/>
      <c r="G7" s="78">
        <f>I9</f>
        <v>0.09</v>
      </c>
      <c r="H7" s="79"/>
      <c r="I7" s="78"/>
      <c r="J7" s="79"/>
      <c r="K7" s="16">
        <f>VLOOKUP(B7,S!A:G,5,FALSE)</f>
        <v>0.09</v>
      </c>
      <c r="L7" s="15" t="str">
        <f>IF(K7=G7,"OK, CONFORME TABELA",IF(G7&gt;K7,"ACIMA DA TABELA: ","ABAIXO DA TABELA: ")&amp;TRUNC((G7*100)/K7,2)&amp;" %")</f>
        <v>OK, CONFORME TABELA</v>
      </c>
    </row>
    <row r="8" spans="1:19" ht="45" customHeight="1" x14ac:dyDescent="0.3">
      <c r="A8" s="23" t="s">
        <v>1005</v>
      </c>
      <c r="B8" s="23">
        <v>10535</v>
      </c>
      <c r="C8" s="23" t="str">
        <f>VLOOKUP(B8,IF(A8="COMPOSICAO",S!$A:$E,I!$A:$E),2,FALSE)</f>
        <v>SINAPI</v>
      </c>
      <c r="D8" s="24" t="str">
        <f>VLOOKUP(B8,IF(A8="COMPOSICAO",S!$A:$E,I!$A:$E),3,FALSE)</f>
        <v>BETONEIRA CAPACIDADE NOMINAL 400 L, CAPACIDADE DE MISTURA 280 L, MOTOR ELETRICO TRIFASICO 220/380 V POTENCIA 2 CV, SEM CARREGADOR</v>
      </c>
      <c r="E8" s="23" t="str">
        <f>VLOOKUP(B8,IF(A8="COMPOSICAO",S!$A:$E,I!$A:$E),4,FALSE)</f>
        <v>UN</v>
      </c>
      <c r="F8" s="23">
        <v>1.4800000000000001E-5</v>
      </c>
      <c r="G8" s="76">
        <f>IF(A8="COMPOSICAO",VLOOKUP("TOTAL SEM BDI - "&amp;B8,CPUAUX4!$A:$J,9,FALSE),VLOOKUP(B8,I!$A:$E,5,FALSE))</f>
        <v>6387.62</v>
      </c>
      <c r="H8" s="77"/>
      <c r="I8" s="76">
        <f>TRUNC(F8*G8,2)</f>
        <v>0.09</v>
      </c>
      <c r="J8" s="77"/>
      <c r="M8" s="23">
        <f>B8</f>
        <v>10535</v>
      </c>
      <c r="N8" s="23">
        <f>SUMIF(CPUAUX2!M:M,B7,CPUAUX2!O:O)</f>
        <v>68.645342160000013</v>
      </c>
      <c r="O8" s="23">
        <f>F8*N8</f>
        <v>1.0159510639680001E-3</v>
      </c>
      <c r="Q8" s="23">
        <f ca="1">SUMIF(CPUAUX2!M:M,B7,CPUAUX2!R:R)</f>
        <v>22.881780720000002</v>
      </c>
      <c r="R8" s="23">
        <f ca="1">F8*Q8</f>
        <v>3.3865035465600006E-4</v>
      </c>
    </row>
    <row r="9" spans="1:19" x14ac:dyDescent="0.3">
      <c r="A9" s="73" t="str">
        <f>"TOTAL SEM BDI - "&amp;B7</f>
        <v>TOTAL SEM BDI - 88827</v>
      </c>
      <c r="B9" s="74"/>
      <c r="C9" s="74"/>
      <c r="D9" s="74"/>
      <c r="E9" s="74"/>
      <c r="F9" s="74"/>
      <c r="G9" s="74"/>
      <c r="H9" s="75"/>
      <c r="I9" s="76">
        <f>SUM(I7:I8)</f>
        <v>0.09</v>
      </c>
      <c r="J9" s="77"/>
    </row>
    <row r="11" spans="1:19" x14ac:dyDescent="0.3">
      <c r="A11" s="4" t="s">
        <v>1000</v>
      </c>
      <c r="B11" s="4" t="s">
        <v>170</v>
      </c>
      <c r="C11" s="4" t="s">
        <v>171</v>
      </c>
      <c r="D11" s="4" t="s">
        <v>18</v>
      </c>
      <c r="E11" s="4" t="s">
        <v>172</v>
      </c>
      <c r="F11" s="4" t="s">
        <v>507</v>
      </c>
      <c r="G11" s="45" t="s">
        <v>1001</v>
      </c>
      <c r="H11" s="46"/>
      <c r="I11" s="45" t="s">
        <v>12</v>
      </c>
      <c r="J11" s="46"/>
    </row>
    <row r="12" spans="1:19" ht="60" customHeight="1" x14ac:dyDescent="0.3">
      <c r="A12" s="15" t="s">
        <v>1096</v>
      </c>
      <c r="B12" s="15">
        <v>88826</v>
      </c>
      <c r="C12" s="15" t="str">
        <f>VLOOKUP(B12,S!$A:$G,2,FALSE)</f>
        <v>SINAPI</v>
      </c>
      <c r="D12" s="22" t="str">
        <f>VLOOKUP(B12,S!$A:$G,3,FALSE)</f>
        <v>BETONEIRA CAPACIDADE NOMINAL DE 400 L, CAPACIDADE DE MISTURA 280 L, MOTOR ELÉTRICO TRIFÁSICO POTÊNCIA DE 2 CV, SEM CARREGADOR - DEPRECIAÇÃO. AF_05/2023</v>
      </c>
      <c r="E12" s="15" t="str">
        <f>VLOOKUP(B12,S!$A:$G,4,FALSE)</f>
        <v>H</v>
      </c>
      <c r="F12" s="15"/>
      <c r="G12" s="78">
        <f>I14</f>
        <v>0.4</v>
      </c>
      <c r="H12" s="79"/>
      <c r="I12" s="78"/>
      <c r="J12" s="79"/>
      <c r="K12" s="16">
        <f>VLOOKUP(B12,S!A:G,5,FALSE)</f>
        <v>0.4</v>
      </c>
      <c r="L12" s="15" t="str">
        <f>IF(K12=G12,"OK, CONFORME TABELA",IF(G12&gt;K12,"ACIMA DA TABELA: ","ABAIXO DA TABELA: ")&amp;TRUNC((G12*100)/K12,2)&amp;" %")</f>
        <v>OK, CONFORME TABELA</v>
      </c>
    </row>
    <row r="13" spans="1:19" ht="45" customHeight="1" x14ac:dyDescent="0.3">
      <c r="A13" s="23" t="s">
        <v>1005</v>
      </c>
      <c r="B13" s="23">
        <v>10535</v>
      </c>
      <c r="C13" s="23" t="str">
        <f>VLOOKUP(B13,IF(A13="COMPOSICAO",S!$A:$E,I!$A:$E),2,FALSE)</f>
        <v>SINAPI</v>
      </c>
      <c r="D13" s="24" t="str">
        <f>VLOOKUP(B13,IF(A13="COMPOSICAO",S!$A:$E,I!$A:$E),3,FALSE)</f>
        <v>BETONEIRA CAPACIDADE NOMINAL 400 L, CAPACIDADE DE MISTURA 280 L, MOTOR ELETRICO TRIFASICO 220/380 V POTENCIA 2 CV, SEM CARREGADOR</v>
      </c>
      <c r="E13" s="23" t="str">
        <f>VLOOKUP(B13,IF(A13="COMPOSICAO",S!$A:$E,I!$A:$E),4,FALSE)</f>
        <v>UN</v>
      </c>
      <c r="F13" s="23">
        <v>6.3999999999999997E-5</v>
      </c>
      <c r="G13" s="76">
        <f>IF(A13="COMPOSICAO",VLOOKUP("TOTAL SEM BDI - "&amp;B13,CPUAUX4!$A:$J,9,FALSE),VLOOKUP(B13,I!$A:$E,5,FALSE))</f>
        <v>6387.62</v>
      </c>
      <c r="H13" s="77"/>
      <c r="I13" s="76">
        <f>TRUNC(F13*G13,2)</f>
        <v>0.4</v>
      </c>
      <c r="J13" s="77"/>
      <c r="M13" s="23">
        <f>B13</f>
        <v>10535</v>
      </c>
      <c r="N13" s="23">
        <f>SUMIF(CPUAUX2!M:M,B12,CPUAUX2!O:O)</f>
        <v>68.645342160000013</v>
      </c>
      <c r="O13" s="23">
        <f>F13*N13</f>
        <v>4.3933018982400002E-3</v>
      </c>
      <c r="Q13" s="23">
        <f ca="1">SUMIF(CPUAUX2!M:M,B12,CPUAUX2!R:R)</f>
        <v>22.881780720000002</v>
      </c>
      <c r="R13" s="23">
        <f ca="1">F13*Q13</f>
        <v>1.4644339660800001E-3</v>
      </c>
    </row>
    <row r="14" spans="1:19" x14ac:dyDescent="0.3">
      <c r="A14" s="73" t="str">
        <f>"TOTAL SEM BDI - "&amp;B12</f>
        <v>TOTAL SEM BDI - 88826</v>
      </c>
      <c r="B14" s="74"/>
      <c r="C14" s="74"/>
      <c r="D14" s="74"/>
      <c r="E14" s="74"/>
      <c r="F14" s="74"/>
      <c r="G14" s="74"/>
      <c r="H14" s="75"/>
      <c r="I14" s="76">
        <f>SUM(I12:I13)</f>
        <v>0.4</v>
      </c>
      <c r="J14" s="77"/>
    </row>
    <row r="16" spans="1:19" x14ac:dyDescent="0.3">
      <c r="A16" s="4" t="s">
        <v>1000</v>
      </c>
      <c r="B16" s="4" t="s">
        <v>170</v>
      </c>
      <c r="C16" s="4" t="s">
        <v>171</v>
      </c>
      <c r="D16" s="4" t="s">
        <v>18</v>
      </c>
      <c r="E16" s="4" t="s">
        <v>172</v>
      </c>
      <c r="F16" s="4" t="s">
        <v>507</v>
      </c>
      <c r="G16" s="45" t="s">
        <v>1001</v>
      </c>
      <c r="H16" s="46"/>
      <c r="I16" s="45" t="s">
        <v>12</v>
      </c>
      <c r="J16" s="46"/>
    </row>
    <row r="17" spans="1:18" ht="60" customHeight="1" x14ac:dyDescent="0.3">
      <c r="A17" s="15" t="s">
        <v>1096</v>
      </c>
      <c r="B17" s="15">
        <v>88829</v>
      </c>
      <c r="C17" s="15" t="str">
        <f>VLOOKUP(B17,S!$A:$G,2,FALSE)</f>
        <v>SINAPI</v>
      </c>
      <c r="D17" s="22" t="str">
        <f>VLOOKUP(B17,S!$A:$G,3,FALSE)</f>
        <v>BETONEIRA CAPACIDADE NOMINAL DE 400 L, CAPACIDADE DE MISTURA 280 L, MOTOR ELÉTRICO TRIFÁSICO POTÊNCIA DE 2 CV, SEM CARREGADOR - MATERIAIS NA OPERAÇÃO. AF_05/2023</v>
      </c>
      <c r="E17" s="15" t="str">
        <f>VLOOKUP(B17,S!$A:$G,4,FALSE)</f>
        <v>H</v>
      </c>
      <c r="F17" s="15"/>
      <c r="G17" s="78">
        <f>I19</f>
        <v>1.37</v>
      </c>
      <c r="H17" s="79"/>
      <c r="I17" s="78"/>
      <c r="J17" s="79"/>
      <c r="K17" s="16">
        <f>VLOOKUP(B17,S!A:G,5,FALSE)</f>
        <v>1.37</v>
      </c>
      <c r="L17" s="15" t="str">
        <f>IF(K17=G17,"OK, CONFORME TABELA",IF(G17&gt;K17,"ACIMA DA TABELA: ","ABAIXO DA TABELA: ")&amp;TRUNC((G17*100)/K17,2)&amp;" %")</f>
        <v>OK, CONFORME TABELA</v>
      </c>
    </row>
    <row r="18" spans="1:18" ht="30" customHeight="1" x14ac:dyDescent="0.3">
      <c r="A18" s="23" t="s">
        <v>1005</v>
      </c>
      <c r="B18" s="23">
        <v>2705</v>
      </c>
      <c r="C18" s="23" t="str">
        <f>VLOOKUP(B18,IF(A18="COMPOSICAO",S!$A:$E,I!$A:$E),2,FALSE)</f>
        <v>SINAPI</v>
      </c>
      <c r="D18" s="24" t="str">
        <f>VLOOKUP(B18,IF(A18="COMPOSICAO",S!$A:$E,I!$A:$E),3,FALSE)</f>
        <v>ENERGIA ELETRICA ATE 2000 KWH INDUSTRIAL, SEM DEMANDA</v>
      </c>
      <c r="E18" s="23" t="str">
        <f>VLOOKUP(B18,IF(A18="COMPOSICAO",S!$A:$E,I!$A:$E),4,FALSE)</f>
        <v>KWH</v>
      </c>
      <c r="F18" s="23">
        <v>1.25</v>
      </c>
      <c r="G18" s="76">
        <f>IF(A18="COMPOSICAO",VLOOKUP("TOTAL SEM BDI - "&amp;B18,CPUAUX4!$A:$J,9,FALSE),VLOOKUP(B18,I!$A:$E,5,FALSE))</f>
        <v>1.1000000000000001</v>
      </c>
      <c r="H18" s="77"/>
      <c r="I18" s="76">
        <f>TRUNC(F18*G18,2)</f>
        <v>1.37</v>
      </c>
      <c r="J18" s="77"/>
      <c r="M18" s="23">
        <f>B18</f>
        <v>2705</v>
      </c>
      <c r="N18" s="23">
        <f>SUMIF(CPUAUX2!M:M,B17,CPUAUX2!O:O)</f>
        <v>26.257622640000001</v>
      </c>
      <c r="O18" s="23">
        <f>F18*N18</f>
        <v>32.822028299999999</v>
      </c>
      <c r="Q18" s="23">
        <f ca="1">SUMIF(CPUAUX2!M:M,B17,CPUAUX2!R:R)</f>
        <v>8.7525408799999997</v>
      </c>
      <c r="R18" s="23">
        <f ca="1">F18*Q18</f>
        <v>10.940676099999999</v>
      </c>
    </row>
    <row r="19" spans="1:18" x14ac:dyDescent="0.3">
      <c r="A19" s="73" t="str">
        <f>"TOTAL SEM BDI - "&amp;B17</f>
        <v>TOTAL SEM BDI - 88829</v>
      </c>
      <c r="B19" s="74"/>
      <c r="C19" s="74"/>
      <c r="D19" s="74"/>
      <c r="E19" s="74"/>
      <c r="F19" s="74"/>
      <c r="G19" s="74"/>
      <c r="H19" s="75"/>
      <c r="I19" s="76">
        <f>SUM(I17:I18)</f>
        <v>1.37</v>
      </c>
      <c r="J19" s="77"/>
    </row>
    <row r="21" spans="1:18" x14ac:dyDescent="0.3">
      <c r="A21" s="4" t="s">
        <v>1000</v>
      </c>
      <c r="B21" s="4" t="s">
        <v>170</v>
      </c>
      <c r="C21" s="4" t="s">
        <v>171</v>
      </c>
      <c r="D21" s="4" t="s">
        <v>18</v>
      </c>
      <c r="E21" s="4" t="s">
        <v>172</v>
      </c>
      <c r="F21" s="4" t="s">
        <v>507</v>
      </c>
      <c r="G21" s="45" t="s">
        <v>1001</v>
      </c>
      <c r="H21" s="46"/>
      <c r="I21" s="45" t="s">
        <v>12</v>
      </c>
      <c r="J21" s="46"/>
    </row>
    <row r="22" spans="1:18" ht="60" customHeight="1" x14ac:dyDescent="0.3">
      <c r="A22" s="15" t="s">
        <v>1096</v>
      </c>
      <c r="B22" s="15">
        <v>88828</v>
      </c>
      <c r="C22" s="15" t="str">
        <f>VLOOKUP(B22,S!$A:$G,2,FALSE)</f>
        <v>SINAPI</v>
      </c>
      <c r="D22" s="22" t="str">
        <f>VLOOKUP(B22,S!$A:$G,3,FALSE)</f>
        <v>BETONEIRA CAPACIDADE NOMINAL DE 400 L, CAPACIDADE DE MISTURA 280 L, MOTOR ELÉTRICO TRIFÁSICO POTÊNCIA DE 2 CV, SEM CARREGADOR - MANUTENÇÃO. AF_05/2023</v>
      </c>
      <c r="E22" s="15" t="str">
        <f>VLOOKUP(B22,S!$A:$G,4,FALSE)</f>
        <v>H</v>
      </c>
      <c r="F22" s="15"/>
      <c r="G22" s="78">
        <f>I24</f>
        <v>0.44</v>
      </c>
      <c r="H22" s="79"/>
      <c r="I22" s="78"/>
      <c r="J22" s="79"/>
      <c r="K22" s="16">
        <f>VLOOKUP(B22,S!A:G,5,FALSE)</f>
        <v>0.44</v>
      </c>
      <c r="L22" s="15" t="str">
        <f>IF(K22=G22,"OK, CONFORME TABELA",IF(G22&gt;K22,"ACIMA DA TABELA: ","ABAIXO DA TABELA: ")&amp;TRUNC((G22*100)/K22,2)&amp;" %")</f>
        <v>OK, CONFORME TABELA</v>
      </c>
    </row>
    <row r="23" spans="1:18" ht="45" customHeight="1" x14ac:dyDescent="0.3">
      <c r="A23" s="23" t="s">
        <v>1005</v>
      </c>
      <c r="B23" s="23">
        <v>10535</v>
      </c>
      <c r="C23" s="23" t="str">
        <f>VLOOKUP(B23,IF(A23="COMPOSICAO",S!$A:$E,I!$A:$E),2,FALSE)</f>
        <v>SINAPI</v>
      </c>
      <c r="D23" s="24" t="str">
        <f>VLOOKUP(B23,IF(A23="COMPOSICAO",S!$A:$E,I!$A:$E),3,FALSE)</f>
        <v>BETONEIRA CAPACIDADE NOMINAL 400 L, CAPACIDADE DE MISTURA 280 L, MOTOR ELETRICO TRIFASICO 220/380 V POTENCIA 2 CV, SEM CARREGADOR</v>
      </c>
      <c r="E23" s="23" t="str">
        <f>VLOOKUP(B23,IF(A23="COMPOSICAO",S!$A:$E,I!$A:$E),4,FALSE)</f>
        <v>UN</v>
      </c>
      <c r="F23" s="23">
        <v>6.9999999999999994E-5</v>
      </c>
      <c r="G23" s="76">
        <f>IF(A23="COMPOSICAO",VLOOKUP("TOTAL SEM BDI - "&amp;B23,CPUAUX4!$A:$J,9,FALSE),VLOOKUP(B23,I!$A:$E,5,FALSE))</f>
        <v>6387.62</v>
      </c>
      <c r="H23" s="77"/>
      <c r="I23" s="76">
        <f>TRUNC(F23*G23,2)</f>
        <v>0.44</v>
      </c>
      <c r="J23" s="77"/>
      <c r="M23" s="23">
        <f>B23</f>
        <v>10535</v>
      </c>
      <c r="N23" s="23">
        <f>SUMIF(CPUAUX2!M:M,B22,CPUAUX2!O:O)</f>
        <v>26.257622640000001</v>
      </c>
      <c r="O23" s="23">
        <f>F23*N23</f>
        <v>1.8380335847999999E-3</v>
      </c>
      <c r="Q23" s="23">
        <f ca="1">SUMIF(CPUAUX2!M:M,B22,CPUAUX2!R:R)</f>
        <v>8.7525408799999997</v>
      </c>
      <c r="R23" s="23">
        <f ca="1">F23*Q23</f>
        <v>6.1267786159999995E-4</v>
      </c>
    </row>
    <row r="24" spans="1:18" x14ac:dyDescent="0.3">
      <c r="A24" s="73" t="str">
        <f>"TOTAL SEM BDI - "&amp;B22</f>
        <v>TOTAL SEM BDI - 88828</v>
      </c>
      <c r="B24" s="74"/>
      <c r="C24" s="74"/>
      <c r="D24" s="74"/>
      <c r="E24" s="74"/>
      <c r="F24" s="74"/>
      <c r="G24" s="74"/>
      <c r="H24" s="75"/>
      <c r="I24" s="76">
        <f>SUM(I22:I23)</f>
        <v>0.44</v>
      </c>
      <c r="J24" s="77"/>
    </row>
    <row r="26" spans="1:18" x14ac:dyDescent="0.3">
      <c r="A26" s="4" t="s">
        <v>1000</v>
      </c>
      <c r="B26" s="4" t="s">
        <v>170</v>
      </c>
      <c r="C26" s="4" t="s">
        <v>171</v>
      </c>
      <c r="D26" s="4" t="s">
        <v>18</v>
      </c>
      <c r="E26" s="4" t="s">
        <v>172</v>
      </c>
      <c r="F26" s="4" t="s">
        <v>507</v>
      </c>
      <c r="G26" s="45" t="s">
        <v>1001</v>
      </c>
      <c r="H26" s="46"/>
      <c r="I26" s="45" t="s">
        <v>12</v>
      </c>
      <c r="J26" s="46"/>
    </row>
    <row r="27" spans="1:18" ht="45" customHeight="1" x14ac:dyDescent="0.3">
      <c r="A27" s="15" t="s">
        <v>1071</v>
      </c>
      <c r="B27" s="15">
        <v>95389</v>
      </c>
      <c r="C27" s="15" t="str">
        <f>VLOOKUP(B27,S!$A:$G,2,FALSE)</f>
        <v>SINAPI</v>
      </c>
      <c r="D27" s="22" t="str">
        <f>VLOOKUP(B27,S!$A:$G,3,FALSE)</f>
        <v>CURSO DE CAPACITAÇÃO PARA OPERADOR DE BETONEIRA ESTACIONÁRIA/MISTURADOR (ENCARGOS COMPLEMENTARES) - HORISTA</v>
      </c>
      <c r="E27" s="15" t="str">
        <f>VLOOKUP(B27,S!$A:$G,4,FALSE)</f>
        <v>H</v>
      </c>
      <c r="F27" s="15"/>
      <c r="G27" s="78">
        <f>I29</f>
        <v>0.17</v>
      </c>
      <c r="H27" s="79"/>
      <c r="I27" s="78"/>
      <c r="J27" s="79"/>
      <c r="K27" s="16">
        <f>VLOOKUP(B27,S!A:G,5,FALSE)</f>
        <v>0.17</v>
      </c>
      <c r="L27" s="15" t="str">
        <f>IF(K27=G27,"OK, CONFORME TABELA",IF(G27&gt;K27,"ACIMA DA TABELA: ","ABAIXO DA TABELA: ")&amp;TRUNC((G27*100)/K27,2)&amp;" %")</f>
        <v>OK, CONFORME TABELA</v>
      </c>
    </row>
    <row r="28" spans="1:18" ht="30" customHeight="1" x14ac:dyDescent="0.3">
      <c r="A28" s="23" t="s">
        <v>1005</v>
      </c>
      <c r="B28" s="23">
        <v>37666</v>
      </c>
      <c r="C28" s="23" t="str">
        <f>VLOOKUP(B28,IF(A28="COMPOSICAO",S!$A:$E,I!$A:$E),2,FALSE)</f>
        <v>SINAPI</v>
      </c>
      <c r="D28" s="24" t="str">
        <f>VLOOKUP(B28,IF(A28="COMPOSICAO",S!$A:$E,I!$A:$E),3,FALSE)</f>
        <v>OPERADOR DE BETONEIRA ESTACIONARIA / MISTURADOR (HORISTA)</v>
      </c>
      <c r="E28" s="23" t="str">
        <f>VLOOKUP(B28,IF(A28="COMPOSICAO",S!$A:$E,I!$A:$E),4,FALSE)</f>
        <v>H</v>
      </c>
      <c r="F28" s="23">
        <v>8.3099999999999997E-3</v>
      </c>
      <c r="G28" s="76">
        <f>IF(A28="COMPOSICAO",VLOOKUP("TOTAL SEM BDI - "&amp;B28,CPUAUX4!$A:$J,9,FALSE),VLOOKUP(B28,I!$A:$E,5,FALSE))</f>
        <v>21.48</v>
      </c>
      <c r="H28" s="77"/>
      <c r="I28" s="76">
        <f>TRUNC(F28*G28,2)</f>
        <v>0.17</v>
      </c>
      <c r="J28" s="77"/>
      <c r="M28" s="23">
        <f>B28</f>
        <v>37666</v>
      </c>
      <c r="N28" s="23">
        <f>SUMIF(CPUAUX2!M:M,B27,CPUAUX2!O:O)</f>
        <v>71.417814174</v>
      </c>
      <c r="O28" s="23">
        <f>F28*N28</f>
        <v>0.59348203578593994</v>
      </c>
      <c r="Q28" s="23">
        <f ca="1">SUMIF(CPUAUX2!M:M,B27,CPUAUX2!R:R)</f>
        <v>23.805938057999999</v>
      </c>
      <c r="R28" s="23">
        <f ca="1">F28*Q28</f>
        <v>0.19782734526197998</v>
      </c>
    </row>
    <row r="29" spans="1:18" x14ac:dyDescent="0.3">
      <c r="A29" s="73" t="str">
        <f>"TOTAL SEM BDI - "&amp;B27</f>
        <v>TOTAL SEM BDI - 95389</v>
      </c>
      <c r="B29" s="74"/>
      <c r="C29" s="74"/>
      <c r="D29" s="74"/>
      <c r="E29" s="74"/>
      <c r="F29" s="74"/>
      <c r="G29" s="74"/>
      <c r="H29" s="75"/>
      <c r="I29" s="76">
        <f>SUM(I27:I28)</f>
        <v>0.17</v>
      </c>
      <c r="J29" s="77"/>
    </row>
    <row r="31" spans="1:18" x14ac:dyDescent="0.3">
      <c r="A31" s="4" t="s">
        <v>1000</v>
      </c>
      <c r="B31" s="4" t="s">
        <v>170</v>
      </c>
      <c r="C31" s="4" t="s">
        <v>171</v>
      </c>
      <c r="D31" s="4" t="s">
        <v>18</v>
      </c>
      <c r="E31" s="4" t="s">
        <v>172</v>
      </c>
      <c r="F31" s="4" t="s">
        <v>507</v>
      </c>
      <c r="G31" s="45" t="s">
        <v>1001</v>
      </c>
      <c r="H31" s="46"/>
      <c r="I31" s="45" t="s">
        <v>12</v>
      </c>
      <c r="J31" s="46"/>
    </row>
    <row r="32" spans="1:18" ht="30" customHeight="1" x14ac:dyDescent="0.3">
      <c r="A32" s="15" t="s">
        <v>1071</v>
      </c>
      <c r="B32" s="15">
        <v>95378</v>
      </c>
      <c r="C32" s="15" t="str">
        <f>VLOOKUP(B32,S!$A:$G,2,FALSE)</f>
        <v>SINAPI</v>
      </c>
      <c r="D32" s="22" t="str">
        <f>VLOOKUP(B32,S!$A:$G,3,FALSE)</f>
        <v>CURSO DE CAPACITAÇÃO PARA SERVENTE (ENCARGOS COMPLEMENTARES) - HORISTA</v>
      </c>
      <c r="E32" s="15" t="str">
        <f>VLOOKUP(B32,S!$A:$G,4,FALSE)</f>
        <v>H</v>
      </c>
      <c r="F32" s="15"/>
      <c r="G32" s="78">
        <f>I34</f>
        <v>0.31</v>
      </c>
      <c r="H32" s="79"/>
      <c r="I32" s="78"/>
      <c r="J32" s="79"/>
      <c r="K32" s="16">
        <f>VLOOKUP(B32,S!A:G,5,FALSE)</f>
        <v>0.31</v>
      </c>
      <c r="L32" s="15" t="str">
        <f>IF(K32=G32,"OK, CONFORME TABELA",IF(G32&gt;K32,"ACIMA DA TABELA: ","ABAIXO DA TABELA: ")&amp;TRUNC((G32*100)/K32,2)&amp;" %")</f>
        <v>OK, CONFORME TABELA</v>
      </c>
    </row>
    <row r="33" spans="1:18" x14ac:dyDescent="0.3">
      <c r="A33" s="23" t="s">
        <v>1005</v>
      </c>
      <c r="B33" s="23">
        <v>6111</v>
      </c>
      <c r="C33" s="23" t="str">
        <f>VLOOKUP(B33,IF(A33="COMPOSICAO",S!$A:$E,I!$A:$E),2,FALSE)</f>
        <v>SINAPI</v>
      </c>
      <c r="D33" s="24" t="str">
        <f>VLOOKUP(B33,IF(A33="COMPOSICAO",S!$A:$E,I!$A:$E),3,FALSE)</f>
        <v>SERVENTE DE OBRAS (HORISTA)</v>
      </c>
      <c r="E33" s="23" t="str">
        <f>VLOOKUP(B33,IF(A33="COMPOSICAO",S!$A:$E,I!$A:$E),4,FALSE)</f>
        <v>H</v>
      </c>
      <c r="F33" s="23">
        <v>2.12E-2</v>
      </c>
      <c r="G33" s="76">
        <f>IF(A33="COMPOSICAO",VLOOKUP("TOTAL SEM BDI - "&amp;B33,CPUAUX4!$A:$J,9,FALSE),VLOOKUP(B33,I!$A:$E,5,FALSE))</f>
        <v>14.86</v>
      </c>
      <c r="H33" s="77"/>
      <c r="I33" s="76">
        <f>TRUNC(F33*G33,2)</f>
        <v>0.31</v>
      </c>
      <c r="J33" s="77"/>
      <c r="M33" s="23">
        <f>B33</f>
        <v>6111</v>
      </c>
      <c r="N33" s="23">
        <f>SUMIF(CPUAUX2!M:M,B32,CPUAUX2!O:O)</f>
        <v>205.88553534160002</v>
      </c>
      <c r="O33" s="23">
        <f>F33*N33</f>
        <v>4.3647733492419203</v>
      </c>
      <c r="Q33" s="23">
        <f ca="1">SUMIF(CPUAUX2!M:M,B32,CPUAUX2!R:R)</f>
        <v>69.295178447200001</v>
      </c>
      <c r="R33" s="23">
        <f ca="1">F33*Q33</f>
        <v>1.4690577830806399</v>
      </c>
    </row>
    <row r="34" spans="1:18" x14ac:dyDescent="0.3">
      <c r="A34" s="73" t="str">
        <f>"TOTAL SEM BDI - "&amp;B32</f>
        <v>TOTAL SEM BDI - 95378</v>
      </c>
      <c r="B34" s="74"/>
      <c r="C34" s="74"/>
      <c r="D34" s="74"/>
      <c r="E34" s="74"/>
      <c r="F34" s="74"/>
      <c r="G34" s="74"/>
      <c r="H34" s="75"/>
      <c r="I34" s="76">
        <f>SUM(I32:I33)</f>
        <v>0.31</v>
      </c>
      <c r="J34" s="77"/>
    </row>
    <row r="36" spans="1:18" x14ac:dyDescent="0.3">
      <c r="A36" s="4" t="s">
        <v>1000</v>
      </c>
      <c r="B36" s="4" t="s">
        <v>170</v>
      </c>
      <c r="C36" s="4" t="s">
        <v>171</v>
      </c>
      <c r="D36" s="4" t="s">
        <v>18</v>
      </c>
      <c r="E36" s="4" t="s">
        <v>172</v>
      </c>
      <c r="F36" s="4" t="s">
        <v>507</v>
      </c>
      <c r="G36" s="45" t="s">
        <v>1001</v>
      </c>
      <c r="H36" s="46"/>
      <c r="I36" s="45" t="s">
        <v>12</v>
      </c>
      <c r="J36" s="46"/>
    </row>
    <row r="37" spans="1:18" ht="30" customHeight="1" x14ac:dyDescent="0.3">
      <c r="A37" s="15" t="s">
        <v>1071</v>
      </c>
      <c r="B37" s="15">
        <v>95330</v>
      </c>
      <c r="C37" s="15" t="str">
        <f>VLOOKUP(B37,S!$A:$G,2,FALSE)</f>
        <v>SINAPI</v>
      </c>
      <c r="D37" s="22" t="str">
        <f>VLOOKUP(B37,S!$A:$G,3,FALSE)</f>
        <v>CURSO DE CAPACITAÇÃO PARA CARPINTEIRO DE FÔRMAS (ENCARGOS COMPLEMENTARES) - HORISTA</v>
      </c>
      <c r="E37" s="15" t="str">
        <f>VLOOKUP(B37,S!$A:$G,4,FALSE)</f>
        <v>H</v>
      </c>
      <c r="F37" s="15"/>
      <c r="G37" s="78">
        <f>I39</f>
        <v>0.23</v>
      </c>
      <c r="H37" s="79"/>
      <c r="I37" s="78"/>
      <c r="J37" s="79"/>
      <c r="K37" s="16">
        <f>VLOOKUP(B37,S!A:G,5,FALSE)</f>
        <v>0.23</v>
      </c>
      <c r="L37" s="15" t="str">
        <f>IF(K37=G37,"OK, CONFORME TABELA",IF(G37&gt;K37,"ACIMA DA TABELA: ","ABAIXO DA TABELA: ")&amp;TRUNC((G37*100)/K37,2)&amp;" %")</f>
        <v>OK, CONFORME TABELA</v>
      </c>
    </row>
    <row r="38" spans="1:18" ht="15" customHeight="1" x14ac:dyDescent="0.3">
      <c r="A38" s="23" t="s">
        <v>1005</v>
      </c>
      <c r="B38" s="23">
        <v>1213</v>
      </c>
      <c r="C38" s="23" t="str">
        <f>VLOOKUP(B38,IF(A38="COMPOSICAO",S!$A:$E,I!$A:$E),2,FALSE)</f>
        <v>SINAPI</v>
      </c>
      <c r="D38" s="24" t="str">
        <f>VLOOKUP(B38,IF(A38="COMPOSICAO",S!$A:$E,I!$A:$E),3,FALSE)</f>
        <v>CARPINTEIRO DE FORMAS PARA CONCRETO (HORISTA)</v>
      </c>
      <c r="E38" s="23" t="str">
        <f>VLOOKUP(B38,IF(A38="COMPOSICAO",S!$A:$E,I!$A:$E),4,FALSE)</f>
        <v>H</v>
      </c>
      <c r="F38" s="23">
        <v>1.154E-2</v>
      </c>
      <c r="G38" s="76">
        <f>IF(A38="COMPOSICAO",VLOOKUP("TOTAL SEM BDI - "&amp;B38,CPUAUX4!$A:$J,9,FALSE),VLOOKUP(B38,I!$A:$E,5,FALSE))</f>
        <v>20.329999999999998</v>
      </c>
      <c r="H38" s="77"/>
      <c r="I38" s="76">
        <f>TRUNC(F38*G38,2)</f>
        <v>0.23</v>
      </c>
      <c r="J38" s="77"/>
      <c r="M38" s="23">
        <f>B38</f>
        <v>1213</v>
      </c>
      <c r="N38" s="23">
        <f>SUMIF(CPUAUX2!M:M,B37,CPUAUX2!O:O)</f>
        <v>38.132053499999998</v>
      </c>
      <c r="O38" s="23">
        <f>F38*N38</f>
        <v>0.44004389738999999</v>
      </c>
      <c r="Q38" s="23">
        <f ca="1">SUMIF(CPUAUX2!M:M,B37,CPUAUX2!R:R)</f>
        <v>12.710684500000003</v>
      </c>
      <c r="R38" s="23">
        <f ca="1">F38*Q38</f>
        <v>0.14668129913000003</v>
      </c>
    </row>
    <row r="39" spans="1:18" x14ac:dyDescent="0.3">
      <c r="A39" s="73" t="str">
        <f>"TOTAL SEM BDI - "&amp;B37</f>
        <v>TOTAL SEM BDI - 95330</v>
      </c>
      <c r="B39" s="74"/>
      <c r="C39" s="74"/>
      <c r="D39" s="74"/>
      <c r="E39" s="74"/>
      <c r="F39" s="74"/>
      <c r="G39" s="74"/>
      <c r="H39" s="75"/>
      <c r="I39" s="76">
        <f>SUM(I37:I38)</f>
        <v>0.23</v>
      </c>
      <c r="J39" s="77"/>
    </row>
    <row r="41" spans="1:18" x14ac:dyDescent="0.3">
      <c r="A41" s="4" t="s">
        <v>1000</v>
      </c>
      <c r="B41" s="4" t="s">
        <v>170</v>
      </c>
      <c r="C41" s="4" t="s">
        <v>171</v>
      </c>
      <c r="D41" s="4" t="s">
        <v>18</v>
      </c>
      <c r="E41" s="4" t="s">
        <v>172</v>
      </c>
      <c r="F41" s="4" t="s">
        <v>507</v>
      </c>
      <c r="G41" s="45" t="s">
        <v>1001</v>
      </c>
      <c r="H41" s="46"/>
      <c r="I41" s="45" t="s">
        <v>12</v>
      </c>
      <c r="J41" s="46"/>
    </row>
    <row r="42" spans="1:18" ht="30" customHeight="1" x14ac:dyDescent="0.3">
      <c r="A42" s="15" t="s">
        <v>1071</v>
      </c>
      <c r="B42" s="15">
        <v>95309</v>
      </c>
      <c r="C42" s="15" t="str">
        <f>VLOOKUP(B42,S!$A:$G,2,FALSE)</f>
        <v>SINAPI</v>
      </c>
      <c r="D42" s="22" t="str">
        <f>VLOOKUP(B42,S!$A:$G,3,FALSE)</f>
        <v>CURSO DE CAPACITAÇÃO PARA AJUDANTE DE CARPINTEIRO (ENCARGOS COMPLEMENTARES) - HORISTA</v>
      </c>
      <c r="E42" s="15" t="str">
        <f>VLOOKUP(B42,S!$A:$G,4,FALSE)</f>
        <v>H</v>
      </c>
      <c r="F42" s="15"/>
      <c r="G42" s="78">
        <f>I44</f>
        <v>0.22</v>
      </c>
      <c r="H42" s="79"/>
      <c r="I42" s="78"/>
      <c r="J42" s="79"/>
      <c r="K42" s="16">
        <f>VLOOKUP(B42,S!A:G,5,FALSE)</f>
        <v>0.22</v>
      </c>
      <c r="L42" s="15" t="str">
        <f>IF(K42=G42,"OK, CONFORME TABELA",IF(G42&gt;K42,"ACIMA DA TABELA: ","ABAIXO DA TABELA: ")&amp;TRUNC((G42*100)/K42,2)&amp;" %")</f>
        <v>OK, CONFORME TABELA</v>
      </c>
    </row>
    <row r="43" spans="1:18" x14ac:dyDescent="0.3">
      <c r="A43" s="23" t="s">
        <v>1005</v>
      </c>
      <c r="B43" s="23">
        <v>6117</v>
      </c>
      <c r="C43" s="23" t="str">
        <f>VLOOKUP(B43,IF(A43="COMPOSICAO",S!$A:$E,I!$A:$E),2,FALSE)</f>
        <v>SINAPI</v>
      </c>
      <c r="D43" s="24" t="str">
        <f>VLOOKUP(B43,IF(A43="COMPOSICAO",S!$A:$E,I!$A:$E),3,FALSE)</f>
        <v>CARPINTEIRO AUXILIAR (HORISTA)</v>
      </c>
      <c r="E43" s="23" t="str">
        <f>VLOOKUP(B43,IF(A43="COMPOSICAO",S!$A:$E,I!$A:$E),4,FALSE)</f>
        <v>H</v>
      </c>
      <c r="F43" s="23">
        <v>1.4760000000000001E-2</v>
      </c>
      <c r="G43" s="76">
        <f>IF(A43="COMPOSICAO",VLOOKUP("TOTAL SEM BDI - "&amp;B43,CPUAUX4!$A:$J,9,FALSE),VLOOKUP(B43,I!$A:$E,5,FALSE))</f>
        <v>15.57</v>
      </c>
      <c r="H43" s="77"/>
      <c r="I43" s="76">
        <f>TRUNC(F43*G43,2)</f>
        <v>0.22</v>
      </c>
      <c r="J43" s="77"/>
      <c r="M43" s="23">
        <f>B43</f>
        <v>6117</v>
      </c>
      <c r="N43" s="23">
        <f>SUMIF(CPUAUX2!M:M,B42,CPUAUX2!O:O)</f>
        <v>17.87529864</v>
      </c>
      <c r="O43" s="23">
        <f>F43*N43</f>
        <v>0.26383940792640004</v>
      </c>
      <c r="Q43" s="23">
        <f ca="1">SUMIF(CPUAUX2!M:M,B42,CPUAUX2!R:R)</f>
        <v>5.9584328800000002</v>
      </c>
      <c r="R43" s="23">
        <f ca="1">F43*Q43</f>
        <v>8.7946469308799999E-2</v>
      </c>
    </row>
    <row r="44" spans="1:18" x14ac:dyDescent="0.3">
      <c r="A44" s="73" t="str">
        <f>"TOTAL SEM BDI - "&amp;B42</f>
        <v>TOTAL SEM BDI - 95309</v>
      </c>
      <c r="B44" s="74"/>
      <c r="C44" s="74"/>
      <c r="D44" s="74"/>
      <c r="E44" s="74"/>
      <c r="F44" s="74"/>
      <c r="G44" s="74"/>
      <c r="H44" s="75"/>
      <c r="I44" s="76">
        <f>SUM(I42:I43)</f>
        <v>0.22</v>
      </c>
      <c r="J44" s="77"/>
    </row>
    <row r="46" spans="1:18" x14ac:dyDescent="0.3">
      <c r="A46" s="4" t="s">
        <v>1000</v>
      </c>
      <c r="B46" s="4" t="s">
        <v>170</v>
      </c>
      <c r="C46" s="4" t="s">
        <v>171</v>
      </c>
      <c r="D46" s="4" t="s">
        <v>18</v>
      </c>
      <c r="E46" s="4" t="s">
        <v>172</v>
      </c>
      <c r="F46" s="4" t="s">
        <v>507</v>
      </c>
      <c r="G46" s="45" t="s">
        <v>1001</v>
      </c>
      <c r="H46" s="46"/>
      <c r="I46" s="45" t="s">
        <v>12</v>
      </c>
      <c r="J46" s="46"/>
    </row>
    <row r="47" spans="1:18" ht="45" customHeight="1" x14ac:dyDescent="0.3">
      <c r="A47" s="15" t="s">
        <v>1071</v>
      </c>
      <c r="B47" s="15">
        <v>95360</v>
      </c>
      <c r="C47" s="15" t="str">
        <f>VLOOKUP(B47,S!$A:$G,2,FALSE)</f>
        <v>SINAPI</v>
      </c>
      <c r="D47" s="22" t="str">
        <f>VLOOKUP(B47,S!$A:$G,3,FALSE)</f>
        <v>CURSO DE CAPACITAÇÃO PARA OPERADOR DE MÁQUINAS E EQUIPAMENTOS (ENCARGOS COMPLEMENTARES) - HORISTA</v>
      </c>
      <c r="E47" s="15" t="str">
        <f>VLOOKUP(B47,S!$A:$G,4,FALSE)</f>
        <v>H</v>
      </c>
      <c r="F47" s="15"/>
      <c r="G47" s="78">
        <f>I49</f>
        <v>0.24</v>
      </c>
      <c r="H47" s="79"/>
      <c r="I47" s="78"/>
      <c r="J47" s="79"/>
      <c r="K47" s="16">
        <f>VLOOKUP(B47,S!A:G,5,FALSE)</f>
        <v>0.24</v>
      </c>
      <c r="L47" s="15" t="str">
        <f>IF(K47=G47,"OK, CONFORME TABELA",IF(G47&gt;K47,"ACIMA DA TABELA: ","ABAIXO DA TABELA: ")&amp;TRUNC((G47*100)/K47,2)&amp;" %")</f>
        <v>OK, CONFORME TABELA</v>
      </c>
    </row>
    <row r="48" spans="1:18" ht="30" customHeight="1" x14ac:dyDescent="0.3">
      <c r="A48" s="23" t="s">
        <v>1005</v>
      </c>
      <c r="B48" s="23">
        <v>4230</v>
      </c>
      <c r="C48" s="23" t="str">
        <f>VLOOKUP(B48,IF(A48="COMPOSICAO",S!$A:$E,I!$A:$E),2,FALSE)</f>
        <v>SINAPI</v>
      </c>
      <c r="D48" s="24" t="str">
        <f>VLOOKUP(B48,IF(A48="COMPOSICAO",S!$A:$E,I!$A:$E),3,FALSE)</f>
        <v>OPERADOR DE MAQUINAS E TRATORES DIVERSOS - TERRAPLANAGEM (HORISTA)</v>
      </c>
      <c r="E48" s="23" t="str">
        <f>VLOOKUP(B48,IF(A48="COMPOSICAO",S!$A:$E,I!$A:$E),4,FALSE)</f>
        <v>H</v>
      </c>
      <c r="F48" s="23">
        <v>1.154E-2</v>
      </c>
      <c r="G48" s="76">
        <f>IF(A48="COMPOSICAO",VLOOKUP("TOTAL SEM BDI - "&amp;B48,CPUAUX4!$A:$J,9,FALSE),VLOOKUP(B48,I!$A:$E,5,FALSE))</f>
        <v>21.48</v>
      </c>
      <c r="H48" s="77"/>
      <c r="I48" s="76">
        <f>TRUNC(F48*G48,2)</f>
        <v>0.24</v>
      </c>
      <c r="J48" s="77"/>
      <c r="M48" s="23">
        <f>B48</f>
        <v>4230</v>
      </c>
      <c r="N48" s="23">
        <f>SUMIF(CPUAUX2!M:M,B47,CPUAUX2!O:O)</f>
        <v>2.1419999999999999</v>
      </c>
      <c r="O48" s="23">
        <f>F48*N48</f>
        <v>2.471868E-2</v>
      </c>
      <c r="Q48" s="23">
        <f ca="1">SUMIF(CPUAUX2!M:M,B47,CPUAUX2!R:R)</f>
        <v>0.71399999999999997</v>
      </c>
      <c r="R48" s="23">
        <f ca="1">F48*Q48</f>
        <v>8.2395599999999999E-3</v>
      </c>
    </row>
    <row r="49" spans="1:18" x14ac:dyDescent="0.3">
      <c r="A49" s="73" t="str">
        <f>"TOTAL SEM BDI - "&amp;B47</f>
        <v>TOTAL SEM BDI - 95360</v>
      </c>
      <c r="B49" s="74"/>
      <c r="C49" s="74"/>
      <c r="D49" s="74"/>
      <c r="E49" s="74"/>
      <c r="F49" s="74"/>
      <c r="G49" s="74"/>
      <c r="H49" s="75"/>
      <c r="I49" s="76">
        <f>SUM(I47:I48)</f>
        <v>0.24</v>
      </c>
      <c r="J49" s="77"/>
    </row>
    <row r="51" spans="1:18" x14ac:dyDescent="0.3">
      <c r="A51" s="4" t="s">
        <v>1000</v>
      </c>
      <c r="B51" s="4" t="s">
        <v>170</v>
      </c>
      <c r="C51" s="4" t="s">
        <v>171</v>
      </c>
      <c r="D51" s="4" t="s">
        <v>18</v>
      </c>
      <c r="E51" s="4" t="s">
        <v>172</v>
      </c>
      <c r="F51" s="4" t="s">
        <v>507</v>
      </c>
      <c r="G51" s="45" t="s">
        <v>1001</v>
      </c>
      <c r="H51" s="46"/>
      <c r="I51" s="45" t="s">
        <v>12</v>
      </c>
      <c r="J51" s="46"/>
    </row>
    <row r="52" spans="1:18" ht="60" customHeight="1" x14ac:dyDescent="0.3">
      <c r="A52" s="15" t="s">
        <v>1096</v>
      </c>
      <c r="B52" s="15">
        <v>89222</v>
      </c>
      <c r="C52" s="15" t="str">
        <f>VLOOKUP(B52,S!$A:$G,2,FALSE)</f>
        <v>SINAPI</v>
      </c>
      <c r="D52" s="22" t="str">
        <f>VLOOKUP(B52,S!$A:$G,3,FALSE)</f>
        <v>BETONEIRA CAPACIDADE NOMINAL DE 600 L, CAPACIDADE DE MISTURA 360 L, MOTOR ELÉTRICO TRIFÁSICO POTÊNCIA DE 4 CV, SEM CARREGADOR - JUROS. AF_05/2023</v>
      </c>
      <c r="E52" s="15" t="str">
        <f>VLOOKUP(B52,S!$A:$G,4,FALSE)</f>
        <v>H</v>
      </c>
      <c r="F52" s="15"/>
      <c r="G52" s="78">
        <f>I54</f>
        <v>0.38</v>
      </c>
      <c r="H52" s="79"/>
      <c r="I52" s="78"/>
      <c r="J52" s="79"/>
      <c r="K52" s="16">
        <f>VLOOKUP(B52,S!A:G,5,FALSE)</f>
        <v>0.38</v>
      </c>
      <c r="L52" s="15" t="str">
        <f>IF(K52=G52,"OK, CONFORME TABELA",IF(G52&gt;K52,"ACIMA DA TABELA: ","ABAIXO DA TABELA: ")&amp;TRUNC((G52*100)/K52,2)&amp;" %")</f>
        <v>OK, CONFORME TABELA</v>
      </c>
    </row>
    <row r="53" spans="1:18" ht="45" customHeight="1" x14ac:dyDescent="0.3">
      <c r="A53" s="23" t="s">
        <v>1005</v>
      </c>
      <c r="B53" s="23">
        <v>36397</v>
      </c>
      <c r="C53" s="23" t="str">
        <f>VLOOKUP(B53,IF(A53="COMPOSICAO",S!$A:$E,I!$A:$E),2,FALSE)</f>
        <v>SINAPI</v>
      </c>
      <c r="D53" s="24" t="str">
        <f>VLOOKUP(B53,IF(A53="COMPOSICAO",S!$A:$E,I!$A:$E),3,FALSE)</f>
        <v>BETONEIRA, CAPACIDADE NOMINAL 600 L, CAPACIDADE DE MISTURA 360L, MOTOR ELETRICO TRIFASICO 220/380V, POTENCIA 4CV, EXCLUSO CARREGADOR</v>
      </c>
      <c r="E53" s="23" t="str">
        <f>VLOOKUP(B53,IF(A53="COMPOSICAO",S!$A:$E,I!$A:$E),4,FALSE)</f>
        <v>UN</v>
      </c>
      <c r="F53" s="23">
        <v>1.4800000000000001E-5</v>
      </c>
      <c r="G53" s="76">
        <f>IF(A53="COMPOSICAO",VLOOKUP("TOTAL SEM BDI - "&amp;B53,CPUAUX4!$A:$J,9,FALSE),VLOOKUP(B53,I!$A:$E,5,FALSE))</f>
        <v>25983.53</v>
      </c>
      <c r="H53" s="77"/>
      <c r="I53" s="76">
        <f>TRUNC(F53*G53,2)</f>
        <v>0.38</v>
      </c>
      <c r="J53" s="77"/>
      <c r="M53" s="23">
        <f>B53</f>
        <v>36397</v>
      </c>
      <c r="N53" s="23">
        <f>SUMIF(CPUAUX2!M:M,B52,CPUAUX2!O:O)</f>
        <v>2.772532386</v>
      </c>
      <c r="O53" s="23">
        <f>F53*N53</f>
        <v>4.1033479312799999E-5</v>
      </c>
      <c r="Q53" s="23">
        <f ca="1">SUMIF(CPUAUX2!M:M,B52,CPUAUX2!R:R)</f>
        <v>0.92417746200000006</v>
      </c>
      <c r="R53" s="23">
        <f ca="1">F53*Q53</f>
        <v>1.3677826437600002E-5</v>
      </c>
    </row>
    <row r="54" spans="1:18" x14ac:dyDescent="0.3">
      <c r="A54" s="73" t="str">
        <f>"TOTAL SEM BDI - "&amp;B52</f>
        <v>TOTAL SEM BDI - 89222</v>
      </c>
      <c r="B54" s="74"/>
      <c r="C54" s="74"/>
      <c r="D54" s="74"/>
      <c r="E54" s="74"/>
      <c r="F54" s="74"/>
      <c r="G54" s="74"/>
      <c r="H54" s="75"/>
      <c r="I54" s="76">
        <f>SUM(I52:I53)</f>
        <v>0.38</v>
      </c>
      <c r="J54" s="77"/>
    </row>
    <row r="56" spans="1:18" x14ac:dyDescent="0.3">
      <c r="A56" s="4" t="s">
        <v>1000</v>
      </c>
      <c r="B56" s="4" t="s">
        <v>170</v>
      </c>
      <c r="C56" s="4" t="s">
        <v>171</v>
      </c>
      <c r="D56" s="4" t="s">
        <v>18</v>
      </c>
      <c r="E56" s="4" t="s">
        <v>172</v>
      </c>
      <c r="F56" s="4" t="s">
        <v>507</v>
      </c>
      <c r="G56" s="45" t="s">
        <v>1001</v>
      </c>
      <c r="H56" s="46"/>
      <c r="I56" s="45" t="s">
        <v>12</v>
      </c>
      <c r="J56" s="46"/>
    </row>
    <row r="57" spans="1:18" ht="60" customHeight="1" x14ac:dyDescent="0.3">
      <c r="A57" s="15" t="s">
        <v>1096</v>
      </c>
      <c r="B57" s="15">
        <v>89221</v>
      </c>
      <c r="C57" s="15" t="str">
        <f>VLOOKUP(B57,S!$A:$G,2,FALSE)</f>
        <v>SINAPI</v>
      </c>
      <c r="D57" s="22" t="str">
        <f>VLOOKUP(B57,S!$A:$G,3,FALSE)</f>
        <v>BETONEIRA CAPACIDADE NOMINAL DE 600 L, CAPACIDADE DE MISTURA 360 L, MOTOR ELÉTRICO TRIFÁSICO POTÊNCIA DE 4 CV, SEM CARREGADOR - DEPRECIAÇÃO. AF_05/2023</v>
      </c>
      <c r="E57" s="15" t="str">
        <f>VLOOKUP(B57,S!$A:$G,4,FALSE)</f>
        <v>H</v>
      </c>
      <c r="F57" s="15"/>
      <c r="G57" s="78">
        <f>I59</f>
        <v>1.66</v>
      </c>
      <c r="H57" s="79"/>
      <c r="I57" s="78"/>
      <c r="J57" s="79"/>
      <c r="K57" s="16">
        <f>VLOOKUP(B57,S!A:G,5,FALSE)</f>
        <v>1.66</v>
      </c>
      <c r="L57" s="15" t="str">
        <f>IF(K57=G57,"OK, CONFORME TABELA",IF(G57&gt;K57,"ACIMA DA TABELA: ","ABAIXO DA TABELA: ")&amp;TRUNC((G57*100)/K57,2)&amp;" %")</f>
        <v>OK, CONFORME TABELA</v>
      </c>
    </row>
    <row r="58" spans="1:18" ht="45" customHeight="1" x14ac:dyDescent="0.3">
      <c r="A58" s="23" t="s">
        <v>1005</v>
      </c>
      <c r="B58" s="23">
        <v>36397</v>
      </c>
      <c r="C58" s="23" t="str">
        <f>VLOOKUP(B58,IF(A58="COMPOSICAO",S!$A:$E,I!$A:$E),2,FALSE)</f>
        <v>SINAPI</v>
      </c>
      <c r="D58" s="24" t="str">
        <f>VLOOKUP(B58,IF(A58="COMPOSICAO",S!$A:$E,I!$A:$E),3,FALSE)</f>
        <v>BETONEIRA, CAPACIDADE NOMINAL 600 L, CAPACIDADE DE MISTURA 360L, MOTOR ELETRICO TRIFASICO 220/380V, POTENCIA 4CV, EXCLUSO CARREGADOR</v>
      </c>
      <c r="E58" s="23" t="str">
        <f>VLOOKUP(B58,IF(A58="COMPOSICAO",S!$A:$E,I!$A:$E),4,FALSE)</f>
        <v>UN</v>
      </c>
      <c r="F58" s="23">
        <v>6.3999999999999997E-5</v>
      </c>
      <c r="G58" s="76">
        <f>IF(A58="COMPOSICAO",VLOOKUP("TOTAL SEM BDI - "&amp;B58,CPUAUX4!$A:$J,9,FALSE),VLOOKUP(B58,I!$A:$E,5,FALSE))</f>
        <v>25983.53</v>
      </c>
      <c r="H58" s="77"/>
      <c r="I58" s="76">
        <f>TRUNC(F58*G58,2)</f>
        <v>1.66</v>
      </c>
      <c r="J58" s="77"/>
      <c r="M58" s="23">
        <f>B58</f>
        <v>36397</v>
      </c>
      <c r="N58" s="23">
        <f>SUMIF(CPUAUX2!M:M,B57,CPUAUX2!O:O)</f>
        <v>2.772532386</v>
      </c>
      <c r="O58" s="23">
        <f>F58*N58</f>
        <v>1.7744207270399998E-4</v>
      </c>
      <c r="Q58" s="23">
        <f ca="1">SUMIF(CPUAUX2!M:M,B57,CPUAUX2!R:R)</f>
        <v>0.92417746200000006</v>
      </c>
      <c r="R58" s="23">
        <f ca="1">F58*Q58</f>
        <v>5.9147357568000004E-5</v>
      </c>
    </row>
    <row r="59" spans="1:18" x14ac:dyDescent="0.3">
      <c r="A59" s="73" t="str">
        <f>"TOTAL SEM BDI - "&amp;B57</f>
        <v>TOTAL SEM BDI - 89221</v>
      </c>
      <c r="B59" s="74"/>
      <c r="C59" s="74"/>
      <c r="D59" s="74"/>
      <c r="E59" s="74"/>
      <c r="F59" s="74"/>
      <c r="G59" s="74"/>
      <c r="H59" s="75"/>
      <c r="I59" s="76">
        <f>SUM(I57:I58)</f>
        <v>1.66</v>
      </c>
      <c r="J59" s="77"/>
    </row>
    <row r="61" spans="1:18" x14ac:dyDescent="0.3">
      <c r="A61" s="4" t="s">
        <v>1000</v>
      </c>
      <c r="B61" s="4" t="s">
        <v>170</v>
      </c>
      <c r="C61" s="4" t="s">
        <v>171</v>
      </c>
      <c r="D61" s="4" t="s">
        <v>18</v>
      </c>
      <c r="E61" s="4" t="s">
        <v>172</v>
      </c>
      <c r="F61" s="4" t="s">
        <v>507</v>
      </c>
      <c r="G61" s="45" t="s">
        <v>1001</v>
      </c>
      <c r="H61" s="46"/>
      <c r="I61" s="45" t="s">
        <v>12</v>
      </c>
      <c r="J61" s="46"/>
    </row>
    <row r="62" spans="1:18" ht="60" customHeight="1" x14ac:dyDescent="0.3">
      <c r="A62" s="15" t="s">
        <v>1096</v>
      </c>
      <c r="B62" s="15">
        <v>89224</v>
      </c>
      <c r="C62" s="15" t="str">
        <f>VLOOKUP(B62,S!$A:$G,2,FALSE)</f>
        <v>SINAPI</v>
      </c>
      <c r="D62" s="22" t="str">
        <f>VLOOKUP(B62,S!$A:$G,3,FALSE)</f>
        <v>BETONEIRA CAPACIDADE NOMINAL DE 600 L, CAPACIDADE DE MISTURA 360 L, MOTOR ELÉTRICO TRIFÁSICO POTÊNCIA DE 4 CV, SEM CARREGADOR - MATERIAIS NA OPERAÇÃO. AF_05/2023</v>
      </c>
      <c r="E62" s="15" t="str">
        <f>VLOOKUP(B62,S!$A:$G,4,FALSE)</f>
        <v>H</v>
      </c>
      <c r="F62" s="15"/>
      <c r="G62" s="78">
        <f>I64</f>
        <v>2.75</v>
      </c>
      <c r="H62" s="79"/>
      <c r="I62" s="78"/>
      <c r="J62" s="79"/>
      <c r="K62" s="16">
        <f>VLOOKUP(B62,S!A:G,5,FALSE)</f>
        <v>2.75</v>
      </c>
      <c r="L62" s="15" t="str">
        <f>IF(K62=G62,"OK, CONFORME TABELA",IF(G62&gt;K62,"ACIMA DA TABELA: ","ABAIXO DA TABELA: ")&amp;TRUNC((G62*100)/K62,2)&amp;" %")</f>
        <v>OK, CONFORME TABELA</v>
      </c>
    </row>
    <row r="63" spans="1:18" ht="30" customHeight="1" x14ac:dyDescent="0.3">
      <c r="A63" s="23" t="s">
        <v>1005</v>
      </c>
      <c r="B63" s="23">
        <v>2705</v>
      </c>
      <c r="C63" s="23" t="str">
        <f>VLOOKUP(B63,IF(A63="COMPOSICAO",S!$A:$E,I!$A:$E),2,FALSE)</f>
        <v>SINAPI</v>
      </c>
      <c r="D63" s="24" t="str">
        <f>VLOOKUP(B63,IF(A63="COMPOSICAO",S!$A:$E,I!$A:$E),3,FALSE)</f>
        <v>ENERGIA ELETRICA ATE 2000 KWH INDUSTRIAL, SEM DEMANDA</v>
      </c>
      <c r="E63" s="23" t="str">
        <f>VLOOKUP(B63,IF(A63="COMPOSICAO",S!$A:$E,I!$A:$E),4,FALSE)</f>
        <v>KWH</v>
      </c>
      <c r="F63" s="23">
        <v>2.5</v>
      </c>
      <c r="G63" s="76">
        <f>IF(A63="COMPOSICAO",VLOOKUP("TOTAL SEM BDI - "&amp;B63,CPUAUX4!$A:$J,9,FALSE),VLOOKUP(B63,I!$A:$E,5,FALSE))</f>
        <v>1.1000000000000001</v>
      </c>
      <c r="H63" s="77"/>
      <c r="I63" s="76">
        <f>TRUNC(F63*G63,2)</f>
        <v>2.75</v>
      </c>
      <c r="J63" s="77"/>
      <c r="M63" s="23">
        <f>B63</f>
        <v>2705</v>
      </c>
      <c r="N63" s="23">
        <f>SUMIF(CPUAUX2!M:M,B62,CPUAUX2!O:O)</f>
        <v>1.3652511156</v>
      </c>
      <c r="O63" s="23">
        <f>F63*N63</f>
        <v>3.4131277889999998</v>
      </c>
      <c r="Q63" s="23">
        <f ca="1">SUMIF(CPUAUX2!M:M,B62,CPUAUX2!R:R)</f>
        <v>0.45508370520000002</v>
      </c>
      <c r="R63" s="23">
        <f ca="1">F63*Q63</f>
        <v>1.1377092630000001</v>
      </c>
    </row>
    <row r="64" spans="1:18" x14ac:dyDescent="0.3">
      <c r="A64" s="73" t="str">
        <f>"TOTAL SEM BDI - "&amp;B62</f>
        <v>TOTAL SEM BDI - 89224</v>
      </c>
      <c r="B64" s="74"/>
      <c r="C64" s="74"/>
      <c r="D64" s="74"/>
      <c r="E64" s="74"/>
      <c r="F64" s="74"/>
      <c r="G64" s="74"/>
      <c r="H64" s="75"/>
      <c r="I64" s="76">
        <f>SUM(I62:I63)</f>
        <v>2.75</v>
      </c>
      <c r="J64" s="77"/>
    </row>
    <row r="66" spans="1:18" x14ac:dyDescent="0.3">
      <c r="A66" s="4" t="s">
        <v>1000</v>
      </c>
      <c r="B66" s="4" t="s">
        <v>170</v>
      </c>
      <c r="C66" s="4" t="s">
        <v>171</v>
      </c>
      <c r="D66" s="4" t="s">
        <v>18</v>
      </c>
      <c r="E66" s="4" t="s">
        <v>172</v>
      </c>
      <c r="F66" s="4" t="s">
        <v>507</v>
      </c>
      <c r="G66" s="45" t="s">
        <v>1001</v>
      </c>
      <c r="H66" s="46"/>
      <c r="I66" s="45" t="s">
        <v>12</v>
      </c>
      <c r="J66" s="46"/>
    </row>
    <row r="67" spans="1:18" ht="60" customHeight="1" x14ac:dyDescent="0.3">
      <c r="A67" s="15" t="s">
        <v>1096</v>
      </c>
      <c r="B67" s="15">
        <v>89223</v>
      </c>
      <c r="C67" s="15" t="str">
        <f>VLOOKUP(B67,S!$A:$G,2,FALSE)</f>
        <v>SINAPI</v>
      </c>
      <c r="D67" s="22" t="str">
        <f>VLOOKUP(B67,S!$A:$G,3,FALSE)</f>
        <v>BETONEIRA CAPACIDADE NOMINAL DE 600 L, CAPACIDADE DE MISTURA 360 L, MOTOR ELÉTRICO TRIFÁSICO POTÊNCIA DE 4 CV, SEM CARREGADOR - MANUTENÇÃO. AF_05/2023</v>
      </c>
      <c r="E67" s="15" t="str">
        <f>VLOOKUP(B67,S!$A:$G,4,FALSE)</f>
        <v>H</v>
      </c>
      <c r="F67" s="15"/>
      <c r="G67" s="78">
        <f>I69</f>
        <v>1.81</v>
      </c>
      <c r="H67" s="79"/>
      <c r="I67" s="78"/>
      <c r="J67" s="79"/>
      <c r="K67" s="16">
        <f>VLOOKUP(B67,S!A:G,5,FALSE)</f>
        <v>1.81</v>
      </c>
      <c r="L67" s="15" t="str">
        <f>IF(K67=G67,"OK, CONFORME TABELA",IF(G67&gt;K67,"ACIMA DA TABELA: ","ABAIXO DA TABELA: ")&amp;TRUNC((G67*100)/K67,2)&amp;" %")</f>
        <v>OK, CONFORME TABELA</v>
      </c>
    </row>
    <row r="68" spans="1:18" ht="45" customHeight="1" x14ac:dyDescent="0.3">
      <c r="A68" s="23" t="s">
        <v>1005</v>
      </c>
      <c r="B68" s="23">
        <v>36397</v>
      </c>
      <c r="C68" s="23" t="str">
        <f>VLOOKUP(B68,IF(A68="COMPOSICAO",S!$A:$E,I!$A:$E),2,FALSE)</f>
        <v>SINAPI</v>
      </c>
      <c r="D68" s="24" t="str">
        <f>VLOOKUP(B68,IF(A68="COMPOSICAO",S!$A:$E,I!$A:$E),3,FALSE)</f>
        <v>BETONEIRA, CAPACIDADE NOMINAL 600 L, CAPACIDADE DE MISTURA 360L, MOTOR ELETRICO TRIFASICO 220/380V, POTENCIA 4CV, EXCLUSO CARREGADOR</v>
      </c>
      <c r="E68" s="23" t="str">
        <f>VLOOKUP(B68,IF(A68="COMPOSICAO",S!$A:$E,I!$A:$E),4,FALSE)</f>
        <v>UN</v>
      </c>
      <c r="F68" s="23">
        <v>6.9999999999999994E-5</v>
      </c>
      <c r="G68" s="76">
        <f>IF(A68="COMPOSICAO",VLOOKUP("TOTAL SEM BDI - "&amp;B68,CPUAUX4!$A:$J,9,FALSE),VLOOKUP(B68,I!$A:$E,5,FALSE))</f>
        <v>25983.53</v>
      </c>
      <c r="H68" s="77"/>
      <c r="I68" s="76">
        <f>TRUNC(F68*G68,2)</f>
        <v>1.81</v>
      </c>
      <c r="J68" s="77"/>
      <c r="M68" s="23">
        <f>B68</f>
        <v>36397</v>
      </c>
      <c r="N68" s="23">
        <f>SUMIF(CPUAUX2!M:M,B67,CPUAUX2!O:O)</f>
        <v>1.3652511156</v>
      </c>
      <c r="O68" s="23">
        <f>F68*N68</f>
        <v>9.5567578091999998E-5</v>
      </c>
      <c r="Q68" s="23">
        <f ca="1">SUMIF(CPUAUX2!M:M,B67,CPUAUX2!R:R)</f>
        <v>0.45508370520000002</v>
      </c>
      <c r="R68" s="23">
        <f ca="1">F68*Q68</f>
        <v>3.1855859363999997E-5</v>
      </c>
    </row>
    <row r="69" spans="1:18" x14ac:dyDescent="0.3">
      <c r="A69" s="73" t="str">
        <f>"TOTAL SEM BDI - "&amp;B67</f>
        <v>TOTAL SEM BDI - 89223</v>
      </c>
      <c r="B69" s="74"/>
      <c r="C69" s="74"/>
      <c r="D69" s="74"/>
      <c r="E69" s="74"/>
      <c r="F69" s="74"/>
      <c r="G69" s="74"/>
      <c r="H69" s="75"/>
      <c r="I69" s="76">
        <f>SUM(I67:I68)</f>
        <v>1.81</v>
      </c>
      <c r="J69" s="77"/>
    </row>
    <row r="71" spans="1:18" x14ac:dyDescent="0.3">
      <c r="A71" s="4" t="s">
        <v>1000</v>
      </c>
      <c r="B71" s="4" t="s">
        <v>170</v>
      </c>
      <c r="C71" s="4" t="s">
        <v>171</v>
      </c>
      <c r="D71" s="4" t="s">
        <v>18</v>
      </c>
      <c r="E71" s="4" t="s">
        <v>172</v>
      </c>
      <c r="F71" s="4" t="s">
        <v>507</v>
      </c>
      <c r="G71" s="45" t="s">
        <v>1001</v>
      </c>
      <c r="H71" s="46"/>
      <c r="I71" s="45" t="s">
        <v>12</v>
      </c>
      <c r="J71" s="46"/>
    </row>
    <row r="72" spans="1:18" ht="45" customHeight="1" x14ac:dyDescent="0.3">
      <c r="A72" s="15" t="s">
        <v>1096</v>
      </c>
      <c r="B72" s="15">
        <v>91689</v>
      </c>
      <c r="C72" s="15" t="str">
        <f>VLOOKUP(B72,S!$A:$G,2,FALSE)</f>
        <v>SINAPI</v>
      </c>
      <c r="D72" s="22" t="str">
        <f>VLOOKUP(B72,S!$A:$G,3,FALSE)</f>
        <v>SERRA CIRCULAR DE BANCADA COM MOTOR ELÉTRICO POTÊNCIA DE 5HP, COM COIFA PARA DISCO 10" - JUROS. AF_08/2015</v>
      </c>
      <c r="E72" s="15" t="str">
        <f>VLOOKUP(B72,S!$A:$G,4,FALSE)</f>
        <v>H</v>
      </c>
      <c r="F72" s="15"/>
      <c r="G72" s="78">
        <f>I74</f>
        <v>0.02</v>
      </c>
      <c r="H72" s="79"/>
      <c r="I72" s="78"/>
      <c r="J72" s="79"/>
      <c r="K72" s="16">
        <f>VLOOKUP(B72,S!A:G,5,FALSE)</f>
        <v>0.02</v>
      </c>
      <c r="L72" s="15" t="str">
        <f>IF(K72=G72,"OK, CONFORME TABELA",IF(G72&gt;K72,"ACIMA DA TABELA: ","ABAIXO DA TABELA: ")&amp;TRUNC((G72*100)/K72,2)&amp;" %")</f>
        <v>OK, CONFORME TABELA</v>
      </c>
    </row>
    <row r="73" spans="1:18" ht="45" customHeight="1" x14ac:dyDescent="0.3">
      <c r="A73" s="23" t="s">
        <v>1005</v>
      </c>
      <c r="B73" s="23">
        <v>14618</v>
      </c>
      <c r="C73" s="23" t="str">
        <f>VLOOKUP(B73,IF(A73="COMPOSICAO",S!$A:$E,I!$A:$E),2,FALSE)</f>
        <v>SINAPI</v>
      </c>
      <c r="D73" s="24" t="str">
        <f>VLOOKUP(B73,IF(A73="COMPOSICAO",S!$A:$E,I!$A:$E),3,FALSE)</f>
        <v>SERRA CIRCULAR DE BANCADA COM MOTOR ELETRICO, POTENCIA DE *1600* W, PARA DISCO DE DIAMETRO DE 10" (250 MM)</v>
      </c>
      <c r="E73" s="23" t="str">
        <f>VLOOKUP(B73,IF(A73="COMPOSICAO",S!$A:$E,I!$A:$E),4,FALSE)</f>
        <v>UN</v>
      </c>
      <c r="F73" s="23">
        <v>1.4800000000000001E-5</v>
      </c>
      <c r="G73" s="76">
        <f>IF(A73="COMPOSICAO",VLOOKUP("TOTAL SEM BDI - "&amp;B73,CPUAUX4!$A:$J,9,FALSE),VLOOKUP(B73,I!$A:$E,5,FALSE))</f>
        <v>1759.02</v>
      </c>
      <c r="H73" s="77"/>
      <c r="I73" s="76">
        <f>TRUNC(F73*G73,2)</f>
        <v>0.02</v>
      </c>
      <c r="J73" s="77"/>
      <c r="M73" s="23">
        <f>B73</f>
        <v>14618</v>
      </c>
      <c r="N73" s="23">
        <f>SUMIF(CPUAUX2!M:M,B72,CPUAUX2!O:O)</f>
        <v>5.2012800000000006</v>
      </c>
      <c r="O73" s="23">
        <f>F73*N73</f>
        <v>7.6978944000000016E-5</v>
      </c>
      <c r="Q73" s="23">
        <f ca="1">SUMIF(CPUAUX2!M:M,B72,CPUAUX2!R:R)</f>
        <v>1.7337599999999997</v>
      </c>
      <c r="R73" s="23">
        <f ca="1">F73*Q73</f>
        <v>2.5659647999999999E-5</v>
      </c>
    </row>
    <row r="74" spans="1:18" x14ac:dyDescent="0.3">
      <c r="A74" s="73" t="str">
        <f>"TOTAL SEM BDI - "&amp;B72</f>
        <v>TOTAL SEM BDI - 91689</v>
      </c>
      <c r="B74" s="74"/>
      <c r="C74" s="74"/>
      <c r="D74" s="74"/>
      <c r="E74" s="74"/>
      <c r="F74" s="74"/>
      <c r="G74" s="74"/>
      <c r="H74" s="75"/>
      <c r="I74" s="76">
        <f>SUM(I72:I73)</f>
        <v>0.02</v>
      </c>
      <c r="J74" s="77"/>
    </row>
    <row r="76" spans="1:18" x14ac:dyDescent="0.3">
      <c r="A76" s="4" t="s">
        <v>1000</v>
      </c>
      <c r="B76" s="4" t="s">
        <v>170</v>
      </c>
      <c r="C76" s="4" t="s">
        <v>171</v>
      </c>
      <c r="D76" s="4" t="s">
        <v>18</v>
      </c>
      <c r="E76" s="4" t="s">
        <v>172</v>
      </c>
      <c r="F76" s="4" t="s">
        <v>507</v>
      </c>
      <c r="G76" s="45" t="s">
        <v>1001</v>
      </c>
      <c r="H76" s="46"/>
      <c r="I76" s="45" t="s">
        <v>12</v>
      </c>
      <c r="J76" s="46"/>
    </row>
    <row r="77" spans="1:18" ht="45" customHeight="1" x14ac:dyDescent="0.3">
      <c r="A77" s="15" t="s">
        <v>1096</v>
      </c>
      <c r="B77" s="15">
        <v>91688</v>
      </c>
      <c r="C77" s="15" t="str">
        <f>VLOOKUP(B77,S!$A:$G,2,FALSE)</f>
        <v>SINAPI</v>
      </c>
      <c r="D77" s="22" t="str">
        <f>VLOOKUP(B77,S!$A:$G,3,FALSE)</f>
        <v>SERRA CIRCULAR DE BANCADA COM MOTOR ELÉTRICO POTÊNCIA DE 5HP, COM COIFA PARA DISCO 10" - DEPRECIAÇÃO. AF_08/2015</v>
      </c>
      <c r="E77" s="15" t="str">
        <f>VLOOKUP(B77,S!$A:$G,4,FALSE)</f>
        <v>H</v>
      </c>
      <c r="F77" s="15"/>
      <c r="G77" s="78">
        <f>I79</f>
        <v>0.12</v>
      </c>
      <c r="H77" s="79"/>
      <c r="I77" s="78"/>
      <c r="J77" s="79"/>
      <c r="K77" s="16">
        <f>VLOOKUP(B77,S!A:G,5,FALSE)</f>
        <v>0.12</v>
      </c>
      <c r="L77" s="15" t="str">
        <f>IF(K77=G77,"OK, CONFORME TABELA",IF(G77&gt;K77,"ACIMA DA TABELA: ","ABAIXO DA TABELA: ")&amp;TRUNC((G77*100)/K77,2)&amp;" %")</f>
        <v>OK, CONFORME TABELA</v>
      </c>
    </row>
    <row r="78" spans="1:18" ht="45" customHeight="1" x14ac:dyDescent="0.3">
      <c r="A78" s="23" t="s">
        <v>1005</v>
      </c>
      <c r="B78" s="23">
        <v>14618</v>
      </c>
      <c r="C78" s="23" t="str">
        <f>VLOOKUP(B78,IF(A78="COMPOSICAO",S!$A:$E,I!$A:$E),2,FALSE)</f>
        <v>SINAPI</v>
      </c>
      <c r="D78" s="24" t="str">
        <f>VLOOKUP(B78,IF(A78="COMPOSICAO",S!$A:$E,I!$A:$E),3,FALSE)</f>
        <v>SERRA CIRCULAR DE BANCADA COM MOTOR ELETRICO, POTENCIA DE *1600* W, PARA DISCO DE DIAMETRO DE 10" (250 MM)</v>
      </c>
      <c r="E78" s="23" t="str">
        <f>VLOOKUP(B78,IF(A78="COMPOSICAO",S!$A:$E,I!$A:$E),4,FALSE)</f>
        <v>UN</v>
      </c>
      <c r="F78" s="23">
        <v>7.2000000000000002E-5</v>
      </c>
      <c r="G78" s="76">
        <f>IF(A78="COMPOSICAO",VLOOKUP("TOTAL SEM BDI - "&amp;B78,CPUAUX4!$A:$J,9,FALSE),VLOOKUP(B78,I!$A:$E,5,FALSE))</f>
        <v>1759.02</v>
      </c>
      <c r="H78" s="77"/>
      <c r="I78" s="76">
        <f>TRUNC(F78*G78,2)</f>
        <v>0.12</v>
      </c>
      <c r="J78" s="77"/>
      <c r="M78" s="23">
        <f>B78</f>
        <v>14618</v>
      </c>
      <c r="N78" s="23">
        <f>SUMIF(CPUAUX2!M:M,B77,CPUAUX2!O:O)</f>
        <v>5.2012800000000006</v>
      </c>
      <c r="O78" s="23">
        <f>F78*N78</f>
        <v>3.7449216000000004E-4</v>
      </c>
      <c r="Q78" s="23">
        <f ca="1">SUMIF(CPUAUX2!M:M,B77,CPUAUX2!R:R)</f>
        <v>1.7337599999999997</v>
      </c>
      <c r="R78" s="23">
        <f ca="1">F78*Q78</f>
        <v>1.2483071999999998E-4</v>
      </c>
    </row>
    <row r="79" spans="1:18" x14ac:dyDescent="0.3">
      <c r="A79" s="73" t="str">
        <f>"TOTAL SEM BDI - "&amp;B77</f>
        <v>TOTAL SEM BDI - 91688</v>
      </c>
      <c r="B79" s="74"/>
      <c r="C79" s="74"/>
      <c r="D79" s="74"/>
      <c r="E79" s="74"/>
      <c r="F79" s="74"/>
      <c r="G79" s="74"/>
      <c r="H79" s="75"/>
      <c r="I79" s="76">
        <f>SUM(I77:I78)</f>
        <v>0.12</v>
      </c>
      <c r="J79" s="77"/>
    </row>
    <row r="81" spans="1:18" x14ac:dyDescent="0.3">
      <c r="A81" s="4" t="s">
        <v>1000</v>
      </c>
      <c r="B81" s="4" t="s">
        <v>170</v>
      </c>
      <c r="C81" s="4" t="s">
        <v>171</v>
      </c>
      <c r="D81" s="4" t="s">
        <v>18</v>
      </c>
      <c r="E81" s="4" t="s">
        <v>172</v>
      </c>
      <c r="F81" s="4" t="s">
        <v>507</v>
      </c>
      <c r="G81" s="45" t="s">
        <v>1001</v>
      </c>
      <c r="H81" s="46"/>
      <c r="I81" s="45" t="s">
        <v>12</v>
      </c>
      <c r="J81" s="46"/>
    </row>
    <row r="82" spans="1:18" ht="30" customHeight="1" x14ac:dyDescent="0.3">
      <c r="A82" s="15" t="s">
        <v>1071</v>
      </c>
      <c r="B82" s="15">
        <v>88297</v>
      </c>
      <c r="C82" s="15" t="str">
        <f>VLOOKUP(B82,S!$A:$G,2,FALSE)</f>
        <v>SINAPI</v>
      </c>
      <c r="D82" s="22" t="str">
        <f>VLOOKUP(B82,S!$A:$G,3,FALSE)</f>
        <v>OPERADOR DE MÁQUINAS E EQUIPAMENTOS COM ENCARGOS COMPLEMENTARES</v>
      </c>
      <c r="E82" s="15" t="str">
        <f>VLOOKUP(B82,S!$A:$G,4,FALSE)</f>
        <v>H</v>
      </c>
      <c r="F82" s="15"/>
      <c r="G82" s="78">
        <f>I91</f>
        <v>27.16</v>
      </c>
      <c r="H82" s="79"/>
      <c r="I82" s="78"/>
      <c r="J82" s="79"/>
      <c r="K82" s="16">
        <f>VLOOKUP(B82,S!A:G,5,FALSE)</f>
        <v>27.16</v>
      </c>
      <c r="L82" s="15" t="str">
        <f>IF(K82=G82,"OK, CONFORME TABELA",IF(G82&gt;K82,"ACIMA DA TABELA: ","ABAIXO DA TABELA: ")&amp;TRUNC((G82*100)/K82,2)&amp;" %")</f>
        <v>OK, CONFORME TABELA</v>
      </c>
    </row>
    <row r="83" spans="1:18" ht="30" customHeight="1" x14ac:dyDescent="0.3">
      <c r="A83" s="23" t="s">
        <v>1005</v>
      </c>
      <c r="B83" s="23">
        <v>43488</v>
      </c>
      <c r="C83" s="23" t="str">
        <f>VLOOKUP(B83,IF(A83="COMPOSICAO",S!$A:$E,I!$A:$E),2,FALSE)</f>
        <v>SINAPI</v>
      </c>
      <c r="D83" s="24" t="str">
        <f>VLOOKUP(B83,IF(A83="COMPOSICAO",S!$A:$E,I!$A:$E),3,FALSE)</f>
        <v>EPI - FAMILIA OPERADOR ESCAVADEIRA - HORISTA (ENCARGOS COMPLEMENTARES - COLETADO CAIXA)</v>
      </c>
      <c r="E83" s="23" t="str">
        <f>VLOOKUP(B83,IF(A83="COMPOSICAO",S!$A:$E,I!$A:$E),4,FALSE)</f>
        <v>H</v>
      </c>
      <c r="F83" s="23">
        <v>1</v>
      </c>
      <c r="G83" s="76">
        <f>IF(A83="COMPOSICAO",VLOOKUP("TOTAL SEM BDI - "&amp;B83,CPUAUX4!$A:$J,9,FALSE),VLOOKUP(B83,I!$A:$E,5,FALSE))</f>
        <v>0.89</v>
      </c>
      <c r="H83" s="77"/>
      <c r="I83" s="76">
        <f t="shared" ref="I83:I90" si="0">TRUNC(F83*G83,2)</f>
        <v>0.89</v>
      </c>
      <c r="J83" s="77"/>
      <c r="M83" s="23">
        <f t="shared" ref="M83:M90" si="1">B83</f>
        <v>43488</v>
      </c>
      <c r="N83" s="23">
        <f>SUMIF(CPUAUX2!M:M,B82,CPUAUX2!O:O)</f>
        <v>5.2012800000000006</v>
      </c>
      <c r="O83" s="23">
        <f t="shared" ref="O83:O90" si="2">F83*N83</f>
        <v>5.2012800000000006</v>
      </c>
      <c r="Q83" s="23">
        <f ca="1">SUMIF(CPUAUX2!M:M,B82,CPUAUX2!R:R)</f>
        <v>1.7337599999999997</v>
      </c>
      <c r="R83" s="23">
        <f t="shared" ref="R83:R90" ca="1" si="3">F83*Q83</f>
        <v>1.7337599999999997</v>
      </c>
    </row>
    <row r="84" spans="1:18" ht="45" customHeight="1" x14ac:dyDescent="0.3">
      <c r="A84" s="23" t="s">
        <v>1005</v>
      </c>
      <c r="B84" s="23">
        <v>43464</v>
      </c>
      <c r="C84" s="23" t="str">
        <f>VLOOKUP(B84,IF(A84="COMPOSICAO",S!$A:$E,I!$A:$E),2,FALSE)</f>
        <v>SINAPI</v>
      </c>
      <c r="D84" s="24" t="str">
        <f>VLOOKUP(B84,IF(A84="COMPOSICAO",S!$A:$E,I!$A:$E),3,FALSE)</f>
        <v>FERRAMENTAS - FAMILIA OPERADOR ESCAVADEIRA - HORISTA (ENCARGOS COMPLEMENTARES - COLETADO CAIXA)</v>
      </c>
      <c r="E84" s="23" t="str">
        <f>VLOOKUP(B84,IF(A84="COMPOSICAO",S!$A:$E,I!$A:$E),4,FALSE)</f>
        <v>H</v>
      </c>
      <c r="F84" s="23">
        <v>1</v>
      </c>
      <c r="G84" s="76">
        <f>IF(A84="COMPOSICAO",VLOOKUP("TOTAL SEM BDI - "&amp;B84,CPUAUX4!$A:$J,9,FALSE),VLOOKUP(B84,I!$A:$E,5,FALSE))</f>
        <v>0.01</v>
      </c>
      <c r="H84" s="77"/>
      <c r="I84" s="76">
        <f t="shared" si="0"/>
        <v>0.01</v>
      </c>
      <c r="J84" s="77"/>
      <c r="M84" s="23">
        <f t="shared" si="1"/>
        <v>43464</v>
      </c>
      <c r="N84" s="23">
        <f>SUMIF(CPUAUX2!M:M,B82,CPUAUX2!O:O)</f>
        <v>5.2012800000000006</v>
      </c>
      <c r="O84" s="23">
        <f t="shared" si="2"/>
        <v>5.2012800000000006</v>
      </c>
      <c r="Q84" s="23">
        <f ca="1">SUMIF(CPUAUX2!M:M,B82,CPUAUX2!R:R)</f>
        <v>1.7337599999999997</v>
      </c>
      <c r="R84" s="23">
        <f t="shared" ca="1" si="3"/>
        <v>1.7337599999999997</v>
      </c>
    </row>
    <row r="85" spans="1:18" ht="30" customHeight="1" x14ac:dyDescent="0.3">
      <c r="A85" s="23" t="s">
        <v>1005</v>
      </c>
      <c r="B85" s="23">
        <v>37373</v>
      </c>
      <c r="C85" s="23" t="str">
        <f>VLOOKUP(B85,IF(A85="COMPOSICAO",S!$A:$E,I!$A:$E),2,FALSE)</f>
        <v>SINAPI</v>
      </c>
      <c r="D85" s="24" t="str">
        <f>VLOOKUP(B85,IF(A85="COMPOSICAO",S!$A:$E,I!$A:$E),3,FALSE)</f>
        <v>SEGURO - HORISTA (COLETADO CAIXA - ENCARGOS COMPLEMENTARES)</v>
      </c>
      <c r="E85" s="23" t="str">
        <f>VLOOKUP(B85,IF(A85="COMPOSICAO",S!$A:$E,I!$A:$E),4,FALSE)</f>
        <v>H</v>
      </c>
      <c r="F85" s="23">
        <v>1</v>
      </c>
      <c r="G85" s="76">
        <f>IF(A85="COMPOSICAO",VLOOKUP("TOTAL SEM BDI - "&amp;B85,CPUAUX4!$A:$J,9,FALSE),VLOOKUP(B85,I!$A:$E,5,FALSE))</f>
        <v>0.08</v>
      </c>
      <c r="H85" s="77"/>
      <c r="I85" s="76">
        <f t="shared" si="0"/>
        <v>0.08</v>
      </c>
      <c r="J85" s="77"/>
      <c r="M85" s="23">
        <f t="shared" si="1"/>
        <v>37373</v>
      </c>
      <c r="N85" s="23">
        <f>SUMIF(CPUAUX2!M:M,B82,CPUAUX2!O:O)</f>
        <v>5.2012800000000006</v>
      </c>
      <c r="O85" s="23">
        <f t="shared" si="2"/>
        <v>5.2012800000000006</v>
      </c>
      <c r="Q85" s="23">
        <f ca="1">SUMIF(CPUAUX2!M:M,B82,CPUAUX2!R:R)</f>
        <v>1.7337599999999997</v>
      </c>
      <c r="R85" s="23">
        <f t="shared" ca="1" si="3"/>
        <v>1.7337599999999997</v>
      </c>
    </row>
    <row r="86" spans="1:18" ht="30" customHeight="1" x14ac:dyDescent="0.3">
      <c r="A86" s="23" t="s">
        <v>1005</v>
      </c>
      <c r="B86" s="23">
        <v>37372</v>
      </c>
      <c r="C86" s="23" t="str">
        <f>VLOOKUP(B86,IF(A86="COMPOSICAO",S!$A:$E,I!$A:$E),2,FALSE)</f>
        <v>SINAPI</v>
      </c>
      <c r="D86" s="24" t="str">
        <f>VLOOKUP(B86,IF(A86="COMPOSICAO",S!$A:$E,I!$A:$E),3,FALSE)</f>
        <v>EXAMES - HORISTA (COLETADO CAIXA - ENCARGOS COMPLEMENTARES)</v>
      </c>
      <c r="E86" s="23" t="str">
        <f>VLOOKUP(B86,IF(A86="COMPOSICAO",S!$A:$E,I!$A:$E),4,FALSE)</f>
        <v>H</v>
      </c>
      <c r="F86" s="23">
        <v>1</v>
      </c>
      <c r="G86" s="76">
        <f>IF(A86="COMPOSICAO",VLOOKUP("TOTAL SEM BDI - "&amp;B86,CPUAUX4!$A:$J,9,FALSE),VLOOKUP(B86,I!$A:$E,5,FALSE))</f>
        <v>1.43</v>
      </c>
      <c r="H86" s="77"/>
      <c r="I86" s="76">
        <f t="shared" si="0"/>
        <v>1.43</v>
      </c>
      <c r="J86" s="77"/>
      <c r="M86" s="23">
        <f t="shared" si="1"/>
        <v>37372</v>
      </c>
      <c r="N86" s="23">
        <f>SUMIF(CPUAUX2!M:M,B82,CPUAUX2!O:O)</f>
        <v>5.2012800000000006</v>
      </c>
      <c r="O86" s="23">
        <f t="shared" si="2"/>
        <v>5.2012800000000006</v>
      </c>
      <c r="Q86" s="23">
        <f ca="1">SUMIF(CPUAUX2!M:M,B82,CPUAUX2!R:R)</f>
        <v>1.7337599999999997</v>
      </c>
      <c r="R86" s="23">
        <f t="shared" ca="1" si="3"/>
        <v>1.7337599999999997</v>
      </c>
    </row>
    <row r="87" spans="1:18" ht="30" customHeight="1" x14ac:dyDescent="0.3">
      <c r="A87" s="23" t="s">
        <v>1005</v>
      </c>
      <c r="B87" s="23">
        <v>37371</v>
      </c>
      <c r="C87" s="23" t="str">
        <f>VLOOKUP(B87,IF(A87="COMPOSICAO",S!$A:$E,I!$A:$E),2,FALSE)</f>
        <v>SINAPI</v>
      </c>
      <c r="D87" s="24" t="str">
        <f>VLOOKUP(B87,IF(A87="COMPOSICAO",S!$A:$E,I!$A:$E),3,FALSE)</f>
        <v>TRANSPORTE - HORISTA (COLETADO CAIXA - ENCARGOS COMPLEMENTARES)</v>
      </c>
      <c r="E87" s="23" t="str">
        <f>VLOOKUP(B87,IF(A87="COMPOSICAO",S!$A:$E,I!$A:$E),4,FALSE)</f>
        <v>H</v>
      </c>
      <c r="F87" s="23">
        <v>1</v>
      </c>
      <c r="G87" s="76">
        <f>IF(A87="COMPOSICAO",VLOOKUP("TOTAL SEM BDI - "&amp;B87,CPUAUX4!$A:$J,9,FALSE),VLOOKUP(B87,I!$A:$E,5,FALSE))</f>
        <v>0.56999999999999995</v>
      </c>
      <c r="H87" s="77"/>
      <c r="I87" s="76">
        <f t="shared" si="0"/>
        <v>0.56999999999999995</v>
      </c>
      <c r="J87" s="77"/>
      <c r="M87" s="23">
        <f t="shared" si="1"/>
        <v>37371</v>
      </c>
      <c r="N87" s="23">
        <f>SUMIF(CPUAUX2!M:M,B82,CPUAUX2!O:O)</f>
        <v>5.2012800000000006</v>
      </c>
      <c r="O87" s="23">
        <f t="shared" si="2"/>
        <v>5.2012800000000006</v>
      </c>
      <c r="Q87" s="23">
        <f ca="1">SUMIF(CPUAUX2!M:M,B82,CPUAUX2!R:R)</f>
        <v>1.7337599999999997</v>
      </c>
      <c r="R87" s="23">
        <f t="shared" ca="1" si="3"/>
        <v>1.7337599999999997</v>
      </c>
    </row>
    <row r="88" spans="1:18" ht="30" customHeight="1" x14ac:dyDescent="0.3">
      <c r="A88" s="23" t="s">
        <v>1005</v>
      </c>
      <c r="B88" s="23">
        <v>37370</v>
      </c>
      <c r="C88" s="23" t="str">
        <f>VLOOKUP(B88,IF(A88="COMPOSICAO",S!$A:$E,I!$A:$E),2,FALSE)</f>
        <v>SINAPI</v>
      </c>
      <c r="D88" s="24" t="str">
        <f>VLOOKUP(B88,IF(A88="COMPOSICAO",S!$A:$E,I!$A:$E),3,FALSE)</f>
        <v>ALIMENTACAO - HORISTA (COLETADO CAIXA - ENCARGOS COMPLEMENTARES)</v>
      </c>
      <c r="E88" s="23" t="str">
        <f>VLOOKUP(B88,IF(A88="COMPOSICAO",S!$A:$E,I!$A:$E),4,FALSE)</f>
        <v>H</v>
      </c>
      <c r="F88" s="23">
        <v>1</v>
      </c>
      <c r="G88" s="76">
        <f>IF(A88="COMPOSICAO",VLOOKUP("TOTAL SEM BDI - "&amp;B88,CPUAUX4!$A:$J,9,FALSE),VLOOKUP(B88,I!$A:$E,5,FALSE))</f>
        <v>2.46</v>
      </c>
      <c r="H88" s="77"/>
      <c r="I88" s="76">
        <f t="shared" si="0"/>
        <v>2.46</v>
      </c>
      <c r="J88" s="77"/>
      <c r="M88" s="23">
        <f t="shared" si="1"/>
        <v>37370</v>
      </c>
      <c r="N88" s="23">
        <f>SUMIF(CPUAUX2!M:M,B82,CPUAUX2!O:O)</f>
        <v>5.2012800000000006</v>
      </c>
      <c r="O88" s="23">
        <f t="shared" si="2"/>
        <v>5.2012800000000006</v>
      </c>
      <c r="Q88" s="23">
        <f ca="1">SUMIF(CPUAUX2!M:M,B82,CPUAUX2!R:R)</f>
        <v>1.7337599999999997</v>
      </c>
      <c r="R88" s="23">
        <f t="shared" ca="1" si="3"/>
        <v>1.7337599999999997</v>
      </c>
    </row>
    <row r="89" spans="1:18" ht="30" customHeight="1" x14ac:dyDescent="0.3">
      <c r="A89" s="23" t="s">
        <v>1005</v>
      </c>
      <c r="B89" s="23">
        <v>4230</v>
      </c>
      <c r="C89" s="23" t="str">
        <f>VLOOKUP(B89,IF(A89="COMPOSICAO",S!$A:$E,I!$A:$E),2,FALSE)</f>
        <v>SINAPI</v>
      </c>
      <c r="D89" s="24" t="str">
        <f>VLOOKUP(B89,IF(A89="COMPOSICAO",S!$A:$E,I!$A:$E),3,FALSE)</f>
        <v>OPERADOR DE MAQUINAS E TRATORES DIVERSOS - TERRAPLANAGEM (HORISTA)</v>
      </c>
      <c r="E89" s="23" t="str">
        <f>VLOOKUP(B89,IF(A89="COMPOSICAO",S!$A:$E,I!$A:$E),4,FALSE)</f>
        <v>H</v>
      </c>
      <c r="F89" s="23">
        <v>1</v>
      </c>
      <c r="G89" s="76">
        <f>IF(A89="COMPOSICAO",VLOOKUP("TOTAL SEM BDI - "&amp;B89,CPUAUX4!$A:$J,9,FALSE),VLOOKUP(B89,I!$A:$E,5,FALSE))</f>
        <v>21.48</v>
      </c>
      <c r="H89" s="77"/>
      <c r="I89" s="76">
        <f t="shared" si="0"/>
        <v>21.48</v>
      </c>
      <c r="J89" s="77"/>
      <c r="M89" s="23">
        <f t="shared" si="1"/>
        <v>4230</v>
      </c>
      <c r="N89" s="23">
        <f>SUMIF(CPUAUX2!M:M,B82,CPUAUX2!O:O)</f>
        <v>5.2012800000000006</v>
      </c>
      <c r="O89" s="23">
        <f t="shared" si="2"/>
        <v>5.2012800000000006</v>
      </c>
      <c r="Q89" s="23">
        <f ca="1">SUMIF(CPUAUX2!M:M,B82,CPUAUX2!R:R)</f>
        <v>1.7337599999999997</v>
      </c>
      <c r="R89" s="23">
        <f t="shared" ca="1" si="3"/>
        <v>1.7337599999999997</v>
      </c>
    </row>
    <row r="90" spans="1:18" ht="45" customHeight="1" x14ac:dyDescent="0.3">
      <c r="A90" s="23" t="s">
        <v>1004</v>
      </c>
      <c r="B90" s="23">
        <v>95360</v>
      </c>
      <c r="C90" s="23" t="str">
        <f>VLOOKUP(B90,IF(A90="COMPOSICAO",S!$A:$E,I!$A:$E),2,FALSE)</f>
        <v>SINAPI</v>
      </c>
      <c r="D90" s="24" t="str">
        <f>VLOOKUP(B90,IF(A90="COMPOSICAO",S!$A:$E,I!$A:$E),3,FALSE)</f>
        <v>CURSO DE CAPACITAÇÃO PARA OPERADOR DE MÁQUINAS E EQUIPAMENTOS (ENCARGOS COMPLEMENTARES) - HORISTA</v>
      </c>
      <c r="E90" s="23" t="str">
        <f>VLOOKUP(B90,IF(A90="COMPOSICAO",S!$A:$E,I!$A:$E),4,FALSE)</f>
        <v>H</v>
      </c>
      <c r="F90" s="23">
        <v>1</v>
      </c>
      <c r="G90" s="76">
        <f>IF(A90="COMPOSICAO",VLOOKUP("TOTAL SEM BDI - "&amp;B90,CPUAUX4!$A:$J,9,FALSE),VLOOKUP(B90,I!$A:$E,5,FALSE))</f>
        <v>0.24</v>
      </c>
      <c r="H90" s="77"/>
      <c r="I90" s="76">
        <f t="shared" si="0"/>
        <v>0.24</v>
      </c>
      <c r="J90" s="77"/>
      <c r="M90" s="23">
        <f t="shared" si="1"/>
        <v>95360</v>
      </c>
      <c r="N90" s="23">
        <f>SUMIF(CPUAUX2!M:M,B82,CPUAUX2!O:O)</f>
        <v>5.2012800000000006</v>
      </c>
      <c r="O90" s="23">
        <f t="shared" si="2"/>
        <v>5.2012800000000006</v>
      </c>
      <c r="Q90" s="23">
        <f ca="1">SUMIF(CPUAUX2!M:M,B82,CPUAUX2!R:R)</f>
        <v>1.7337599999999997</v>
      </c>
      <c r="R90" s="23">
        <f t="shared" ca="1" si="3"/>
        <v>1.7337599999999997</v>
      </c>
    </row>
    <row r="91" spans="1:18" x14ac:dyDescent="0.3">
      <c r="A91" s="73" t="str">
        <f>"TOTAL SEM BDI - "&amp;B82</f>
        <v>TOTAL SEM BDI - 88297</v>
      </c>
      <c r="B91" s="74"/>
      <c r="C91" s="74"/>
      <c r="D91" s="74"/>
      <c r="E91" s="74"/>
      <c r="F91" s="74"/>
      <c r="G91" s="74"/>
      <c r="H91" s="75"/>
      <c r="I91" s="76">
        <f>SUM(I82:I90)</f>
        <v>27.16</v>
      </c>
      <c r="J91" s="77"/>
    </row>
    <row r="93" spans="1:18" x14ac:dyDescent="0.3">
      <c r="A93" s="4" t="s">
        <v>1000</v>
      </c>
      <c r="B93" s="4" t="s">
        <v>170</v>
      </c>
      <c r="C93" s="4" t="s">
        <v>171</v>
      </c>
      <c r="D93" s="4" t="s">
        <v>18</v>
      </c>
      <c r="E93" s="4" t="s">
        <v>172</v>
      </c>
      <c r="F93" s="4" t="s">
        <v>507</v>
      </c>
      <c r="G93" s="45" t="s">
        <v>1001</v>
      </c>
      <c r="H93" s="46"/>
      <c r="I93" s="45" t="s">
        <v>12</v>
      </c>
      <c r="J93" s="46"/>
    </row>
    <row r="94" spans="1:18" ht="45" customHeight="1" x14ac:dyDescent="0.3">
      <c r="A94" s="15" t="s">
        <v>1096</v>
      </c>
      <c r="B94" s="15">
        <v>91691</v>
      </c>
      <c r="C94" s="15" t="str">
        <f>VLOOKUP(B94,S!$A:$G,2,FALSE)</f>
        <v>SINAPI</v>
      </c>
      <c r="D94" s="22" t="str">
        <f>VLOOKUP(B94,S!$A:$G,3,FALSE)</f>
        <v>SERRA CIRCULAR DE BANCADA COM MOTOR ELÉTRICO POTÊNCIA DE 5HP, COM COIFA PARA DISCO 10" - MATERIAIS NA OPERAÇÃO. AF_08/2015</v>
      </c>
      <c r="E94" s="15" t="str">
        <f>VLOOKUP(B94,S!$A:$G,4,FALSE)</f>
        <v>H</v>
      </c>
      <c r="F94" s="15"/>
      <c r="G94" s="78">
        <f>I96</f>
        <v>1.49</v>
      </c>
      <c r="H94" s="79"/>
      <c r="I94" s="78"/>
      <c r="J94" s="79"/>
      <c r="K94" s="16">
        <f>VLOOKUP(B94,S!A:G,5,FALSE)</f>
        <v>1.49</v>
      </c>
      <c r="L94" s="15" t="str">
        <f>IF(K94=G94,"OK, CONFORME TABELA",IF(G94&gt;K94,"ACIMA DA TABELA: ","ABAIXO DA TABELA: ")&amp;TRUNC((G94*100)/K94,2)&amp;" %")</f>
        <v>OK, CONFORME TABELA</v>
      </c>
    </row>
    <row r="95" spans="1:18" ht="30" customHeight="1" x14ac:dyDescent="0.3">
      <c r="A95" s="23" t="s">
        <v>1005</v>
      </c>
      <c r="B95" s="23">
        <v>2705</v>
      </c>
      <c r="C95" s="23" t="str">
        <f>VLOOKUP(B95,IF(A95="COMPOSICAO",S!$A:$E,I!$A:$E),2,FALSE)</f>
        <v>SINAPI</v>
      </c>
      <c r="D95" s="24" t="str">
        <f>VLOOKUP(B95,IF(A95="COMPOSICAO",S!$A:$E,I!$A:$E),3,FALSE)</f>
        <v>ENERGIA ELETRICA ATE 2000 KWH INDUSTRIAL, SEM DEMANDA</v>
      </c>
      <c r="E95" s="23" t="str">
        <f>VLOOKUP(B95,IF(A95="COMPOSICAO",S!$A:$E,I!$A:$E),4,FALSE)</f>
        <v>KWH</v>
      </c>
      <c r="F95" s="23">
        <v>1.36</v>
      </c>
      <c r="G95" s="76">
        <f>IF(A95="COMPOSICAO",VLOOKUP("TOTAL SEM BDI - "&amp;B95,CPUAUX4!$A:$J,9,FALSE),VLOOKUP(B95,I!$A:$E,5,FALSE))</f>
        <v>1.1000000000000001</v>
      </c>
      <c r="H95" s="77"/>
      <c r="I95" s="76">
        <f>TRUNC(F95*G95,2)</f>
        <v>1.49</v>
      </c>
      <c r="J95" s="77"/>
      <c r="M95" s="23">
        <f>B95</f>
        <v>2705</v>
      </c>
      <c r="N95" s="23">
        <f>SUMIF(CPUAUX2!M:M,B94,CPUAUX2!O:O)</f>
        <v>1.0402560000000001</v>
      </c>
      <c r="O95" s="23">
        <f>F95*N95</f>
        <v>1.4147481600000003</v>
      </c>
      <c r="Q95" s="23">
        <f ca="1">SUMIF(CPUAUX2!M:M,B94,CPUAUX2!R:R)</f>
        <v>0.34675199999999995</v>
      </c>
      <c r="R95" s="23">
        <f ca="1">F95*Q95</f>
        <v>0.47158271999999996</v>
      </c>
    </row>
    <row r="96" spans="1:18" x14ac:dyDescent="0.3">
      <c r="A96" s="73" t="str">
        <f>"TOTAL SEM BDI - "&amp;B94</f>
        <v>TOTAL SEM BDI - 91691</v>
      </c>
      <c r="B96" s="74"/>
      <c r="C96" s="74"/>
      <c r="D96" s="74"/>
      <c r="E96" s="74"/>
      <c r="F96" s="74"/>
      <c r="G96" s="74"/>
      <c r="H96" s="75"/>
      <c r="I96" s="76">
        <f>SUM(I94:I95)</f>
        <v>1.49</v>
      </c>
      <c r="J96" s="77"/>
    </row>
    <row r="98" spans="1:18" x14ac:dyDescent="0.3">
      <c r="A98" s="4" t="s">
        <v>1000</v>
      </c>
      <c r="B98" s="4" t="s">
        <v>170</v>
      </c>
      <c r="C98" s="4" t="s">
        <v>171</v>
      </c>
      <c r="D98" s="4" t="s">
        <v>18</v>
      </c>
      <c r="E98" s="4" t="s">
        <v>172</v>
      </c>
      <c r="F98" s="4" t="s">
        <v>507</v>
      </c>
      <c r="G98" s="45" t="s">
        <v>1001</v>
      </c>
      <c r="H98" s="46"/>
      <c r="I98" s="45" t="s">
        <v>12</v>
      </c>
      <c r="J98" s="46"/>
    </row>
    <row r="99" spans="1:18" ht="45" customHeight="1" x14ac:dyDescent="0.3">
      <c r="A99" s="15" t="s">
        <v>1096</v>
      </c>
      <c r="B99" s="15">
        <v>91690</v>
      </c>
      <c r="C99" s="15" t="str">
        <f>VLOOKUP(B99,S!$A:$G,2,FALSE)</f>
        <v>SINAPI</v>
      </c>
      <c r="D99" s="22" t="str">
        <f>VLOOKUP(B99,S!$A:$G,3,FALSE)</f>
        <v>SERRA CIRCULAR DE BANCADA COM MOTOR ELÉTRICO POTÊNCIA DE 5HP, COM COIFA PARA DISCO 10" - MANUTENÇÃO. AF_08/2015</v>
      </c>
      <c r="E99" s="15" t="str">
        <f>VLOOKUP(B99,S!$A:$G,4,FALSE)</f>
        <v>H</v>
      </c>
      <c r="F99" s="15"/>
      <c r="G99" s="78">
        <f>I101</f>
        <v>0.08</v>
      </c>
      <c r="H99" s="79"/>
      <c r="I99" s="78"/>
      <c r="J99" s="79"/>
      <c r="K99" s="16">
        <f>VLOOKUP(B99,S!A:G,5,FALSE)</f>
        <v>0.08</v>
      </c>
      <c r="L99" s="15" t="str">
        <f>IF(K99=G99,"OK, CONFORME TABELA",IF(G99&gt;K99,"ACIMA DA TABELA: ","ABAIXO DA TABELA: ")&amp;TRUNC((G99*100)/K99,2)&amp;" %")</f>
        <v>OK, CONFORME TABELA</v>
      </c>
    </row>
    <row r="100" spans="1:18" ht="45" customHeight="1" x14ac:dyDescent="0.3">
      <c r="A100" s="23" t="s">
        <v>1005</v>
      </c>
      <c r="B100" s="23">
        <v>14618</v>
      </c>
      <c r="C100" s="23" t="str">
        <f>VLOOKUP(B100,IF(A100="COMPOSICAO",S!$A:$E,I!$A:$E),2,FALSE)</f>
        <v>SINAPI</v>
      </c>
      <c r="D100" s="24" t="str">
        <f>VLOOKUP(B100,IF(A100="COMPOSICAO",S!$A:$E,I!$A:$E),3,FALSE)</f>
        <v>SERRA CIRCULAR DE BANCADA COM MOTOR ELETRICO, POTENCIA DE *1600* W, PARA DISCO DE DIAMETRO DE 10" (250 MM)</v>
      </c>
      <c r="E100" s="23" t="str">
        <f>VLOOKUP(B100,IF(A100="COMPOSICAO",S!$A:$E,I!$A:$E),4,FALSE)</f>
        <v>UN</v>
      </c>
      <c r="F100" s="23">
        <v>5.0000000000000002E-5</v>
      </c>
      <c r="G100" s="76">
        <f>IF(A100="COMPOSICAO",VLOOKUP("TOTAL SEM BDI - "&amp;B100,CPUAUX4!$A:$J,9,FALSE),VLOOKUP(B100,I!$A:$E,5,FALSE))</f>
        <v>1759.02</v>
      </c>
      <c r="H100" s="77"/>
      <c r="I100" s="76">
        <f>TRUNC(F100*G100,2)</f>
        <v>0.08</v>
      </c>
      <c r="J100" s="77"/>
      <c r="M100" s="23">
        <f>B100</f>
        <v>14618</v>
      </c>
      <c r="N100" s="23">
        <f>SUMIF(CPUAUX2!M:M,B99,CPUAUX2!O:O)</f>
        <v>1.0402560000000001</v>
      </c>
      <c r="O100" s="23">
        <f>F100*N100</f>
        <v>5.2012800000000005E-5</v>
      </c>
      <c r="Q100" s="23">
        <f ca="1">SUMIF(CPUAUX2!M:M,B99,CPUAUX2!R:R)</f>
        <v>0.34675199999999995</v>
      </c>
      <c r="R100" s="23">
        <f ca="1">F100*Q100</f>
        <v>1.7337599999999998E-5</v>
      </c>
    </row>
    <row r="101" spans="1:18" x14ac:dyDescent="0.3">
      <c r="A101" s="73" t="str">
        <f>"TOTAL SEM BDI - "&amp;B99</f>
        <v>TOTAL SEM BDI - 91690</v>
      </c>
      <c r="B101" s="74"/>
      <c r="C101" s="74"/>
      <c r="D101" s="74"/>
      <c r="E101" s="74"/>
      <c r="F101" s="74"/>
      <c r="G101" s="74"/>
      <c r="H101" s="75"/>
      <c r="I101" s="76">
        <f>SUM(I99:I100)</f>
        <v>0.08</v>
      </c>
      <c r="J101" s="77"/>
    </row>
    <row r="103" spans="1:18" x14ac:dyDescent="0.3">
      <c r="A103" s="4" t="s">
        <v>1000</v>
      </c>
      <c r="B103" s="4" t="s">
        <v>170</v>
      </c>
      <c r="C103" s="4" t="s">
        <v>171</v>
      </c>
      <c r="D103" s="4" t="s">
        <v>18</v>
      </c>
      <c r="E103" s="4" t="s">
        <v>172</v>
      </c>
      <c r="F103" s="4" t="s">
        <v>507</v>
      </c>
      <c r="G103" s="45" t="s">
        <v>1001</v>
      </c>
      <c r="H103" s="46"/>
      <c r="I103" s="45" t="s">
        <v>12</v>
      </c>
      <c r="J103" s="46"/>
    </row>
    <row r="104" spans="1:18" ht="30" customHeight="1" x14ac:dyDescent="0.3">
      <c r="A104" s="15" t="s">
        <v>1071</v>
      </c>
      <c r="B104" s="15">
        <v>95314</v>
      </c>
      <c r="C104" s="15" t="str">
        <f>VLOOKUP(B104,S!$A:$G,2,FALSE)</f>
        <v>SINAPI</v>
      </c>
      <c r="D104" s="22" t="str">
        <f>VLOOKUP(B104,S!$A:$G,3,FALSE)</f>
        <v>CURSO DE CAPACITAÇÃO PARA ARMADOR (ENCARGOS COMPLEMENTARES) - HORISTA</v>
      </c>
      <c r="E104" s="15" t="str">
        <f>VLOOKUP(B104,S!$A:$G,4,FALSE)</f>
        <v>H</v>
      </c>
      <c r="F104" s="15"/>
      <c r="G104" s="78">
        <f>I106</f>
        <v>0.23</v>
      </c>
      <c r="H104" s="79"/>
      <c r="I104" s="78"/>
      <c r="J104" s="79"/>
      <c r="K104" s="16">
        <f>VLOOKUP(B104,S!A:G,5,FALSE)</f>
        <v>0.23</v>
      </c>
      <c r="L104" s="15" t="str">
        <f>IF(K104=G104,"OK, CONFORME TABELA",IF(G104&gt;K104,"ACIMA DA TABELA: ","ABAIXO DA TABELA: ")&amp;TRUNC((G104*100)/K104,2)&amp;" %")</f>
        <v>OK, CONFORME TABELA</v>
      </c>
    </row>
    <row r="105" spans="1:18" x14ac:dyDescent="0.3">
      <c r="A105" s="23" t="s">
        <v>1005</v>
      </c>
      <c r="B105" s="23">
        <v>378</v>
      </c>
      <c r="C105" s="23" t="str">
        <f>VLOOKUP(B105,IF(A105="COMPOSICAO",S!$A:$E,I!$A:$E),2,FALSE)</f>
        <v>SINAPI</v>
      </c>
      <c r="D105" s="24" t="str">
        <f>VLOOKUP(B105,IF(A105="COMPOSICAO",S!$A:$E,I!$A:$E),3,FALSE)</f>
        <v>ARMADOR (HORISTA)</v>
      </c>
      <c r="E105" s="23" t="str">
        <f>VLOOKUP(B105,IF(A105="COMPOSICAO",S!$A:$E,I!$A:$E),4,FALSE)</f>
        <v>H</v>
      </c>
      <c r="F105" s="23">
        <v>1.154E-2</v>
      </c>
      <c r="G105" s="76">
        <f>IF(A105="COMPOSICAO",VLOOKUP("TOTAL SEM BDI - "&amp;B105,CPUAUX4!$A:$J,9,FALSE),VLOOKUP(B105,I!$A:$E,5,FALSE))</f>
        <v>20.329999999999998</v>
      </c>
      <c r="H105" s="77"/>
      <c r="I105" s="76">
        <f>TRUNC(F105*G105,2)</f>
        <v>0.23</v>
      </c>
      <c r="J105" s="77"/>
      <c r="M105" s="23">
        <f>B105</f>
        <v>378</v>
      </c>
      <c r="N105" s="23">
        <f>SUMIF(CPUAUX2!M:M,B104,CPUAUX2!O:O)</f>
        <v>4.6575394200000009</v>
      </c>
      <c r="O105" s="23">
        <f>F105*N105</f>
        <v>5.3748004906800012E-2</v>
      </c>
      <c r="Q105" s="23">
        <f ca="1">SUMIF(CPUAUX2!M:M,B104,CPUAUX2!R:R)</f>
        <v>1.5525131400000001</v>
      </c>
      <c r="R105" s="23">
        <f ca="1">F105*Q105</f>
        <v>1.7916001635600001E-2</v>
      </c>
    </row>
    <row r="106" spans="1:18" x14ac:dyDescent="0.3">
      <c r="A106" s="73" t="str">
        <f>"TOTAL SEM BDI - "&amp;B104</f>
        <v>TOTAL SEM BDI - 95314</v>
      </c>
      <c r="B106" s="74"/>
      <c r="C106" s="74"/>
      <c r="D106" s="74"/>
      <c r="E106" s="74"/>
      <c r="F106" s="74"/>
      <c r="G106" s="74"/>
      <c r="H106" s="75"/>
      <c r="I106" s="76">
        <f>SUM(I104:I105)</f>
        <v>0.23</v>
      </c>
      <c r="J106" s="77"/>
    </row>
    <row r="108" spans="1:18" x14ac:dyDescent="0.3">
      <c r="A108" s="4" t="s">
        <v>1000</v>
      </c>
      <c r="B108" s="4" t="s">
        <v>170</v>
      </c>
      <c r="C108" s="4" t="s">
        <v>171</v>
      </c>
      <c r="D108" s="4" t="s">
        <v>18</v>
      </c>
      <c r="E108" s="4" t="s">
        <v>172</v>
      </c>
      <c r="F108" s="4" t="s">
        <v>507</v>
      </c>
      <c r="G108" s="45" t="s">
        <v>1001</v>
      </c>
      <c r="H108" s="46"/>
      <c r="I108" s="45" t="s">
        <v>12</v>
      </c>
      <c r="J108" s="46"/>
    </row>
    <row r="109" spans="1:18" ht="30" customHeight="1" x14ac:dyDescent="0.3">
      <c r="A109" s="15" t="s">
        <v>1071</v>
      </c>
      <c r="B109" s="15">
        <v>95308</v>
      </c>
      <c r="C109" s="15" t="str">
        <f>VLOOKUP(B109,S!$A:$G,2,FALSE)</f>
        <v>SINAPI</v>
      </c>
      <c r="D109" s="22" t="str">
        <f>VLOOKUP(B109,S!$A:$G,3,FALSE)</f>
        <v>CURSO DE CAPACITAÇÃO PARA AJUDANTE DE ARMADOR (ENCARGOS COMPLEMENTARES) - HORISTA</v>
      </c>
      <c r="E109" s="15" t="str">
        <f>VLOOKUP(B109,S!$A:$G,4,FALSE)</f>
        <v>H</v>
      </c>
      <c r="F109" s="15"/>
      <c r="G109" s="78">
        <f>I111</f>
        <v>0.17</v>
      </c>
      <c r="H109" s="79"/>
      <c r="I109" s="78"/>
      <c r="J109" s="79"/>
      <c r="K109" s="16">
        <f>VLOOKUP(B109,S!A:G,5,FALSE)</f>
        <v>0.17</v>
      </c>
      <c r="L109" s="15" t="str">
        <f>IF(K109=G109,"OK, CONFORME TABELA",IF(G109&gt;K109,"ACIMA DA TABELA: ","ABAIXO DA TABELA: ")&amp;TRUNC((G109*100)/K109,2)&amp;" %")</f>
        <v>OK, CONFORME TABELA</v>
      </c>
    </row>
    <row r="110" spans="1:18" x14ac:dyDescent="0.3">
      <c r="A110" s="23" t="s">
        <v>1005</v>
      </c>
      <c r="B110" s="23">
        <v>6114</v>
      </c>
      <c r="C110" s="23" t="str">
        <f>VLOOKUP(B110,IF(A110="COMPOSICAO",S!$A:$E,I!$A:$E),2,FALSE)</f>
        <v>SINAPI</v>
      </c>
      <c r="D110" s="24" t="str">
        <f>VLOOKUP(B110,IF(A110="COMPOSICAO",S!$A:$E,I!$A:$E),3,FALSE)</f>
        <v>AJUDANTE DE ARMADOR (HORISTA)</v>
      </c>
      <c r="E110" s="23" t="str">
        <f>VLOOKUP(B110,IF(A110="COMPOSICAO",S!$A:$E,I!$A:$E),4,FALSE)</f>
        <v>H</v>
      </c>
      <c r="F110" s="23">
        <v>1.154E-2</v>
      </c>
      <c r="G110" s="76">
        <f>IF(A110="COMPOSICAO",VLOOKUP("TOTAL SEM BDI - "&amp;B110,CPUAUX4!$A:$J,9,FALSE),VLOOKUP(B110,I!$A:$E,5,FALSE))</f>
        <v>15.57</v>
      </c>
      <c r="H110" s="77"/>
      <c r="I110" s="76">
        <f>TRUNC(F110*G110,2)</f>
        <v>0.17</v>
      </c>
      <c r="J110" s="77"/>
      <c r="M110" s="23">
        <f>B110</f>
        <v>6114</v>
      </c>
      <c r="N110" s="23">
        <f>SUMIF(CPUAUX2!M:M,B109,CPUAUX2!O:O)</f>
        <v>0.97301875199999988</v>
      </c>
      <c r="O110" s="23">
        <f>F110*N110</f>
        <v>1.1228636398079998E-2</v>
      </c>
      <c r="Q110" s="23">
        <f ca="1">SUMIF(CPUAUX2!M:M,B109,CPUAUX2!R:R)</f>
        <v>0.32433958400000007</v>
      </c>
      <c r="R110" s="23">
        <f ca="1">F110*Q110</f>
        <v>3.7428787993600008E-3</v>
      </c>
    </row>
    <row r="111" spans="1:18" x14ac:dyDescent="0.3">
      <c r="A111" s="73" t="str">
        <f>"TOTAL SEM BDI - "&amp;B109</f>
        <v>TOTAL SEM BDI - 95308</v>
      </c>
      <c r="B111" s="74"/>
      <c r="C111" s="74"/>
      <c r="D111" s="74"/>
      <c r="E111" s="74"/>
      <c r="F111" s="74"/>
      <c r="G111" s="74"/>
      <c r="H111" s="75"/>
      <c r="I111" s="76">
        <f>SUM(I109:I110)</f>
        <v>0.17</v>
      </c>
      <c r="J111" s="77"/>
    </row>
    <row r="113" spans="1:18" x14ac:dyDescent="0.3">
      <c r="A113" s="4" t="s">
        <v>1000</v>
      </c>
      <c r="B113" s="4" t="s">
        <v>170</v>
      </c>
      <c r="C113" s="4" t="s">
        <v>171</v>
      </c>
      <c r="D113" s="4" t="s">
        <v>18</v>
      </c>
      <c r="E113" s="4" t="s">
        <v>172</v>
      </c>
      <c r="F113" s="4" t="s">
        <v>507</v>
      </c>
      <c r="G113" s="45" t="s">
        <v>1001</v>
      </c>
      <c r="H113" s="46"/>
      <c r="I113" s="45" t="s">
        <v>12</v>
      </c>
      <c r="J113" s="46"/>
    </row>
    <row r="114" spans="1:18" ht="45" customHeight="1" x14ac:dyDescent="0.3">
      <c r="A114" s="15" t="s">
        <v>1096</v>
      </c>
      <c r="B114" s="15">
        <v>90583</v>
      </c>
      <c r="C114" s="15" t="str">
        <f>VLOOKUP(B114,S!$A:$G,2,FALSE)</f>
        <v>SINAPI</v>
      </c>
      <c r="D114" s="22" t="str">
        <f>VLOOKUP(B114,S!$A:$G,3,FALSE)</f>
        <v>VIBRADOR DE IMERSÃO, DIÂMETRO DE PONTEIRA 45MM, MOTOR ELÉTRICO TRIFÁSICO POTÊNCIA DE 2 CV - JUROS. AF_06/2015</v>
      </c>
      <c r="E114" s="15" t="str">
        <f>VLOOKUP(B114,S!$A:$G,4,FALSE)</f>
        <v>H</v>
      </c>
      <c r="F114" s="15"/>
      <c r="G114" s="78">
        <f>I116</f>
        <v>0.09</v>
      </c>
      <c r="H114" s="79"/>
      <c r="I114" s="78"/>
      <c r="J114" s="79"/>
      <c r="K114" s="16">
        <f>VLOOKUP(B114,S!A:G,5,FALSE)</f>
        <v>0.09</v>
      </c>
      <c r="L114" s="15" t="str">
        <f>IF(K114=G114,"OK, CONFORME TABELA",IF(G114&gt;K114,"ACIMA DA TABELA: ","ABAIXO DA TABELA: ")&amp;TRUNC((G114*100)/K114,2)&amp;" %")</f>
        <v>OK, CONFORME TABELA</v>
      </c>
    </row>
    <row r="115" spans="1:18" ht="45" customHeight="1" x14ac:dyDescent="0.3">
      <c r="A115" s="23" t="s">
        <v>1005</v>
      </c>
      <c r="B115" s="23">
        <v>13896</v>
      </c>
      <c r="C115" s="23" t="str">
        <f>VLOOKUP(B115,IF(A115="COMPOSICAO",S!$A:$E,I!$A:$E),2,FALSE)</f>
        <v>SINAPI</v>
      </c>
      <c r="D115" s="24" t="str">
        <f>VLOOKUP(B115,IF(A115="COMPOSICAO",S!$A:$E,I!$A:$E),3,FALSE)</f>
        <v>VIBRADOR DE IMERSAO, DIAMETRO DA PONTEIRA DE *45* MM, COM MOTOR ELETRICO TRIFASICO DE 2 HP (2 CV)</v>
      </c>
      <c r="E115" s="23" t="str">
        <f>VLOOKUP(B115,IF(A115="COMPOSICAO",S!$A:$E,I!$A:$E),4,FALSE)</f>
        <v>UN</v>
      </c>
      <c r="F115" s="23">
        <v>2.9600000000000001E-5</v>
      </c>
      <c r="G115" s="76">
        <f>IF(A115="COMPOSICAO",VLOOKUP("TOTAL SEM BDI - "&amp;B115,CPUAUX4!$A:$J,9,FALSE),VLOOKUP(B115,I!$A:$E,5,FALSE))</f>
        <v>3120.96</v>
      </c>
      <c r="H115" s="77"/>
      <c r="I115" s="76">
        <f>TRUNC(F115*G115,2)</f>
        <v>0.09</v>
      </c>
      <c r="J115" s="77"/>
      <c r="M115" s="23">
        <f>B115</f>
        <v>13896</v>
      </c>
      <c r="N115" s="23">
        <f>SUMIF(CPUAUX2!M:M,B114,CPUAUX2!O:O)</f>
        <v>4.9795200000000012E-2</v>
      </c>
      <c r="O115" s="23">
        <f>F115*N115</f>
        <v>1.4739379200000003E-6</v>
      </c>
      <c r="Q115" s="23">
        <f ca="1">SUMIF(CPUAUX2!M:M,B114,CPUAUX2!R:R)</f>
        <v>1.6598400000000003E-2</v>
      </c>
      <c r="R115" s="23">
        <f ca="1">F115*Q115</f>
        <v>4.9131264000000007E-7</v>
      </c>
    </row>
    <row r="116" spans="1:18" x14ac:dyDescent="0.3">
      <c r="A116" s="73" t="str">
        <f>"TOTAL SEM BDI - "&amp;B114</f>
        <v>TOTAL SEM BDI - 90583</v>
      </c>
      <c r="B116" s="74"/>
      <c r="C116" s="74"/>
      <c r="D116" s="74"/>
      <c r="E116" s="74"/>
      <c r="F116" s="74"/>
      <c r="G116" s="74"/>
      <c r="H116" s="75"/>
      <c r="I116" s="76">
        <f>SUM(I114:I115)</f>
        <v>0.09</v>
      </c>
      <c r="J116" s="77"/>
    </row>
    <row r="118" spans="1:18" x14ac:dyDescent="0.3">
      <c r="A118" s="4" t="s">
        <v>1000</v>
      </c>
      <c r="B118" s="4" t="s">
        <v>170</v>
      </c>
      <c r="C118" s="4" t="s">
        <v>171</v>
      </c>
      <c r="D118" s="4" t="s">
        <v>18</v>
      </c>
      <c r="E118" s="4" t="s">
        <v>172</v>
      </c>
      <c r="F118" s="4" t="s">
        <v>507</v>
      </c>
      <c r="G118" s="45" t="s">
        <v>1001</v>
      </c>
      <c r="H118" s="46"/>
      <c r="I118" s="45" t="s">
        <v>12</v>
      </c>
      <c r="J118" s="46"/>
    </row>
    <row r="119" spans="1:18" ht="45" customHeight="1" x14ac:dyDescent="0.3">
      <c r="A119" s="15" t="s">
        <v>1096</v>
      </c>
      <c r="B119" s="15">
        <v>90582</v>
      </c>
      <c r="C119" s="15" t="str">
        <f>VLOOKUP(B119,S!$A:$G,2,FALSE)</f>
        <v>SINAPI</v>
      </c>
      <c r="D119" s="22" t="str">
        <f>VLOOKUP(B119,S!$A:$G,3,FALSE)</f>
        <v>VIBRADOR DE IMERSÃO, DIÂMETRO DE PONTEIRA 45MM, MOTOR ELÉTRICO TRIFÁSICO POTÊNCIA DE 2 CV - DEPRECIAÇÃO. AF_06/2015</v>
      </c>
      <c r="E119" s="15" t="str">
        <f>VLOOKUP(B119,S!$A:$G,4,FALSE)</f>
        <v>H</v>
      </c>
      <c r="F119" s="15"/>
      <c r="G119" s="78">
        <f>I121</f>
        <v>0.39</v>
      </c>
      <c r="H119" s="79"/>
      <c r="I119" s="78"/>
      <c r="J119" s="79"/>
      <c r="K119" s="16">
        <f>VLOOKUP(B119,S!A:G,5,FALSE)</f>
        <v>0.39</v>
      </c>
      <c r="L119" s="15" t="str">
        <f>IF(K119=G119,"OK, CONFORME TABELA",IF(G119&gt;K119,"ACIMA DA TABELA: ","ABAIXO DA TABELA: ")&amp;TRUNC((G119*100)/K119,2)&amp;" %")</f>
        <v>OK, CONFORME TABELA</v>
      </c>
    </row>
    <row r="120" spans="1:18" ht="45" customHeight="1" x14ac:dyDescent="0.3">
      <c r="A120" s="23" t="s">
        <v>1005</v>
      </c>
      <c r="B120" s="23">
        <v>13896</v>
      </c>
      <c r="C120" s="23" t="str">
        <f>VLOOKUP(B120,IF(A120="COMPOSICAO",S!$A:$E,I!$A:$E),2,FALSE)</f>
        <v>SINAPI</v>
      </c>
      <c r="D120" s="24" t="str">
        <f>VLOOKUP(B120,IF(A120="COMPOSICAO",S!$A:$E,I!$A:$E),3,FALSE)</f>
        <v>VIBRADOR DE IMERSAO, DIAMETRO DA PONTEIRA DE *45* MM, COM MOTOR ELETRICO TRIFASICO DE 2 HP (2 CV)</v>
      </c>
      <c r="E120" s="23" t="str">
        <f>VLOOKUP(B120,IF(A120="COMPOSICAO",S!$A:$E,I!$A:$E),4,FALSE)</f>
        <v>UN</v>
      </c>
      <c r="F120" s="23">
        <v>1.2799999999999999E-4</v>
      </c>
      <c r="G120" s="76">
        <f>IF(A120="COMPOSICAO",VLOOKUP("TOTAL SEM BDI - "&amp;B120,CPUAUX4!$A:$J,9,FALSE),VLOOKUP(B120,I!$A:$E,5,FALSE))</f>
        <v>3120.96</v>
      </c>
      <c r="H120" s="77"/>
      <c r="I120" s="76">
        <f>TRUNC(F120*G120,2)</f>
        <v>0.39</v>
      </c>
      <c r="J120" s="77"/>
      <c r="M120" s="23">
        <f>B120</f>
        <v>13896</v>
      </c>
      <c r="N120" s="23">
        <f>SUMIF(CPUAUX2!M:M,B119,CPUAUX2!O:O)</f>
        <v>4.9795200000000012E-2</v>
      </c>
      <c r="O120" s="23">
        <f>F120*N120</f>
        <v>6.373785600000001E-6</v>
      </c>
      <c r="Q120" s="23">
        <f ca="1">SUMIF(CPUAUX2!M:M,B119,CPUAUX2!R:R)</f>
        <v>1.6598400000000003E-2</v>
      </c>
      <c r="R120" s="23">
        <f ca="1">F120*Q120</f>
        <v>2.1245952000000003E-6</v>
      </c>
    </row>
    <row r="121" spans="1:18" x14ac:dyDescent="0.3">
      <c r="A121" s="73" t="str">
        <f>"TOTAL SEM BDI - "&amp;B119</f>
        <v>TOTAL SEM BDI - 90582</v>
      </c>
      <c r="B121" s="74"/>
      <c r="C121" s="74"/>
      <c r="D121" s="74"/>
      <c r="E121" s="74"/>
      <c r="F121" s="74"/>
      <c r="G121" s="74"/>
      <c r="H121" s="75"/>
      <c r="I121" s="76">
        <f>SUM(I119:I120)</f>
        <v>0.39</v>
      </c>
      <c r="J121" s="77"/>
    </row>
    <row r="123" spans="1:18" x14ac:dyDescent="0.3">
      <c r="A123" s="4" t="s">
        <v>1000</v>
      </c>
      <c r="B123" s="4" t="s">
        <v>170</v>
      </c>
      <c r="C123" s="4" t="s">
        <v>171</v>
      </c>
      <c r="D123" s="4" t="s">
        <v>18</v>
      </c>
      <c r="E123" s="4" t="s">
        <v>172</v>
      </c>
      <c r="F123" s="4" t="s">
        <v>507</v>
      </c>
      <c r="G123" s="45" t="s">
        <v>1001</v>
      </c>
      <c r="H123" s="46"/>
      <c r="I123" s="45" t="s">
        <v>12</v>
      </c>
      <c r="J123" s="46"/>
    </row>
    <row r="124" spans="1:18" ht="45" customHeight="1" x14ac:dyDescent="0.3">
      <c r="A124" s="15" t="s">
        <v>1096</v>
      </c>
      <c r="B124" s="15">
        <v>90585</v>
      </c>
      <c r="C124" s="15" t="str">
        <f>VLOOKUP(B124,S!$A:$G,2,FALSE)</f>
        <v>SINAPI</v>
      </c>
      <c r="D124" s="22" t="str">
        <f>VLOOKUP(B124,S!$A:$G,3,FALSE)</f>
        <v>VIBRADOR DE IMERSÃO, DIÂMETRO DE PONTEIRA 45MM, MOTOR ELÉTRICO TRIFÁSICO POTÊNCIA DE 2 CV - MATERIAIS NA OPERAÇÃO. AF_06/2015</v>
      </c>
      <c r="E124" s="15" t="str">
        <f>VLOOKUP(B124,S!$A:$G,4,FALSE)</f>
        <v>H</v>
      </c>
      <c r="F124" s="15"/>
      <c r="G124" s="78">
        <f>I126</f>
        <v>0.56999999999999995</v>
      </c>
      <c r="H124" s="79"/>
      <c r="I124" s="78"/>
      <c r="J124" s="79"/>
      <c r="K124" s="16">
        <f>VLOOKUP(B124,S!A:G,5,FALSE)</f>
        <v>0.56999999999999995</v>
      </c>
      <c r="L124" s="15" t="str">
        <f>IF(K124=G124,"OK, CONFORME TABELA",IF(G124&gt;K124,"ACIMA DA TABELA: ","ABAIXO DA TABELA: ")&amp;TRUNC((G124*100)/K124,2)&amp;" %")</f>
        <v>OK, CONFORME TABELA</v>
      </c>
    </row>
    <row r="125" spans="1:18" ht="30" customHeight="1" x14ac:dyDescent="0.3">
      <c r="A125" s="23" t="s">
        <v>1005</v>
      </c>
      <c r="B125" s="23">
        <v>2705</v>
      </c>
      <c r="C125" s="23" t="str">
        <f>VLOOKUP(B125,IF(A125="COMPOSICAO",S!$A:$E,I!$A:$E),2,FALSE)</f>
        <v>SINAPI</v>
      </c>
      <c r="D125" s="24" t="str">
        <f>VLOOKUP(B125,IF(A125="COMPOSICAO",S!$A:$E,I!$A:$E),3,FALSE)</f>
        <v>ENERGIA ELETRICA ATE 2000 KWH INDUSTRIAL, SEM DEMANDA</v>
      </c>
      <c r="E125" s="23" t="str">
        <f>VLOOKUP(B125,IF(A125="COMPOSICAO",S!$A:$E,I!$A:$E),4,FALSE)</f>
        <v>KWH</v>
      </c>
      <c r="F125" s="23">
        <v>0.52</v>
      </c>
      <c r="G125" s="76">
        <f>IF(A125="COMPOSICAO",VLOOKUP("TOTAL SEM BDI - "&amp;B125,CPUAUX4!$A:$J,9,FALSE),VLOOKUP(B125,I!$A:$E,5,FALSE))</f>
        <v>1.1000000000000001</v>
      </c>
      <c r="H125" s="77"/>
      <c r="I125" s="76">
        <f>TRUNC(F125*G125,2)</f>
        <v>0.56999999999999995</v>
      </c>
      <c r="J125" s="77"/>
      <c r="M125" s="23">
        <f>B125</f>
        <v>2705</v>
      </c>
      <c r="N125" s="23">
        <f>SUMIF(CPUAUX2!M:M,B124,CPUAUX2!O:O)</f>
        <v>2.0896200000000004E-2</v>
      </c>
      <c r="O125" s="23">
        <f>F125*N125</f>
        <v>1.0866024000000002E-2</v>
      </c>
      <c r="Q125" s="23">
        <f ca="1">SUMIF(CPUAUX2!M:M,B124,CPUAUX2!R:R)</f>
        <v>6.9654000000000009E-3</v>
      </c>
      <c r="R125" s="23">
        <f ca="1">F125*Q125</f>
        <v>3.6220080000000008E-3</v>
      </c>
    </row>
    <row r="126" spans="1:18" x14ac:dyDescent="0.3">
      <c r="A126" s="73" t="str">
        <f>"TOTAL SEM BDI - "&amp;B124</f>
        <v>TOTAL SEM BDI - 90585</v>
      </c>
      <c r="B126" s="74"/>
      <c r="C126" s="74"/>
      <c r="D126" s="74"/>
      <c r="E126" s="74"/>
      <c r="F126" s="74"/>
      <c r="G126" s="74"/>
      <c r="H126" s="75"/>
      <c r="I126" s="76">
        <f>SUM(I124:I125)</f>
        <v>0.56999999999999995</v>
      </c>
      <c r="J126" s="77"/>
    </row>
    <row r="128" spans="1:18" x14ac:dyDescent="0.3">
      <c r="A128" s="4" t="s">
        <v>1000</v>
      </c>
      <c r="B128" s="4" t="s">
        <v>170</v>
      </c>
      <c r="C128" s="4" t="s">
        <v>171</v>
      </c>
      <c r="D128" s="4" t="s">
        <v>18</v>
      </c>
      <c r="E128" s="4" t="s">
        <v>172</v>
      </c>
      <c r="F128" s="4" t="s">
        <v>507</v>
      </c>
      <c r="G128" s="45" t="s">
        <v>1001</v>
      </c>
      <c r="H128" s="46"/>
      <c r="I128" s="45" t="s">
        <v>12</v>
      </c>
      <c r="J128" s="46"/>
    </row>
    <row r="129" spans="1:18" ht="45" customHeight="1" x14ac:dyDescent="0.3">
      <c r="A129" s="15" t="s">
        <v>1096</v>
      </c>
      <c r="B129" s="15">
        <v>90584</v>
      </c>
      <c r="C129" s="15" t="str">
        <f>VLOOKUP(B129,S!$A:$G,2,FALSE)</f>
        <v>SINAPI</v>
      </c>
      <c r="D129" s="22" t="str">
        <f>VLOOKUP(B129,S!$A:$G,3,FALSE)</f>
        <v>VIBRADOR DE IMERSÃO, DIÂMETRO DE PONTEIRA 45MM, MOTOR ELÉTRICO TRIFÁSICO POTÊNCIA DE 2 CV - MANUTENÇÃO. AF_06/2015</v>
      </c>
      <c r="E129" s="15" t="str">
        <f>VLOOKUP(B129,S!$A:$G,4,FALSE)</f>
        <v>H</v>
      </c>
      <c r="F129" s="15"/>
      <c r="G129" s="78">
        <f>I131</f>
        <v>0.31</v>
      </c>
      <c r="H129" s="79"/>
      <c r="I129" s="78"/>
      <c r="J129" s="79"/>
      <c r="K129" s="16">
        <f>VLOOKUP(B129,S!A:G,5,FALSE)</f>
        <v>0.31</v>
      </c>
      <c r="L129" s="15" t="str">
        <f>IF(K129=G129,"OK, CONFORME TABELA",IF(G129&gt;K129,"ACIMA DA TABELA: ","ABAIXO DA TABELA: ")&amp;TRUNC((G129*100)/K129,2)&amp;" %")</f>
        <v>OK, CONFORME TABELA</v>
      </c>
    </row>
    <row r="130" spans="1:18" ht="45" customHeight="1" x14ac:dyDescent="0.3">
      <c r="A130" s="23" t="s">
        <v>1005</v>
      </c>
      <c r="B130" s="23">
        <v>13896</v>
      </c>
      <c r="C130" s="23" t="str">
        <f>VLOOKUP(B130,IF(A130="COMPOSICAO",S!$A:$E,I!$A:$E),2,FALSE)</f>
        <v>SINAPI</v>
      </c>
      <c r="D130" s="24" t="str">
        <f>VLOOKUP(B130,IF(A130="COMPOSICAO",S!$A:$E,I!$A:$E),3,FALSE)</f>
        <v>VIBRADOR DE IMERSAO, DIAMETRO DA PONTEIRA DE *45* MM, COM MOTOR ELETRICO TRIFASICO DE 2 HP (2 CV)</v>
      </c>
      <c r="E130" s="23" t="str">
        <f>VLOOKUP(B130,IF(A130="COMPOSICAO",S!$A:$E,I!$A:$E),4,FALSE)</f>
        <v>UN</v>
      </c>
      <c r="F130" s="23">
        <v>1E-4</v>
      </c>
      <c r="G130" s="76">
        <f>IF(A130="COMPOSICAO",VLOOKUP("TOTAL SEM BDI - "&amp;B130,CPUAUX4!$A:$J,9,FALSE),VLOOKUP(B130,I!$A:$E,5,FALSE))</f>
        <v>3120.96</v>
      </c>
      <c r="H130" s="77"/>
      <c r="I130" s="76">
        <f>TRUNC(F130*G130,2)</f>
        <v>0.31</v>
      </c>
      <c r="J130" s="77"/>
      <c r="M130" s="23">
        <f>B130</f>
        <v>13896</v>
      </c>
      <c r="N130" s="23">
        <f>SUMIF(CPUAUX2!M:M,B129,CPUAUX2!O:O)</f>
        <v>2.0896200000000004E-2</v>
      </c>
      <c r="O130" s="23">
        <f>F130*N130</f>
        <v>2.0896200000000004E-6</v>
      </c>
      <c r="Q130" s="23">
        <f ca="1">SUMIF(CPUAUX2!M:M,B129,CPUAUX2!R:R)</f>
        <v>6.9654000000000009E-3</v>
      </c>
      <c r="R130" s="23">
        <f ca="1">F130*Q130</f>
        <v>6.9654000000000017E-7</v>
      </c>
    </row>
    <row r="131" spans="1:18" x14ac:dyDescent="0.3">
      <c r="A131" s="73" t="str">
        <f>"TOTAL SEM BDI - "&amp;B129</f>
        <v>TOTAL SEM BDI - 90584</v>
      </c>
      <c r="B131" s="74"/>
      <c r="C131" s="74"/>
      <c r="D131" s="74"/>
      <c r="E131" s="74"/>
      <c r="F131" s="74"/>
      <c r="G131" s="74"/>
      <c r="H131" s="75"/>
      <c r="I131" s="76">
        <f>SUM(I129:I130)</f>
        <v>0.31</v>
      </c>
      <c r="J131" s="77"/>
    </row>
    <row r="133" spans="1:18" x14ac:dyDescent="0.3">
      <c r="A133" s="4" t="s">
        <v>1000</v>
      </c>
      <c r="B133" s="4" t="s">
        <v>170</v>
      </c>
      <c r="C133" s="4" t="s">
        <v>171</v>
      </c>
      <c r="D133" s="4" t="s">
        <v>18</v>
      </c>
      <c r="E133" s="4" t="s">
        <v>172</v>
      </c>
      <c r="F133" s="4" t="s">
        <v>507</v>
      </c>
      <c r="G133" s="45" t="s">
        <v>1001</v>
      </c>
      <c r="H133" s="46"/>
      <c r="I133" s="45" t="s">
        <v>12</v>
      </c>
      <c r="J133" s="46"/>
    </row>
    <row r="134" spans="1:18" ht="30" customHeight="1" x14ac:dyDescent="0.3">
      <c r="A134" s="15" t="s">
        <v>1071</v>
      </c>
      <c r="B134" s="15">
        <v>95371</v>
      </c>
      <c r="C134" s="15" t="str">
        <f>VLOOKUP(B134,S!$A:$G,2,FALSE)</f>
        <v>SINAPI</v>
      </c>
      <c r="D134" s="22" t="str">
        <f>VLOOKUP(B134,S!$A:$G,3,FALSE)</f>
        <v>CURSO DE CAPACITAÇÃO PARA PEDREIRO (ENCARGOS COMPLEMENTARES) - HORISTA</v>
      </c>
      <c r="E134" s="15" t="str">
        <f>VLOOKUP(B134,S!$A:$G,4,FALSE)</f>
        <v>H</v>
      </c>
      <c r="F134" s="15"/>
      <c r="G134" s="78">
        <f>I136</f>
        <v>0.43</v>
      </c>
      <c r="H134" s="79"/>
      <c r="I134" s="78"/>
      <c r="J134" s="79"/>
      <c r="K134" s="16">
        <f>VLOOKUP(B134,S!A:G,5,FALSE)</f>
        <v>0.43</v>
      </c>
      <c r="L134" s="15" t="str">
        <f>IF(K134=G134,"OK, CONFORME TABELA",IF(G134&gt;K134,"ACIMA DA TABELA: ","ABAIXO DA TABELA: ")&amp;TRUNC((G134*100)/K134,2)&amp;" %")</f>
        <v>OK, CONFORME TABELA</v>
      </c>
    </row>
    <row r="135" spans="1:18" x14ac:dyDescent="0.3">
      <c r="A135" s="23" t="s">
        <v>1005</v>
      </c>
      <c r="B135" s="23">
        <v>4750</v>
      </c>
      <c r="C135" s="23" t="str">
        <f>VLOOKUP(B135,IF(A135="COMPOSICAO",S!$A:$E,I!$A:$E),2,FALSE)</f>
        <v>SINAPI</v>
      </c>
      <c r="D135" s="24" t="str">
        <f>VLOOKUP(B135,IF(A135="COMPOSICAO",S!$A:$E,I!$A:$E),3,FALSE)</f>
        <v>PEDREIRO (HORISTA)</v>
      </c>
      <c r="E135" s="23" t="str">
        <f>VLOOKUP(B135,IF(A135="COMPOSICAO",S!$A:$E,I!$A:$E),4,FALSE)</f>
        <v>H</v>
      </c>
      <c r="F135" s="23">
        <v>2.12E-2</v>
      </c>
      <c r="G135" s="76">
        <f>IF(A135="COMPOSICAO",VLOOKUP("TOTAL SEM BDI - "&amp;B135,CPUAUX4!$A:$J,9,FALSE),VLOOKUP(B135,I!$A:$E,5,FALSE))</f>
        <v>20.329999999999998</v>
      </c>
      <c r="H135" s="77"/>
      <c r="I135" s="76">
        <f>TRUNC(F135*G135,2)</f>
        <v>0.43</v>
      </c>
      <c r="J135" s="77"/>
      <c r="M135" s="23">
        <f>B135</f>
        <v>4750</v>
      </c>
      <c r="N135" s="23">
        <f>SUMIF(CPUAUX2!M:M,B134,CPUAUX2!O:O)</f>
        <v>4.9795200000000005E-2</v>
      </c>
      <c r="O135" s="23">
        <f>F135*N135</f>
        <v>1.05565824E-3</v>
      </c>
      <c r="Q135" s="23">
        <f ca="1">SUMIF(CPUAUX2!M:M,B134,CPUAUX2!R:R)</f>
        <v>1.6598400000000003E-2</v>
      </c>
      <c r="R135" s="23">
        <f ca="1">F135*Q135</f>
        <v>3.5188608000000004E-4</v>
      </c>
    </row>
    <row r="136" spans="1:18" x14ac:dyDescent="0.3">
      <c r="A136" s="73" t="str">
        <f>"TOTAL SEM BDI - "&amp;B134</f>
        <v>TOTAL SEM BDI - 95371</v>
      </c>
      <c r="B136" s="74"/>
      <c r="C136" s="74"/>
      <c r="D136" s="74"/>
      <c r="E136" s="74"/>
      <c r="F136" s="74"/>
      <c r="G136" s="74"/>
      <c r="H136" s="75"/>
      <c r="I136" s="76">
        <f>SUM(I134:I135)</f>
        <v>0.43</v>
      </c>
      <c r="J136" s="77"/>
    </row>
    <row r="138" spans="1:18" x14ac:dyDescent="0.3">
      <c r="A138" s="4" t="s">
        <v>1000</v>
      </c>
      <c r="B138" s="4" t="s">
        <v>170</v>
      </c>
      <c r="C138" s="4" t="s">
        <v>171</v>
      </c>
      <c r="D138" s="4" t="s">
        <v>18</v>
      </c>
      <c r="E138" s="4" t="s">
        <v>172</v>
      </c>
      <c r="F138" s="4" t="s">
        <v>507</v>
      </c>
      <c r="G138" s="45" t="s">
        <v>1001</v>
      </c>
      <c r="H138" s="46"/>
      <c r="I138" s="45" t="s">
        <v>12</v>
      </c>
      <c r="J138" s="46"/>
    </row>
    <row r="139" spans="1:18" ht="45" customHeight="1" x14ac:dyDescent="0.3">
      <c r="A139" s="15" t="s">
        <v>1076</v>
      </c>
      <c r="B139" s="15">
        <v>91693</v>
      </c>
      <c r="C139" s="15" t="str">
        <f>VLOOKUP(B139,S!$A:$G,2,FALSE)</f>
        <v>SINAPI</v>
      </c>
      <c r="D139" s="22" t="str">
        <f>VLOOKUP(B139,S!$A:$G,3,FALSE)</f>
        <v>SERRA CIRCULAR DE BANCADA COM MOTOR ELÉTRICO POTÊNCIA DE 5HP, COM COIFA PARA DISCO 10" - CHI DIURNO. AF_08/2015</v>
      </c>
      <c r="E139" s="15" t="str">
        <f>VLOOKUP(B139,S!$A:$G,4,FALSE)</f>
        <v>CHI</v>
      </c>
      <c r="F139" s="15"/>
      <c r="G139" s="78">
        <f>I143</f>
        <v>27.3</v>
      </c>
      <c r="H139" s="79"/>
      <c r="I139" s="78"/>
      <c r="J139" s="79"/>
      <c r="K139" s="16">
        <f>VLOOKUP(B139,S!A:G,5,FALSE)</f>
        <v>27.3</v>
      </c>
      <c r="L139" s="15" t="str">
        <f>IF(K139=G139,"OK, CONFORME TABELA",IF(G139&gt;K139,"ACIMA DA TABELA: ","ABAIXO DA TABELA: ")&amp;TRUNC((G139*100)/K139,2)&amp;" %")</f>
        <v>OK, CONFORME TABELA</v>
      </c>
    </row>
    <row r="140" spans="1:18" ht="45" customHeight="1" x14ac:dyDescent="0.3">
      <c r="A140" s="23" t="s">
        <v>1004</v>
      </c>
      <c r="B140" s="23">
        <v>91689</v>
      </c>
      <c r="C140" s="23" t="str">
        <f>VLOOKUP(B140,IF(A140="COMPOSICAO",S!$A:$E,I!$A:$E),2,FALSE)</f>
        <v>SINAPI</v>
      </c>
      <c r="D140" s="24" t="str">
        <f>VLOOKUP(B140,IF(A140="COMPOSICAO",S!$A:$E,I!$A:$E),3,FALSE)</f>
        <v>SERRA CIRCULAR DE BANCADA COM MOTOR ELÉTRICO POTÊNCIA DE 5HP, COM COIFA PARA DISCO 10" - JUROS. AF_08/2015</v>
      </c>
      <c r="E140" s="23" t="str">
        <f>VLOOKUP(B140,IF(A140="COMPOSICAO",S!$A:$E,I!$A:$E),4,FALSE)</f>
        <v>H</v>
      </c>
      <c r="F140" s="23">
        <v>1</v>
      </c>
      <c r="G140" s="76">
        <f>IF(A140="COMPOSICAO",VLOOKUP("TOTAL SEM BDI - "&amp;B140,CPUAUX4!$A:$J,9,FALSE),VLOOKUP(B140,I!$A:$E,5,FALSE))</f>
        <v>0.02</v>
      </c>
      <c r="H140" s="77"/>
      <c r="I140" s="76">
        <f>TRUNC(F140*G140,2)</f>
        <v>0.02</v>
      </c>
      <c r="J140" s="77"/>
      <c r="M140" s="23">
        <f>B140</f>
        <v>91689</v>
      </c>
      <c r="N140" s="23">
        <f>SUMIF(CPUAUX2!M:M,B139,CPUAUX2!O:O)</f>
        <v>1.6187268933000001</v>
      </c>
      <c r="O140" s="23">
        <f>F140*N140</f>
        <v>1.6187268933000001</v>
      </c>
      <c r="Q140" s="23">
        <f ca="1">SUMIF(CPUAUX2!M:M,B139,CPUAUX2!R:R)</f>
        <v>0.53957563109999995</v>
      </c>
      <c r="R140" s="23">
        <f ca="1">F140*Q140</f>
        <v>0.53957563109999995</v>
      </c>
    </row>
    <row r="141" spans="1:18" ht="45" customHeight="1" x14ac:dyDescent="0.3">
      <c r="A141" s="23" t="s">
        <v>1004</v>
      </c>
      <c r="B141" s="23">
        <v>91688</v>
      </c>
      <c r="C141" s="23" t="str">
        <f>VLOOKUP(B141,IF(A141="COMPOSICAO",S!$A:$E,I!$A:$E),2,FALSE)</f>
        <v>SINAPI</v>
      </c>
      <c r="D141" s="24" t="str">
        <f>VLOOKUP(B141,IF(A141="COMPOSICAO",S!$A:$E,I!$A:$E),3,FALSE)</f>
        <v>SERRA CIRCULAR DE BANCADA COM MOTOR ELÉTRICO POTÊNCIA DE 5HP, COM COIFA PARA DISCO 10" - DEPRECIAÇÃO. AF_08/2015</v>
      </c>
      <c r="E141" s="23" t="str">
        <f>VLOOKUP(B141,IF(A141="COMPOSICAO",S!$A:$E,I!$A:$E),4,FALSE)</f>
        <v>H</v>
      </c>
      <c r="F141" s="23">
        <v>1</v>
      </c>
      <c r="G141" s="76">
        <f>IF(A141="COMPOSICAO",VLOOKUP("TOTAL SEM BDI - "&amp;B141,CPUAUX4!$A:$J,9,FALSE),VLOOKUP(B141,I!$A:$E,5,FALSE))</f>
        <v>0.12</v>
      </c>
      <c r="H141" s="77"/>
      <c r="I141" s="76">
        <f>TRUNC(F141*G141,2)</f>
        <v>0.12</v>
      </c>
      <c r="J141" s="77"/>
      <c r="M141" s="23">
        <f>B141</f>
        <v>91688</v>
      </c>
      <c r="N141" s="23">
        <f>SUMIF(CPUAUX2!M:M,B139,CPUAUX2!O:O)</f>
        <v>1.6187268933000001</v>
      </c>
      <c r="O141" s="23">
        <f>F141*N141</f>
        <v>1.6187268933000001</v>
      </c>
      <c r="Q141" s="23">
        <f ca="1">SUMIF(CPUAUX2!M:M,B139,CPUAUX2!R:R)</f>
        <v>0.53957563109999995</v>
      </c>
      <c r="R141" s="23">
        <f ca="1">F141*Q141</f>
        <v>0.53957563109999995</v>
      </c>
    </row>
    <row r="142" spans="1:18" ht="30" customHeight="1" x14ac:dyDescent="0.3">
      <c r="A142" s="23" t="s">
        <v>1004</v>
      </c>
      <c r="B142" s="23">
        <v>88297</v>
      </c>
      <c r="C142" s="23" t="str">
        <f>VLOOKUP(B142,IF(A142="COMPOSICAO",S!$A:$E,I!$A:$E),2,FALSE)</f>
        <v>SINAPI</v>
      </c>
      <c r="D142" s="24" t="str">
        <f>VLOOKUP(B142,IF(A142="COMPOSICAO",S!$A:$E,I!$A:$E),3,FALSE)</f>
        <v>OPERADOR DE MÁQUINAS E EQUIPAMENTOS COM ENCARGOS COMPLEMENTARES</v>
      </c>
      <c r="E142" s="23" t="str">
        <f>VLOOKUP(B142,IF(A142="COMPOSICAO",S!$A:$E,I!$A:$E),4,FALSE)</f>
        <v>H</v>
      </c>
      <c r="F142" s="23">
        <v>1</v>
      </c>
      <c r="G142" s="76">
        <f>IF(A142="COMPOSICAO",VLOOKUP("TOTAL SEM BDI - "&amp;B142,CPUAUX4!$A:$J,9,FALSE),VLOOKUP(B142,I!$A:$E,5,FALSE))</f>
        <v>27.16</v>
      </c>
      <c r="H142" s="77"/>
      <c r="I142" s="76">
        <f>TRUNC(F142*G142,2)</f>
        <v>27.16</v>
      </c>
      <c r="J142" s="77"/>
      <c r="M142" s="23">
        <f>B142</f>
        <v>88297</v>
      </c>
      <c r="N142" s="23">
        <f>SUMIF(CPUAUX2!M:M,B139,CPUAUX2!O:O)</f>
        <v>1.6187268933000001</v>
      </c>
      <c r="O142" s="23">
        <f>F142*N142</f>
        <v>1.6187268933000001</v>
      </c>
      <c r="Q142" s="23">
        <f ca="1">SUMIF(CPUAUX2!M:M,B139,CPUAUX2!R:R)</f>
        <v>0.53957563109999995</v>
      </c>
      <c r="R142" s="23">
        <f ca="1">F142*Q142</f>
        <v>0.53957563109999995</v>
      </c>
    </row>
    <row r="143" spans="1:18" x14ac:dyDescent="0.3">
      <c r="A143" s="73" t="str">
        <f>"TOTAL SEM BDI - "&amp;B139</f>
        <v>TOTAL SEM BDI - 91693</v>
      </c>
      <c r="B143" s="74"/>
      <c r="C143" s="74"/>
      <c r="D143" s="74"/>
      <c r="E143" s="74"/>
      <c r="F143" s="74"/>
      <c r="G143" s="74"/>
      <c r="H143" s="75"/>
      <c r="I143" s="76">
        <f>SUM(I139:I142)</f>
        <v>27.3</v>
      </c>
      <c r="J143" s="77"/>
    </row>
    <row r="145" spans="1:18" x14ac:dyDescent="0.3">
      <c r="A145" s="4" t="s">
        <v>1000</v>
      </c>
      <c r="B145" s="4" t="s">
        <v>170</v>
      </c>
      <c r="C145" s="4" t="s">
        <v>171</v>
      </c>
      <c r="D145" s="4" t="s">
        <v>18</v>
      </c>
      <c r="E145" s="4" t="s">
        <v>172</v>
      </c>
      <c r="F145" s="4" t="s">
        <v>507</v>
      </c>
      <c r="G145" s="45" t="s">
        <v>1001</v>
      </c>
      <c r="H145" s="46"/>
      <c r="I145" s="45" t="s">
        <v>12</v>
      </c>
      <c r="J145" s="46"/>
    </row>
    <row r="146" spans="1:18" ht="45" customHeight="1" x14ac:dyDescent="0.3">
      <c r="A146" s="15" t="s">
        <v>1076</v>
      </c>
      <c r="B146" s="15">
        <v>91692</v>
      </c>
      <c r="C146" s="15" t="str">
        <f>VLOOKUP(B146,S!$A:$G,2,FALSE)</f>
        <v>SINAPI</v>
      </c>
      <c r="D146" s="22" t="str">
        <f>VLOOKUP(B146,S!$A:$G,3,FALSE)</f>
        <v>SERRA CIRCULAR DE BANCADA COM MOTOR ELÉTRICO POTÊNCIA DE 5HP, COM COIFA PARA DISCO 10" - CHP DIURNO. AF_08/2015</v>
      </c>
      <c r="E146" s="15" t="str">
        <f>VLOOKUP(B146,S!$A:$G,4,FALSE)</f>
        <v>CHP</v>
      </c>
      <c r="F146" s="15"/>
      <c r="G146" s="78">
        <f>I152</f>
        <v>28.87</v>
      </c>
      <c r="H146" s="79"/>
      <c r="I146" s="78"/>
      <c r="J146" s="79"/>
      <c r="K146" s="16">
        <f>VLOOKUP(B146,S!A:G,5,FALSE)</f>
        <v>28.87</v>
      </c>
      <c r="L146" s="15" t="str">
        <f>IF(K146=G146,"OK, CONFORME TABELA",IF(G146&gt;K146,"ACIMA DA TABELA: ","ABAIXO DA TABELA: ")&amp;TRUNC((G146*100)/K146,2)&amp;" %")</f>
        <v>OK, CONFORME TABELA</v>
      </c>
    </row>
    <row r="147" spans="1:18" ht="45" customHeight="1" x14ac:dyDescent="0.3">
      <c r="A147" s="23" t="s">
        <v>1004</v>
      </c>
      <c r="B147" s="23">
        <v>91691</v>
      </c>
      <c r="C147" s="23" t="str">
        <f>VLOOKUP(B147,IF(A147="COMPOSICAO",S!$A:$E,I!$A:$E),2,FALSE)</f>
        <v>SINAPI</v>
      </c>
      <c r="D147" s="24" t="str">
        <f>VLOOKUP(B147,IF(A147="COMPOSICAO",S!$A:$E,I!$A:$E),3,FALSE)</f>
        <v>SERRA CIRCULAR DE BANCADA COM MOTOR ELÉTRICO POTÊNCIA DE 5HP, COM COIFA PARA DISCO 10" - MATERIAIS NA OPERAÇÃO. AF_08/2015</v>
      </c>
      <c r="E147" s="23" t="str">
        <f>VLOOKUP(B147,IF(A147="COMPOSICAO",S!$A:$E,I!$A:$E),4,FALSE)</f>
        <v>H</v>
      </c>
      <c r="F147" s="23">
        <v>1</v>
      </c>
      <c r="G147" s="76">
        <f>IF(A147="COMPOSICAO",VLOOKUP("TOTAL SEM BDI - "&amp;B147,CPUAUX4!$A:$J,9,FALSE),VLOOKUP(B147,I!$A:$E,5,FALSE))</f>
        <v>1.49</v>
      </c>
      <c r="H147" s="77"/>
      <c r="I147" s="76">
        <f>TRUNC(F147*G147,2)</f>
        <v>1.49</v>
      </c>
      <c r="J147" s="77"/>
      <c r="M147" s="23">
        <f>B147</f>
        <v>91691</v>
      </c>
      <c r="N147" s="23">
        <f>SUMIF(CPUAUX2!M:M,B146,CPUAUX2!O:O)</f>
        <v>0.37722309498000006</v>
      </c>
      <c r="O147" s="23">
        <f>F147*N147</f>
        <v>0.37722309498000006</v>
      </c>
      <c r="Q147" s="23">
        <f ca="1">SUMIF(CPUAUX2!M:M,B146,CPUAUX2!R:R)</f>
        <v>0.12574103166</v>
      </c>
      <c r="R147" s="23">
        <f ca="1">F147*Q147</f>
        <v>0.12574103166</v>
      </c>
    </row>
    <row r="148" spans="1:18" ht="45" customHeight="1" x14ac:dyDescent="0.3">
      <c r="A148" s="23" t="s">
        <v>1004</v>
      </c>
      <c r="B148" s="23">
        <v>91690</v>
      </c>
      <c r="C148" s="23" t="str">
        <f>VLOOKUP(B148,IF(A148="COMPOSICAO",S!$A:$E,I!$A:$E),2,FALSE)</f>
        <v>SINAPI</v>
      </c>
      <c r="D148" s="24" t="str">
        <f>VLOOKUP(B148,IF(A148="COMPOSICAO",S!$A:$E,I!$A:$E),3,FALSE)</f>
        <v>SERRA CIRCULAR DE BANCADA COM MOTOR ELÉTRICO POTÊNCIA DE 5HP, COM COIFA PARA DISCO 10" - MANUTENÇÃO. AF_08/2015</v>
      </c>
      <c r="E148" s="23" t="str">
        <f>VLOOKUP(B148,IF(A148="COMPOSICAO",S!$A:$E,I!$A:$E),4,FALSE)</f>
        <v>H</v>
      </c>
      <c r="F148" s="23">
        <v>1</v>
      </c>
      <c r="G148" s="76">
        <f>IF(A148="COMPOSICAO",VLOOKUP("TOTAL SEM BDI - "&amp;B148,CPUAUX4!$A:$J,9,FALSE),VLOOKUP(B148,I!$A:$E,5,FALSE))</f>
        <v>0.08</v>
      </c>
      <c r="H148" s="77"/>
      <c r="I148" s="76">
        <f>TRUNC(F148*G148,2)</f>
        <v>0.08</v>
      </c>
      <c r="J148" s="77"/>
      <c r="M148" s="23">
        <f>B148</f>
        <v>91690</v>
      </c>
      <c r="N148" s="23">
        <f>SUMIF(CPUAUX2!M:M,B146,CPUAUX2!O:O)</f>
        <v>0.37722309498000006</v>
      </c>
      <c r="O148" s="23">
        <f>F148*N148</f>
        <v>0.37722309498000006</v>
      </c>
      <c r="Q148" s="23">
        <f ca="1">SUMIF(CPUAUX2!M:M,B146,CPUAUX2!R:R)</f>
        <v>0.12574103166</v>
      </c>
      <c r="R148" s="23">
        <f ca="1">F148*Q148</f>
        <v>0.12574103166</v>
      </c>
    </row>
    <row r="149" spans="1:18" ht="45" customHeight="1" x14ac:dyDescent="0.3">
      <c r="A149" s="23" t="s">
        <v>1004</v>
      </c>
      <c r="B149" s="23">
        <v>91689</v>
      </c>
      <c r="C149" s="23" t="str">
        <f>VLOOKUP(B149,IF(A149="COMPOSICAO",S!$A:$E,I!$A:$E),2,FALSE)</f>
        <v>SINAPI</v>
      </c>
      <c r="D149" s="24" t="str">
        <f>VLOOKUP(B149,IF(A149="COMPOSICAO",S!$A:$E,I!$A:$E),3,FALSE)</f>
        <v>SERRA CIRCULAR DE BANCADA COM MOTOR ELÉTRICO POTÊNCIA DE 5HP, COM COIFA PARA DISCO 10" - JUROS. AF_08/2015</v>
      </c>
      <c r="E149" s="23" t="str">
        <f>VLOOKUP(B149,IF(A149="COMPOSICAO",S!$A:$E,I!$A:$E),4,FALSE)</f>
        <v>H</v>
      </c>
      <c r="F149" s="23">
        <v>1</v>
      </c>
      <c r="G149" s="76">
        <f>IF(A149="COMPOSICAO",VLOOKUP("TOTAL SEM BDI - "&amp;B149,CPUAUX4!$A:$J,9,FALSE),VLOOKUP(B149,I!$A:$E,5,FALSE))</f>
        <v>0.02</v>
      </c>
      <c r="H149" s="77"/>
      <c r="I149" s="76">
        <f>TRUNC(F149*G149,2)</f>
        <v>0.02</v>
      </c>
      <c r="J149" s="77"/>
      <c r="M149" s="23">
        <f>B149</f>
        <v>91689</v>
      </c>
      <c r="N149" s="23">
        <f>SUMIF(CPUAUX2!M:M,B146,CPUAUX2!O:O)</f>
        <v>0.37722309498000006</v>
      </c>
      <c r="O149" s="23">
        <f>F149*N149</f>
        <v>0.37722309498000006</v>
      </c>
      <c r="Q149" s="23">
        <f ca="1">SUMIF(CPUAUX2!M:M,B146,CPUAUX2!R:R)</f>
        <v>0.12574103166</v>
      </c>
      <c r="R149" s="23">
        <f ca="1">F149*Q149</f>
        <v>0.12574103166</v>
      </c>
    </row>
    <row r="150" spans="1:18" ht="45" customHeight="1" x14ac:dyDescent="0.3">
      <c r="A150" s="23" t="s">
        <v>1004</v>
      </c>
      <c r="B150" s="23">
        <v>91688</v>
      </c>
      <c r="C150" s="23" t="str">
        <f>VLOOKUP(B150,IF(A150="COMPOSICAO",S!$A:$E,I!$A:$E),2,FALSE)</f>
        <v>SINAPI</v>
      </c>
      <c r="D150" s="24" t="str">
        <f>VLOOKUP(B150,IF(A150="COMPOSICAO",S!$A:$E,I!$A:$E),3,FALSE)</f>
        <v>SERRA CIRCULAR DE BANCADA COM MOTOR ELÉTRICO POTÊNCIA DE 5HP, COM COIFA PARA DISCO 10" - DEPRECIAÇÃO. AF_08/2015</v>
      </c>
      <c r="E150" s="23" t="str">
        <f>VLOOKUP(B150,IF(A150="COMPOSICAO",S!$A:$E,I!$A:$E),4,FALSE)</f>
        <v>H</v>
      </c>
      <c r="F150" s="23">
        <v>1</v>
      </c>
      <c r="G150" s="76">
        <f>IF(A150="COMPOSICAO",VLOOKUP("TOTAL SEM BDI - "&amp;B150,CPUAUX4!$A:$J,9,FALSE),VLOOKUP(B150,I!$A:$E,5,FALSE))</f>
        <v>0.12</v>
      </c>
      <c r="H150" s="77"/>
      <c r="I150" s="76">
        <f>TRUNC(F150*G150,2)</f>
        <v>0.12</v>
      </c>
      <c r="J150" s="77"/>
      <c r="M150" s="23">
        <f>B150</f>
        <v>91688</v>
      </c>
      <c r="N150" s="23">
        <f>SUMIF(CPUAUX2!M:M,B146,CPUAUX2!O:O)</f>
        <v>0.37722309498000006</v>
      </c>
      <c r="O150" s="23">
        <f>F150*N150</f>
        <v>0.37722309498000006</v>
      </c>
      <c r="Q150" s="23">
        <f ca="1">SUMIF(CPUAUX2!M:M,B146,CPUAUX2!R:R)</f>
        <v>0.12574103166</v>
      </c>
      <c r="R150" s="23">
        <f ca="1">F150*Q150</f>
        <v>0.12574103166</v>
      </c>
    </row>
    <row r="151" spans="1:18" ht="30" customHeight="1" x14ac:dyDescent="0.3">
      <c r="A151" s="23" t="s">
        <v>1004</v>
      </c>
      <c r="B151" s="23">
        <v>88297</v>
      </c>
      <c r="C151" s="23" t="str">
        <f>VLOOKUP(B151,IF(A151="COMPOSICAO",S!$A:$E,I!$A:$E),2,FALSE)</f>
        <v>SINAPI</v>
      </c>
      <c r="D151" s="24" t="str">
        <f>VLOOKUP(B151,IF(A151="COMPOSICAO",S!$A:$E,I!$A:$E),3,FALSE)</f>
        <v>OPERADOR DE MÁQUINAS E EQUIPAMENTOS COM ENCARGOS COMPLEMENTARES</v>
      </c>
      <c r="E151" s="23" t="str">
        <f>VLOOKUP(B151,IF(A151="COMPOSICAO",S!$A:$E,I!$A:$E),4,FALSE)</f>
        <v>H</v>
      </c>
      <c r="F151" s="23">
        <v>1</v>
      </c>
      <c r="G151" s="76">
        <f>IF(A151="COMPOSICAO",VLOOKUP("TOTAL SEM BDI - "&amp;B151,CPUAUX4!$A:$J,9,FALSE),VLOOKUP(B151,I!$A:$E,5,FALSE))</f>
        <v>27.16</v>
      </c>
      <c r="H151" s="77"/>
      <c r="I151" s="76">
        <f>TRUNC(F151*G151,2)</f>
        <v>27.16</v>
      </c>
      <c r="J151" s="77"/>
      <c r="M151" s="23">
        <f>B151</f>
        <v>88297</v>
      </c>
      <c r="N151" s="23">
        <f>SUMIF(CPUAUX2!M:M,B146,CPUAUX2!O:O)</f>
        <v>0.37722309498000006</v>
      </c>
      <c r="O151" s="23">
        <f>F151*N151</f>
        <v>0.37722309498000006</v>
      </c>
      <c r="Q151" s="23">
        <f ca="1">SUMIF(CPUAUX2!M:M,B146,CPUAUX2!R:R)</f>
        <v>0.12574103166</v>
      </c>
      <c r="R151" s="23">
        <f ca="1">F151*Q151</f>
        <v>0.12574103166</v>
      </c>
    </row>
    <row r="152" spans="1:18" x14ac:dyDescent="0.3">
      <c r="A152" s="73" t="str">
        <f>"TOTAL SEM BDI - "&amp;B146</f>
        <v>TOTAL SEM BDI - 91692</v>
      </c>
      <c r="B152" s="74"/>
      <c r="C152" s="74"/>
      <c r="D152" s="74"/>
      <c r="E152" s="74"/>
      <c r="F152" s="74"/>
      <c r="G152" s="74"/>
      <c r="H152" s="75"/>
      <c r="I152" s="76">
        <f>SUM(I146:I151)</f>
        <v>28.87</v>
      </c>
      <c r="J152" s="77"/>
    </row>
    <row r="154" spans="1:18" x14ac:dyDescent="0.3">
      <c r="A154" s="4" t="s">
        <v>1000</v>
      </c>
      <c r="B154" s="4" t="s">
        <v>170</v>
      </c>
      <c r="C154" s="4" t="s">
        <v>171</v>
      </c>
      <c r="D154" s="4" t="s">
        <v>18</v>
      </c>
      <c r="E154" s="4" t="s">
        <v>172</v>
      </c>
      <c r="F154" s="4" t="s">
        <v>507</v>
      </c>
      <c r="G154" s="45" t="s">
        <v>1001</v>
      </c>
      <c r="H154" s="46"/>
      <c r="I154" s="45" t="s">
        <v>12</v>
      </c>
      <c r="J154" s="46"/>
    </row>
    <row r="155" spans="1:18" ht="30" customHeight="1" x14ac:dyDescent="0.3">
      <c r="A155" s="15" t="s">
        <v>1071</v>
      </c>
      <c r="B155" s="15">
        <v>88262</v>
      </c>
      <c r="C155" s="15" t="str">
        <f>VLOOKUP(B155,S!$A:$G,2,FALSE)</f>
        <v>SINAPI</v>
      </c>
      <c r="D155" s="22" t="str">
        <f>VLOOKUP(B155,S!$A:$G,3,FALSE)</f>
        <v>CARPINTEIRO DE FORMAS COM ENCARGOS COMPLEMENTARES</v>
      </c>
      <c r="E155" s="15" t="str">
        <f>VLOOKUP(B155,S!$A:$G,4,FALSE)</f>
        <v>H</v>
      </c>
      <c r="F155" s="15"/>
      <c r="G155" s="78">
        <f>I164</f>
        <v>26.97</v>
      </c>
      <c r="H155" s="79"/>
      <c r="I155" s="78"/>
      <c r="J155" s="79"/>
      <c r="K155" s="16">
        <f>VLOOKUP(B155,S!A:G,5,FALSE)</f>
        <v>26.97</v>
      </c>
      <c r="L155" s="15" t="str">
        <f>IF(K155=G155,"OK, CONFORME TABELA",IF(G155&gt;K155,"ACIMA DA TABELA: ","ABAIXO DA TABELA: ")&amp;TRUNC((G155*100)/K155,2)&amp;" %")</f>
        <v>OK, CONFORME TABELA</v>
      </c>
    </row>
    <row r="156" spans="1:18" ht="30" customHeight="1" x14ac:dyDescent="0.3">
      <c r="A156" s="23" t="s">
        <v>1005</v>
      </c>
      <c r="B156" s="23">
        <v>43483</v>
      </c>
      <c r="C156" s="23" t="str">
        <f>VLOOKUP(B156,IF(A156="COMPOSICAO",S!$A:$E,I!$A:$E),2,FALSE)</f>
        <v>SINAPI</v>
      </c>
      <c r="D156" s="24" t="str">
        <f>VLOOKUP(B156,IF(A156="COMPOSICAO",S!$A:$E,I!$A:$E),3,FALSE)</f>
        <v>EPI - FAMILIA CARPINTEIRO DE FORMAS - HORISTA (ENCARGOS COMPLEMENTARES - COLETADO CAIXA)</v>
      </c>
      <c r="E156" s="23" t="str">
        <f>VLOOKUP(B156,IF(A156="COMPOSICAO",S!$A:$E,I!$A:$E),4,FALSE)</f>
        <v>H</v>
      </c>
      <c r="F156" s="23">
        <v>1</v>
      </c>
      <c r="G156" s="76">
        <f>IF(A156="COMPOSICAO",VLOOKUP("TOTAL SEM BDI - "&amp;B156,CPUAUX4!$A:$J,9,FALSE),VLOOKUP(B156,I!$A:$E,5,FALSE))</f>
        <v>1.43</v>
      </c>
      <c r="H156" s="77"/>
      <c r="I156" s="76">
        <f t="shared" ref="I156:I163" si="4">TRUNC(F156*G156,2)</f>
        <v>1.43</v>
      </c>
      <c r="J156" s="77"/>
      <c r="M156" s="23">
        <f t="shared" ref="M156:M163" si="5">B156</f>
        <v>43483</v>
      </c>
      <c r="N156" s="23">
        <f>SUMIF(CPUAUX2!M:M,B155,CPUAUX2!O:O)</f>
        <v>4.2141470313600005</v>
      </c>
      <c r="O156" s="23">
        <f t="shared" ref="O156:O163" si="6">F156*N156</f>
        <v>4.2141470313600005</v>
      </c>
      <c r="Q156" s="23">
        <f ca="1">SUMIF(CPUAUX2!M:M,B155,CPUAUX2!R:R)</f>
        <v>1.4047156771200002</v>
      </c>
      <c r="R156" s="23">
        <f t="shared" ref="R156:R163" ca="1" si="7">F156*Q156</f>
        <v>1.4047156771200002</v>
      </c>
    </row>
    <row r="157" spans="1:18" ht="45" customHeight="1" x14ac:dyDescent="0.3">
      <c r="A157" s="23" t="s">
        <v>1005</v>
      </c>
      <c r="B157" s="23">
        <v>43459</v>
      </c>
      <c r="C157" s="23" t="str">
        <f>VLOOKUP(B157,IF(A157="COMPOSICAO",S!$A:$E,I!$A:$E),2,FALSE)</f>
        <v>SINAPI</v>
      </c>
      <c r="D157" s="24" t="str">
        <f>VLOOKUP(B157,IF(A157="COMPOSICAO",S!$A:$E,I!$A:$E),3,FALSE)</f>
        <v>FERRAMENTAS - FAMILIA CARPINTEIRO DE FORMAS - HORISTA (ENCARGOS COMPLEMENTARES - COLETADO CAIXA)</v>
      </c>
      <c r="E157" s="23" t="str">
        <f>VLOOKUP(B157,IF(A157="COMPOSICAO",S!$A:$E,I!$A:$E),4,FALSE)</f>
        <v>H</v>
      </c>
      <c r="F157" s="23">
        <v>1</v>
      </c>
      <c r="G157" s="76">
        <f>IF(A157="COMPOSICAO",VLOOKUP("TOTAL SEM BDI - "&amp;B157,CPUAUX4!$A:$J,9,FALSE),VLOOKUP(B157,I!$A:$E,5,FALSE))</f>
        <v>0.44</v>
      </c>
      <c r="H157" s="77"/>
      <c r="I157" s="76">
        <f t="shared" si="4"/>
        <v>0.44</v>
      </c>
      <c r="J157" s="77"/>
      <c r="M157" s="23">
        <f t="shared" si="5"/>
        <v>43459</v>
      </c>
      <c r="N157" s="23">
        <f>SUMIF(CPUAUX2!M:M,B155,CPUAUX2!O:O)</f>
        <v>4.2141470313600005</v>
      </c>
      <c r="O157" s="23">
        <f t="shared" si="6"/>
        <v>4.2141470313600005</v>
      </c>
      <c r="Q157" s="23">
        <f ca="1">SUMIF(CPUAUX2!M:M,B155,CPUAUX2!R:R)</f>
        <v>1.4047156771200002</v>
      </c>
      <c r="R157" s="23">
        <f t="shared" ca="1" si="7"/>
        <v>1.4047156771200002</v>
      </c>
    </row>
    <row r="158" spans="1:18" ht="30" customHeight="1" x14ac:dyDescent="0.3">
      <c r="A158" s="23" t="s">
        <v>1005</v>
      </c>
      <c r="B158" s="23">
        <v>37373</v>
      </c>
      <c r="C158" s="23" t="str">
        <f>VLOOKUP(B158,IF(A158="COMPOSICAO",S!$A:$E,I!$A:$E),2,FALSE)</f>
        <v>SINAPI</v>
      </c>
      <c r="D158" s="24" t="str">
        <f>VLOOKUP(B158,IF(A158="COMPOSICAO",S!$A:$E,I!$A:$E),3,FALSE)</f>
        <v>SEGURO - HORISTA (COLETADO CAIXA - ENCARGOS COMPLEMENTARES)</v>
      </c>
      <c r="E158" s="23" t="str">
        <f>VLOOKUP(B158,IF(A158="COMPOSICAO",S!$A:$E,I!$A:$E),4,FALSE)</f>
        <v>H</v>
      </c>
      <c r="F158" s="23">
        <v>1</v>
      </c>
      <c r="G158" s="76">
        <f>IF(A158="COMPOSICAO",VLOOKUP("TOTAL SEM BDI - "&amp;B158,CPUAUX4!$A:$J,9,FALSE),VLOOKUP(B158,I!$A:$E,5,FALSE))</f>
        <v>0.08</v>
      </c>
      <c r="H158" s="77"/>
      <c r="I158" s="76">
        <f t="shared" si="4"/>
        <v>0.08</v>
      </c>
      <c r="J158" s="77"/>
      <c r="M158" s="23">
        <f t="shared" si="5"/>
        <v>37373</v>
      </c>
      <c r="N158" s="23">
        <f>SUMIF(CPUAUX2!M:M,B155,CPUAUX2!O:O)</f>
        <v>4.2141470313600005</v>
      </c>
      <c r="O158" s="23">
        <f t="shared" si="6"/>
        <v>4.2141470313600005</v>
      </c>
      <c r="Q158" s="23">
        <f ca="1">SUMIF(CPUAUX2!M:M,B155,CPUAUX2!R:R)</f>
        <v>1.4047156771200002</v>
      </c>
      <c r="R158" s="23">
        <f t="shared" ca="1" si="7"/>
        <v>1.4047156771200002</v>
      </c>
    </row>
    <row r="159" spans="1:18" ht="30" customHeight="1" x14ac:dyDescent="0.3">
      <c r="A159" s="23" t="s">
        <v>1005</v>
      </c>
      <c r="B159" s="23">
        <v>37372</v>
      </c>
      <c r="C159" s="23" t="str">
        <f>VLOOKUP(B159,IF(A159="COMPOSICAO",S!$A:$E,I!$A:$E),2,FALSE)</f>
        <v>SINAPI</v>
      </c>
      <c r="D159" s="24" t="str">
        <f>VLOOKUP(B159,IF(A159="COMPOSICAO",S!$A:$E,I!$A:$E),3,FALSE)</f>
        <v>EXAMES - HORISTA (COLETADO CAIXA - ENCARGOS COMPLEMENTARES)</v>
      </c>
      <c r="E159" s="23" t="str">
        <f>VLOOKUP(B159,IF(A159="COMPOSICAO",S!$A:$E,I!$A:$E),4,FALSE)</f>
        <v>H</v>
      </c>
      <c r="F159" s="23">
        <v>1</v>
      </c>
      <c r="G159" s="76">
        <f>IF(A159="COMPOSICAO",VLOOKUP("TOTAL SEM BDI - "&amp;B159,CPUAUX4!$A:$J,9,FALSE),VLOOKUP(B159,I!$A:$E,5,FALSE))</f>
        <v>1.43</v>
      </c>
      <c r="H159" s="77"/>
      <c r="I159" s="76">
        <f t="shared" si="4"/>
        <v>1.43</v>
      </c>
      <c r="J159" s="77"/>
      <c r="M159" s="23">
        <f t="shared" si="5"/>
        <v>37372</v>
      </c>
      <c r="N159" s="23">
        <f>SUMIF(CPUAUX2!M:M,B155,CPUAUX2!O:O)</f>
        <v>4.2141470313600005</v>
      </c>
      <c r="O159" s="23">
        <f t="shared" si="6"/>
        <v>4.2141470313600005</v>
      </c>
      <c r="Q159" s="23">
        <f ca="1">SUMIF(CPUAUX2!M:M,B155,CPUAUX2!R:R)</f>
        <v>1.4047156771200002</v>
      </c>
      <c r="R159" s="23">
        <f t="shared" ca="1" si="7"/>
        <v>1.4047156771200002</v>
      </c>
    </row>
    <row r="160" spans="1:18" ht="30" customHeight="1" x14ac:dyDescent="0.3">
      <c r="A160" s="23" t="s">
        <v>1005</v>
      </c>
      <c r="B160" s="23">
        <v>37371</v>
      </c>
      <c r="C160" s="23" t="str">
        <f>VLOOKUP(B160,IF(A160="COMPOSICAO",S!$A:$E,I!$A:$E),2,FALSE)</f>
        <v>SINAPI</v>
      </c>
      <c r="D160" s="24" t="str">
        <f>VLOOKUP(B160,IF(A160="COMPOSICAO",S!$A:$E,I!$A:$E),3,FALSE)</f>
        <v>TRANSPORTE - HORISTA (COLETADO CAIXA - ENCARGOS COMPLEMENTARES)</v>
      </c>
      <c r="E160" s="23" t="str">
        <f>VLOOKUP(B160,IF(A160="COMPOSICAO",S!$A:$E,I!$A:$E),4,FALSE)</f>
        <v>H</v>
      </c>
      <c r="F160" s="23">
        <v>1</v>
      </c>
      <c r="G160" s="76">
        <f>IF(A160="COMPOSICAO",VLOOKUP("TOTAL SEM BDI - "&amp;B160,CPUAUX4!$A:$J,9,FALSE),VLOOKUP(B160,I!$A:$E,5,FALSE))</f>
        <v>0.56999999999999995</v>
      </c>
      <c r="H160" s="77"/>
      <c r="I160" s="76">
        <f t="shared" si="4"/>
        <v>0.56999999999999995</v>
      </c>
      <c r="J160" s="77"/>
      <c r="M160" s="23">
        <f t="shared" si="5"/>
        <v>37371</v>
      </c>
      <c r="N160" s="23">
        <f>SUMIF(CPUAUX2!M:M,B155,CPUAUX2!O:O)</f>
        <v>4.2141470313600005</v>
      </c>
      <c r="O160" s="23">
        <f t="shared" si="6"/>
        <v>4.2141470313600005</v>
      </c>
      <c r="Q160" s="23">
        <f ca="1">SUMIF(CPUAUX2!M:M,B155,CPUAUX2!R:R)</f>
        <v>1.4047156771200002</v>
      </c>
      <c r="R160" s="23">
        <f t="shared" ca="1" si="7"/>
        <v>1.4047156771200002</v>
      </c>
    </row>
    <row r="161" spans="1:18" ht="30" customHeight="1" x14ac:dyDescent="0.3">
      <c r="A161" s="23" t="s">
        <v>1005</v>
      </c>
      <c r="B161" s="23">
        <v>37370</v>
      </c>
      <c r="C161" s="23" t="str">
        <f>VLOOKUP(B161,IF(A161="COMPOSICAO",S!$A:$E,I!$A:$E),2,FALSE)</f>
        <v>SINAPI</v>
      </c>
      <c r="D161" s="24" t="str">
        <f>VLOOKUP(B161,IF(A161="COMPOSICAO",S!$A:$E,I!$A:$E),3,FALSE)</f>
        <v>ALIMENTACAO - HORISTA (COLETADO CAIXA - ENCARGOS COMPLEMENTARES)</v>
      </c>
      <c r="E161" s="23" t="str">
        <f>VLOOKUP(B161,IF(A161="COMPOSICAO",S!$A:$E,I!$A:$E),4,FALSE)</f>
        <v>H</v>
      </c>
      <c r="F161" s="23">
        <v>1</v>
      </c>
      <c r="G161" s="76">
        <f>IF(A161="COMPOSICAO",VLOOKUP("TOTAL SEM BDI - "&amp;B161,CPUAUX4!$A:$J,9,FALSE),VLOOKUP(B161,I!$A:$E,5,FALSE))</f>
        <v>2.46</v>
      </c>
      <c r="H161" s="77"/>
      <c r="I161" s="76">
        <f t="shared" si="4"/>
        <v>2.46</v>
      </c>
      <c r="J161" s="77"/>
      <c r="M161" s="23">
        <f t="shared" si="5"/>
        <v>37370</v>
      </c>
      <c r="N161" s="23">
        <f>SUMIF(CPUAUX2!M:M,B155,CPUAUX2!O:O)</f>
        <v>4.2141470313600005</v>
      </c>
      <c r="O161" s="23">
        <f t="shared" si="6"/>
        <v>4.2141470313600005</v>
      </c>
      <c r="Q161" s="23">
        <f ca="1">SUMIF(CPUAUX2!M:M,B155,CPUAUX2!R:R)</f>
        <v>1.4047156771200002</v>
      </c>
      <c r="R161" s="23">
        <f t="shared" ca="1" si="7"/>
        <v>1.4047156771200002</v>
      </c>
    </row>
    <row r="162" spans="1:18" ht="15" customHeight="1" x14ac:dyDescent="0.3">
      <c r="A162" s="23" t="s">
        <v>1005</v>
      </c>
      <c r="B162" s="23">
        <v>1213</v>
      </c>
      <c r="C162" s="23" t="str">
        <f>VLOOKUP(B162,IF(A162="COMPOSICAO",S!$A:$E,I!$A:$E),2,FALSE)</f>
        <v>SINAPI</v>
      </c>
      <c r="D162" s="24" t="str">
        <f>VLOOKUP(B162,IF(A162="COMPOSICAO",S!$A:$E,I!$A:$E),3,FALSE)</f>
        <v>CARPINTEIRO DE FORMAS PARA CONCRETO (HORISTA)</v>
      </c>
      <c r="E162" s="23" t="str">
        <f>VLOOKUP(B162,IF(A162="COMPOSICAO",S!$A:$E,I!$A:$E),4,FALSE)</f>
        <v>H</v>
      </c>
      <c r="F162" s="23">
        <v>1</v>
      </c>
      <c r="G162" s="76">
        <f>IF(A162="COMPOSICAO",VLOOKUP("TOTAL SEM BDI - "&amp;B162,CPUAUX4!$A:$J,9,FALSE),VLOOKUP(B162,I!$A:$E,5,FALSE))</f>
        <v>20.329999999999998</v>
      </c>
      <c r="H162" s="77"/>
      <c r="I162" s="76">
        <f t="shared" si="4"/>
        <v>20.329999999999998</v>
      </c>
      <c r="J162" s="77"/>
      <c r="M162" s="23">
        <f t="shared" si="5"/>
        <v>1213</v>
      </c>
      <c r="N162" s="23">
        <f>SUMIF(CPUAUX2!M:M,B155,CPUAUX2!O:O)</f>
        <v>4.2141470313600005</v>
      </c>
      <c r="O162" s="23">
        <f t="shared" si="6"/>
        <v>4.2141470313600005</v>
      </c>
      <c r="Q162" s="23">
        <f ca="1">SUMIF(CPUAUX2!M:M,B155,CPUAUX2!R:R)</f>
        <v>1.4047156771200002</v>
      </c>
      <c r="R162" s="23">
        <f t="shared" ca="1" si="7"/>
        <v>1.4047156771200002</v>
      </c>
    </row>
    <row r="163" spans="1:18" ht="30" customHeight="1" x14ac:dyDescent="0.3">
      <c r="A163" s="23" t="s">
        <v>1004</v>
      </c>
      <c r="B163" s="23">
        <v>95330</v>
      </c>
      <c r="C163" s="23" t="str">
        <f>VLOOKUP(B163,IF(A163="COMPOSICAO",S!$A:$E,I!$A:$E),2,FALSE)</f>
        <v>SINAPI</v>
      </c>
      <c r="D163" s="24" t="str">
        <f>VLOOKUP(B163,IF(A163="COMPOSICAO",S!$A:$E,I!$A:$E),3,FALSE)</f>
        <v>CURSO DE CAPACITAÇÃO PARA CARPINTEIRO DE FÔRMAS (ENCARGOS COMPLEMENTARES) - HORISTA</v>
      </c>
      <c r="E163" s="23" t="str">
        <f>VLOOKUP(B163,IF(A163="COMPOSICAO",S!$A:$E,I!$A:$E),4,FALSE)</f>
        <v>H</v>
      </c>
      <c r="F163" s="23">
        <v>1</v>
      </c>
      <c r="G163" s="76">
        <f>IF(A163="COMPOSICAO",VLOOKUP("TOTAL SEM BDI - "&amp;B163,CPUAUX4!$A:$J,9,FALSE),VLOOKUP(B163,I!$A:$E,5,FALSE))</f>
        <v>0.23</v>
      </c>
      <c r="H163" s="77"/>
      <c r="I163" s="76">
        <f t="shared" si="4"/>
        <v>0.23</v>
      </c>
      <c r="J163" s="77"/>
      <c r="M163" s="23">
        <f t="shared" si="5"/>
        <v>95330</v>
      </c>
      <c r="N163" s="23">
        <f>SUMIF(CPUAUX2!M:M,B155,CPUAUX2!O:O)</f>
        <v>4.2141470313600005</v>
      </c>
      <c r="O163" s="23">
        <f t="shared" si="6"/>
        <v>4.2141470313600005</v>
      </c>
      <c r="Q163" s="23">
        <f ca="1">SUMIF(CPUAUX2!M:M,B155,CPUAUX2!R:R)</f>
        <v>1.4047156771200002</v>
      </c>
      <c r="R163" s="23">
        <f t="shared" ca="1" si="7"/>
        <v>1.4047156771200002</v>
      </c>
    </row>
    <row r="164" spans="1:18" x14ac:dyDescent="0.3">
      <c r="A164" s="73" t="str">
        <f>"TOTAL SEM BDI - "&amp;B155</f>
        <v>TOTAL SEM BDI - 88262</v>
      </c>
      <c r="B164" s="74"/>
      <c r="C164" s="74"/>
      <c r="D164" s="74"/>
      <c r="E164" s="74"/>
      <c r="F164" s="74"/>
      <c r="G164" s="74"/>
      <c r="H164" s="75"/>
      <c r="I164" s="76">
        <f>SUM(I155:I163)</f>
        <v>26.97</v>
      </c>
      <c r="J164" s="77"/>
    </row>
    <row r="166" spans="1:18" x14ac:dyDescent="0.3">
      <c r="A166" s="4" t="s">
        <v>1000</v>
      </c>
      <c r="B166" s="4" t="s">
        <v>170</v>
      </c>
      <c r="C166" s="4" t="s">
        <v>171</v>
      </c>
      <c r="D166" s="4" t="s">
        <v>18</v>
      </c>
      <c r="E166" s="4" t="s">
        <v>172</v>
      </c>
      <c r="F166" s="4" t="s">
        <v>507</v>
      </c>
      <c r="G166" s="45" t="s">
        <v>1001</v>
      </c>
      <c r="H166" s="46"/>
      <c r="I166" s="45" t="s">
        <v>12</v>
      </c>
      <c r="J166" s="46"/>
    </row>
    <row r="167" spans="1:18" ht="30" customHeight="1" x14ac:dyDescent="0.3">
      <c r="A167" s="15" t="s">
        <v>1071</v>
      </c>
      <c r="B167" s="15">
        <v>88239</v>
      </c>
      <c r="C167" s="15" t="str">
        <f>VLOOKUP(B167,S!$A:$G,2,FALSE)</f>
        <v>SINAPI</v>
      </c>
      <c r="D167" s="22" t="str">
        <f>VLOOKUP(B167,S!$A:$G,3,FALSE)</f>
        <v>AJUDANTE DE CARPINTEIRO COM ENCARGOS COMPLEMENTARES</v>
      </c>
      <c r="E167" s="15" t="str">
        <f>VLOOKUP(B167,S!$A:$G,4,FALSE)</f>
        <v>H</v>
      </c>
      <c r="F167" s="15"/>
      <c r="G167" s="78">
        <f>I176</f>
        <v>22.2</v>
      </c>
      <c r="H167" s="79"/>
      <c r="I167" s="78"/>
      <c r="J167" s="79"/>
      <c r="K167" s="16">
        <f>VLOOKUP(B167,S!A:G,5,FALSE)</f>
        <v>22.2</v>
      </c>
      <c r="L167" s="15" t="str">
        <f>IF(K167=G167,"OK, CONFORME TABELA",IF(G167&gt;K167,"ACIMA DA TABELA: ","ABAIXO DA TABELA: ")&amp;TRUNC((G167*100)/K167,2)&amp;" %")</f>
        <v>OK, CONFORME TABELA</v>
      </c>
    </row>
    <row r="168" spans="1:18" ht="30" customHeight="1" x14ac:dyDescent="0.3">
      <c r="A168" s="23" t="s">
        <v>1005</v>
      </c>
      <c r="B168" s="23">
        <v>43483</v>
      </c>
      <c r="C168" s="23" t="str">
        <f>VLOOKUP(B168,IF(A168="COMPOSICAO",S!$A:$E,I!$A:$E),2,FALSE)</f>
        <v>SINAPI</v>
      </c>
      <c r="D168" s="24" t="str">
        <f>VLOOKUP(B168,IF(A168="COMPOSICAO",S!$A:$E,I!$A:$E),3,FALSE)</f>
        <v>EPI - FAMILIA CARPINTEIRO DE FORMAS - HORISTA (ENCARGOS COMPLEMENTARES - COLETADO CAIXA)</v>
      </c>
      <c r="E168" s="23" t="str">
        <f>VLOOKUP(B168,IF(A168="COMPOSICAO",S!$A:$E,I!$A:$E),4,FALSE)</f>
        <v>H</v>
      </c>
      <c r="F168" s="23">
        <v>1</v>
      </c>
      <c r="G168" s="76">
        <f>IF(A168="COMPOSICAO",VLOOKUP("TOTAL SEM BDI - "&amp;B168,CPUAUX4!$A:$J,9,FALSE),VLOOKUP(B168,I!$A:$E,5,FALSE))</f>
        <v>1.43</v>
      </c>
      <c r="H168" s="77"/>
      <c r="I168" s="76">
        <f t="shared" ref="I168:I175" si="8">TRUNC(F168*G168,2)</f>
        <v>1.43</v>
      </c>
      <c r="J168" s="77"/>
      <c r="M168" s="23">
        <f t="shared" ref="M168:M175" si="9">B168</f>
        <v>43483</v>
      </c>
      <c r="N168" s="23">
        <f>SUMIF(CPUAUX2!M:M,B167,CPUAUX2!O:O)</f>
        <v>1.0406415783600003</v>
      </c>
      <c r="O168" s="23">
        <f t="shared" ref="O168:O175" si="10">F168*N168</f>
        <v>1.0406415783600003</v>
      </c>
      <c r="Q168" s="23">
        <f ca="1">SUMIF(CPUAUX2!M:M,B167,CPUAUX2!R:R)</f>
        <v>0.34688052612000009</v>
      </c>
      <c r="R168" s="23">
        <f t="shared" ref="R168:R175" ca="1" si="11">F168*Q168</f>
        <v>0.34688052612000009</v>
      </c>
    </row>
    <row r="169" spans="1:18" ht="45" customHeight="1" x14ac:dyDescent="0.3">
      <c r="A169" s="23" t="s">
        <v>1005</v>
      </c>
      <c r="B169" s="23">
        <v>43459</v>
      </c>
      <c r="C169" s="23" t="str">
        <f>VLOOKUP(B169,IF(A169="COMPOSICAO",S!$A:$E,I!$A:$E),2,FALSE)</f>
        <v>SINAPI</v>
      </c>
      <c r="D169" s="24" t="str">
        <f>VLOOKUP(B169,IF(A169="COMPOSICAO",S!$A:$E,I!$A:$E),3,FALSE)</f>
        <v>FERRAMENTAS - FAMILIA CARPINTEIRO DE FORMAS - HORISTA (ENCARGOS COMPLEMENTARES - COLETADO CAIXA)</v>
      </c>
      <c r="E169" s="23" t="str">
        <f>VLOOKUP(B169,IF(A169="COMPOSICAO",S!$A:$E,I!$A:$E),4,FALSE)</f>
        <v>H</v>
      </c>
      <c r="F169" s="23">
        <v>1</v>
      </c>
      <c r="G169" s="76">
        <f>IF(A169="COMPOSICAO",VLOOKUP("TOTAL SEM BDI - "&amp;B169,CPUAUX4!$A:$J,9,FALSE),VLOOKUP(B169,I!$A:$E,5,FALSE))</f>
        <v>0.44</v>
      </c>
      <c r="H169" s="77"/>
      <c r="I169" s="76">
        <f t="shared" si="8"/>
        <v>0.44</v>
      </c>
      <c r="J169" s="77"/>
      <c r="M169" s="23">
        <f t="shared" si="9"/>
        <v>43459</v>
      </c>
      <c r="N169" s="23">
        <f>SUMIF(CPUAUX2!M:M,B167,CPUAUX2!O:O)</f>
        <v>1.0406415783600003</v>
      </c>
      <c r="O169" s="23">
        <f t="shared" si="10"/>
        <v>1.0406415783600003</v>
      </c>
      <c r="Q169" s="23">
        <f ca="1">SUMIF(CPUAUX2!M:M,B167,CPUAUX2!R:R)</f>
        <v>0.34688052612000009</v>
      </c>
      <c r="R169" s="23">
        <f t="shared" ca="1" si="11"/>
        <v>0.34688052612000009</v>
      </c>
    </row>
    <row r="170" spans="1:18" ht="30" customHeight="1" x14ac:dyDescent="0.3">
      <c r="A170" s="23" t="s">
        <v>1005</v>
      </c>
      <c r="B170" s="23">
        <v>37373</v>
      </c>
      <c r="C170" s="23" t="str">
        <f>VLOOKUP(B170,IF(A170="COMPOSICAO",S!$A:$E,I!$A:$E),2,FALSE)</f>
        <v>SINAPI</v>
      </c>
      <c r="D170" s="24" t="str">
        <f>VLOOKUP(B170,IF(A170="COMPOSICAO",S!$A:$E,I!$A:$E),3,FALSE)</f>
        <v>SEGURO - HORISTA (COLETADO CAIXA - ENCARGOS COMPLEMENTARES)</v>
      </c>
      <c r="E170" s="23" t="str">
        <f>VLOOKUP(B170,IF(A170="COMPOSICAO",S!$A:$E,I!$A:$E),4,FALSE)</f>
        <v>H</v>
      </c>
      <c r="F170" s="23">
        <v>1</v>
      </c>
      <c r="G170" s="76">
        <f>IF(A170="COMPOSICAO",VLOOKUP("TOTAL SEM BDI - "&amp;B170,CPUAUX4!$A:$J,9,FALSE),VLOOKUP(B170,I!$A:$E,5,FALSE))</f>
        <v>0.08</v>
      </c>
      <c r="H170" s="77"/>
      <c r="I170" s="76">
        <f t="shared" si="8"/>
        <v>0.08</v>
      </c>
      <c r="J170" s="77"/>
      <c r="M170" s="23">
        <f t="shared" si="9"/>
        <v>37373</v>
      </c>
      <c r="N170" s="23">
        <f>SUMIF(CPUAUX2!M:M,B167,CPUAUX2!O:O)</f>
        <v>1.0406415783600003</v>
      </c>
      <c r="O170" s="23">
        <f t="shared" si="10"/>
        <v>1.0406415783600003</v>
      </c>
      <c r="Q170" s="23">
        <f ca="1">SUMIF(CPUAUX2!M:M,B167,CPUAUX2!R:R)</f>
        <v>0.34688052612000009</v>
      </c>
      <c r="R170" s="23">
        <f t="shared" ca="1" si="11"/>
        <v>0.34688052612000009</v>
      </c>
    </row>
    <row r="171" spans="1:18" ht="30" customHeight="1" x14ac:dyDescent="0.3">
      <c r="A171" s="23" t="s">
        <v>1005</v>
      </c>
      <c r="B171" s="23">
        <v>37372</v>
      </c>
      <c r="C171" s="23" t="str">
        <f>VLOOKUP(B171,IF(A171="COMPOSICAO",S!$A:$E,I!$A:$E),2,FALSE)</f>
        <v>SINAPI</v>
      </c>
      <c r="D171" s="24" t="str">
        <f>VLOOKUP(B171,IF(A171="COMPOSICAO",S!$A:$E,I!$A:$E),3,FALSE)</f>
        <v>EXAMES - HORISTA (COLETADO CAIXA - ENCARGOS COMPLEMENTARES)</v>
      </c>
      <c r="E171" s="23" t="str">
        <f>VLOOKUP(B171,IF(A171="COMPOSICAO",S!$A:$E,I!$A:$E),4,FALSE)</f>
        <v>H</v>
      </c>
      <c r="F171" s="23">
        <v>1</v>
      </c>
      <c r="G171" s="76">
        <f>IF(A171="COMPOSICAO",VLOOKUP("TOTAL SEM BDI - "&amp;B171,CPUAUX4!$A:$J,9,FALSE),VLOOKUP(B171,I!$A:$E,5,FALSE))</f>
        <v>1.43</v>
      </c>
      <c r="H171" s="77"/>
      <c r="I171" s="76">
        <f t="shared" si="8"/>
        <v>1.43</v>
      </c>
      <c r="J171" s="77"/>
      <c r="M171" s="23">
        <f t="shared" si="9"/>
        <v>37372</v>
      </c>
      <c r="N171" s="23">
        <f>SUMIF(CPUAUX2!M:M,B167,CPUAUX2!O:O)</f>
        <v>1.0406415783600003</v>
      </c>
      <c r="O171" s="23">
        <f t="shared" si="10"/>
        <v>1.0406415783600003</v>
      </c>
      <c r="Q171" s="23">
        <f ca="1">SUMIF(CPUAUX2!M:M,B167,CPUAUX2!R:R)</f>
        <v>0.34688052612000009</v>
      </c>
      <c r="R171" s="23">
        <f t="shared" ca="1" si="11"/>
        <v>0.34688052612000009</v>
      </c>
    </row>
    <row r="172" spans="1:18" ht="30" customHeight="1" x14ac:dyDescent="0.3">
      <c r="A172" s="23" t="s">
        <v>1005</v>
      </c>
      <c r="B172" s="23">
        <v>37371</v>
      </c>
      <c r="C172" s="23" t="str">
        <f>VLOOKUP(B172,IF(A172="COMPOSICAO",S!$A:$E,I!$A:$E),2,FALSE)</f>
        <v>SINAPI</v>
      </c>
      <c r="D172" s="24" t="str">
        <f>VLOOKUP(B172,IF(A172="COMPOSICAO",S!$A:$E,I!$A:$E),3,FALSE)</f>
        <v>TRANSPORTE - HORISTA (COLETADO CAIXA - ENCARGOS COMPLEMENTARES)</v>
      </c>
      <c r="E172" s="23" t="str">
        <f>VLOOKUP(B172,IF(A172="COMPOSICAO",S!$A:$E,I!$A:$E),4,FALSE)</f>
        <v>H</v>
      </c>
      <c r="F172" s="23">
        <v>1</v>
      </c>
      <c r="G172" s="76">
        <f>IF(A172="COMPOSICAO",VLOOKUP("TOTAL SEM BDI - "&amp;B172,CPUAUX4!$A:$J,9,FALSE),VLOOKUP(B172,I!$A:$E,5,FALSE))</f>
        <v>0.56999999999999995</v>
      </c>
      <c r="H172" s="77"/>
      <c r="I172" s="76">
        <f t="shared" si="8"/>
        <v>0.56999999999999995</v>
      </c>
      <c r="J172" s="77"/>
      <c r="M172" s="23">
        <f t="shared" si="9"/>
        <v>37371</v>
      </c>
      <c r="N172" s="23">
        <f>SUMIF(CPUAUX2!M:M,B167,CPUAUX2!O:O)</f>
        <v>1.0406415783600003</v>
      </c>
      <c r="O172" s="23">
        <f t="shared" si="10"/>
        <v>1.0406415783600003</v>
      </c>
      <c r="Q172" s="23">
        <f ca="1">SUMIF(CPUAUX2!M:M,B167,CPUAUX2!R:R)</f>
        <v>0.34688052612000009</v>
      </c>
      <c r="R172" s="23">
        <f t="shared" ca="1" si="11"/>
        <v>0.34688052612000009</v>
      </c>
    </row>
    <row r="173" spans="1:18" ht="30" customHeight="1" x14ac:dyDescent="0.3">
      <c r="A173" s="23" t="s">
        <v>1005</v>
      </c>
      <c r="B173" s="23">
        <v>37370</v>
      </c>
      <c r="C173" s="23" t="str">
        <f>VLOOKUP(B173,IF(A173="COMPOSICAO",S!$A:$E,I!$A:$E),2,FALSE)</f>
        <v>SINAPI</v>
      </c>
      <c r="D173" s="24" t="str">
        <f>VLOOKUP(B173,IF(A173="COMPOSICAO",S!$A:$E,I!$A:$E),3,FALSE)</f>
        <v>ALIMENTACAO - HORISTA (COLETADO CAIXA - ENCARGOS COMPLEMENTARES)</v>
      </c>
      <c r="E173" s="23" t="str">
        <f>VLOOKUP(B173,IF(A173="COMPOSICAO",S!$A:$E,I!$A:$E),4,FALSE)</f>
        <v>H</v>
      </c>
      <c r="F173" s="23">
        <v>1</v>
      </c>
      <c r="G173" s="76">
        <f>IF(A173="COMPOSICAO",VLOOKUP("TOTAL SEM BDI - "&amp;B173,CPUAUX4!$A:$J,9,FALSE),VLOOKUP(B173,I!$A:$E,5,FALSE))</f>
        <v>2.46</v>
      </c>
      <c r="H173" s="77"/>
      <c r="I173" s="76">
        <f t="shared" si="8"/>
        <v>2.46</v>
      </c>
      <c r="J173" s="77"/>
      <c r="M173" s="23">
        <f t="shared" si="9"/>
        <v>37370</v>
      </c>
      <c r="N173" s="23">
        <f>SUMIF(CPUAUX2!M:M,B167,CPUAUX2!O:O)</f>
        <v>1.0406415783600003</v>
      </c>
      <c r="O173" s="23">
        <f t="shared" si="10"/>
        <v>1.0406415783600003</v>
      </c>
      <c r="Q173" s="23">
        <f ca="1">SUMIF(CPUAUX2!M:M,B167,CPUAUX2!R:R)</f>
        <v>0.34688052612000009</v>
      </c>
      <c r="R173" s="23">
        <f t="shared" ca="1" si="11"/>
        <v>0.34688052612000009</v>
      </c>
    </row>
    <row r="174" spans="1:18" x14ac:dyDescent="0.3">
      <c r="A174" s="23" t="s">
        <v>1005</v>
      </c>
      <c r="B174" s="23">
        <v>6117</v>
      </c>
      <c r="C174" s="23" t="str">
        <f>VLOOKUP(B174,IF(A174="COMPOSICAO",S!$A:$E,I!$A:$E),2,FALSE)</f>
        <v>SINAPI</v>
      </c>
      <c r="D174" s="24" t="str">
        <f>VLOOKUP(B174,IF(A174="COMPOSICAO",S!$A:$E,I!$A:$E),3,FALSE)</f>
        <v>CARPINTEIRO AUXILIAR (HORISTA)</v>
      </c>
      <c r="E174" s="23" t="str">
        <f>VLOOKUP(B174,IF(A174="COMPOSICAO",S!$A:$E,I!$A:$E),4,FALSE)</f>
        <v>H</v>
      </c>
      <c r="F174" s="23">
        <v>1</v>
      </c>
      <c r="G174" s="76">
        <f>IF(A174="COMPOSICAO",VLOOKUP("TOTAL SEM BDI - "&amp;B174,CPUAUX4!$A:$J,9,FALSE),VLOOKUP(B174,I!$A:$E,5,FALSE))</f>
        <v>15.57</v>
      </c>
      <c r="H174" s="77"/>
      <c r="I174" s="76">
        <f t="shared" si="8"/>
        <v>15.57</v>
      </c>
      <c r="J174" s="77"/>
      <c r="M174" s="23">
        <f t="shared" si="9"/>
        <v>6117</v>
      </c>
      <c r="N174" s="23">
        <f>SUMIF(CPUAUX2!M:M,B167,CPUAUX2!O:O)</f>
        <v>1.0406415783600003</v>
      </c>
      <c r="O174" s="23">
        <f t="shared" si="10"/>
        <v>1.0406415783600003</v>
      </c>
      <c r="Q174" s="23">
        <f ca="1">SUMIF(CPUAUX2!M:M,B167,CPUAUX2!R:R)</f>
        <v>0.34688052612000009</v>
      </c>
      <c r="R174" s="23">
        <f t="shared" ca="1" si="11"/>
        <v>0.34688052612000009</v>
      </c>
    </row>
    <row r="175" spans="1:18" ht="30" customHeight="1" x14ac:dyDescent="0.3">
      <c r="A175" s="23" t="s">
        <v>1004</v>
      </c>
      <c r="B175" s="23">
        <v>95309</v>
      </c>
      <c r="C175" s="23" t="str">
        <f>VLOOKUP(B175,IF(A175="COMPOSICAO",S!$A:$E,I!$A:$E),2,FALSE)</f>
        <v>SINAPI</v>
      </c>
      <c r="D175" s="24" t="str">
        <f>VLOOKUP(B175,IF(A175="COMPOSICAO",S!$A:$E,I!$A:$E),3,FALSE)</f>
        <v>CURSO DE CAPACITAÇÃO PARA AJUDANTE DE CARPINTEIRO (ENCARGOS COMPLEMENTARES) - HORISTA</v>
      </c>
      <c r="E175" s="23" t="str">
        <f>VLOOKUP(B175,IF(A175="COMPOSICAO",S!$A:$E,I!$A:$E),4,FALSE)</f>
        <v>H</v>
      </c>
      <c r="F175" s="23">
        <v>1</v>
      </c>
      <c r="G175" s="76">
        <f>IF(A175="COMPOSICAO",VLOOKUP("TOTAL SEM BDI - "&amp;B175,CPUAUX4!$A:$J,9,FALSE),VLOOKUP(B175,I!$A:$E,5,FALSE))</f>
        <v>0.22</v>
      </c>
      <c r="H175" s="77"/>
      <c r="I175" s="76">
        <f t="shared" si="8"/>
        <v>0.22</v>
      </c>
      <c r="J175" s="77"/>
      <c r="M175" s="23">
        <f t="shared" si="9"/>
        <v>95309</v>
      </c>
      <c r="N175" s="23">
        <f>SUMIF(CPUAUX2!M:M,B167,CPUAUX2!O:O)</f>
        <v>1.0406415783600003</v>
      </c>
      <c r="O175" s="23">
        <f t="shared" si="10"/>
        <v>1.0406415783600003</v>
      </c>
      <c r="Q175" s="23">
        <f ca="1">SUMIF(CPUAUX2!M:M,B167,CPUAUX2!R:R)</f>
        <v>0.34688052612000009</v>
      </c>
      <c r="R175" s="23">
        <f t="shared" ca="1" si="11"/>
        <v>0.34688052612000009</v>
      </c>
    </row>
    <row r="176" spans="1:18" x14ac:dyDescent="0.3">
      <c r="A176" s="73" t="str">
        <f>"TOTAL SEM BDI - "&amp;B167</f>
        <v>TOTAL SEM BDI - 88239</v>
      </c>
      <c r="B176" s="74"/>
      <c r="C176" s="74"/>
      <c r="D176" s="74"/>
      <c r="E176" s="74"/>
      <c r="F176" s="74"/>
      <c r="G176" s="74"/>
      <c r="H176" s="75"/>
      <c r="I176" s="76">
        <f>SUM(I167:I175)</f>
        <v>22.2</v>
      </c>
      <c r="J176" s="77"/>
    </row>
    <row r="178" spans="1:18" x14ac:dyDescent="0.3">
      <c r="A178" s="4" t="s">
        <v>1000</v>
      </c>
      <c r="B178" s="4" t="s">
        <v>170</v>
      </c>
      <c r="C178" s="4" t="s">
        <v>171</v>
      </c>
      <c r="D178" s="4" t="s">
        <v>18</v>
      </c>
      <c r="E178" s="4" t="s">
        <v>172</v>
      </c>
      <c r="F178" s="4" t="s">
        <v>507</v>
      </c>
      <c r="G178" s="45" t="s">
        <v>1001</v>
      </c>
      <c r="H178" s="46"/>
      <c r="I178" s="45" t="s">
        <v>12</v>
      </c>
      <c r="J178" s="46"/>
    </row>
    <row r="179" spans="1:18" x14ac:dyDescent="0.3">
      <c r="A179" s="15" t="s">
        <v>1071</v>
      </c>
      <c r="B179" s="15">
        <v>88245</v>
      </c>
      <c r="C179" s="15" t="str">
        <f>VLOOKUP(B179,S!$A:$G,2,FALSE)</f>
        <v>SINAPI</v>
      </c>
      <c r="D179" s="22" t="str">
        <f>VLOOKUP(B179,S!$A:$G,3,FALSE)</f>
        <v>ARMADOR COM ENCARGOS COMPLEMENTARES</v>
      </c>
      <c r="E179" s="15" t="str">
        <f>VLOOKUP(B179,S!$A:$G,4,FALSE)</f>
        <v>H</v>
      </c>
      <c r="F179" s="15"/>
      <c r="G179" s="78">
        <f>I188</f>
        <v>27.189999999999998</v>
      </c>
      <c r="H179" s="79"/>
      <c r="I179" s="78"/>
      <c r="J179" s="79"/>
      <c r="K179" s="16">
        <f>VLOOKUP(B179,S!A:G,5,FALSE)</f>
        <v>27.19</v>
      </c>
      <c r="L179" s="15" t="str">
        <f>IF(K179=G179,"OK, CONFORME TABELA",IF(G179&gt;K179,"ACIMA DA TABELA: ","ABAIXO DA TABELA: ")&amp;TRUNC((G179*100)/K179,2)&amp;" %")</f>
        <v>OK, CONFORME TABELA</v>
      </c>
    </row>
    <row r="180" spans="1:18" ht="30" customHeight="1" x14ac:dyDescent="0.3">
      <c r="A180" s="23" t="s">
        <v>1005</v>
      </c>
      <c r="B180" s="23">
        <v>43489</v>
      </c>
      <c r="C180" s="23" t="str">
        <f>VLOOKUP(B180,IF(A180="COMPOSICAO",S!$A:$E,I!$A:$E),2,FALSE)</f>
        <v>SINAPI</v>
      </c>
      <c r="D180" s="24" t="str">
        <f>VLOOKUP(B180,IF(A180="COMPOSICAO",S!$A:$E,I!$A:$E),3,FALSE)</f>
        <v>EPI - FAMILIA PEDREIRO - HORISTA (ENCARGOS COMPLEMENTARES - COLETADO CAIXA)</v>
      </c>
      <c r="E180" s="23" t="str">
        <f>VLOOKUP(B180,IF(A180="COMPOSICAO",S!$A:$E,I!$A:$E),4,FALSE)</f>
        <v>H</v>
      </c>
      <c r="F180" s="23">
        <v>1</v>
      </c>
      <c r="G180" s="76">
        <f>IF(A180="COMPOSICAO",VLOOKUP("TOTAL SEM BDI - "&amp;B180,CPUAUX4!$A:$J,9,FALSE),VLOOKUP(B180,I!$A:$E,5,FALSE))</f>
        <v>1.31</v>
      </c>
      <c r="H180" s="77"/>
      <c r="I180" s="76">
        <f t="shared" ref="I180:I187" si="12">TRUNC(F180*G180,2)</f>
        <v>1.31</v>
      </c>
      <c r="J180" s="77"/>
      <c r="M180" s="23">
        <f t="shared" ref="M180:M187" si="13">B180</f>
        <v>43489</v>
      </c>
      <c r="N180" s="23">
        <f>SUMIF(CPUAUX2!M:M,B179,CPUAUX2!O:O)</f>
        <v>0.97901067600000025</v>
      </c>
      <c r="O180" s="23">
        <f t="shared" ref="O180:O187" si="14">F180*N180</f>
        <v>0.97901067600000025</v>
      </c>
      <c r="Q180" s="23">
        <f ca="1">SUMIF(CPUAUX2!M:M,B179,CPUAUX2!R:R)</f>
        <v>0.3263368920000001</v>
      </c>
      <c r="R180" s="23">
        <f t="shared" ref="R180:R187" ca="1" si="15">F180*Q180</f>
        <v>0.3263368920000001</v>
      </c>
    </row>
    <row r="181" spans="1:18" ht="30" customHeight="1" x14ac:dyDescent="0.3">
      <c r="A181" s="23" t="s">
        <v>1005</v>
      </c>
      <c r="B181" s="23">
        <v>43465</v>
      </c>
      <c r="C181" s="23" t="str">
        <f>VLOOKUP(B181,IF(A181="COMPOSICAO",S!$A:$E,I!$A:$E),2,FALSE)</f>
        <v>SINAPI</v>
      </c>
      <c r="D181" s="24" t="str">
        <f>VLOOKUP(B181,IF(A181="COMPOSICAO",S!$A:$E,I!$A:$E),3,FALSE)</f>
        <v>FERRAMENTAS - FAMILIA PEDREIRO - HORISTA (ENCARGOS COMPLEMENTARES - COLETADO CAIXA)</v>
      </c>
      <c r="E181" s="23" t="str">
        <f>VLOOKUP(B181,IF(A181="COMPOSICAO",S!$A:$E,I!$A:$E),4,FALSE)</f>
        <v>H</v>
      </c>
      <c r="F181" s="23">
        <v>1</v>
      </c>
      <c r="G181" s="76">
        <f>IF(A181="COMPOSICAO",VLOOKUP("TOTAL SEM BDI - "&amp;B181,CPUAUX4!$A:$J,9,FALSE),VLOOKUP(B181,I!$A:$E,5,FALSE))</f>
        <v>0.78</v>
      </c>
      <c r="H181" s="77"/>
      <c r="I181" s="76">
        <f t="shared" si="12"/>
        <v>0.78</v>
      </c>
      <c r="J181" s="77"/>
      <c r="M181" s="23">
        <f t="shared" si="13"/>
        <v>43465</v>
      </c>
      <c r="N181" s="23">
        <f>SUMIF(CPUAUX2!M:M,B179,CPUAUX2!O:O)</f>
        <v>0.97901067600000025</v>
      </c>
      <c r="O181" s="23">
        <f t="shared" si="14"/>
        <v>0.97901067600000025</v>
      </c>
      <c r="Q181" s="23">
        <f ca="1">SUMIF(CPUAUX2!M:M,B179,CPUAUX2!R:R)</f>
        <v>0.3263368920000001</v>
      </c>
      <c r="R181" s="23">
        <f t="shared" ca="1" si="15"/>
        <v>0.3263368920000001</v>
      </c>
    </row>
    <row r="182" spans="1:18" ht="30" customHeight="1" x14ac:dyDescent="0.3">
      <c r="A182" s="23" t="s">
        <v>1005</v>
      </c>
      <c r="B182" s="23">
        <v>37373</v>
      </c>
      <c r="C182" s="23" t="str">
        <f>VLOOKUP(B182,IF(A182="COMPOSICAO",S!$A:$E,I!$A:$E),2,FALSE)</f>
        <v>SINAPI</v>
      </c>
      <c r="D182" s="24" t="str">
        <f>VLOOKUP(B182,IF(A182="COMPOSICAO",S!$A:$E,I!$A:$E),3,FALSE)</f>
        <v>SEGURO - HORISTA (COLETADO CAIXA - ENCARGOS COMPLEMENTARES)</v>
      </c>
      <c r="E182" s="23" t="str">
        <f>VLOOKUP(B182,IF(A182="COMPOSICAO",S!$A:$E,I!$A:$E),4,FALSE)</f>
        <v>H</v>
      </c>
      <c r="F182" s="23">
        <v>1</v>
      </c>
      <c r="G182" s="76">
        <f>IF(A182="COMPOSICAO",VLOOKUP("TOTAL SEM BDI - "&amp;B182,CPUAUX4!$A:$J,9,FALSE),VLOOKUP(B182,I!$A:$E,5,FALSE))</f>
        <v>0.08</v>
      </c>
      <c r="H182" s="77"/>
      <c r="I182" s="76">
        <f t="shared" si="12"/>
        <v>0.08</v>
      </c>
      <c r="J182" s="77"/>
      <c r="M182" s="23">
        <f t="shared" si="13"/>
        <v>37373</v>
      </c>
      <c r="N182" s="23">
        <f>SUMIF(CPUAUX2!M:M,B179,CPUAUX2!O:O)</f>
        <v>0.97901067600000025</v>
      </c>
      <c r="O182" s="23">
        <f t="shared" si="14"/>
        <v>0.97901067600000025</v>
      </c>
      <c r="Q182" s="23">
        <f ca="1">SUMIF(CPUAUX2!M:M,B179,CPUAUX2!R:R)</f>
        <v>0.3263368920000001</v>
      </c>
      <c r="R182" s="23">
        <f t="shared" ca="1" si="15"/>
        <v>0.3263368920000001</v>
      </c>
    </row>
    <row r="183" spans="1:18" ht="30" customHeight="1" x14ac:dyDescent="0.3">
      <c r="A183" s="23" t="s">
        <v>1005</v>
      </c>
      <c r="B183" s="23">
        <v>37372</v>
      </c>
      <c r="C183" s="23" t="str">
        <f>VLOOKUP(B183,IF(A183="COMPOSICAO",S!$A:$E,I!$A:$E),2,FALSE)</f>
        <v>SINAPI</v>
      </c>
      <c r="D183" s="24" t="str">
        <f>VLOOKUP(B183,IF(A183="COMPOSICAO",S!$A:$E,I!$A:$E),3,FALSE)</f>
        <v>EXAMES - HORISTA (COLETADO CAIXA - ENCARGOS COMPLEMENTARES)</v>
      </c>
      <c r="E183" s="23" t="str">
        <f>VLOOKUP(B183,IF(A183="COMPOSICAO",S!$A:$E,I!$A:$E),4,FALSE)</f>
        <v>H</v>
      </c>
      <c r="F183" s="23">
        <v>1</v>
      </c>
      <c r="G183" s="76">
        <f>IF(A183="COMPOSICAO",VLOOKUP("TOTAL SEM BDI - "&amp;B183,CPUAUX4!$A:$J,9,FALSE),VLOOKUP(B183,I!$A:$E,5,FALSE))</f>
        <v>1.43</v>
      </c>
      <c r="H183" s="77"/>
      <c r="I183" s="76">
        <f t="shared" si="12"/>
        <v>1.43</v>
      </c>
      <c r="J183" s="77"/>
      <c r="M183" s="23">
        <f t="shared" si="13"/>
        <v>37372</v>
      </c>
      <c r="N183" s="23">
        <f>SUMIF(CPUAUX2!M:M,B179,CPUAUX2!O:O)</f>
        <v>0.97901067600000025</v>
      </c>
      <c r="O183" s="23">
        <f t="shared" si="14"/>
        <v>0.97901067600000025</v>
      </c>
      <c r="Q183" s="23">
        <f ca="1">SUMIF(CPUAUX2!M:M,B179,CPUAUX2!R:R)</f>
        <v>0.3263368920000001</v>
      </c>
      <c r="R183" s="23">
        <f t="shared" ca="1" si="15"/>
        <v>0.3263368920000001</v>
      </c>
    </row>
    <row r="184" spans="1:18" ht="30" customHeight="1" x14ac:dyDescent="0.3">
      <c r="A184" s="23" t="s">
        <v>1005</v>
      </c>
      <c r="B184" s="23">
        <v>37371</v>
      </c>
      <c r="C184" s="23" t="str">
        <f>VLOOKUP(B184,IF(A184="COMPOSICAO",S!$A:$E,I!$A:$E),2,FALSE)</f>
        <v>SINAPI</v>
      </c>
      <c r="D184" s="24" t="str">
        <f>VLOOKUP(B184,IF(A184="COMPOSICAO",S!$A:$E,I!$A:$E),3,FALSE)</f>
        <v>TRANSPORTE - HORISTA (COLETADO CAIXA - ENCARGOS COMPLEMENTARES)</v>
      </c>
      <c r="E184" s="23" t="str">
        <f>VLOOKUP(B184,IF(A184="COMPOSICAO",S!$A:$E,I!$A:$E),4,FALSE)</f>
        <v>H</v>
      </c>
      <c r="F184" s="23">
        <v>1</v>
      </c>
      <c r="G184" s="76">
        <f>IF(A184="COMPOSICAO",VLOOKUP("TOTAL SEM BDI - "&amp;B184,CPUAUX4!$A:$J,9,FALSE),VLOOKUP(B184,I!$A:$E,5,FALSE))</f>
        <v>0.56999999999999995</v>
      </c>
      <c r="H184" s="77"/>
      <c r="I184" s="76">
        <f t="shared" si="12"/>
        <v>0.56999999999999995</v>
      </c>
      <c r="J184" s="77"/>
      <c r="M184" s="23">
        <f t="shared" si="13"/>
        <v>37371</v>
      </c>
      <c r="N184" s="23">
        <f>SUMIF(CPUAUX2!M:M,B179,CPUAUX2!O:O)</f>
        <v>0.97901067600000025</v>
      </c>
      <c r="O184" s="23">
        <f t="shared" si="14"/>
        <v>0.97901067600000025</v>
      </c>
      <c r="Q184" s="23">
        <f ca="1">SUMIF(CPUAUX2!M:M,B179,CPUAUX2!R:R)</f>
        <v>0.3263368920000001</v>
      </c>
      <c r="R184" s="23">
        <f t="shared" ca="1" si="15"/>
        <v>0.3263368920000001</v>
      </c>
    </row>
    <row r="185" spans="1:18" ht="30" customHeight="1" x14ac:dyDescent="0.3">
      <c r="A185" s="23" t="s">
        <v>1005</v>
      </c>
      <c r="B185" s="23">
        <v>37370</v>
      </c>
      <c r="C185" s="23" t="str">
        <f>VLOOKUP(B185,IF(A185="COMPOSICAO",S!$A:$E,I!$A:$E),2,FALSE)</f>
        <v>SINAPI</v>
      </c>
      <c r="D185" s="24" t="str">
        <f>VLOOKUP(B185,IF(A185="COMPOSICAO",S!$A:$E,I!$A:$E),3,FALSE)</f>
        <v>ALIMENTACAO - HORISTA (COLETADO CAIXA - ENCARGOS COMPLEMENTARES)</v>
      </c>
      <c r="E185" s="23" t="str">
        <f>VLOOKUP(B185,IF(A185="COMPOSICAO",S!$A:$E,I!$A:$E),4,FALSE)</f>
        <v>H</v>
      </c>
      <c r="F185" s="23">
        <v>1</v>
      </c>
      <c r="G185" s="76">
        <f>IF(A185="COMPOSICAO",VLOOKUP("TOTAL SEM BDI - "&amp;B185,CPUAUX4!$A:$J,9,FALSE),VLOOKUP(B185,I!$A:$E,5,FALSE))</f>
        <v>2.46</v>
      </c>
      <c r="H185" s="77"/>
      <c r="I185" s="76">
        <f t="shared" si="12"/>
        <v>2.46</v>
      </c>
      <c r="J185" s="77"/>
      <c r="M185" s="23">
        <f t="shared" si="13"/>
        <v>37370</v>
      </c>
      <c r="N185" s="23">
        <f>SUMIF(CPUAUX2!M:M,B179,CPUAUX2!O:O)</f>
        <v>0.97901067600000025</v>
      </c>
      <c r="O185" s="23">
        <f t="shared" si="14"/>
        <v>0.97901067600000025</v>
      </c>
      <c r="Q185" s="23">
        <f ca="1">SUMIF(CPUAUX2!M:M,B179,CPUAUX2!R:R)</f>
        <v>0.3263368920000001</v>
      </c>
      <c r="R185" s="23">
        <f t="shared" ca="1" si="15"/>
        <v>0.3263368920000001</v>
      </c>
    </row>
    <row r="186" spans="1:18" x14ac:dyDescent="0.3">
      <c r="A186" s="23" t="s">
        <v>1005</v>
      </c>
      <c r="B186" s="23">
        <v>378</v>
      </c>
      <c r="C186" s="23" t="str">
        <f>VLOOKUP(B186,IF(A186="COMPOSICAO",S!$A:$E,I!$A:$E),2,FALSE)</f>
        <v>SINAPI</v>
      </c>
      <c r="D186" s="24" t="str">
        <f>VLOOKUP(B186,IF(A186="COMPOSICAO",S!$A:$E,I!$A:$E),3,FALSE)</f>
        <v>ARMADOR (HORISTA)</v>
      </c>
      <c r="E186" s="23" t="str">
        <f>VLOOKUP(B186,IF(A186="COMPOSICAO",S!$A:$E,I!$A:$E),4,FALSE)</f>
        <v>H</v>
      </c>
      <c r="F186" s="23">
        <v>1</v>
      </c>
      <c r="G186" s="76">
        <f>IF(A186="COMPOSICAO",VLOOKUP("TOTAL SEM BDI - "&amp;B186,CPUAUX4!$A:$J,9,FALSE),VLOOKUP(B186,I!$A:$E,5,FALSE))</f>
        <v>20.329999999999998</v>
      </c>
      <c r="H186" s="77"/>
      <c r="I186" s="76">
        <f t="shared" si="12"/>
        <v>20.329999999999998</v>
      </c>
      <c r="J186" s="77"/>
      <c r="M186" s="23">
        <f t="shared" si="13"/>
        <v>378</v>
      </c>
      <c r="N186" s="23">
        <f>SUMIF(CPUAUX2!M:M,B179,CPUAUX2!O:O)</f>
        <v>0.97901067600000025</v>
      </c>
      <c r="O186" s="23">
        <f t="shared" si="14"/>
        <v>0.97901067600000025</v>
      </c>
      <c r="Q186" s="23">
        <f ca="1">SUMIF(CPUAUX2!M:M,B179,CPUAUX2!R:R)</f>
        <v>0.3263368920000001</v>
      </c>
      <c r="R186" s="23">
        <f t="shared" ca="1" si="15"/>
        <v>0.3263368920000001</v>
      </c>
    </row>
    <row r="187" spans="1:18" ht="30" customHeight="1" x14ac:dyDescent="0.3">
      <c r="A187" s="23" t="s">
        <v>1004</v>
      </c>
      <c r="B187" s="23">
        <v>95314</v>
      </c>
      <c r="C187" s="23" t="str">
        <f>VLOOKUP(B187,IF(A187="COMPOSICAO",S!$A:$E,I!$A:$E),2,FALSE)</f>
        <v>SINAPI</v>
      </c>
      <c r="D187" s="24" t="str">
        <f>VLOOKUP(B187,IF(A187="COMPOSICAO",S!$A:$E,I!$A:$E),3,FALSE)</f>
        <v>CURSO DE CAPACITAÇÃO PARA ARMADOR (ENCARGOS COMPLEMENTARES) - HORISTA</v>
      </c>
      <c r="E187" s="23" t="str">
        <f>VLOOKUP(B187,IF(A187="COMPOSICAO",S!$A:$E,I!$A:$E),4,FALSE)</f>
        <v>H</v>
      </c>
      <c r="F187" s="23">
        <v>1</v>
      </c>
      <c r="G187" s="76">
        <f>IF(A187="COMPOSICAO",VLOOKUP("TOTAL SEM BDI - "&amp;B187,CPUAUX4!$A:$J,9,FALSE),VLOOKUP(B187,I!$A:$E,5,FALSE))</f>
        <v>0.23</v>
      </c>
      <c r="H187" s="77"/>
      <c r="I187" s="76">
        <f t="shared" si="12"/>
        <v>0.23</v>
      </c>
      <c r="J187" s="77"/>
      <c r="M187" s="23">
        <f t="shared" si="13"/>
        <v>95314</v>
      </c>
      <c r="N187" s="23">
        <f>SUMIF(CPUAUX2!M:M,B179,CPUAUX2!O:O)</f>
        <v>0.97901067600000025</v>
      </c>
      <c r="O187" s="23">
        <f t="shared" si="14"/>
        <v>0.97901067600000025</v>
      </c>
      <c r="Q187" s="23">
        <f ca="1">SUMIF(CPUAUX2!M:M,B179,CPUAUX2!R:R)</f>
        <v>0.3263368920000001</v>
      </c>
      <c r="R187" s="23">
        <f t="shared" ca="1" si="15"/>
        <v>0.3263368920000001</v>
      </c>
    </row>
    <row r="188" spans="1:18" x14ac:dyDescent="0.3">
      <c r="A188" s="73" t="str">
        <f>"TOTAL SEM BDI - "&amp;B179</f>
        <v>TOTAL SEM BDI - 88245</v>
      </c>
      <c r="B188" s="74"/>
      <c r="C188" s="74"/>
      <c r="D188" s="74"/>
      <c r="E188" s="74"/>
      <c r="F188" s="74"/>
      <c r="G188" s="74"/>
      <c r="H188" s="75"/>
      <c r="I188" s="76">
        <f>SUM(I179:I187)</f>
        <v>27.189999999999998</v>
      </c>
      <c r="J188" s="77"/>
    </row>
    <row r="190" spans="1:18" x14ac:dyDescent="0.3">
      <c r="A190" s="4" t="s">
        <v>1000</v>
      </c>
      <c r="B190" s="4" t="s">
        <v>170</v>
      </c>
      <c r="C190" s="4" t="s">
        <v>171</v>
      </c>
      <c r="D190" s="4" t="s">
        <v>18</v>
      </c>
      <c r="E190" s="4" t="s">
        <v>172</v>
      </c>
      <c r="F190" s="4" t="s">
        <v>507</v>
      </c>
      <c r="G190" s="45" t="s">
        <v>1001</v>
      </c>
      <c r="H190" s="46"/>
      <c r="I190" s="45" t="s">
        <v>12</v>
      </c>
      <c r="J190" s="46"/>
    </row>
    <row r="191" spans="1:18" ht="30" customHeight="1" x14ac:dyDescent="0.3">
      <c r="A191" s="15" t="s">
        <v>1071</v>
      </c>
      <c r="B191" s="15">
        <v>88238</v>
      </c>
      <c r="C191" s="15" t="str">
        <f>VLOOKUP(B191,S!$A:$G,2,FALSE)</f>
        <v>SINAPI</v>
      </c>
      <c r="D191" s="22" t="str">
        <f>VLOOKUP(B191,S!$A:$G,3,FALSE)</f>
        <v>AJUDANTE DE ARMADOR COM ENCARGOS COMPLEMENTARES</v>
      </c>
      <c r="E191" s="15" t="str">
        <f>VLOOKUP(B191,S!$A:$G,4,FALSE)</f>
        <v>H</v>
      </c>
      <c r="F191" s="15"/>
      <c r="G191" s="78">
        <f>I200</f>
        <v>22.37</v>
      </c>
      <c r="H191" s="79"/>
      <c r="I191" s="78"/>
      <c r="J191" s="79"/>
      <c r="K191" s="16">
        <f>VLOOKUP(B191,S!A:G,5,FALSE)</f>
        <v>22.37</v>
      </c>
      <c r="L191" s="15" t="str">
        <f>IF(K191=G191,"OK, CONFORME TABELA",IF(G191&gt;K191,"ACIMA DA TABELA: ","ABAIXO DA TABELA: ")&amp;TRUNC((G191*100)/K191,2)&amp;" %")</f>
        <v>OK, CONFORME TABELA</v>
      </c>
    </row>
    <row r="192" spans="1:18" ht="30" customHeight="1" x14ac:dyDescent="0.3">
      <c r="A192" s="23" t="s">
        <v>1005</v>
      </c>
      <c r="B192" s="23">
        <v>43489</v>
      </c>
      <c r="C192" s="23" t="str">
        <f>VLOOKUP(B192,IF(A192="COMPOSICAO",S!$A:$E,I!$A:$E),2,FALSE)</f>
        <v>SINAPI</v>
      </c>
      <c r="D192" s="24" t="str">
        <f>VLOOKUP(B192,IF(A192="COMPOSICAO",S!$A:$E,I!$A:$E),3,FALSE)</f>
        <v>EPI - FAMILIA PEDREIRO - HORISTA (ENCARGOS COMPLEMENTARES - COLETADO CAIXA)</v>
      </c>
      <c r="E192" s="23" t="str">
        <f>VLOOKUP(B192,IF(A192="COMPOSICAO",S!$A:$E,I!$A:$E),4,FALSE)</f>
        <v>H</v>
      </c>
      <c r="F192" s="23">
        <v>1</v>
      </c>
      <c r="G192" s="76">
        <f>IF(A192="COMPOSICAO",VLOOKUP("TOTAL SEM BDI - "&amp;B192,CPUAUX4!$A:$J,9,FALSE),VLOOKUP(B192,I!$A:$E,5,FALSE))</f>
        <v>1.31</v>
      </c>
      <c r="H192" s="77"/>
      <c r="I192" s="76">
        <f t="shared" ref="I192:I199" si="16">TRUNC(F192*G192,2)</f>
        <v>1.31</v>
      </c>
      <c r="J192" s="77"/>
      <c r="M192" s="23">
        <f t="shared" ref="M192:M199" si="17">B192</f>
        <v>43489</v>
      </c>
      <c r="N192" s="23">
        <f>SUMIF(CPUAUX2!M:M,B191,CPUAUX2!O:O)</f>
        <v>0.15537421800000004</v>
      </c>
      <c r="O192" s="23">
        <f t="shared" ref="O192:O199" si="18">F192*N192</f>
        <v>0.15537421800000004</v>
      </c>
      <c r="Q192" s="23">
        <f ca="1">SUMIF(CPUAUX2!M:M,B191,CPUAUX2!R:R)</f>
        <v>5.1791406000000005E-2</v>
      </c>
      <c r="R192" s="23">
        <f t="shared" ref="R192:R199" ca="1" si="19">F192*Q192</f>
        <v>5.1791406000000005E-2</v>
      </c>
    </row>
    <row r="193" spans="1:18" ht="30" customHeight="1" x14ac:dyDescent="0.3">
      <c r="A193" s="23" t="s">
        <v>1005</v>
      </c>
      <c r="B193" s="23">
        <v>43465</v>
      </c>
      <c r="C193" s="23" t="str">
        <f>VLOOKUP(B193,IF(A193="COMPOSICAO",S!$A:$E,I!$A:$E),2,FALSE)</f>
        <v>SINAPI</v>
      </c>
      <c r="D193" s="24" t="str">
        <f>VLOOKUP(B193,IF(A193="COMPOSICAO",S!$A:$E,I!$A:$E),3,FALSE)</f>
        <v>FERRAMENTAS - FAMILIA PEDREIRO - HORISTA (ENCARGOS COMPLEMENTARES - COLETADO CAIXA)</v>
      </c>
      <c r="E193" s="23" t="str">
        <f>VLOOKUP(B193,IF(A193="COMPOSICAO",S!$A:$E,I!$A:$E),4,FALSE)</f>
        <v>H</v>
      </c>
      <c r="F193" s="23">
        <v>1</v>
      </c>
      <c r="G193" s="76">
        <f>IF(A193="COMPOSICAO",VLOOKUP("TOTAL SEM BDI - "&amp;B193,CPUAUX4!$A:$J,9,FALSE),VLOOKUP(B193,I!$A:$E,5,FALSE))</f>
        <v>0.78</v>
      </c>
      <c r="H193" s="77"/>
      <c r="I193" s="76">
        <f t="shared" si="16"/>
        <v>0.78</v>
      </c>
      <c r="J193" s="77"/>
      <c r="M193" s="23">
        <f t="shared" si="17"/>
        <v>43465</v>
      </c>
      <c r="N193" s="23">
        <f>SUMIF(CPUAUX2!M:M,B191,CPUAUX2!O:O)</f>
        <v>0.15537421800000004</v>
      </c>
      <c r="O193" s="23">
        <f t="shared" si="18"/>
        <v>0.15537421800000004</v>
      </c>
      <c r="Q193" s="23">
        <f ca="1">SUMIF(CPUAUX2!M:M,B191,CPUAUX2!R:R)</f>
        <v>5.1791406000000005E-2</v>
      </c>
      <c r="R193" s="23">
        <f t="shared" ca="1" si="19"/>
        <v>5.1791406000000005E-2</v>
      </c>
    </row>
    <row r="194" spans="1:18" ht="30" customHeight="1" x14ac:dyDescent="0.3">
      <c r="A194" s="23" t="s">
        <v>1005</v>
      </c>
      <c r="B194" s="23">
        <v>37373</v>
      </c>
      <c r="C194" s="23" t="str">
        <f>VLOOKUP(B194,IF(A194="COMPOSICAO",S!$A:$E,I!$A:$E),2,FALSE)</f>
        <v>SINAPI</v>
      </c>
      <c r="D194" s="24" t="str">
        <f>VLOOKUP(B194,IF(A194="COMPOSICAO",S!$A:$E,I!$A:$E),3,FALSE)</f>
        <v>SEGURO - HORISTA (COLETADO CAIXA - ENCARGOS COMPLEMENTARES)</v>
      </c>
      <c r="E194" s="23" t="str">
        <f>VLOOKUP(B194,IF(A194="COMPOSICAO",S!$A:$E,I!$A:$E),4,FALSE)</f>
        <v>H</v>
      </c>
      <c r="F194" s="23">
        <v>1</v>
      </c>
      <c r="G194" s="76">
        <f>IF(A194="COMPOSICAO",VLOOKUP("TOTAL SEM BDI - "&amp;B194,CPUAUX4!$A:$J,9,FALSE),VLOOKUP(B194,I!$A:$E,5,FALSE))</f>
        <v>0.08</v>
      </c>
      <c r="H194" s="77"/>
      <c r="I194" s="76">
        <f t="shared" si="16"/>
        <v>0.08</v>
      </c>
      <c r="J194" s="77"/>
      <c r="M194" s="23">
        <f t="shared" si="17"/>
        <v>37373</v>
      </c>
      <c r="N194" s="23">
        <f>SUMIF(CPUAUX2!M:M,B191,CPUAUX2!O:O)</f>
        <v>0.15537421800000004</v>
      </c>
      <c r="O194" s="23">
        <f t="shared" si="18"/>
        <v>0.15537421800000004</v>
      </c>
      <c r="Q194" s="23">
        <f ca="1">SUMIF(CPUAUX2!M:M,B191,CPUAUX2!R:R)</f>
        <v>5.1791406000000005E-2</v>
      </c>
      <c r="R194" s="23">
        <f t="shared" ca="1" si="19"/>
        <v>5.1791406000000005E-2</v>
      </c>
    </row>
    <row r="195" spans="1:18" ht="30" customHeight="1" x14ac:dyDescent="0.3">
      <c r="A195" s="23" t="s">
        <v>1005</v>
      </c>
      <c r="B195" s="23">
        <v>37372</v>
      </c>
      <c r="C195" s="23" t="str">
        <f>VLOOKUP(B195,IF(A195="COMPOSICAO",S!$A:$E,I!$A:$E),2,FALSE)</f>
        <v>SINAPI</v>
      </c>
      <c r="D195" s="24" t="str">
        <f>VLOOKUP(B195,IF(A195="COMPOSICAO",S!$A:$E,I!$A:$E),3,FALSE)</f>
        <v>EXAMES - HORISTA (COLETADO CAIXA - ENCARGOS COMPLEMENTARES)</v>
      </c>
      <c r="E195" s="23" t="str">
        <f>VLOOKUP(B195,IF(A195="COMPOSICAO",S!$A:$E,I!$A:$E),4,FALSE)</f>
        <v>H</v>
      </c>
      <c r="F195" s="23">
        <v>1</v>
      </c>
      <c r="G195" s="76">
        <f>IF(A195="COMPOSICAO",VLOOKUP("TOTAL SEM BDI - "&amp;B195,CPUAUX4!$A:$J,9,FALSE),VLOOKUP(B195,I!$A:$E,5,FALSE))</f>
        <v>1.43</v>
      </c>
      <c r="H195" s="77"/>
      <c r="I195" s="76">
        <f t="shared" si="16"/>
        <v>1.43</v>
      </c>
      <c r="J195" s="77"/>
      <c r="M195" s="23">
        <f t="shared" si="17"/>
        <v>37372</v>
      </c>
      <c r="N195" s="23">
        <f>SUMIF(CPUAUX2!M:M,B191,CPUAUX2!O:O)</f>
        <v>0.15537421800000004</v>
      </c>
      <c r="O195" s="23">
        <f t="shared" si="18"/>
        <v>0.15537421800000004</v>
      </c>
      <c r="Q195" s="23">
        <f ca="1">SUMIF(CPUAUX2!M:M,B191,CPUAUX2!R:R)</f>
        <v>5.1791406000000005E-2</v>
      </c>
      <c r="R195" s="23">
        <f t="shared" ca="1" si="19"/>
        <v>5.1791406000000005E-2</v>
      </c>
    </row>
    <row r="196" spans="1:18" ht="30" customHeight="1" x14ac:dyDescent="0.3">
      <c r="A196" s="23" t="s">
        <v>1005</v>
      </c>
      <c r="B196" s="23">
        <v>37371</v>
      </c>
      <c r="C196" s="23" t="str">
        <f>VLOOKUP(B196,IF(A196="COMPOSICAO",S!$A:$E,I!$A:$E),2,FALSE)</f>
        <v>SINAPI</v>
      </c>
      <c r="D196" s="24" t="str">
        <f>VLOOKUP(B196,IF(A196="COMPOSICAO",S!$A:$E,I!$A:$E),3,FALSE)</f>
        <v>TRANSPORTE - HORISTA (COLETADO CAIXA - ENCARGOS COMPLEMENTARES)</v>
      </c>
      <c r="E196" s="23" t="str">
        <f>VLOOKUP(B196,IF(A196="COMPOSICAO",S!$A:$E,I!$A:$E),4,FALSE)</f>
        <v>H</v>
      </c>
      <c r="F196" s="23">
        <v>1</v>
      </c>
      <c r="G196" s="76">
        <f>IF(A196="COMPOSICAO",VLOOKUP("TOTAL SEM BDI - "&amp;B196,CPUAUX4!$A:$J,9,FALSE),VLOOKUP(B196,I!$A:$E,5,FALSE))</f>
        <v>0.56999999999999995</v>
      </c>
      <c r="H196" s="77"/>
      <c r="I196" s="76">
        <f t="shared" si="16"/>
        <v>0.56999999999999995</v>
      </c>
      <c r="J196" s="77"/>
      <c r="M196" s="23">
        <f t="shared" si="17"/>
        <v>37371</v>
      </c>
      <c r="N196" s="23">
        <f>SUMIF(CPUAUX2!M:M,B191,CPUAUX2!O:O)</f>
        <v>0.15537421800000004</v>
      </c>
      <c r="O196" s="23">
        <f t="shared" si="18"/>
        <v>0.15537421800000004</v>
      </c>
      <c r="Q196" s="23">
        <f ca="1">SUMIF(CPUAUX2!M:M,B191,CPUAUX2!R:R)</f>
        <v>5.1791406000000005E-2</v>
      </c>
      <c r="R196" s="23">
        <f t="shared" ca="1" si="19"/>
        <v>5.1791406000000005E-2</v>
      </c>
    </row>
    <row r="197" spans="1:18" ht="30" customHeight="1" x14ac:dyDescent="0.3">
      <c r="A197" s="23" t="s">
        <v>1005</v>
      </c>
      <c r="B197" s="23">
        <v>37370</v>
      </c>
      <c r="C197" s="23" t="str">
        <f>VLOOKUP(B197,IF(A197="COMPOSICAO",S!$A:$E,I!$A:$E),2,FALSE)</f>
        <v>SINAPI</v>
      </c>
      <c r="D197" s="24" t="str">
        <f>VLOOKUP(B197,IF(A197="COMPOSICAO",S!$A:$E,I!$A:$E),3,FALSE)</f>
        <v>ALIMENTACAO - HORISTA (COLETADO CAIXA - ENCARGOS COMPLEMENTARES)</v>
      </c>
      <c r="E197" s="23" t="str">
        <f>VLOOKUP(B197,IF(A197="COMPOSICAO",S!$A:$E,I!$A:$E),4,FALSE)</f>
        <v>H</v>
      </c>
      <c r="F197" s="23">
        <v>1</v>
      </c>
      <c r="G197" s="76">
        <f>IF(A197="COMPOSICAO",VLOOKUP("TOTAL SEM BDI - "&amp;B197,CPUAUX4!$A:$J,9,FALSE),VLOOKUP(B197,I!$A:$E,5,FALSE))</f>
        <v>2.46</v>
      </c>
      <c r="H197" s="77"/>
      <c r="I197" s="76">
        <f t="shared" si="16"/>
        <v>2.46</v>
      </c>
      <c r="J197" s="77"/>
      <c r="M197" s="23">
        <f t="shared" si="17"/>
        <v>37370</v>
      </c>
      <c r="N197" s="23">
        <f>SUMIF(CPUAUX2!M:M,B191,CPUAUX2!O:O)</f>
        <v>0.15537421800000004</v>
      </c>
      <c r="O197" s="23">
        <f t="shared" si="18"/>
        <v>0.15537421800000004</v>
      </c>
      <c r="Q197" s="23">
        <f ca="1">SUMIF(CPUAUX2!M:M,B191,CPUAUX2!R:R)</f>
        <v>5.1791406000000005E-2</v>
      </c>
      <c r="R197" s="23">
        <f t="shared" ca="1" si="19"/>
        <v>5.1791406000000005E-2</v>
      </c>
    </row>
    <row r="198" spans="1:18" x14ac:dyDescent="0.3">
      <c r="A198" s="23" t="s">
        <v>1005</v>
      </c>
      <c r="B198" s="23">
        <v>6114</v>
      </c>
      <c r="C198" s="23" t="str">
        <f>VLOOKUP(B198,IF(A198="COMPOSICAO",S!$A:$E,I!$A:$E),2,FALSE)</f>
        <v>SINAPI</v>
      </c>
      <c r="D198" s="24" t="str">
        <f>VLOOKUP(B198,IF(A198="COMPOSICAO",S!$A:$E,I!$A:$E),3,FALSE)</f>
        <v>AJUDANTE DE ARMADOR (HORISTA)</v>
      </c>
      <c r="E198" s="23" t="str">
        <f>VLOOKUP(B198,IF(A198="COMPOSICAO",S!$A:$E,I!$A:$E),4,FALSE)</f>
        <v>H</v>
      </c>
      <c r="F198" s="23">
        <v>1</v>
      </c>
      <c r="G198" s="76">
        <f>IF(A198="COMPOSICAO",VLOOKUP("TOTAL SEM BDI - "&amp;B198,CPUAUX4!$A:$J,9,FALSE),VLOOKUP(B198,I!$A:$E,5,FALSE))</f>
        <v>15.57</v>
      </c>
      <c r="H198" s="77"/>
      <c r="I198" s="76">
        <f t="shared" si="16"/>
        <v>15.57</v>
      </c>
      <c r="J198" s="77"/>
      <c r="M198" s="23">
        <f t="shared" si="17"/>
        <v>6114</v>
      </c>
      <c r="N198" s="23">
        <f>SUMIF(CPUAUX2!M:M,B191,CPUAUX2!O:O)</f>
        <v>0.15537421800000004</v>
      </c>
      <c r="O198" s="23">
        <f t="shared" si="18"/>
        <v>0.15537421800000004</v>
      </c>
      <c r="Q198" s="23">
        <f ca="1">SUMIF(CPUAUX2!M:M,B191,CPUAUX2!R:R)</f>
        <v>5.1791406000000005E-2</v>
      </c>
      <c r="R198" s="23">
        <f t="shared" ca="1" si="19"/>
        <v>5.1791406000000005E-2</v>
      </c>
    </row>
    <row r="199" spans="1:18" ht="30" customHeight="1" x14ac:dyDescent="0.3">
      <c r="A199" s="23" t="s">
        <v>1004</v>
      </c>
      <c r="B199" s="23">
        <v>95308</v>
      </c>
      <c r="C199" s="23" t="str">
        <f>VLOOKUP(B199,IF(A199="COMPOSICAO",S!$A:$E,I!$A:$E),2,FALSE)</f>
        <v>SINAPI</v>
      </c>
      <c r="D199" s="24" t="str">
        <f>VLOOKUP(B199,IF(A199="COMPOSICAO",S!$A:$E,I!$A:$E),3,FALSE)</f>
        <v>CURSO DE CAPACITAÇÃO PARA AJUDANTE DE ARMADOR (ENCARGOS COMPLEMENTARES) - HORISTA</v>
      </c>
      <c r="E199" s="23" t="str">
        <f>VLOOKUP(B199,IF(A199="COMPOSICAO",S!$A:$E,I!$A:$E),4,FALSE)</f>
        <v>H</v>
      </c>
      <c r="F199" s="23">
        <v>1</v>
      </c>
      <c r="G199" s="76">
        <f>IF(A199="COMPOSICAO",VLOOKUP("TOTAL SEM BDI - "&amp;B199,CPUAUX4!$A:$J,9,FALSE),VLOOKUP(B199,I!$A:$E,5,FALSE))</f>
        <v>0.17</v>
      </c>
      <c r="H199" s="77"/>
      <c r="I199" s="76">
        <f t="shared" si="16"/>
        <v>0.17</v>
      </c>
      <c r="J199" s="77"/>
      <c r="M199" s="23">
        <f t="shared" si="17"/>
        <v>95308</v>
      </c>
      <c r="N199" s="23">
        <f>SUMIF(CPUAUX2!M:M,B191,CPUAUX2!O:O)</f>
        <v>0.15537421800000004</v>
      </c>
      <c r="O199" s="23">
        <f t="shared" si="18"/>
        <v>0.15537421800000004</v>
      </c>
      <c r="Q199" s="23">
        <f ca="1">SUMIF(CPUAUX2!M:M,B191,CPUAUX2!R:R)</f>
        <v>5.1791406000000005E-2</v>
      </c>
      <c r="R199" s="23">
        <f t="shared" ca="1" si="19"/>
        <v>5.1791406000000005E-2</v>
      </c>
    </row>
    <row r="200" spans="1:18" x14ac:dyDescent="0.3">
      <c r="A200" s="73" t="str">
        <f>"TOTAL SEM BDI - "&amp;B191</f>
        <v>TOTAL SEM BDI - 88238</v>
      </c>
      <c r="B200" s="74"/>
      <c r="C200" s="74"/>
      <c r="D200" s="74"/>
      <c r="E200" s="74"/>
      <c r="F200" s="74"/>
      <c r="G200" s="74"/>
      <c r="H200" s="75"/>
      <c r="I200" s="76">
        <f>SUM(I191:I199)</f>
        <v>22.37</v>
      </c>
      <c r="J200" s="77"/>
    </row>
    <row r="202" spans="1:18" x14ac:dyDescent="0.3">
      <c r="A202" s="4" t="s">
        <v>1000</v>
      </c>
      <c r="B202" s="4" t="s">
        <v>170</v>
      </c>
      <c r="C202" s="4" t="s">
        <v>171</v>
      </c>
      <c r="D202" s="4" t="s">
        <v>18</v>
      </c>
      <c r="E202" s="4" t="s">
        <v>172</v>
      </c>
      <c r="F202" s="4" t="s">
        <v>507</v>
      </c>
      <c r="G202" s="45" t="s">
        <v>1001</v>
      </c>
      <c r="H202" s="46"/>
      <c r="I202" s="45" t="s">
        <v>12</v>
      </c>
      <c r="J202" s="46"/>
    </row>
    <row r="203" spans="1:18" x14ac:dyDescent="0.3">
      <c r="A203" s="15" t="s">
        <v>1071</v>
      </c>
      <c r="B203" s="15">
        <v>88316</v>
      </c>
      <c r="C203" s="15" t="str">
        <f>VLOOKUP(B203,S!$A:$G,2,FALSE)</f>
        <v>SINAPI</v>
      </c>
      <c r="D203" s="22" t="str">
        <f>VLOOKUP(B203,S!$A:$G,3,FALSE)</f>
        <v>SERVENTE COM ENCARGOS COMPLEMENTARES</v>
      </c>
      <c r="E203" s="15" t="str">
        <f>VLOOKUP(B203,S!$A:$G,4,FALSE)</f>
        <v>H</v>
      </c>
      <c r="F203" s="15"/>
      <c r="G203" s="78">
        <f>I212</f>
        <v>21.709999999999997</v>
      </c>
      <c r="H203" s="79"/>
      <c r="I203" s="78"/>
      <c r="J203" s="79"/>
      <c r="K203" s="16">
        <f>VLOOKUP(B203,S!A:G,5,FALSE)</f>
        <v>21.71</v>
      </c>
      <c r="L203" s="15" t="str">
        <f>IF(K203=G203,"OK, CONFORME TABELA",IF(G203&gt;K203,"ACIMA DA TABELA: ","ABAIXO DA TABELA: ")&amp;TRUNC((G203*100)/K203,2)&amp;" %")</f>
        <v>OK, CONFORME TABELA</v>
      </c>
    </row>
    <row r="204" spans="1:18" ht="30" customHeight="1" x14ac:dyDescent="0.3">
      <c r="A204" s="23" t="s">
        <v>1005</v>
      </c>
      <c r="B204" s="23">
        <v>43491</v>
      </c>
      <c r="C204" s="23" t="str">
        <f>VLOOKUP(B204,IF(A204="COMPOSICAO",S!$A:$E,I!$A:$E),2,FALSE)</f>
        <v>SINAPI</v>
      </c>
      <c r="D204" s="24" t="str">
        <f>VLOOKUP(B204,IF(A204="COMPOSICAO",S!$A:$E,I!$A:$E),3,FALSE)</f>
        <v>EPI - FAMILIA SERVENTE - HORISTA (ENCARGOS COMPLEMENTARES - COLETADO CAIXA)</v>
      </c>
      <c r="E204" s="23" t="str">
        <f>VLOOKUP(B204,IF(A204="COMPOSICAO",S!$A:$E,I!$A:$E),4,FALSE)</f>
        <v>H</v>
      </c>
      <c r="F204" s="23">
        <v>1</v>
      </c>
      <c r="G204" s="76">
        <f>IF(A204="COMPOSICAO",VLOOKUP("TOTAL SEM BDI - "&amp;B204,CPUAUX4!$A:$J,9,FALSE),VLOOKUP(B204,I!$A:$E,5,FALSE))</f>
        <v>1.39</v>
      </c>
      <c r="H204" s="77"/>
      <c r="I204" s="76">
        <f t="shared" ref="I204:I211" si="20">TRUNC(F204*G204,2)</f>
        <v>1.39</v>
      </c>
      <c r="J204" s="77"/>
      <c r="M204" s="23">
        <f t="shared" ref="M204:M211" si="21">B204</f>
        <v>43491</v>
      </c>
      <c r="N204" s="23">
        <f>SUMIF(CPUAUX2!M:M,B203,CPUAUX2!O:O)</f>
        <v>11.821005037799999</v>
      </c>
      <c r="O204" s="23">
        <f t="shared" ref="O204:O211" si="22">F204*N204</f>
        <v>11.821005037799999</v>
      </c>
      <c r="Q204" s="23">
        <f ca="1">SUMIF(CPUAUX2!M:M,B203,CPUAUX2!R:R)</f>
        <v>3.9403350126000003</v>
      </c>
      <c r="R204" s="23">
        <f t="shared" ref="R204:R211" ca="1" si="23">F204*Q204</f>
        <v>3.9403350126000003</v>
      </c>
    </row>
    <row r="205" spans="1:18" ht="30" customHeight="1" x14ac:dyDescent="0.3">
      <c r="A205" s="23" t="s">
        <v>1005</v>
      </c>
      <c r="B205" s="23">
        <v>43467</v>
      </c>
      <c r="C205" s="23" t="str">
        <f>VLOOKUP(B205,IF(A205="COMPOSICAO",S!$A:$E,I!$A:$E),2,FALSE)</f>
        <v>SINAPI</v>
      </c>
      <c r="D205" s="24" t="str">
        <f>VLOOKUP(B205,IF(A205="COMPOSICAO",S!$A:$E,I!$A:$E),3,FALSE)</f>
        <v>FERRAMENTAS - FAMILIA SERVENTE - HORISTA (ENCARGOS COMPLEMENTARES - COLETADO CAIXA)</v>
      </c>
      <c r="E205" s="23" t="str">
        <f>VLOOKUP(B205,IF(A205="COMPOSICAO",S!$A:$E,I!$A:$E),4,FALSE)</f>
        <v>H</v>
      </c>
      <c r="F205" s="23">
        <v>1</v>
      </c>
      <c r="G205" s="76">
        <f>IF(A205="COMPOSICAO",VLOOKUP("TOTAL SEM BDI - "&amp;B205,CPUAUX4!$A:$J,9,FALSE),VLOOKUP(B205,I!$A:$E,5,FALSE))</f>
        <v>0.61</v>
      </c>
      <c r="H205" s="77"/>
      <c r="I205" s="76">
        <f t="shared" si="20"/>
        <v>0.61</v>
      </c>
      <c r="J205" s="77"/>
      <c r="M205" s="23">
        <f t="shared" si="21"/>
        <v>43467</v>
      </c>
      <c r="N205" s="23">
        <f>SUMIF(CPUAUX2!M:M,B203,CPUAUX2!O:O)</f>
        <v>11.821005037799999</v>
      </c>
      <c r="O205" s="23">
        <f t="shared" si="22"/>
        <v>11.821005037799999</v>
      </c>
      <c r="Q205" s="23">
        <f ca="1">SUMIF(CPUAUX2!M:M,B203,CPUAUX2!R:R)</f>
        <v>3.9403350126000003</v>
      </c>
      <c r="R205" s="23">
        <f t="shared" ca="1" si="23"/>
        <v>3.9403350126000003</v>
      </c>
    </row>
    <row r="206" spans="1:18" ht="30" customHeight="1" x14ac:dyDescent="0.3">
      <c r="A206" s="23" t="s">
        <v>1005</v>
      </c>
      <c r="B206" s="23">
        <v>37373</v>
      </c>
      <c r="C206" s="23" t="str">
        <f>VLOOKUP(B206,IF(A206="COMPOSICAO",S!$A:$E,I!$A:$E),2,FALSE)</f>
        <v>SINAPI</v>
      </c>
      <c r="D206" s="24" t="str">
        <f>VLOOKUP(B206,IF(A206="COMPOSICAO",S!$A:$E,I!$A:$E),3,FALSE)</f>
        <v>SEGURO - HORISTA (COLETADO CAIXA - ENCARGOS COMPLEMENTARES)</v>
      </c>
      <c r="E206" s="23" t="str">
        <f>VLOOKUP(B206,IF(A206="COMPOSICAO",S!$A:$E,I!$A:$E),4,FALSE)</f>
        <v>H</v>
      </c>
      <c r="F206" s="23">
        <v>1</v>
      </c>
      <c r="G206" s="76">
        <f>IF(A206="COMPOSICAO",VLOOKUP("TOTAL SEM BDI - "&amp;B206,CPUAUX4!$A:$J,9,FALSE),VLOOKUP(B206,I!$A:$E,5,FALSE))</f>
        <v>0.08</v>
      </c>
      <c r="H206" s="77"/>
      <c r="I206" s="76">
        <f t="shared" si="20"/>
        <v>0.08</v>
      </c>
      <c r="J206" s="77"/>
      <c r="M206" s="23">
        <f t="shared" si="21"/>
        <v>37373</v>
      </c>
      <c r="N206" s="23">
        <f>SUMIF(CPUAUX2!M:M,B203,CPUAUX2!O:O)</f>
        <v>11.821005037799999</v>
      </c>
      <c r="O206" s="23">
        <f t="shared" si="22"/>
        <v>11.821005037799999</v>
      </c>
      <c r="Q206" s="23">
        <f ca="1">SUMIF(CPUAUX2!M:M,B203,CPUAUX2!R:R)</f>
        <v>3.9403350126000003</v>
      </c>
      <c r="R206" s="23">
        <f t="shared" ca="1" si="23"/>
        <v>3.9403350126000003</v>
      </c>
    </row>
    <row r="207" spans="1:18" ht="30" customHeight="1" x14ac:dyDescent="0.3">
      <c r="A207" s="23" t="s">
        <v>1005</v>
      </c>
      <c r="B207" s="23">
        <v>37372</v>
      </c>
      <c r="C207" s="23" t="str">
        <f>VLOOKUP(B207,IF(A207="COMPOSICAO",S!$A:$E,I!$A:$E),2,FALSE)</f>
        <v>SINAPI</v>
      </c>
      <c r="D207" s="24" t="str">
        <f>VLOOKUP(B207,IF(A207="COMPOSICAO",S!$A:$E,I!$A:$E),3,FALSE)</f>
        <v>EXAMES - HORISTA (COLETADO CAIXA - ENCARGOS COMPLEMENTARES)</v>
      </c>
      <c r="E207" s="23" t="str">
        <f>VLOOKUP(B207,IF(A207="COMPOSICAO",S!$A:$E,I!$A:$E),4,FALSE)</f>
        <v>H</v>
      </c>
      <c r="F207" s="23">
        <v>1</v>
      </c>
      <c r="G207" s="76">
        <f>IF(A207="COMPOSICAO",VLOOKUP("TOTAL SEM BDI - "&amp;B207,CPUAUX4!$A:$J,9,FALSE),VLOOKUP(B207,I!$A:$E,5,FALSE))</f>
        <v>1.43</v>
      </c>
      <c r="H207" s="77"/>
      <c r="I207" s="76">
        <f t="shared" si="20"/>
        <v>1.43</v>
      </c>
      <c r="J207" s="77"/>
      <c r="M207" s="23">
        <f t="shared" si="21"/>
        <v>37372</v>
      </c>
      <c r="N207" s="23">
        <f>SUMIF(CPUAUX2!M:M,B203,CPUAUX2!O:O)</f>
        <v>11.821005037799999</v>
      </c>
      <c r="O207" s="23">
        <f t="shared" si="22"/>
        <v>11.821005037799999</v>
      </c>
      <c r="Q207" s="23">
        <f ca="1">SUMIF(CPUAUX2!M:M,B203,CPUAUX2!R:R)</f>
        <v>3.9403350126000003</v>
      </c>
      <c r="R207" s="23">
        <f t="shared" ca="1" si="23"/>
        <v>3.9403350126000003</v>
      </c>
    </row>
    <row r="208" spans="1:18" ht="30" customHeight="1" x14ac:dyDescent="0.3">
      <c r="A208" s="23" t="s">
        <v>1005</v>
      </c>
      <c r="B208" s="23">
        <v>37371</v>
      </c>
      <c r="C208" s="23" t="str">
        <f>VLOOKUP(B208,IF(A208="COMPOSICAO",S!$A:$E,I!$A:$E),2,FALSE)</f>
        <v>SINAPI</v>
      </c>
      <c r="D208" s="24" t="str">
        <f>VLOOKUP(B208,IF(A208="COMPOSICAO",S!$A:$E,I!$A:$E),3,FALSE)</f>
        <v>TRANSPORTE - HORISTA (COLETADO CAIXA - ENCARGOS COMPLEMENTARES)</v>
      </c>
      <c r="E208" s="23" t="str">
        <f>VLOOKUP(B208,IF(A208="COMPOSICAO",S!$A:$E,I!$A:$E),4,FALSE)</f>
        <v>H</v>
      </c>
      <c r="F208" s="23">
        <v>1</v>
      </c>
      <c r="G208" s="76">
        <f>IF(A208="COMPOSICAO",VLOOKUP("TOTAL SEM BDI - "&amp;B208,CPUAUX4!$A:$J,9,FALSE),VLOOKUP(B208,I!$A:$E,5,FALSE))</f>
        <v>0.56999999999999995</v>
      </c>
      <c r="H208" s="77"/>
      <c r="I208" s="76">
        <f t="shared" si="20"/>
        <v>0.56999999999999995</v>
      </c>
      <c r="J208" s="77"/>
      <c r="M208" s="23">
        <f t="shared" si="21"/>
        <v>37371</v>
      </c>
      <c r="N208" s="23">
        <f>SUMIF(CPUAUX2!M:M,B203,CPUAUX2!O:O)</f>
        <v>11.821005037799999</v>
      </c>
      <c r="O208" s="23">
        <f t="shared" si="22"/>
        <v>11.821005037799999</v>
      </c>
      <c r="Q208" s="23">
        <f ca="1">SUMIF(CPUAUX2!M:M,B203,CPUAUX2!R:R)</f>
        <v>3.9403350126000003</v>
      </c>
      <c r="R208" s="23">
        <f t="shared" ca="1" si="23"/>
        <v>3.9403350126000003</v>
      </c>
    </row>
    <row r="209" spans="1:18" ht="30" customHeight="1" x14ac:dyDescent="0.3">
      <c r="A209" s="23" t="s">
        <v>1005</v>
      </c>
      <c r="B209" s="23">
        <v>37370</v>
      </c>
      <c r="C209" s="23" t="str">
        <f>VLOOKUP(B209,IF(A209="COMPOSICAO",S!$A:$E,I!$A:$E),2,FALSE)</f>
        <v>SINAPI</v>
      </c>
      <c r="D209" s="24" t="str">
        <f>VLOOKUP(B209,IF(A209="COMPOSICAO",S!$A:$E,I!$A:$E),3,FALSE)</f>
        <v>ALIMENTACAO - HORISTA (COLETADO CAIXA - ENCARGOS COMPLEMENTARES)</v>
      </c>
      <c r="E209" s="23" t="str">
        <f>VLOOKUP(B209,IF(A209="COMPOSICAO",S!$A:$E,I!$A:$E),4,FALSE)</f>
        <v>H</v>
      </c>
      <c r="F209" s="23">
        <v>1</v>
      </c>
      <c r="G209" s="76">
        <f>IF(A209="COMPOSICAO",VLOOKUP("TOTAL SEM BDI - "&amp;B209,CPUAUX4!$A:$J,9,FALSE),VLOOKUP(B209,I!$A:$E,5,FALSE))</f>
        <v>2.46</v>
      </c>
      <c r="H209" s="77"/>
      <c r="I209" s="76">
        <f t="shared" si="20"/>
        <v>2.46</v>
      </c>
      <c r="J209" s="77"/>
      <c r="M209" s="23">
        <f t="shared" si="21"/>
        <v>37370</v>
      </c>
      <c r="N209" s="23">
        <f>SUMIF(CPUAUX2!M:M,B203,CPUAUX2!O:O)</f>
        <v>11.821005037799999</v>
      </c>
      <c r="O209" s="23">
        <f t="shared" si="22"/>
        <v>11.821005037799999</v>
      </c>
      <c r="Q209" s="23">
        <f ca="1">SUMIF(CPUAUX2!M:M,B203,CPUAUX2!R:R)</f>
        <v>3.9403350126000003</v>
      </c>
      <c r="R209" s="23">
        <f t="shared" ca="1" si="23"/>
        <v>3.9403350126000003</v>
      </c>
    </row>
    <row r="210" spans="1:18" x14ac:dyDescent="0.3">
      <c r="A210" s="23" t="s">
        <v>1005</v>
      </c>
      <c r="B210" s="23">
        <v>6111</v>
      </c>
      <c r="C210" s="23" t="str">
        <f>VLOOKUP(B210,IF(A210="COMPOSICAO",S!$A:$E,I!$A:$E),2,FALSE)</f>
        <v>SINAPI</v>
      </c>
      <c r="D210" s="24" t="str">
        <f>VLOOKUP(B210,IF(A210="COMPOSICAO",S!$A:$E,I!$A:$E),3,FALSE)</f>
        <v>SERVENTE DE OBRAS (HORISTA)</v>
      </c>
      <c r="E210" s="23" t="str">
        <f>VLOOKUP(B210,IF(A210="COMPOSICAO",S!$A:$E,I!$A:$E),4,FALSE)</f>
        <v>H</v>
      </c>
      <c r="F210" s="23">
        <v>1</v>
      </c>
      <c r="G210" s="76">
        <f>IF(A210="COMPOSICAO",VLOOKUP("TOTAL SEM BDI - "&amp;B210,CPUAUX4!$A:$J,9,FALSE),VLOOKUP(B210,I!$A:$E,5,FALSE))</f>
        <v>14.86</v>
      </c>
      <c r="H210" s="77"/>
      <c r="I210" s="76">
        <f t="shared" si="20"/>
        <v>14.86</v>
      </c>
      <c r="J210" s="77"/>
      <c r="M210" s="23">
        <f t="shared" si="21"/>
        <v>6111</v>
      </c>
      <c r="N210" s="23">
        <f>SUMIF(CPUAUX2!M:M,B203,CPUAUX2!O:O)</f>
        <v>11.821005037799999</v>
      </c>
      <c r="O210" s="23">
        <f t="shared" si="22"/>
        <v>11.821005037799999</v>
      </c>
      <c r="Q210" s="23">
        <f ca="1">SUMIF(CPUAUX2!M:M,B203,CPUAUX2!R:R)</f>
        <v>3.9403350126000003</v>
      </c>
      <c r="R210" s="23">
        <f t="shared" ca="1" si="23"/>
        <v>3.9403350126000003</v>
      </c>
    </row>
    <row r="211" spans="1:18" ht="30" customHeight="1" x14ac:dyDescent="0.3">
      <c r="A211" s="23" t="s">
        <v>1004</v>
      </c>
      <c r="B211" s="23">
        <v>95378</v>
      </c>
      <c r="C211" s="23" t="str">
        <f>VLOOKUP(B211,IF(A211="COMPOSICAO",S!$A:$E,I!$A:$E),2,FALSE)</f>
        <v>SINAPI</v>
      </c>
      <c r="D211" s="24" t="str">
        <f>VLOOKUP(B211,IF(A211="COMPOSICAO",S!$A:$E,I!$A:$E),3,FALSE)</f>
        <v>CURSO DE CAPACITAÇÃO PARA SERVENTE (ENCARGOS COMPLEMENTARES) - HORISTA</v>
      </c>
      <c r="E211" s="23" t="str">
        <f>VLOOKUP(B211,IF(A211="COMPOSICAO",S!$A:$E,I!$A:$E),4,FALSE)</f>
        <v>H</v>
      </c>
      <c r="F211" s="23">
        <v>1</v>
      </c>
      <c r="G211" s="76">
        <f>IF(A211="COMPOSICAO",VLOOKUP("TOTAL SEM BDI - "&amp;B211,CPUAUX4!$A:$J,9,FALSE),VLOOKUP(B211,I!$A:$E,5,FALSE))</f>
        <v>0.31</v>
      </c>
      <c r="H211" s="77"/>
      <c r="I211" s="76">
        <f t="shared" si="20"/>
        <v>0.31</v>
      </c>
      <c r="J211" s="77"/>
      <c r="M211" s="23">
        <f t="shared" si="21"/>
        <v>95378</v>
      </c>
      <c r="N211" s="23">
        <f>SUMIF(CPUAUX2!M:M,B203,CPUAUX2!O:O)</f>
        <v>11.821005037799999</v>
      </c>
      <c r="O211" s="23">
        <f t="shared" si="22"/>
        <v>11.821005037799999</v>
      </c>
      <c r="Q211" s="23">
        <f ca="1">SUMIF(CPUAUX2!M:M,B203,CPUAUX2!R:R)</f>
        <v>3.9403350126000003</v>
      </c>
      <c r="R211" s="23">
        <f t="shared" ca="1" si="23"/>
        <v>3.9403350126000003</v>
      </c>
    </row>
    <row r="212" spans="1:18" x14ac:dyDescent="0.3">
      <c r="A212" s="73" t="str">
        <f>"TOTAL SEM BDI - "&amp;B203</f>
        <v>TOTAL SEM BDI - 88316</v>
      </c>
      <c r="B212" s="74"/>
      <c r="C212" s="74"/>
      <c r="D212" s="74"/>
      <c r="E212" s="74"/>
      <c r="F212" s="74"/>
      <c r="G212" s="74"/>
      <c r="H212" s="75"/>
      <c r="I212" s="76">
        <f>SUM(I203:I211)</f>
        <v>21.709999999999997</v>
      </c>
      <c r="J212" s="77"/>
    </row>
    <row r="214" spans="1:18" x14ac:dyDescent="0.3">
      <c r="A214" s="4" t="s">
        <v>1000</v>
      </c>
      <c r="B214" s="4" t="s">
        <v>170</v>
      </c>
      <c r="C214" s="4" t="s">
        <v>171</v>
      </c>
      <c r="D214" s="4" t="s">
        <v>18</v>
      </c>
      <c r="E214" s="4" t="s">
        <v>172</v>
      </c>
      <c r="F214" s="4" t="s">
        <v>507</v>
      </c>
      <c r="G214" s="45" t="s">
        <v>1001</v>
      </c>
      <c r="H214" s="46"/>
      <c r="I214" s="45" t="s">
        <v>12</v>
      </c>
      <c r="J214" s="46"/>
    </row>
    <row r="215" spans="1:18" ht="60" customHeight="1" x14ac:dyDescent="0.3">
      <c r="A215" s="15" t="s">
        <v>1073</v>
      </c>
      <c r="B215" s="15">
        <v>94963</v>
      </c>
      <c r="C215" s="15" t="str">
        <f>VLOOKUP(B215,S!$A:$G,2,FALSE)</f>
        <v>SINAPI</v>
      </c>
      <c r="D215" s="22" t="str">
        <f>VLOOKUP(B215,S!$A:$G,3,FALSE)</f>
        <v>CONCRETO FCK = 15MPA, TRAÇO 1:3,4:3,5 (EM MASSA SECA DE CIMENTO/ AREIA MÉDIA/ BRITA 1) - PREPARO MECÂNICO COM BETONEIRA 400 L. AF_05/2021</v>
      </c>
      <c r="E215" s="15" t="str">
        <f>VLOOKUP(B215,S!$A:$G,4,FALSE)</f>
        <v>M3</v>
      </c>
      <c r="F215" s="15"/>
      <c r="G215" s="78">
        <f>I223</f>
        <v>573.71999999999991</v>
      </c>
      <c r="H215" s="79"/>
      <c r="I215" s="78"/>
      <c r="J215" s="79"/>
      <c r="K215" s="16">
        <f>VLOOKUP(B215,S!A:G,5,FALSE)</f>
        <v>573.72</v>
      </c>
      <c r="L215" s="15" t="str">
        <f>IF(K215=G215,"OK, CONFORME TABELA",IF(G215&gt;K215,"ACIMA DA TABELA: ","ABAIXO DA TABELA: ")&amp;TRUNC((G215*100)/K215,2)&amp;" %")</f>
        <v>OK, CONFORME TABELA</v>
      </c>
    </row>
    <row r="216" spans="1:18" ht="30" customHeight="1" x14ac:dyDescent="0.3">
      <c r="A216" s="23" t="s">
        <v>1005</v>
      </c>
      <c r="B216" s="23">
        <v>4721</v>
      </c>
      <c r="C216" s="23" t="str">
        <f>VLOOKUP(B216,IF(A216="COMPOSICAO",S!$A:$E,I!$A:$E),2,FALSE)</f>
        <v>SINAPI</v>
      </c>
      <c r="D216" s="24" t="str">
        <f>VLOOKUP(B216,IF(A216="COMPOSICAO",S!$A:$E,I!$A:$E),3,FALSE)</f>
        <v>PEDRA BRITADA N. 1 (9,5 A 19 MM) POSTO PEDREIRA/FORNECEDOR, SEM FRETE</v>
      </c>
      <c r="E216" s="23" t="str">
        <f>VLOOKUP(B216,IF(A216="COMPOSICAO",S!$A:$E,I!$A:$E),4,FALSE)</f>
        <v>M3</v>
      </c>
      <c r="F216" s="23">
        <v>0.57920000000000005</v>
      </c>
      <c r="G216" s="76">
        <f>IF(A216="COMPOSICAO",VLOOKUP("TOTAL SEM BDI - "&amp;B216,CPUAUX4!$A:$J,9,FALSE),VLOOKUP(B216,I!$A:$E,5,FALSE))</f>
        <v>234.56</v>
      </c>
      <c r="H216" s="77"/>
      <c r="I216" s="76">
        <f t="shared" ref="I216:I222" si="24">TRUNC(F216*G216,2)</f>
        <v>135.85</v>
      </c>
      <c r="J216" s="77"/>
      <c r="M216" s="23">
        <f t="shared" ref="M216:M222" si="25">B216</f>
        <v>4721</v>
      </c>
      <c r="N216" s="23">
        <f>SUMIF(CPUAUX2!M:M,B215,CPUAUX2!O:O)</f>
        <v>0.91286999999999996</v>
      </c>
      <c r="O216" s="23">
        <f t="shared" ref="O216:O222" si="26">F216*N216</f>
        <v>0.52873430399999999</v>
      </c>
      <c r="Q216" s="23">
        <f ca="1">SUMIF(CPUAUX2!M:M,B215,CPUAUX2!R:R)</f>
        <v>0.30429</v>
      </c>
      <c r="R216" s="23">
        <f t="shared" ref="R216:R222" ca="1" si="27">F216*Q216</f>
        <v>0.17624476800000002</v>
      </c>
    </row>
    <row r="217" spans="1:18" x14ac:dyDescent="0.3">
      <c r="A217" s="23" t="s">
        <v>1005</v>
      </c>
      <c r="B217" s="23">
        <v>1379</v>
      </c>
      <c r="C217" s="23" t="str">
        <f>VLOOKUP(B217,IF(A217="COMPOSICAO",S!$A:$E,I!$A:$E),2,FALSE)</f>
        <v>SINAPI</v>
      </c>
      <c r="D217" s="24" t="str">
        <f>VLOOKUP(B217,IF(A217="COMPOSICAO",S!$A:$E,I!$A:$E),3,FALSE)</f>
        <v>CIMENTO PORTLAND COMPOSTO CP II-32</v>
      </c>
      <c r="E217" s="23" t="str">
        <f>VLOOKUP(B217,IF(A217="COMPOSICAO",S!$A:$E,I!$A:$E),4,FALSE)</f>
        <v>KG</v>
      </c>
      <c r="F217" s="23">
        <v>273.06299999999999</v>
      </c>
      <c r="G217" s="76">
        <f>IF(A217="COMPOSICAO",VLOOKUP("TOTAL SEM BDI - "&amp;B217,CPUAUX4!$A:$J,9,FALSE),VLOOKUP(B217,I!$A:$E,5,FALSE))</f>
        <v>1</v>
      </c>
      <c r="H217" s="77"/>
      <c r="I217" s="76">
        <f t="shared" si="24"/>
        <v>273.06</v>
      </c>
      <c r="J217" s="77"/>
      <c r="M217" s="23">
        <f t="shared" si="25"/>
        <v>1379</v>
      </c>
      <c r="N217" s="23">
        <f>SUMIF(CPUAUX2!M:M,B215,CPUAUX2!O:O)</f>
        <v>0.91286999999999996</v>
      </c>
      <c r="O217" s="23">
        <f t="shared" si="26"/>
        <v>249.27102080999998</v>
      </c>
      <c r="Q217" s="23">
        <f ca="1">SUMIF(CPUAUX2!M:M,B215,CPUAUX2!R:R)</f>
        <v>0.30429</v>
      </c>
      <c r="R217" s="23">
        <f t="shared" ca="1" si="27"/>
        <v>83.090340269999999</v>
      </c>
    </row>
    <row r="218" spans="1:18" ht="30" customHeight="1" x14ac:dyDescent="0.3">
      <c r="A218" s="23" t="s">
        <v>1005</v>
      </c>
      <c r="B218" s="23">
        <v>370</v>
      </c>
      <c r="C218" s="23" t="str">
        <f>VLOOKUP(B218,IF(A218="COMPOSICAO",S!$A:$E,I!$A:$E),2,FALSE)</f>
        <v>SINAPI</v>
      </c>
      <c r="D218" s="24" t="str">
        <f>VLOOKUP(B218,IF(A218="COMPOSICAO",S!$A:$E,I!$A:$E),3,FALSE)</f>
        <v>AREIA MEDIA - POSTO JAZIDA/FORNECEDOR (RETIRADO NA JAZIDA, SEM TRANSPORTE)</v>
      </c>
      <c r="E218" s="23" t="str">
        <f>VLOOKUP(B218,IF(A218="COMPOSICAO",S!$A:$E,I!$A:$E),4,FALSE)</f>
        <v>M3</v>
      </c>
      <c r="F218" s="23">
        <v>0.80459999999999998</v>
      </c>
      <c r="G218" s="76">
        <f>IF(A218="COMPOSICAO",VLOOKUP("TOTAL SEM BDI - "&amp;B218,CPUAUX4!$A:$J,9,FALSE),VLOOKUP(B218,I!$A:$E,5,FALSE))</f>
        <v>90</v>
      </c>
      <c r="H218" s="77"/>
      <c r="I218" s="76">
        <f t="shared" si="24"/>
        <v>72.41</v>
      </c>
      <c r="J218" s="77"/>
      <c r="M218" s="23">
        <f t="shared" si="25"/>
        <v>370</v>
      </c>
      <c r="N218" s="23">
        <f>SUMIF(CPUAUX2!M:M,B215,CPUAUX2!O:O)</f>
        <v>0.91286999999999996</v>
      </c>
      <c r="O218" s="23">
        <f t="shared" si="26"/>
        <v>0.73449520199999996</v>
      </c>
      <c r="Q218" s="23">
        <f ca="1">SUMIF(CPUAUX2!M:M,B215,CPUAUX2!R:R)</f>
        <v>0.30429</v>
      </c>
      <c r="R218" s="23">
        <f t="shared" ca="1" si="27"/>
        <v>0.244831734</v>
      </c>
    </row>
    <row r="219" spans="1:18" ht="60" customHeight="1" x14ac:dyDescent="0.3">
      <c r="A219" s="23" t="s">
        <v>1004</v>
      </c>
      <c r="B219" s="23">
        <v>88831</v>
      </c>
      <c r="C219" s="23" t="str">
        <f>VLOOKUP(B219,IF(A219="COMPOSICAO",S!$A:$E,I!$A:$E),2,FALSE)</f>
        <v>SINAPI</v>
      </c>
      <c r="D219" s="24" t="str">
        <f>VLOOKUP(B219,IF(A219="COMPOSICAO",S!$A:$E,I!$A:$E),3,FALSE)</f>
        <v>BETONEIRA CAPACIDADE NOMINAL DE 400 L, CAPACIDADE DE MISTURA 280 L, MOTOR ELÉTRICO TRIFÁSICO POTÊNCIA DE 2 CV, SEM CARREGADOR - CHI DIURNO. AF_05/2023</v>
      </c>
      <c r="E219" s="23" t="str">
        <f>VLOOKUP(B219,IF(A219="COMPOSICAO",S!$A:$E,I!$A:$E),4,FALSE)</f>
        <v>CHI</v>
      </c>
      <c r="F219" s="23">
        <v>0.71309999999999996</v>
      </c>
      <c r="G219" s="76">
        <f>IF(A219="COMPOSICAO",VLOOKUP("TOTAL SEM BDI - "&amp;B219,CPUAUX4!$A:$J,9,FALSE),VLOOKUP(B219,I!$A:$E,5,FALSE))</f>
        <v>0.49</v>
      </c>
      <c r="H219" s="77"/>
      <c r="I219" s="76">
        <f t="shared" si="24"/>
        <v>0.34</v>
      </c>
      <c r="J219" s="77"/>
      <c r="M219" s="23">
        <f t="shared" si="25"/>
        <v>88831</v>
      </c>
      <c r="N219" s="23">
        <f>SUMIF(CPUAUX2!M:M,B215,CPUAUX2!O:O)</f>
        <v>0.91286999999999996</v>
      </c>
      <c r="O219" s="23">
        <f t="shared" si="26"/>
        <v>0.65096759699999995</v>
      </c>
      <c r="Q219" s="23">
        <f ca="1">SUMIF(CPUAUX2!M:M,B215,CPUAUX2!R:R)</f>
        <v>0.30429</v>
      </c>
      <c r="R219" s="23">
        <f t="shared" ca="1" si="27"/>
        <v>0.21698919899999999</v>
      </c>
    </row>
    <row r="220" spans="1:18" ht="60" customHeight="1" x14ac:dyDescent="0.3">
      <c r="A220" s="23" t="s">
        <v>1004</v>
      </c>
      <c r="B220" s="23">
        <v>88830</v>
      </c>
      <c r="C220" s="23" t="str">
        <f>VLOOKUP(B220,IF(A220="COMPOSICAO",S!$A:$E,I!$A:$E),2,FALSE)</f>
        <v>SINAPI</v>
      </c>
      <c r="D220" s="24" t="str">
        <f>VLOOKUP(B220,IF(A220="COMPOSICAO",S!$A:$E,I!$A:$E),3,FALSE)</f>
        <v>BETONEIRA CAPACIDADE NOMINAL DE 400 L, CAPACIDADE DE MISTURA 280 L, MOTOR ELÉTRICO TRIFÁSICO POTÊNCIA DE 2 CV, SEM CARREGADOR - CHP DIURNO. AF_05/2023</v>
      </c>
      <c r="E220" s="23" t="str">
        <f>VLOOKUP(B220,IF(A220="COMPOSICAO",S!$A:$E,I!$A:$E),4,FALSE)</f>
        <v>CHP</v>
      </c>
      <c r="F220" s="23">
        <v>0.75629999999999997</v>
      </c>
      <c r="G220" s="76">
        <f>IF(A220="COMPOSICAO",VLOOKUP("TOTAL SEM BDI - "&amp;B220,CPUAUX4!$A:$J,9,FALSE),VLOOKUP(B220,I!$A:$E,5,FALSE))</f>
        <v>2.3000000000000003</v>
      </c>
      <c r="H220" s="77"/>
      <c r="I220" s="76">
        <f t="shared" si="24"/>
        <v>1.73</v>
      </c>
      <c r="J220" s="77"/>
      <c r="M220" s="23">
        <f t="shared" si="25"/>
        <v>88830</v>
      </c>
      <c r="N220" s="23">
        <f>SUMIF(CPUAUX2!M:M,B215,CPUAUX2!O:O)</f>
        <v>0.91286999999999996</v>
      </c>
      <c r="O220" s="23">
        <f t="shared" si="26"/>
        <v>0.69040358099999999</v>
      </c>
      <c r="Q220" s="23">
        <f ca="1">SUMIF(CPUAUX2!M:M,B215,CPUAUX2!R:R)</f>
        <v>0.30429</v>
      </c>
      <c r="R220" s="23">
        <f t="shared" ca="1" si="27"/>
        <v>0.23013452700000001</v>
      </c>
    </row>
    <row r="221" spans="1:18" ht="30" customHeight="1" x14ac:dyDescent="0.3">
      <c r="A221" s="23" t="s">
        <v>1004</v>
      </c>
      <c r="B221" s="23">
        <v>88377</v>
      </c>
      <c r="C221" s="23" t="str">
        <f>VLOOKUP(B221,IF(A221="COMPOSICAO",S!$A:$E,I!$A:$E),2,FALSE)</f>
        <v>SINAPI</v>
      </c>
      <c r="D221" s="24" t="str">
        <f>VLOOKUP(B221,IF(A221="COMPOSICAO",S!$A:$E,I!$A:$E),3,FALSE)</f>
        <v>OPERADOR DE BETONEIRA ESTACIONÁRIA/MISTURADOR COM ENCARGOS COMPLEMENTARES</v>
      </c>
      <c r="E221" s="23" t="str">
        <f>VLOOKUP(B221,IF(A221="COMPOSICAO",S!$A:$E,I!$A:$E),4,FALSE)</f>
        <v>H</v>
      </c>
      <c r="F221" s="23">
        <f>1.4695/pcf</f>
        <v>1.4695</v>
      </c>
      <c r="G221" s="76">
        <f>IF(A221="COMPOSICAO",VLOOKUP("TOTAL SEM BDI - "&amp;B221,CPUAUX4!$A:$J,9,FALSE),VLOOKUP(B221,I!$A:$E,5,FALSE))</f>
        <v>27.09</v>
      </c>
      <c r="H221" s="77"/>
      <c r="I221" s="76">
        <f t="shared" si="24"/>
        <v>39.799999999999997</v>
      </c>
      <c r="J221" s="77"/>
      <c r="M221" s="23">
        <f t="shared" si="25"/>
        <v>88377</v>
      </c>
      <c r="N221" s="23">
        <f>SUMIF(CPUAUX2!M:M,B215,CPUAUX2!O:O)</f>
        <v>0.91286999999999996</v>
      </c>
      <c r="O221" s="23">
        <f t="shared" si="26"/>
        <v>1.341462465</v>
      </c>
      <c r="Q221" s="23">
        <f ca="1">SUMIF(CPUAUX2!M:M,B215,CPUAUX2!R:R)</f>
        <v>0.30429</v>
      </c>
      <c r="R221" s="23">
        <f t="shared" ca="1" si="27"/>
        <v>0.447154155</v>
      </c>
    </row>
    <row r="222" spans="1:18" x14ac:dyDescent="0.3">
      <c r="A222" s="23" t="s">
        <v>1004</v>
      </c>
      <c r="B222" s="23">
        <v>88316</v>
      </c>
      <c r="C222" s="23" t="str">
        <f>VLOOKUP(B222,IF(A222="COMPOSICAO",S!$A:$E,I!$A:$E),2,FALSE)</f>
        <v>SINAPI</v>
      </c>
      <c r="D222" s="24" t="str">
        <f>VLOOKUP(B222,IF(A222="COMPOSICAO",S!$A:$E,I!$A:$E),3,FALSE)</f>
        <v>SERVENTE COM ENCARGOS COMPLEMENTARES</v>
      </c>
      <c r="E222" s="23" t="str">
        <f>VLOOKUP(B222,IF(A222="COMPOSICAO",S!$A:$E,I!$A:$E),4,FALSE)</f>
        <v>H</v>
      </c>
      <c r="F222" s="23">
        <f>2.3275/pcf</f>
        <v>2.3275000000000001</v>
      </c>
      <c r="G222" s="76">
        <f>IF(A222="COMPOSICAO",VLOOKUP("TOTAL SEM BDI - "&amp;B222,CPUAUX4!$A:$J,9,FALSE),VLOOKUP(B222,I!$A:$E,5,FALSE))</f>
        <v>21.709999999999997</v>
      </c>
      <c r="H222" s="77"/>
      <c r="I222" s="76">
        <f t="shared" si="24"/>
        <v>50.53</v>
      </c>
      <c r="J222" s="77"/>
      <c r="M222" s="23">
        <f t="shared" si="25"/>
        <v>88316</v>
      </c>
      <c r="N222" s="23">
        <f>SUMIF(CPUAUX2!M:M,B215,CPUAUX2!O:O)</f>
        <v>0.91286999999999996</v>
      </c>
      <c r="O222" s="23">
        <f t="shared" si="26"/>
        <v>2.1247049250000001</v>
      </c>
      <c r="Q222" s="23">
        <f ca="1">SUMIF(CPUAUX2!M:M,B215,CPUAUX2!R:R)</f>
        <v>0.30429</v>
      </c>
      <c r="R222" s="23">
        <f t="shared" ca="1" si="27"/>
        <v>0.7082349750000001</v>
      </c>
    </row>
    <row r="223" spans="1:18" x14ac:dyDescent="0.3">
      <c r="A223" s="73" t="str">
        <f>"TOTAL SEM BDI - "&amp;B215</f>
        <v>TOTAL SEM BDI - 94963</v>
      </c>
      <c r="B223" s="74"/>
      <c r="C223" s="74"/>
      <c r="D223" s="74"/>
      <c r="E223" s="74"/>
      <c r="F223" s="74"/>
      <c r="G223" s="74"/>
      <c r="H223" s="75"/>
      <c r="I223" s="76">
        <f>SUM(I215:I222)</f>
        <v>573.71999999999991</v>
      </c>
      <c r="J223" s="77"/>
    </row>
    <row r="225" spans="1:18" x14ac:dyDescent="0.3">
      <c r="A225" s="4" t="s">
        <v>1000</v>
      </c>
      <c r="B225" s="4" t="s">
        <v>170</v>
      </c>
      <c r="C225" s="4" t="s">
        <v>171</v>
      </c>
      <c r="D225" s="4" t="s">
        <v>18</v>
      </c>
      <c r="E225" s="4" t="s">
        <v>172</v>
      </c>
      <c r="F225" s="4" t="s">
        <v>507</v>
      </c>
      <c r="G225" s="45" t="s">
        <v>1001</v>
      </c>
      <c r="H225" s="46"/>
      <c r="I225" s="45" t="s">
        <v>12</v>
      </c>
      <c r="J225" s="46"/>
    </row>
    <row r="226" spans="1:18" ht="45" customHeight="1" x14ac:dyDescent="0.3">
      <c r="A226" s="15" t="s">
        <v>1076</v>
      </c>
      <c r="B226" s="15">
        <v>90587</v>
      </c>
      <c r="C226" s="15" t="str">
        <f>VLOOKUP(B226,S!$A:$G,2,FALSE)</f>
        <v>SINAPI</v>
      </c>
      <c r="D226" s="22" t="str">
        <f>VLOOKUP(B226,S!$A:$G,3,FALSE)</f>
        <v>VIBRADOR DE IMERSÃO, DIÂMETRO DE PONTEIRA 45MM, MOTOR ELÉTRICO TRIFÁSICO POTÊNCIA DE 2 CV - CHI DIURNO. AF_06/2015</v>
      </c>
      <c r="E226" s="15" t="str">
        <f>VLOOKUP(B226,S!$A:$G,4,FALSE)</f>
        <v>CHI</v>
      </c>
      <c r="F226" s="15"/>
      <c r="G226" s="78">
        <f>I229</f>
        <v>0.48</v>
      </c>
      <c r="H226" s="79"/>
      <c r="I226" s="78"/>
      <c r="J226" s="79"/>
      <c r="K226" s="16">
        <f>VLOOKUP(B226,S!A:G,5,FALSE)</f>
        <v>0.48</v>
      </c>
      <c r="L226" s="15" t="str">
        <f>IF(K226=G226,"OK, CONFORME TABELA",IF(G226&gt;K226,"ACIMA DA TABELA: ","ABAIXO DA TABELA: ")&amp;TRUNC((G226*100)/K226,2)&amp;" %")</f>
        <v>OK, CONFORME TABELA</v>
      </c>
    </row>
    <row r="227" spans="1:18" ht="45" customHeight="1" x14ac:dyDescent="0.3">
      <c r="A227" s="23" t="s">
        <v>1004</v>
      </c>
      <c r="B227" s="23">
        <v>90583</v>
      </c>
      <c r="C227" s="23" t="str">
        <f>VLOOKUP(B227,IF(A227="COMPOSICAO",S!$A:$E,I!$A:$E),2,FALSE)</f>
        <v>SINAPI</v>
      </c>
      <c r="D227" s="24" t="str">
        <f>VLOOKUP(B227,IF(A227="COMPOSICAO",S!$A:$E,I!$A:$E),3,FALSE)</f>
        <v>VIBRADOR DE IMERSÃO, DIÂMETRO DE PONTEIRA 45MM, MOTOR ELÉTRICO TRIFÁSICO POTÊNCIA DE 2 CV - JUROS. AF_06/2015</v>
      </c>
      <c r="E227" s="23" t="str">
        <f>VLOOKUP(B227,IF(A227="COMPOSICAO",S!$A:$E,I!$A:$E),4,FALSE)</f>
        <v>H</v>
      </c>
      <c r="F227" s="23">
        <v>1</v>
      </c>
      <c r="G227" s="76">
        <f>IF(A227="COMPOSICAO",VLOOKUP("TOTAL SEM BDI - "&amp;B227,CPUAUX4!$A:$J,9,FALSE),VLOOKUP(B227,I!$A:$E,5,FALSE))</f>
        <v>0.09</v>
      </c>
      <c r="H227" s="77"/>
      <c r="I227" s="76">
        <f>TRUNC(F227*G227,2)</f>
        <v>0.09</v>
      </c>
      <c r="J227" s="77"/>
      <c r="M227" s="23">
        <f>B227</f>
        <v>90583</v>
      </c>
      <c r="N227" s="23">
        <f>SUMIF(CPUAUX2!M:M,B226,CPUAUX2!O:O)</f>
        <v>0.72315180000000001</v>
      </c>
      <c r="O227" s="23">
        <f>F227*N227</f>
        <v>0.72315180000000001</v>
      </c>
      <c r="Q227" s="23">
        <f ca="1">SUMIF(CPUAUX2!M:M,B226,CPUAUX2!R:R)</f>
        <v>0.24105060000000003</v>
      </c>
      <c r="R227" s="23">
        <f ca="1">F227*Q227</f>
        <v>0.24105060000000003</v>
      </c>
    </row>
    <row r="228" spans="1:18" ht="45" customHeight="1" x14ac:dyDescent="0.3">
      <c r="A228" s="23" t="s">
        <v>1004</v>
      </c>
      <c r="B228" s="23">
        <v>90582</v>
      </c>
      <c r="C228" s="23" t="str">
        <f>VLOOKUP(B228,IF(A228="COMPOSICAO",S!$A:$E,I!$A:$E),2,FALSE)</f>
        <v>SINAPI</v>
      </c>
      <c r="D228" s="24" t="str">
        <f>VLOOKUP(B228,IF(A228="COMPOSICAO",S!$A:$E,I!$A:$E),3,FALSE)</f>
        <v>VIBRADOR DE IMERSÃO, DIÂMETRO DE PONTEIRA 45MM, MOTOR ELÉTRICO TRIFÁSICO POTÊNCIA DE 2 CV - DEPRECIAÇÃO. AF_06/2015</v>
      </c>
      <c r="E228" s="23" t="str">
        <f>VLOOKUP(B228,IF(A228="COMPOSICAO",S!$A:$E,I!$A:$E),4,FALSE)</f>
        <v>H</v>
      </c>
      <c r="F228" s="23">
        <v>1</v>
      </c>
      <c r="G228" s="76">
        <f>IF(A228="COMPOSICAO",VLOOKUP("TOTAL SEM BDI - "&amp;B228,CPUAUX4!$A:$J,9,FALSE),VLOOKUP(B228,I!$A:$E,5,FALSE))</f>
        <v>0.39</v>
      </c>
      <c r="H228" s="77"/>
      <c r="I228" s="76">
        <f>TRUNC(F228*G228,2)</f>
        <v>0.39</v>
      </c>
      <c r="J228" s="77"/>
      <c r="M228" s="23">
        <f>B228</f>
        <v>90582</v>
      </c>
      <c r="N228" s="23">
        <f>SUMIF(CPUAUX2!M:M,B226,CPUAUX2!O:O)</f>
        <v>0.72315180000000001</v>
      </c>
      <c r="O228" s="23">
        <f>F228*N228</f>
        <v>0.72315180000000001</v>
      </c>
      <c r="Q228" s="23">
        <f ca="1">SUMIF(CPUAUX2!M:M,B226,CPUAUX2!R:R)</f>
        <v>0.24105060000000003</v>
      </c>
      <c r="R228" s="23">
        <f ca="1">F228*Q228</f>
        <v>0.24105060000000003</v>
      </c>
    </row>
    <row r="229" spans="1:18" x14ac:dyDescent="0.3">
      <c r="A229" s="73" t="str">
        <f>"TOTAL SEM BDI - "&amp;B226</f>
        <v>TOTAL SEM BDI - 90587</v>
      </c>
      <c r="B229" s="74"/>
      <c r="C229" s="74"/>
      <c r="D229" s="74"/>
      <c r="E229" s="74"/>
      <c r="F229" s="74"/>
      <c r="G229" s="74"/>
      <c r="H229" s="75"/>
      <c r="I229" s="76">
        <f>SUM(I226:I228)</f>
        <v>0.48</v>
      </c>
      <c r="J229" s="77"/>
    </row>
    <row r="231" spans="1:18" x14ac:dyDescent="0.3">
      <c r="A231" s="4" t="s">
        <v>1000</v>
      </c>
      <c r="B231" s="4" t="s">
        <v>170</v>
      </c>
      <c r="C231" s="4" t="s">
        <v>171</v>
      </c>
      <c r="D231" s="4" t="s">
        <v>18</v>
      </c>
      <c r="E231" s="4" t="s">
        <v>172</v>
      </c>
      <c r="F231" s="4" t="s">
        <v>507</v>
      </c>
      <c r="G231" s="45" t="s">
        <v>1001</v>
      </c>
      <c r="H231" s="46"/>
      <c r="I231" s="45" t="s">
        <v>12</v>
      </c>
      <c r="J231" s="46"/>
    </row>
    <row r="232" spans="1:18" ht="45" customHeight="1" x14ac:dyDescent="0.3">
      <c r="A232" s="15" t="s">
        <v>1076</v>
      </c>
      <c r="B232" s="15">
        <v>90586</v>
      </c>
      <c r="C232" s="15" t="str">
        <f>VLOOKUP(B232,S!$A:$G,2,FALSE)</f>
        <v>SINAPI</v>
      </c>
      <c r="D232" s="22" t="str">
        <f>VLOOKUP(B232,S!$A:$G,3,FALSE)</f>
        <v>VIBRADOR DE IMERSÃO, DIÂMETRO DE PONTEIRA 45MM, MOTOR ELÉTRICO TRIFÁSICO POTÊNCIA DE 2 CV - CHP DIURNO. AF_06/2015</v>
      </c>
      <c r="E232" s="15" t="str">
        <f>VLOOKUP(B232,S!$A:$G,4,FALSE)</f>
        <v>CHP</v>
      </c>
      <c r="F232" s="15"/>
      <c r="G232" s="78">
        <f>I237</f>
        <v>1.3599999999999999</v>
      </c>
      <c r="H232" s="79"/>
      <c r="I232" s="78"/>
      <c r="J232" s="79"/>
      <c r="K232" s="16">
        <f>VLOOKUP(B232,S!A:G,5,FALSE)</f>
        <v>1.36</v>
      </c>
      <c r="L232" s="15" t="str">
        <f>IF(K232=G232,"OK, CONFORME TABELA",IF(G232&gt;K232,"ACIMA DA TABELA: ","ABAIXO DA TABELA: ")&amp;TRUNC((G232*100)/K232,2)&amp;" %")</f>
        <v>OK, CONFORME TABELA</v>
      </c>
    </row>
    <row r="233" spans="1:18" ht="45" customHeight="1" x14ac:dyDescent="0.3">
      <c r="A233" s="23" t="s">
        <v>1004</v>
      </c>
      <c r="B233" s="23">
        <v>90585</v>
      </c>
      <c r="C233" s="23" t="str">
        <f>VLOOKUP(B233,IF(A233="COMPOSICAO",S!$A:$E,I!$A:$E),2,FALSE)</f>
        <v>SINAPI</v>
      </c>
      <c r="D233" s="24" t="str">
        <f>VLOOKUP(B233,IF(A233="COMPOSICAO",S!$A:$E,I!$A:$E),3,FALSE)</f>
        <v>VIBRADOR DE IMERSÃO, DIÂMETRO DE PONTEIRA 45MM, MOTOR ELÉTRICO TRIFÁSICO POTÊNCIA DE 2 CV - MATERIAIS NA OPERAÇÃO. AF_06/2015</v>
      </c>
      <c r="E233" s="23" t="str">
        <f>VLOOKUP(B233,IF(A233="COMPOSICAO",S!$A:$E,I!$A:$E),4,FALSE)</f>
        <v>H</v>
      </c>
      <c r="F233" s="23">
        <v>1</v>
      </c>
      <c r="G233" s="76">
        <f>IF(A233="COMPOSICAO",VLOOKUP("TOTAL SEM BDI - "&amp;B233,CPUAUX4!$A:$J,9,FALSE),VLOOKUP(B233,I!$A:$E,5,FALSE))</f>
        <v>0.56999999999999995</v>
      </c>
      <c r="H233" s="77"/>
      <c r="I233" s="76">
        <f>TRUNC(F233*G233,2)</f>
        <v>0.56999999999999995</v>
      </c>
      <c r="J233" s="77"/>
      <c r="M233" s="23">
        <f>B233</f>
        <v>90585</v>
      </c>
      <c r="N233" s="23">
        <f>SUMIF(CPUAUX2!M:M,B232,CPUAUX2!O:O)</f>
        <v>0.24925319999999998</v>
      </c>
      <c r="O233" s="23">
        <f>F233*N233</f>
        <v>0.24925319999999998</v>
      </c>
      <c r="Q233" s="23">
        <f ca="1">SUMIF(CPUAUX2!M:M,B232,CPUAUX2!R:R)</f>
        <v>8.3084400000000003E-2</v>
      </c>
      <c r="R233" s="23">
        <f ca="1">F233*Q233</f>
        <v>8.3084400000000003E-2</v>
      </c>
    </row>
    <row r="234" spans="1:18" ht="45" customHeight="1" x14ac:dyDescent="0.3">
      <c r="A234" s="23" t="s">
        <v>1004</v>
      </c>
      <c r="B234" s="23">
        <v>90584</v>
      </c>
      <c r="C234" s="23" t="str">
        <f>VLOOKUP(B234,IF(A234="COMPOSICAO",S!$A:$E,I!$A:$E),2,FALSE)</f>
        <v>SINAPI</v>
      </c>
      <c r="D234" s="24" t="str">
        <f>VLOOKUP(B234,IF(A234="COMPOSICAO",S!$A:$E,I!$A:$E),3,FALSE)</f>
        <v>VIBRADOR DE IMERSÃO, DIÂMETRO DE PONTEIRA 45MM, MOTOR ELÉTRICO TRIFÁSICO POTÊNCIA DE 2 CV - MANUTENÇÃO. AF_06/2015</v>
      </c>
      <c r="E234" s="23" t="str">
        <f>VLOOKUP(B234,IF(A234="COMPOSICAO",S!$A:$E,I!$A:$E),4,FALSE)</f>
        <v>H</v>
      </c>
      <c r="F234" s="23">
        <v>1</v>
      </c>
      <c r="G234" s="76">
        <f>IF(A234="COMPOSICAO",VLOOKUP("TOTAL SEM BDI - "&amp;B234,CPUAUX4!$A:$J,9,FALSE),VLOOKUP(B234,I!$A:$E,5,FALSE))</f>
        <v>0.31</v>
      </c>
      <c r="H234" s="77"/>
      <c r="I234" s="76">
        <f>TRUNC(F234*G234,2)</f>
        <v>0.31</v>
      </c>
      <c r="J234" s="77"/>
      <c r="M234" s="23">
        <f>B234</f>
        <v>90584</v>
      </c>
      <c r="N234" s="23">
        <f>SUMIF(CPUAUX2!M:M,B232,CPUAUX2!O:O)</f>
        <v>0.24925319999999998</v>
      </c>
      <c r="O234" s="23">
        <f>F234*N234</f>
        <v>0.24925319999999998</v>
      </c>
      <c r="Q234" s="23">
        <f ca="1">SUMIF(CPUAUX2!M:M,B232,CPUAUX2!R:R)</f>
        <v>8.3084400000000003E-2</v>
      </c>
      <c r="R234" s="23">
        <f ca="1">F234*Q234</f>
        <v>8.3084400000000003E-2</v>
      </c>
    </row>
    <row r="235" spans="1:18" ht="45" customHeight="1" x14ac:dyDescent="0.3">
      <c r="A235" s="23" t="s">
        <v>1004</v>
      </c>
      <c r="B235" s="23">
        <v>90583</v>
      </c>
      <c r="C235" s="23" t="str">
        <f>VLOOKUP(B235,IF(A235="COMPOSICAO",S!$A:$E,I!$A:$E),2,FALSE)</f>
        <v>SINAPI</v>
      </c>
      <c r="D235" s="24" t="str">
        <f>VLOOKUP(B235,IF(A235="COMPOSICAO",S!$A:$E,I!$A:$E),3,FALSE)</f>
        <v>VIBRADOR DE IMERSÃO, DIÂMETRO DE PONTEIRA 45MM, MOTOR ELÉTRICO TRIFÁSICO POTÊNCIA DE 2 CV - JUROS. AF_06/2015</v>
      </c>
      <c r="E235" s="23" t="str">
        <f>VLOOKUP(B235,IF(A235="COMPOSICAO",S!$A:$E,I!$A:$E),4,FALSE)</f>
        <v>H</v>
      </c>
      <c r="F235" s="23">
        <v>1</v>
      </c>
      <c r="G235" s="76">
        <f>IF(A235="COMPOSICAO",VLOOKUP("TOTAL SEM BDI - "&amp;B235,CPUAUX4!$A:$J,9,FALSE),VLOOKUP(B235,I!$A:$E,5,FALSE))</f>
        <v>0.09</v>
      </c>
      <c r="H235" s="77"/>
      <c r="I235" s="76">
        <f>TRUNC(F235*G235,2)</f>
        <v>0.09</v>
      </c>
      <c r="J235" s="77"/>
      <c r="M235" s="23">
        <f>B235</f>
        <v>90583</v>
      </c>
      <c r="N235" s="23">
        <f>SUMIF(CPUAUX2!M:M,B232,CPUAUX2!O:O)</f>
        <v>0.24925319999999998</v>
      </c>
      <c r="O235" s="23">
        <f>F235*N235</f>
        <v>0.24925319999999998</v>
      </c>
      <c r="Q235" s="23">
        <f ca="1">SUMIF(CPUAUX2!M:M,B232,CPUAUX2!R:R)</f>
        <v>8.3084400000000003E-2</v>
      </c>
      <c r="R235" s="23">
        <f ca="1">F235*Q235</f>
        <v>8.3084400000000003E-2</v>
      </c>
    </row>
    <row r="236" spans="1:18" ht="45" customHeight="1" x14ac:dyDescent="0.3">
      <c r="A236" s="23" t="s">
        <v>1004</v>
      </c>
      <c r="B236" s="23">
        <v>90582</v>
      </c>
      <c r="C236" s="23" t="str">
        <f>VLOOKUP(B236,IF(A236="COMPOSICAO",S!$A:$E,I!$A:$E),2,FALSE)</f>
        <v>SINAPI</v>
      </c>
      <c r="D236" s="24" t="str">
        <f>VLOOKUP(B236,IF(A236="COMPOSICAO",S!$A:$E,I!$A:$E),3,FALSE)</f>
        <v>VIBRADOR DE IMERSÃO, DIÂMETRO DE PONTEIRA 45MM, MOTOR ELÉTRICO TRIFÁSICO POTÊNCIA DE 2 CV - DEPRECIAÇÃO. AF_06/2015</v>
      </c>
      <c r="E236" s="23" t="str">
        <f>VLOOKUP(B236,IF(A236="COMPOSICAO",S!$A:$E,I!$A:$E),4,FALSE)</f>
        <v>H</v>
      </c>
      <c r="F236" s="23">
        <v>1</v>
      </c>
      <c r="G236" s="76">
        <f>IF(A236="COMPOSICAO",VLOOKUP("TOTAL SEM BDI - "&amp;B236,CPUAUX4!$A:$J,9,FALSE),VLOOKUP(B236,I!$A:$E,5,FALSE))</f>
        <v>0.39</v>
      </c>
      <c r="H236" s="77"/>
      <c r="I236" s="76">
        <f>TRUNC(F236*G236,2)</f>
        <v>0.39</v>
      </c>
      <c r="J236" s="77"/>
      <c r="M236" s="23">
        <f>B236</f>
        <v>90582</v>
      </c>
      <c r="N236" s="23">
        <f>SUMIF(CPUAUX2!M:M,B232,CPUAUX2!O:O)</f>
        <v>0.24925319999999998</v>
      </c>
      <c r="O236" s="23">
        <f>F236*N236</f>
        <v>0.24925319999999998</v>
      </c>
      <c r="Q236" s="23">
        <f ca="1">SUMIF(CPUAUX2!M:M,B232,CPUAUX2!R:R)</f>
        <v>8.3084400000000003E-2</v>
      </c>
      <c r="R236" s="23">
        <f ca="1">F236*Q236</f>
        <v>8.3084400000000003E-2</v>
      </c>
    </row>
    <row r="237" spans="1:18" x14ac:dyDescent="0.3">
      <c r="A237" s="73" t="str">
        <f>"TOTAL SEM BDI - "&amp;B232</f>
        <v>TOTAL SEM BDI - 90586</v>
      </c>
      <c r="B237" s="74"/>
      <c r="C237" s="74"/>
      <c r="D237" s="74"/>
      <c r="E237" s="74"/>
      <c r="F237" s="74"/>
      <c r="G237" s="74"/>
      <c r="H237" s="75"/>
      <c r="I237" s="76">
        <f>SUM(I232:I236)</f>
        <v>1.3599999999999999</v>
      </c>
      <c r="J237" s="77"/>
    </row>
    <row r="239" spans="1:18" x14ac:dyDescent="0.3">
      <c r="A239" s="4" t="s">
        <v>1000</v>
      </c>
      <c r="B239" s="4" t="s">
        <v>170</v>
      </c>
      <c r="C239" s="4" t="s">
        <v>171</v>
      </c>
      <c r="D239" s="4" t="s">
        <v>18</v>
      </c>
      <c r="E239" s="4" t="s">
        <v>172</v>
      </c>
      <c r="F239" s="4" t="s">
        <v>507</v>
      </c>
      <c r="G239" s="45" t="s">
        <v>1001</v>
      </c>
      <c r="H239" s="46"/>
      <c r="I239" s="45" t="s">
        <v>12</v>
      </c>
      <c r="J239" s="46"/>
    </row>
    <row r="240" spans="1:18" x14ac:dyDescent="0.3">
      <c r="A240" s="15" t="s">
        <v>1071</v>
      </c>
      <c r="B240" s="15">
        <v>88309</v>
      </c>
      <c r="C240" s="15" t="str">
        <f>VLOOKUP(B240,S!$A:$G,2,FALSE)</f>
        <v>SINAPI</v>
      </c>
      <c r="D240" s="22" t="str">
        <f>VLOOKUP(B240,S!$A:$G,3,FALSE)</f>
        <v>PEDREIRO COM ENCARGOS COMPLEMENTARES</v>
      </c>
      <c r="E240" s="15" t="str">
        <f>VLOOKUP(B240,S!$A:$G,4,FALSE)</f>
        <v>H</v>
      </c>
      <c r="F240" s="15"/>
      <c r="G240" s="78">
        <f>I249</f>
        <v>27.389999999999997</v>
      </c>
      <c r="H240" s="79"/>
      <c r="I240" s="78"/>
      <c r="J240" s="79"/>
      <c r="K240" s="16">
        <f>VLOOKUP(B240,S!A:G,5,FALSE)</f>
        <v>27.39</v>
      </c>
      <c r="L240" s="15" t="str">
        <f>IF(K240=G240,"OK, CONFORME TABELA",IF(G240&gt;K240,"ACIMA DA TABELA: ","ABAIXO DA TABELA: ")&amp;TRUNC((G240*100)/K240,2)&amp;" %")</f>
        <v>OK, CONFORME TABELA</v>
      </c>
    </row>
    <row r="241" spans="1:18" ht="30" customHeight="1" x14ac:dyDescent="0.3">
      <c r="A241" s="23" t="s">
        <v>1005</v>
      </c>
      <c r="B241" s="23">
        <v>43489</v>
      </c>
      <c r="C241" s="23" t="str">
        <f>VLOOKUP(B241,IF(A241="COMPOSICAO",S!$A:$E,I!$A:$E),2,FALSE)</f>
        <v>SINAPI</v>
      </c>
      <c r="D241" s="24" t="str">
        <f>VLOOKUP(B241,IF(A241="COMPOSICAO",S!$A:$E,I!$A:$E),3,FALSE)</f>
        <v>EPI - FAMILIA PEDREIRO - HORISTA (ENCARGOS COMPLEMENTARES - COLETADO CAIXA)</v>
      </c>
      <c r="E241" s="23" t="str">
        <f>VLOOKUP(B241,IF(A241="COMPOSICAO",S!$A:$E,I!$A:$E),4,FALSE)</f>
        <v>H</v>
      </c>
      <c r="F241" s="23">
        <v>1</v>
      </c>
      <c r="G241" s="76">
        <f>IF(A241="COMPOSICAO",VLOOKUP("TOTAL SEM BDI - "&amp;B241,CPUAUX4!$A:$J,9,FALSE),VLOOKUP(B241,I!$A:$E,5,FALSE))</f>
        <v>1.31</v>
      </c>
      <c r="H241" s="77"/>
      <c r="I241" s="76">
        <f t="shared" ref="I241:I248" si="28">TRUNC(F241*G241,2)</f>
        <v>1.31</v>
      </c>
      <c r="J241" s="77"/>
      <c r="M241" s="23">
        <f t="shared" ref="M241:M248" si="29">B241</f>
        <v>43489</v>
      </c>
      <c r="N241" s="23">
        <f>SUMIF(CPUAUX2!M:M,B240,CPUAUX2!O:O)</f>
        <v>1.8940067999999997</v>
      </c>
      <c r="O241" s="23">
        <f t="shared" ref="O241:O248" si="30">F241*N241</f>
        <v>1.8940067999999997</v>
      </c>
      <c r="Q241" s="23">
        <f ca="1">SUMIF(CPUAUX2!M:M,B240,CPUAUX2!R:R)</f>
        <v>0.6313356</v>
      </c>
      <c r="R241" s="23">
        <f t="shared" ref="R241:R248" ca="1" si="31">F241*Q241</f>
        <v>0.6313356</v>
      </c>
    </row>
    <row r="242" spans="1:18" ht="30" customHeight="1" x14ac:dyDescent="0.3">
      <c r="A242" s="23" t="s">
        <v>1005</v>
      </c>
      <c r="B242" s="23">
        <v>43465</v>
      </c>
      <c r="C242" s="23" t="str">
        <f>VLOOKUP(B242,IF(A242="COMPOSICAO",S!$A:$E,I!$A:$E),2,FALSE)</f>
        <v>SINAPI</v>
      </c>
      <c r="D242" s="24" t="str">
        <f>VLOOKUP(B242,IF(A242="COMPOSICAO",S!$A:$E,I!$A:$E),3,FALSE)</f>
        <v>FERRAMENTAS - FAMILIA PEDREIRO - HORISTA (ENCARGOS COMPLEMENTARES - COLETADO CAIXA)</v>
      </c>
      <c r="E242" s="23" t="str">
        <f>VLOOKUP(B242,IF(A242="COMPOSICAO",S!$A:$E,I!$A:$E),4,FALSE)</f>
        <v>H</v>
      </c>
      <c r="F242" s="23">
        <v>1</v>
      </c>
      <c r="G242" s="76">
        <f>IF(A242="COMPOSICAO",VLOOKUP("TOTAL SEM BDI - "&amp;B242,CPUAUX4!$A:$J,9,FALSE),VLOOKUP(B242,I!$A:$E,5,FALSE))</f>
        <v>0.78</v>
      </c>
      <c r="H242" s="77"/>
      <c r="I242" s="76">
        <f t="shared" si="28"/>
        <v>0.78</v>
      </c>
      <c r="J242" s="77"/>
      <c r="M242" s="23">
        <f t="shared" si="29"/>
        <v>43465</v>
      </c>
      <c r="N242" s="23">
        <f>SUMIF(CPUAUX2!M:M,B240,CPUAUX2!O:O)</f>
        <v>1.8940067999999997</v>
      </c>
      <c r="O242" s="23">
        <f t="shared" si="30"/>
        <v>1.8940067999999997</v>
      </c>
      <c r="Q242" s="23">
        <f ca="1">SUMIF(CPUAUX2!M:M,B240,CPUAUX2!R:R)</f>
        <v>0.6313356</v>
      </c>
      <c r="R242" s="23">
        <f t="shared" ca="1" si="31"/>
        <v>0.6313356</v>
      </c>
    </row>
    <row r="243" spans="1:18" ht="30" customHeight="1" x14ac:dyDescent="0.3">
      <c r="A243" s="23" t="s">
        <v>1005</v>
      </c>
      <c r="B243" s="23">
        <v>37373</v>
      </c>
      <c r="C243" s="23" t="str">
        <f>VLOOKUP(B243,IF(A243="COMPOSICAO",S!$A:$E,I!$A:$E),2,FALSE)</f>
        <v>SINAPI</v>
      </c>
      <c r="D243" s="24" t="str">
        <f>VLOOKUP(B243,IF(A243="COMPOSICAO",S!$A:$E,I!$A:$E),3,FALSE)</f>
        <v>SEGURO - HORISTA (COLETADO CAIXA - ENCARGOS COMPLEMENTARES)</v>
      </c>
      <c r="E243" s="23" t="str">
        <f>VLOOKUP(B243,IF(A243="COMPOSICAO",S!$A:$E,I!$A:$E),4,FALSE)</f>
        <v>H</v>
      </c>
      <c r="F243" s="23">
        <v>1</v>
      </c>
      <c r="G243" s="76">
        <f>IF(A243="COMPOSICAO",VLOOKUP("TOTAL SEM BDI - "&amp;B243,CPUAUX4!$A:$J,9,FALSE),VLOOKUP(B243,I!$A:$E,5,FALSE))</f>
        <v>0.08</v>
      </c>
      <c r="H243" s="77"/>
      <c r="I243" s="76">
        <f t="shared" si="28"/>
        <v>0.08</v>
      </c>
      <c r="J243" s="77"/>
      <c r="M243" s="23">
        <f t="shared" si="29"/>
        <v>37373</v>
      </c>
      <c r="N243" s="23">
        <f>SUMIF(CPUAUX2!M:M,B240,CPUAUX2!O:O)</f>
        <v>1.8940067999999997</v>
      </c>
      <c r="O243" s="23">
        <f t="shared" si="30"/>
        <v>1.8940067999999997</v>
      </c>
      <c r="Q243" s="23">
        <f ca="1">SUMIF(CPUAUX2!M:M,B240,CPUAUX2!R:R)</f>
        <v>0.6313356</v>
      </c>
      <c r="R243" s="23">
        <f t="shared" ca="1" si="31"/>
        <v>0.6313356</v>
      </c>
    </row>
    <row r="244" spans="1:18" ht="30" customHeight="1" x14ac:dyDescent="0.3">
      <c r="A244" s="23" t="s">
        <v>1005</v>
      </c>
      <c r="B244" s="23">
        <v>37372</v>
      </c>
      <c r="C244" s="23" t="str">
        <f>VLOOKUP(B244,IF(A244="COMPOSICAO",S!$A:$E,I!$A:$E),2,FALSE)</f>
        <v>SINAPI</v>
      </c>
      <c r="D244" s="24" t="str">
        <f>VLOOKUP(B244,IF(A244="COMPOSICAO",S!$A:$E,I!$A:$E),3,FALSE)</f>
        <v>EXAMES - HORISTA (COLETADO CAIXA - ENCARGOS COMPLEMENTARES)</v>
      </c>
      <c r="E244" s="23" t="str">
        <f>VLOOKUP(B244,IF(A244="COMPOSICAO",S!$A:$E,I!$A:$E),4,FALSE)</f>
        <v>H</v>
      </c>
      <c r="F244" s="23">
        <v>1</v>
      </c>
      <c r="G244" s="76">
        <f>IF(A244="COMPOSICAO",VLOOKUP("TOTAL SEM BDI - "&amp;B244,CPUAUX4!$A:$J,9,FALSE),VLOOKUP(B244,I!$A:$E,5,FALSE))</f>
        <v>1.43</v>
      </c>
      <c r="H244" s="77"/>
      <c r="I244" s="76">
        <f t="shared" si="28"/>
        <v>1.43</v>
      </c>
      <c r="J244" s="77"/>
      <c r="M244" s="23">
        <f t="shared" si="29"/>
        <v>37372</v>
      </c>
      <c r="N244" s="23">
        <f>SUMIF(CPUAUX2!M:M,B240,CPUAUX2!O:O)</f>
        <v>1.8940067999999997</v>
      </c>
      <c r="O244" s="23">
        <f t="shared" si="30"/>
        <v>1.8940067999999997</v>
      </c>
      <c r="Q244" s="23">
        <f ca="1">SUMIF(CPUAUX2!M:M,B240,CPUAUX2!R:R)</f>
        <v>0.6313356</v>
      </c>
      <c r="R244" s="23">
        <f t="shared" ca="1" si="31"/>
        <v>0.6313356</v>
      </c>
    </row>
    <row r="245" spans="1:18" ht="30" customHeight="1" x14ac:dyDescent="0.3">
      <c r="A245" s="23" t="s">
        <v>1005</v>
      </c>
      <c r="B245" s="23">
        <v>37371</v>
      </c>
      <c r="C245" s="23" t="str">
        <f>VLOOKUP(B245,IF(A245="COMPOSICAO",S!$A:$E,I!$A:$E),2,FALSE)</f>
        <v>SINAPI</v>
      </c>
      <c r="D245" s="24" t="str">
        <f>VLOOKUP(B245,IF(A245="COMPOSICAO",S!$A:$E,I!$A:$E),3,FALSE)</f>
        <v>TRANSPORTE - HORISTA (COLETADO CAIXA - ENCARGOS COMPLEMENTARES)</v>
      </c>
      <c r="E245" s="23" t="str">
        <f>VLOOKUP(B245,IF(A245="COMPOSICAO",S!$A:$E,I!$A:$E),4,FALSE)</f>
        <v>H</v>
      </c>
      <c r="F245" s="23">
        <v>1</v>
      </c>
      <c r="G245" s="76">
        <f>IF(A245="COMPOSICAO",VLOOKUP("TOTAL SEM BDI - "&amp;B245,CPUAUX4!$A:$J,9,FALSE),VLOOKUP(B245,I!$A:$E,5,FALSE))</f>
        <v>0.56999999999999995</v>
      </c>
      <c r="H245" s="77"/>
      <c r="I245" s="76">
        <f t="shared" si="28"/>
        <v>0.56999999999999995</v>
      </c>
      <c r="J245" s="77"/>
      <c r="M245" s="23">
        <f t="shared" si="29"/>
        <v>37371</v>
      </c>
      <c r="N245" s="23">
        <f>SUMIF(CPUAUX2!M:M,B240,CPUAUX2!O:O)</f>
        <v>1.8940067999999997</v>
      </c>
      <c r="O245" s="23">
        <f t="shared" si="30"/>
        <v>1.8940067999999997</v>
      </c>
      <c r="Q245" s="23">
        <f ca="1">SUMIF(CPUAUX2!M:M,B240,CPUAUX2!R:R)</f>
        <v>0.6313356</v>
      </c>
      <c r="R245" s="23">
        <f t="shared" ca="1" si="31"/>
        <v>0.6313356</v>
      </c>
    </row>
    <row r="246" spans="1:18" ht="30" customHeight="1" x14ac:dyDescent="0.3">
      <c r="A246" s="23" t="s">
        <v>1005</v>
      </c>
      <c r="B246" s="23">
        <v>37370</v>
      </c>
      <c r="C246" s="23" t="str">
        <f>VLOOKUP(B246,IF(A246="COMPOSICAO",S!$A:$E,I!$A:$E),2,FALSE)</f>
        <v>SINAPI</v>
      </c>
      <c r="D246" s="24" t="str">
        <f>VLOOKUP(B246,IF(A246="COMPOSICAO",S!$A:$E,I!$A:$E),3,FALSE)</f>
        <v>ALIMENTACAO - HORISTA (COLETADO CAIXA - ENCARGOS COMPLEMENTARES)</v>
      </c>
      <c r="E246" s="23" t="str">
        <f>VLOOKUP(B246,IF(A246="COMPOSICAO",S!$A:$E,I!$A:$E),4,FALSE)</f>
        <v>H</v>
      </c>
      <c r="F246" s="23">
        <v>1</v>
      </c>
      <c r="G246" s="76">
        <f>IF(A246="COMPOSICAO",VLOOKUP("TOTAL SEM BDI - "&amp;B246,CPUAUX4!$A:$J,9,FALSE),VLOOKUP(B246,I!$A:$E,5,FALSE))</f>
        <v>2.46</v>
      </c>
      <c r="H246" s="77"/>
      <c r="I246" s="76">
        <f t="shared" si="28"/>
        <v>2.46</v>
      </c>
      <c r="J246" s="77"/>
      <c r="M246" s="23">
        <f t="shared" si="29"/>
        <v>37370</v>
      </c>
      <c r="N246" s="23">
        <f>SUMIF(CPUAUX2!M:M,B240,CPUAUX2!O:O)</f>
        <v>1.8940067999999997</v>
      </c>
      <c r="O246" s="23">
        <f t="shared" si="30"/>
        <v>1.8940067999999997</v>
      </c>
      <c r="Q246" s="23">
        <f ca="1">SUMIF(CPUAUX2!M:M,B240,CPUAUX2!R:R)</f>
        <v>0.6313356</v>
      </c>
      <c r="R246" s="23">
        <f t="shared" ca="1" si="31"/>
        <v>0.6313356</v>
      </c>
    </row>
    <row r="247" spans="1:18" x14ac:dyDescent="0.3">
      <c r="A247" s="23" t="s">
        <v>1005</v>
      </c>
      <c r="B247" s="23">
        <v>4750</v>
      </c>
      <c r="C247" s="23" t="str">
        <f>VLOOKUP(B247,IF(A247="COMPOSICAO",S!$A:$E,I!$A:$E),2,FALSE)</f>
        <v>SINAPI</v>
      </c>
      <c r="D247" s="24" t="str">
        <f>VLOOKUP(B247,IF(A247="COMPOSICAO",S!$A:$E,I!$A:$E),3,FALSE)</f>
        <v>PEDREIRO (HORISTA)</v>
      </c>
      <c r="E247" s="23" t="str">
        <f>VLOOKUP(B247,IF(A247="COMPOSICAO",S!$A:$E,I!$A:$E),4,FALSE)</f>
        <v>H</v>
      </c>
      <c r="F247" s="23">
        <v>1</v>
      </c>
      <c r="G247" s="76">
        <f>IF(A247="COMPOSICAO",VLOOKUP("TOTAL SEM BDI - "&amp;B247,CPUAUX4!$A:$J,9,FALSE),VLOOKUP(B247,I!$A:$E,5,FALSE))</f>
        <v>20.329999999999998</v>
      </c>
      <c r="H247" s="77"/>
      <c r="I247" s="76">
        <f t="shared" si="28"/>
        <v>20.329999999999998</v>
      </c>
      <c r="J247" s="77"/>
      <c r="M247" s="23">
        <f t="shared" si="29"/>
        <v>4750</v>
      </c>
      <c r="N247" s="23">
        <f>SUMIF(CPUAUX2!M:M,B240,CPUAUX2!O:O)</f>
        <v>1.8940067999999997</v>
      </c>
      <c r="O247" s="23">
        <f t="shared" si="30"/>
        <v>1.8940067999999997</v>
      </c>
      <c r="Q247" s="23">
        <f ca="1">SUMIF(CPUAUX2!M:M,B240,CPUAUX2!R:R)</f>
        <v>0.6313356</v>
      </c>
      <c r="R247" s="23">
        <f t="shared" ca="1" si="31"/>
        <v>0.6313356</v>
      </c>
    </row>
    <row r="248" spans="1:18" ht="30" customHeight="1" x14ac:dyDescent="0.3">
      <c r="A248" s="23" t="s">
        <v>1004</v>
      </c>
      <c r="B248" s="23">
        <v>95371</v>
      </c>
      <c r="C248" s="23" t="str">
        <f>VLOOKUP(B248,IF(A248="COMPOSICAO",S!$A:$E,I!$A:$E),2,FALSE)</f>
        <v>SINAPI</v>
      </c>
      <c r="D248" s="24" t="str">
        <f>VLOOKUP(B248,IF(A248="COMPOSICAO",S!$A:$E,I!$A:$E),3,FALSE)</f>
        <v>CURSO DE CAPACITAÇÃO PARA PEDREIRO (ENCARGOS COMPLEMENTARES) - HORISTA</v>
      </c>
      <c r="E248" s="23" t="str">
        <f>VLOOKUP(B248,IF(A248="COMPOSICAO",S!$A:$E,I!$A:$E),4,FALSE)</f>
        <v>H</v>
      </c>
      <c r="F248" s="23">
        <v>1</v>
      </c>
      <c r="G248" s="76">
        <f>IF(A248="COMPOSICAO",VLOOKUP("TOTAL SEM BDI - "&amp;B248,CPUAUX4!$A:$J,9,FALSE),VLOOKUP(B248,I!$A:$E,5,FALSE))</f>
        <v>0.43</v>
      </c>
      <c r="H248" s="77"/>
      <c r="I248" s="76">
        <f t="shared" si="28"/>
        <v>0.43</v>
      </c>
      <c r="J248" s="77"/>
      <c r="M248" s="23">
        <f t="shared" si="29"/>
        <v>95371</v>
      </c>
      <c r="N248" s="23">
        <f>SUMIF(CPUAUX2!M:M,B240,CPUAUX2!O:O)</f>
        <v>1.8940067999999997</v>
      </c>
      <c r="O248" s="23">
        <f t="shared" si="30"/>
        <v>1.8940067999999997</v>
      </c>
      <c r="Q248" s="23">
        <f ca="1">SUMIF(CPUAUX2!M:M,B240,CPUAUX2!R:R)</f>
        <v>0.6313356</v>
      </c>
      <c r="R248" s="23">
        <f t="shared" ca="1" si="31"/>
        <v>0.6313356</v>
      </c>
    </row>
    <row r="249" spans="1:18" x14ac:dyDescent="0.3">
      <c r="A249" s="73" t="str">
        <f>"TOTAL SEM BDI - "&amp;B240</f>
        <v>TOTAL SEM BDI - 88309</v>
      </c>
      <c r="B249" s="74"/>
      <c r="C249" s="74"/>
      <c r="D249" s="74"/>
      <c r="E249" s="74"/>
      <c r="F249" s="74"/>
      <c r="G249" s="74"/>
      <c r="H249" s="75"/>
      <c r="I249" s="76">
        <f>SUM(I240:I248)</f>
        <v>27.389999999999997</v>
      </c>
      <c r="J249" s="77"/>
    </row>
    <row r="251" spans="1:18" x14ac:dyDescent="0.3">
      <c r="A251" s="4" t="s">
        <v>1000</v>
      </c>
      <c r="B251" s="4" t="s">
        <v>170</v>
      </c>
      <c r="C251" s="4" t="s">
        <v>171</v>
      </c>
      <c r="D251" s="4" t="s">
        <v>18</v>
      </c>
      <c r="E251" s="4" t="s">
        <v>172</v>
      </c>
      <c r="F251" s="4" t="s">
        <v>507</v>
      </c>
      <c r="G251" s="45" t="s">
        <v>1001</v>
      </c>
      <c r="H251" s="46"/>
      <c r="I251" s="45" t="s">
        <v>12</v>
      </c>
      <c r="J251" s="46"/>
    </row>
    <row r="252" spans="1:18" ht="30" customHeight="1" x14ac:dyDescent="0.3">
      <c r="A252" s="15" t="s">
        <v>1071</v>
      </c>
      <c r="B252" s="15">
        <v>95372</v>
      </c>
      <c r="C252" s="15" t="str">
        <f>VLOOKUP(B252,S!$A:$G,2,FALSE)</f>
        <v>SINAPI</v>
      </c>
      <c r="D252" s="22" t="str">
        <f>VLOOKUP(B252,S!$A:$G,3,FALSE)</f>
        <v>CURSO DE CAPACITAÇÃO PARA PINTOR (ENCARGOS COMPLEMENTARES) - HORISTA</v>
      </c>
      <c r="E252" s="15" t="str">
        <f>VLOOKUP(B252,S!$A:$G,4,FALSE)</f>
        <v>H</v>
      </c>
      <c r="F252" s="15"/>
      <c r="G252" s="78">
        <f>I254</f>
        <v>0.3</v>
      </c>
      <c r="H252" s="79"/>
      <c r="I252" s="78"/>
      <c r="J252" s="79"/>
      <c r="K252" s="16">
        <f>VLOOKUP(B252,S!A:G,5,FALSE)</f>
        <v>0.3</v>
      </c>
      <c r="L252" s="15" t="str">
        <f>IF(K252=G252,"OK, CONFORME TABELA",IF(G252&gt;K252,"ACIMA DA TABELA: ","ABAIXO DA TABELA: ")&amp;TRUNC((G252*100)/K252,2)&amp;" %")</f>
        <v>OK, CONFORME TABELA</v>
      </c>
    </row>
    <row r="253" spans="1:18" x14ac:dyDescent="0.3">
      <c r="A253" s="23" t="s">
        <v>1005</v>
      </c>
      <c r="B253" s="23">
        <v>4783</v>
      </c>
      <c r="C253" s="23" t="str">
        <f>VLOOKUP(B253,IF(A253="COMPOSICAO",S!$A:$E,I!$A:$E),2,FALSE)</f>
        <v>SINAPI</v>
      </c>
      <c r="D253" s="24" t="str">
        <f>VLOOKUP(B253,IF(A253="COMPOSICAO",S!$A:$E,I!$A:$E),3,FALSE)</f>
        <v>PINTOR (HORISTA)</v>
      </c>
      <c r="E253" s="23" t="str">
        <f>VLOOKUP(B253,IF(A253="COMPOSICAO",S!$A:$E,I!$A:$E),4,FALSE)</f>
        <v>H</v>
      </c>
      <c r="F253" s="23">
        <v>1.4760000000000001E-2</v>
      </c>
      <c r="G253" s="76">
        <f>IF(A253="COMPOSICAO",VLOOKUP("TOTAL SEM BDI - "&amp;B253,CPUAUX4!$A:$J,9,FALSE),VLOOKUP(B253,I!$A:$E,5,FALSE))</f>
        <v>20.329999999999998</v>
      </c>
      <c r="H253" s="77"/>
      <c r="I253" s="76">
        <f>TRUNC(F253*G253,2)</f>
        <v>0.3</v>
      </c>
      <c r="J253" s="77"/>
      <c r="M253" s="23">
        <f>B253</f>
        <v>4783</v>
      </c>
      <c r="N253" s="23">
        <f>SUMIF(CPUAUX2!M:M,B252,CPUAUX2!O:O)</f>
        <v>14</v>
      </c>
      <c r="O253" s="23">
        <f>F253*N253</f>
        <v>0.20664000000000002</v>
      </c>
      <c r="Q253" s="23">
        <f ca="1">SUMIF(CPUAUX2!M:M,B252,CPUAUX2!R:R)</f>
        <v>6</v>
      </c>
      <c r="R253" s="23">
        <f ca="1">F253*Q253</f>
        <v>8.856E-2</v>
      </c>
    </row>
    <row r="254" spans="1:18" x14ac:dyDescent="0.3">
      <c r="A254" s="73" t="str">
        <f>"TOTAL SEM BDI - "&amp;B252</f>
        <v>TOTAL SEM BDI - 95372</v>
      </c>
      <c r="B254" s="74"/>
      <c r="C254" s="74"/>
      <c r="D254" s="74"/>
      <c r="E254" s="74"/>
      <c r="F254" s="74"/>
      <c r="G254" s="74"/>
      <c r="H254" s="75"/>
      <c r="I254" s="76">
        <f>SUM(I252:I253)</f>
        <v>0.3</v>
      </c>
      <c r="J254" s="77"/>
    </row>
    <row r="256" spans="1:18" x14ac:dyDescent="0.3">
      <c r="A256" s="4" t="s">
        <v>1000</v>
      </c>
      <c r="B256" s="4" t="s">
        <v>170</v>
      </c>
      <c r="C256" s="4" t="s">
        <v>171</v>
      </c>
      <c r="D256" s="4" t="s">
        <v>18</v>
      </c>
      <c r="E256" s="4" t="s">
        <v>172</v>
      </c>
      <c r="F256" s="4" t="s">
        <v>507</v>
      </c>
      <c r="G256" s="45" t="s">
        <v>1001</v>
      </c>
      <c r="H256" s="46"/>
      <c r="I256" s="45" t="s">
        <v>12</v>
      </c>
      <c r="J256" s="46"/>
    </row>
    <row r="257" spans="1:18" ht="30" customHeight="1" x14ac:dyDescent="0.3">
      <c r="A257" s="15" t="s">
        <v>1071</v>
      </c>
      <c r="B257" s="15">
        <v>95357</v>
      </c>
      <c r="C257" s="15" t="str">
        <f>VLOOKUP(B257,S!$A:$G,2,FALSE)</f>
        <v>SINAPI</v>
      </c>
      <c r="D257" s="22" t="str">
        <f>VLOOKUP(B257,S!$A:$G,3,FALSE)</f>
        <v>CURSO DE CAPACITAÇÃO PARA OPERADOR DE ESCAVADEIRA (ENCARGOS COMPLEMENTARES) - HORISTA</v>
      </c>
      <c r="E257" s="15" t="str">
        <f>VLOOKUP(B257,S!$A:$G,4,FALSE)</f>
        <v>H</v>
      </c>
      <c r="F257" s="15"/>
      <c r="G257" s="78">
        <f>I259</f>
        <v>0.28000000000000003</v>
      </c>
      <c r="H257" s="79"/>
      <c r="I257" s="78"/>
      <c r="J257" s="79"/>
      <c r="K257" s="16">
        <f>VLOOKUP(B257,S!A:G,5,FALSE)</f>
        <v>0.28000000000000003</v>
      </c>
      <c r="L257" s="15" t="str">
        <f>IF(K257=G257,"OK, CONFORME TABELA",IF(G257&gt;K257,"ACIMA DA TABELA: ","ABAIXO DA TABELA: ")&amp;TRUNC((G257*100)/K257,2)&amp;" %")</f>
        <v>OK, CONFORME TABELA</v>
      </c>
    </row>
    <row r="258" spans="1:18" x14ac:dyDescent="0.3">
      <c r="A258" s="23" t="s">
        <v>1005</v>
      </c>
      <c r="B258" s="23">
        <v>4234</v>
      </c>
      <c r="C258" s="23" t="str">
        <f>VLOOKUP(B258,IF(A258="COMPOSICAO",S!$A:$E,I!$A:$E),2,FALSE)</f>
        <v>SINAPI</v>
      </c>
      <c r="D258" s="24" t="str">
        <f>VLOOKUP(B258,IF(A258="COMPOSICAO",S!$A:$E,I!$A:$E),3,FALSE)</f>
        <v>OPERADOR DE ESCAVADEIRA (HORISTA)</v>
      </c>
      <c r="E258" s="23" t="str">
        <f>VLOOKUP(B258,IF(A258="COMPOSICAO",S!$A:$E,I!$A:$E),4,FALSE)</f>
        <v>H</v>
      </c>
      <c r="F258" s="23">
        <v>1.154E-2</v>
      </c>
      <c r="G258" s="76">
        <f>IF(A258="COMPOSICAO",VLOOKUP("TOTAL SEM BDI - "&amp;B258,CPUAUX4!$A:$J,9,FALSE),VLOOKUP(B258,I!$A:$E,5,FALSE))</f>
        <v>24.53</v>
      </c>
      <c r="H258" s="77"/>
      <c r="I258" s="76">
        <f>TRUNC(F258*G258,2)</f>
        <v>0.28000000000000003</v>
      </c>
      <c r="J258" s="77"/>
      <c r="M258" s="23">
        <f>B258</f>
        <v>4234</v>
      </c>
      <c r="N258" s="23">
        <f>SUMIF(CPUAUX2!M:M,B257,CPUAUX2!O:O)</f>
        <v>1169.3439379919998</v>
      </c>
      <c r="O258" s="23">
        <f>F258*N258</f>
        <v>13.494229044427678</v>
      </c>
      <c r="Q258" s="23">
        <f ca="1">SUMIF(CPUAUX2!M:M,B257,CPUAUX2!R:R)</f>
        <v>304.19590137600005</v>
      </c>
      <c r="R258" s="23">
        <f ca="1">F258*Q258</f>
        <v>3.5104207018790405</v>
      </c>
    </row>
    <row r="259" spans="1:18" x14ac:dyDescent="0.3">
      <c r="A259" s="73" t="str">
        <f>"TOTAL SEM BDI - "&amp;B257</f>
        <v>TOTAL SEM BDI - 95357</v>
      </c>
      <c r="B259" s="74"/>
      <c r="C259" s="74"/>
      <c r="D259" s="74"/>
      <c r="E259" s="74"/>
      <c r="F259" s="74"/>
      <c r="G259" s="74"/>
      <c r="H259" s="75"/>
      <c r="I259" s="76">
        <f>SUM(I257:I258)</f>
        <v>0.28000000000000003</v>
      </c>
      <c r="J259" s="77"/>
    </row>
  </sheetData>
  <mergeCells count="439">
    <mergeCell ref="A1:J1"/>
    <mergeCell ref="A2:J2"/>
    <mergeCell ref="A3:J3"/>
    <mergeCell ref="N4:P4"/>
    <mergeCell ref="Q4:S4"/>
    <mergeCell ref="G6:H6"/>
    <mergeCell ref="I6:J6"/>
    <mergeCell ref="G11:H11"/>
    <mergeCell ref="I11:J11"/>
    <mergeCell ref="G12:H12"/>
    <mergeCell ref="I12:J12"/>
    <mergeCell ref="G13:H13"/>
    <mergeCell ref="I13:J13"/>
    <mergeCell ref="G7:H7"/>
    <mergeCell ref="I7:J7"/>
    <mergeCell ref="G8:H8"/>
    <mergeCell ref="I8:J8"/>
    <mergeCell ref="A9:H9"/>
    <mergeCell ref="I9:J9"/>
    <mergeCell ref="G18:H18"/>
    <mergeCell ref="I18:J18"/>
    <mergeCell ref="A19:H19"/>
    <mergeCell ref="I19:J19"/>
    <mergeCell ref="G21:H21"/>
    <mergeCell ref="I21:J21"/>
    <mergeCell ref="A14:H14"/>
    <mergeCell ref="I14:J14"/>
    <mergeCell ref="G16:H16"/>
    <mergeCell ref="I16:J16"/>
    <mergeCell ref="G17:H17"/>
    <mergeCell ref="I17:J17"/>
    <mergeCell ref="G26:H26"/>
    <mergeCell ref="I26:J26"/>
    <mergeCell ref="G27:H27"/>
    <mergeCell ref="I27:J27"/>
    <mergeCell ref="G28:H28"/>
    <mergeCell ref="I28:J28"/>
    <mergeCell ref="G22:H22"/>
    <mergeCell ref="I22:J22"/>
    <mergeCell ref="G23:H23"/>
    <mergeCell ref="I23:J23"/>
    <mergeCell ref="A24:H24"/>
    <mergeCell ref="I24:J24"/>
    <mergeCell ref="G33:H33"/>
    <mergeCell ref="I33:J33"/>
    <mergeCell ref="A34:H34"/>
    <mergeCell ref="I34:J34"/>
    <mergeCell ref="G36:H36"/>
    <mergeCell ref="I36:J36"/>
    <mergeCell ref="A29:H29"/>
    <mergeCell ref="I29:J29"/>
    <mergeCell ref="G31:H31"/>
    <mergeCell ref="I31:J31"/>
    <mergeCell ref="G32:H32"/>
    <mergeCell ref="I32:J32"/>
    <mergeCell ref="G41:H41"/>
    <mergeCell ref="I41:J41"/>
    <mergeCell ref="G42:H42"/>
    <mergeCell ref="I42:J42"/>
    <mergeCell ref="G43:H43"/>
    <mergeCell ref="I43:J43"/>
    <mergeCell ref="G37:H37"/>
    <mergeCell ref="I37:J37"/>
    <mergeCell ref="G38:H38"/>
    <mergeCell ref="I38:J38"/>
    <mergeCell ref="A39:H39"/>
    <mergeCell ref="I39:J39"/>
    <mergeCell ref="G48:H48"/>
    <mergeCell ref="I48:J48"/>
    <mergeCell ref="A49:H49"/>
    <mergeCell ref="I49:J49"/>
    <mergeCell ref="G51:H51"/>
    <mergeCell ref="I51:J51"/>
    <mergeCell ref="A44:H44"/>
    <mergeCell ref="I44:J44"/>
    <mergeCell ref="G46:H46"/>
    <mergeCell ref="I46:J46"/>
    <mergeCell ref="G47:H47"/>
    <mergeCell ref="I47:J47"/>
    <mergeCell ref="G56:H56"/>
    <mergeCell ref="I56:J56"/>
    <mergeCell ref="G57:H57"/>
    <mergeCell ref="I57:J57"/>
    <mergeCell ref="G58:H58"/>
    <mergeCell ref="I58:J58"/>
    <mergeCell ref="G52:H52"/>
    <mergeCell ref="I52:J52"/>
    <mergeCell ref="G53:H53"/>
    <mergeCell ref="I53:J53"/>
    <mergeCell ref="A54:H54"/>
    <mergeCell ref="I54:J54"/>
    <mergeCell ref="G63:H63"/>
    <mergeCell ref="I63:J63"/>
    <mergeCell ref="A64:H64"/>
    <mergeCell ref="I64:J64"/>
    <mergeCell ref="G66:H66"/>
    <mergeCell ref="I66:J66"/>
    <mergeCell ref="A59:H59"/>
    <mergeCell ref="I59:J59"/>
    <mergeCell ref="G61:H61"/>
    <mergeCell ref="I61:J61"/>
    <mergeCell ref="G62:H62"/>
    <mergeCell ref="I62:J62"/>
    <mergeCell ref="G71:H71"/>
    <mergeCell ref="I71:J71"/>
    <mergeCell ref="G72:H72"/>
    <mergeCell ref="I72:J72"/>
    <mergeCell ref="G73:H73"/>
    <mergeCell ref="I73:J73"/>
    <mergeCell ref="G67:H67"/>
    <mergeCell ref="I67:J67"/>
    <mergeCell ref="G68:H68"/>
    <mergeCell ref="I68:J68"/>
    <mergeCell ref="A69:H69"/>
    <mergeCell ref="I69:J69"/>
    <mergeCell ref="G78:H78"/>
    <mergeCell ref="I78:J78"/>
    <mergeCell ref="A79:H79"/>
    <mergeCell ref="I79:J79"/>
    <mergeCell ref="G81:H81"/>
    <mergeCell ref="I81:J81"/>
    <mergeCell ref="A74:H74"/>
    <mergeCell ref="I74:J74"/>
    <mergeCell ref="G76:H76"/>
    <mergeCell ref="I76:J76"/>
    <mergeCell ref="G77:H77"/>
    <mergeCell ref="I77:J77"/>
    <mergeCell ref="G85:H85"/>
    <mergeCell ref="I85:J85"/>
    <mergeCell ref="G86:H86"/>
    <mergeCell ref="I86:J86"/>
    <mergeCell ref="G87:H87"/>
    <mergeCell ref="I87:J87"/>
    <mergeCell ref="G82:H82"/>
    <mergeCell ref="I82:J82"/>
    <mergeCell ref="G83:H83"/>
    <mergeCell ref="I83:J83"/>
    <mergeCell ref="G84:H84"/>
    <mergeCell ref="I84:J84"/>
    <mergeCell ref="A91:H91"/>
    <mergeCell ref="I91:J91"/>
    <mergeCell ref="G93:H93"/>
    <mergeCell ref="I93:J93"/>
    <mergeCell ref="G94:H94"/>
    <mergeCell ref="I94:J94"/>
    <mergeCell ref="G88:H88"/>
    <mergeCell ref="I88:J88"/>
    <mergeCell ref="G89:H89"/>
    <mergeCell ref="I89:J89"/>
    <mergeCell ref="G90:H90"/>
    <mergeCell ref="I90:J90"/>
    <mergeCell ref="G99:H99"/>
    <mergeCell ref="I99:J99"/>
    <mergeCell ref="G100:H100"/>
    <mergeCell ref="I100:J100"/>
    <mergeCell ref="A101:H101"/>
    <mergeCell ref="I101:J101"/>
    <mergeCell ref="G95:H95"/>
    <mergeCell ref="I95:J95"/>
    <mergeCell ref="A96:H96"/>
    <mergeCell ref="I96:J96"/>
    <mergeCell ref="G98:H98"/>
    <mergeCell ref="I98:J98"/>
    <mergeCell ref="A106:H106"/>
    <mergeCell ref="I106:J106"/>
    <mergeCell ref="G108:H108"/>
    <mergeCell ref="I108:J108"/>
    <mergeCell ref="G109:H109"/>
    <mergeCell ref="I109:J109"/>
    <mergeCell ref="G103:H103"/>
    <mergeCell ref="I103:J103"/>
    <mergeCell ref="G104:H104"/>
    <mergeCell ref="I104:J104"/>
    <mergeCell ref="G105:H105"/>
    <mergeCell ref="I105:J105"/>
    <mergeCell ref="G114:H114"/>
    <mergeCell ref="I114:J114"/>
    <mergeCell ref="G115:H115"/>
    <mergeCell ref="I115:J115"/>
    <mergeCell ref="A116:H116"/>
    <mergeCell ref="I116:J116"/>
    <mergeCell ref="G110:H110"/>
    <mergeCell ref="I110:J110"/>
    <mergeCell ref="A111:H111"/>
    <mergeCell ref="I111:J111"/>
    <mergeCell ref="G113:H113"/>
    <mergeCell ref="I113:J113"/>
    <mergeCell ref="A121:H121"/>
    <mergeCell ref="I121:J121"/>
    <mergeCell ref="G123:H123"/>
    <mergeCell ref="I123:J123"/>
    <mergeCell ref="G124:H124"/>
    <mergeCell ref="I124:J124"/>
    <mergeCell ref="G118:H118"/>
    <mergeCell ref="I118:J118"/>
    <mergeCell ref="G119:H119"/>
    <mergeCell ref="I119:J119"/>
    <mergeCell ref="G120:H120"/>
    <mergeCell ref="I120:J120"/>
    <mergeCell ref="G129:H129"/>
    <mergeCell ref="I129:J129"/>
    <mergeCell ref="G130:H130"/>
    <mergeCell ref="I130:J130"/>
    <mergeCell ref="A131:H131"/>
    <mergeCell ref="I131:J131"/>
    <mergeCell ref="G125:H125"/>
    <mergeCell ref="I125:J125"/>
    <mergeCell ref="A126:H126"/>
    <mergeCell ref="I126:J126"/>
    <mergeCell ref="G128:H128"/>
    <mergeCell ref="I128:J128"/>
    <mergeCell ref="A136:H136"/>
    <mergeCell ref="I136:J136"/>
    <mergeCell ref="G138:H138"/>
    <mergeCell ref="I138:J138"/>
    <mergeCell ref="G139:H139"/>
    <mergeCell ref="I139:J139"/>
    <mergeCell ref="G133:H133"/>
    <mergeCell ref="I133:J133"/>
    <mergeCell ref="G134:H134"/>
    <mergeCell ref="I134:J134"/>
    <mergeCell ref="G135:H135"/>
    <mergeCell ref="I135:J135"/>
    <mergeCell ref="A143:H143"/>
    <mergeCell ref="I143:J143"/>
    <mergeCell ref="G145:H145"/>
    <mergeCell ref="I145:J145"/>
    <mergeCell ref="G146:H146"/>
    <mergeCell ref="I146:J146"/>
    <mergeCell ref="G140:H140"/>
    <mergeCell ref="I140:J140"/>
    <mergeCell ref="G141:H141"/>
    <mergeCell ref="I141:J141"/>
    <mergeCell ref="G142:H142"/>
    <mergeCell ref="I142:J142"/>
    <mergeCell ref="G150:H150"/>
    <mergeCell ref="I150:J150"/>
    <mergeCell ref="G151:H151"/>
    <mergeCell ref="I151:J151"/>
    <mergeCell ref="A152:H152"/>
    <mergeCell ref="I152:J152"/>
    <mergeCell ref="G147:H147"/>
    <mergeCell ref="I147:J147"/>
    <mergeCell ref="G148:H148"/>
    <mergeCell ref="I148:J148"/>
    <mergeCell ref="G149:H149"/>
    <mergeCell ref="I149:J149"/>
    <mergeCell ref="G157:H157"/>
    <mergeCell ref="I157:J157"/>
    <mergeCell ref="G158:H158"/>
    <mergeCell ref="I158:J158"/>
    <mergeCell ref="G159:H159"/>
    <mergeCell ref="I159:J159"/>
    <mergeCell ref="G154:H154"/>
    <mergeCell ref="I154:J154"/>
    <mergeCell ref="G155:H155"/>
    <mergeCell ref="I155:J155"/>
    <mergeCell ref="G156:H156"/>
    <mergeCell ref="I156:J156"/>
    <mergeCell ref="G163:H163"/>
    <mergeCell ref="I163:J163"/>
    <mergeCell ref="A164:H164"/>
    <mergeCell ref="I164:J164"/>
    <mergeCell ref="G166:H166"/>
    <mergeCell ref="I166:J166"/>
    <mergeCell ref="G160:H160"/>
    <mergeCell ref="I160:J160"/>
    <mergeCell ref="G161:H161"/>
    <mergeCell ref="I161:J161"/>
    <mergeCell ref="G162:H162"/>
    <mergeCell ref="I162:J162"/>
    <mergeCell ref="G170:H170"/>
    <mergeCell ref="I170:J170"/>
    <mergeCell ref="G171:H171"/>
    <mergeCell ref="I171:J171"/>
    <mergeCell ref="G172:H172"/>
    <mergeCell ref="I172:J172"/>
    <mergeCell ref="G167:H167"/>
    <mergeCell ref="I167:J167"/>
    <mergeCell ref="G168:H168"/>
    <mergeCell ref="I168:J168"/>
    <mergeCell ref="G169:H169"/>
    <mergeCell ref="I169:J169"/>
    <mergeCell ref="A176:H176"/>
    <mergeCell ref="I176:J176"/>
    <mergeCell ref="G178:H178"/>
    <mergeCell ref="I178:J178"/>
    <mergeCell ref="G179:H179"/>
    <mergeCell ref="I179:J179"/>
    <mergeCell ref="G173:H173"/>
    <mergeCell ref="I173:J173"/>
    <mergeCell ref="G174:H174"/>
    <mergeCell ref="I174:J174"/>
    <mergeCell ref="G175:H175"/>
    <mergeCell ref="I175:J175"/>
    <mergeCell ref="G183:H183"/>
    <mergeCell ref="I183:J183"/>
    <mergeCell ref="G184:H184"/>
    <mergeCell ref="I184:J184"/>
    <mergeCell ref="G185:H185"/>
    <mergeCell ref="I185:J185"/>
    <mergeCell ref="G180:H180"/>
    <mergeCell ref="I180:J180"/>
    <mergeCell ref="G181:H181"/>
    <mergeCell ref="I181:J181"/>
    <mergeCell ref="G182:H182"/>
    <mergeCell ref="I182:J182"/>
    <mergeCell ref="G190:H190"/>
    <mergeCell ref="I190:J190"/>
    <mergeCell ref="G191:H191"/>
    <mergeCell ref="I191:J191"/>
    <mergeCell ref="G192:H192"/>
    <mergeCell ref="I192:J192"/>
    <mergeCell ref="G186:H186"/>
    <mergeCell ref="I186:J186"/>
    <mergeCell ref="G187:H187"/>
    <mergeCell ref="I187:J187"/>
    <mergeCell ref="A188:H188"/>
    <mergeCell ref="I188:J188"/>
    <mergeCell ref="G196:H196"/>
    <mergeCell ref="I196:J196"/>
    <mergeCell ref="G197:H197"/>
    <mergeCell ref="I197:J197"/>
    <mergeCell ref="G198:H198"/>
    <mergeCell ref="I198:J198"/>
    <mergeCell ref="G193:H193"/>
    <mergeCell ref="I193:J193"/>
    <mergeCell ref="G194:H194"/>
    <mergeCell ref="I194:J194"/>
    <mergeCell ref="G195:H195"/>
    <mergeCell ref="I195:J195"/>
    <mergeCell ref="G203:H203"/>
    <mergeCell ref="I203:J203"/>
    <mergeCell ref="G204:H204"/>
    <mergeCell ref="I204:J204"/>
    <mergeCell ref="G205:H205"/>
    <mergeCell ref="I205:J205"/>
    <mergeCell ref="G199:H199"/>
    <mergeCell ref="I199:J199"/>
    <mergeCell ref="A200:H200"/>
    <mergeCell ref="I200:J200"/>
    <mergeCell ref="G202:H202"/>
    <mergeCell ref="I202:J202"/>
    <mergeCell ref="G209:H209"/>
    <mergeCell ref="I209:J209"/>
    <mergeCell ref="G210:H210"/>
    <mergeCell ref="I210:J210"/>
    <mergeCell ref="G211:H211"/>
    <mergeCell ref="I211:J211"/>
    <mergeCell ref="G206:H206"/>
    <mergeCell ref="I206:J206"/>
    <mergeCell ref="G207:H207"/>
    <mergeCell ref="I207:J207"/>
    <mergeCell ref="G208:H208"/>
    <mergeCell ref="I208:J208"/>
    <mergeCell ref="G216:H216"/>
    <mergeCell ref="I216:J216"/>
    <mergeCell ref="G217:H217"/>
    <mergeCell ref="I217:J217"/>
    <mergeCell ref="G218:H218"/>
    <mergeCell ref="I218:J218"/>
    <mergeCell ref="A212:H212"/>
    <mergeCell ref="I212:J212"/>
    <mergeCell ref="G214:H214"/>
    <mergeCell ref="I214:J214"/>
    <mergeCell ref="G215:H215"/>
    <mergeCell ref="I215:J215"/>
    <mergeCell ref="G222:H222"/>
    <mergeCell ref="I222:J222"/>
    <mergeCell ref="A223:H223"/>
    <mergeCell ref="I223:J223"/>
    <mergeCell ref="G225:H225"/>
    <mergeCell ref="I225:J225"/>
    <mergeCell ref="G219:H219"/>
    <mergeCell ref="I219:J219"/>
    <mergeCell ref="G220:H220"/>
    <mergeCell ref="I220:J220"/>
    <mergeCell ref="G221:H221"/>
    <mergeCell ref="I221:J221"/>
    <mergeCell ref="A229:H229"/>
    <mergeCell ref="I229:J229"/>
    <mergeCell ref="G231:H231"/>
    <mergeCell ref="I231:J231"/>
    <mergeCell ref="G232:H232"/>
    <mergeCell ref="I232:J232"/>
    <mergeCell ref="G226:H226"/>
    <mergeCell ref="I226:J226"/>
    <mergeCell ref="G227:H227"/>
    <mergeCell ref="I227:J227"/>
    <mergeCell ref="G228:H228"/>
    <mergeCell ref="I228:J228"/>
    <mergeCell ref="G236:H236"/>
    <mergeCell ref="I236:J236"/>
    <mergeCell ref="A237:H237"/>
    <mergeCell ref="I237:J237"/>
    <mergeCell ref="G239:H239"/>
    <mergeCell ref="I239:J239"/>
    <mergeCell ref="G233:H233"/>
    <mergeCell ref="I233:J233"/>
    <mergeCell ref="G234:H234"/>
    <mergeCell ref="I234:J234"/>
    <mergeCell ref="G235:H235"/>
    <mergeCell ref="I235:J235"/>
    <mergeCell ref="G243:H243"/>
    <mergeCell ref="I243:J243"/>
    <mergeCell ref="G244:H244"/>
    <mergeCell ref="I244:J244"/>
    <mergeCell ref="G245:H245"/>
    <mergeCell ref="I245:J245"/>
    <mergeCell ref="G240:H240"/>
    <mergeCell ref="I240:J240"/>
    <mergeCell ref="G241:H241"/>
    <mergeCell ref="I241:J241"/>
    <mergeCell ref="G242:H242"/>
    <mergeCell ref="I242:J242"/>
    <mergeCell ref="A249:H249"/>
    <mergeCell ref="I249:J249"/>
    <mergeCell ref="G251:H251"/>
    <mergeCell ref="I251:J251"/>
    <mergeCell ref="G252:H252"/>
    <mergeCell ref="I252:J252"/>
    <mergeCell ref="G246:H246"/>
    <mergeCell ref="I246:J246"/>
    <mergeCell ref="G247:H247"/>
    <mergeCell ref="I247:J247"/>
    <mergeCell ref="G248:H248"/>
    <mergeCell ref="I248:J248"/>
    <mergeCell ref="G257:H257"/>
    <mergeCell ref="I257:J257"/>
    <mergeCell ref="G258:H258"/>
    <mergeCell ref="I258:J258"/>
    <mergeCell ref="A259:H259"/>
    <mergeCell ref="I259:J259"/>
    <mergeCell ref="G253:H253"/>
    <mergeCell ref="I253:J253"/>
    <mergeCell ref="A254:H254"/>
    <mergeCell ref="I254:J254"/>
    <mergeCell ref="G256:H256"/>
    <mergeCell ref="I256:J256"/>
  </mergeCells>
  <pageMargins left="0.78740157480314965" right="0.39370078740157483" top="1.1811023622047245" bottom="0.78740157480314965" header="0.31496062992125984" footer="0.31496062992125984"/>
  <pageSetup paperSize="9" scale="44" fitToHeight="0" orientation="portrait" r:id="rId1"/>
  <headerFooter>
    <oddHeader>&amp;C&amp;G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E7C68-A751-4AC4-A887-E8481FE56939}">
  <sheetPr>
    <pageSetUpPr fitToPage="1"/>
  </sheetPr>
  <dimension ref="A1:S129"/>
  <sheetViews>
    <sheetView showGridLines="0" workbookViewId="0">
      <selection sqref="A1:J1"/>
    </sheetView>
  </sheetViews>
  <sheetFormatPr defaultRowHeight="14.4" x14ac:dyDescent="0.3"/>
  <cols>
    <col min="1" max="3" width="13.88671875" bestFit="1" customWidth="1"/>
    <col min="4" max="4" width="55.5546875" bestFit="1" customWidth="1"/>
    <col min="5" max="10" width="17.5546875" bestFit="1" customWidth="1"/>
    <col min="11" max="11" width="12" bestFit="1" customWidth="1"/>
    <col min="12" max="12" width="33.33203125" bestFit="1" customWidth="1"/>
    <col min="13" max="19" width="14.77734375" bestFit="1" customWidth="1"/>
  </cols>
  <sheetData>
    <row r="1" spans="1:19" x14ac:dyDescent="0.3">
      <c r="A1" s="44" t="str">
        <f>CIDADE</f>
        <v>MUNICÍPIOS DE PARNAGUÁ - PI E ANÍSIO DE ABREU-PI</v>
      </c>
      <c r="B1" s="44"/>
      <c r="C1" s="44"/>
      <c r="D1" s="44"/>
      <c r="E1" s="44"/>
      <c r="F1" s="44"/>
      <c r="G1" s="44"/>
      <c r="H1" s="44"/>
      <c r="I1" s="44"/>
      <c r="J1" s="44"/>
    </row>
    <row r="2" spans="1:19" x14ac:dyDescent="0.3">
      <c r="A2" s="44" t="str">
        <f>OBRA</f>
        <v>IMPLANTAÇÃO DE 6 (SEIS) SISTEMAS DE ABASTECIMENTO DE ÁGUA EM COMUNIDADES RURAIS NOS MUNICÍPIOS DE PARNAGUÁ-PI E ANÍSIO DE ABREU-PI (TC 967175/2024)</v>
      </c>
      <c r="B2" s="44"/>
      <c r="C2" s="44"/>
      <c r="D2" s="44"/>
      <c r="E2" s="44"/>
      <c r="F2" s="44"/>
      <c r="G2" s="44"/>
      <c r="H2" s="44"/>
      <c r="I2" s="44"/>
      <c r="J2" s="44"/>
    </row>
    <row r="3" spans="1:19" x14ac:dyDescent="0.3">
      <c r="A3" s="44" t="s">
        <v>1098</v>
      </c>
      <c r="B3" s="44"/>
      <c r="C3" s="44"/>
      <c r="D3" s="44"/>
      <c r="E3" s="44"/>
      <c r="F3" s="44"/>
      <c r="G3" s="44"/>
      <c r="H3" s="44"/>
      <c r="I3" s="44"/>
      <c r="J3" s="44"/>
    </row>
    <row r="4" spans="1:19" x14ac:dyDescent="0.3">
      <c r="N4" s="45" t="s">
        <v>996</v>
      </c>
      <c r="O4" s="47"/>
      <c r="P4" s="46"/>
      <c r="Q4" s="45" t="s">
        <v>997</v>
      </c>
      <c r="R4" s="47"/>
      <c r="S4" s="46"/>
    </row>
    <row r="5" spans="1:19" x14ac:dyDescent="0.3">
      <c r="A5" s="1" t="s">
        <v>1</v>
      </c>
      <c r="B5" s="7" t="str">
        <f>FONTE&amp;FOLHA</f>
        <v>SINAPI PI 07/2025, SEINFRA CE 28, ORSE SE 06/2025, CAESB 10/2024SEM DESONERAÇÃO</v>
      </c>
      <c r="C5" s="3"/>
      <c r="D5" s="3"/>
      <c r="E5" s="3"/>
      <c r="F5" s="3"/>
      <c r="G5" s="27" t="s">
        <v>7</v>
      </c>
      <c r="H5" s="8">
        <f>LEI</f>
        <v>113.33</v>
      </c>
      <c r="I5" s="1" t="s">
        <v>16</v>
      </c>
      <c r="J5" s="8">
        <f>BDI</f>
        <v>22.33</v>
      </c>
      <c r="M5" s="4" t="s">
        <v>170</v>
      </c>
      <c r="N5" s="4" t="s">
        <v>998</v>
      </c>
      <c r="O5" s="4" t="s">
        <v>158</v>
      </c>
      <c r="P5" s="4" t="s">
        <v>999</v>
      </c>
      <c r="Q5" s="4" t="s">
        <v>998</v>
      </c>
      <c r="R5" s="4" t="s">
        <v>158</v>
      </c>
      <c r="S5" s="4" t="s">
        <v>999</v>
      </c>
    </row>
    <row r="6" spans="1:19" x14ac:dyDescent="0.3">
      <c r="A6" s="4" t="s">
        <v>1000</v>
      </c>
      <c r="B6" s="4" t="s">
        <v>170</v>
      </c>
      <c r="C6" s="4" t="s">
        <v>171</v>
      </c>
      <c r="D6" s="4" t="s">
        <v>18</v>
      </c>
      <c r="E6" s="4" t="s">
        <v>172</v>
      </c>
      <c r="F6" s="4" t="s">
        <v>507</v>
      </c>
      <c r="G6" s="45" t="s">
        <v>1001</v>
      </c>
      <c r="H6" s="46"/>
      <c r="I6" s="45" t="s">
        <v>12</v>
      </c>
      <c r="J6" s="46"/>
    </row>
    <row r="7" spans="1:19" ht="45" customHeight="1" x14ac:dyDescent="0.3">
      <c r="A7" s="15" t="s">
        <v>1071</v>
      </c>
      <c r="B7" s="15">
        <v>95360</v>
      </c>
      <c r="C7" s="15" t="str">
        <f>VLOOKUP(B7,S!$A:$G,2,FALSE)</f>
        <v>SINAPI</v>
      </c>
      <c r="D7" s="22" t="str">
        <f>VLOOKUP(B7,S!$A:$G,3,FALSE)</f>
        <v>CURSO DE CAPACITAÇÃO PARA OPERADOR DE MÁQUINAS E EQUIPAMENTOS (ENCARGOS COMPLEMENTARES) - HORISTA</v>
      </c>
      <c r="E7" s="15" t="str">
        <f>VLOOKUP(B7,S!$A:$G,4,FALSE)</f>
        <v>H</v>
      </c>
      <c r="F7" s="15"/>
      <c r="G7" s="78">
        <f>I9</f>
        <v>0.24</v>
      </c>
      <c r="H7" s="79"/>
      <c r="I7" s="78"/>
      <c r="J7" s="79"/>
      <c r="K7" s="16">
        <f>VLOOKUP(B7,S!A:G,5,FALSE)</f>
        <v>0.24</v>
      </c>
      <c r="L7" s="15" t="str">
        <f>IF(K7=G7,"OK, CONFORME TABELA",IF(G7&gt;K7,"ACIMA DA TABELA: ","ABAIXO DA TABELA: ")&amp;TRUNC((G7*100)/K7,2)&amp;" %")</f>
        <v>OK, CONFORME TABELA</v>
      </c>
    </row>
    <row r="8" spans="1:19" ht="30" customHeight="1" x14ac:dyDescent="0.3">
      <c r="A8" s="23" t="s">
        <v>1005</v>
      </c>
      <c r="B8" s="23">
        <v>4230</v>
      </c>
      <c r="C8" s="23" t="str">
        <f>VLOOKUP(B8,IF(A8="COMPOSICAO",S!$A:$E,I!$A:$E),2,FALSE)</f>
        <v>SINAPI</v>
      </c>
      <c r="D8" s="24" t="str">
        <f>VLOOKUP(B8,IF(A8="COMPOSICAO",S!$A:$E,I!$A:$E),3,FALSE)</f>
        <v>OPERADOR DE MAQUINAS E TRATORES DIVERSOS - TERRAPLANAGEM (HORISTA)</v>
      </c>
      <c r="E8" s="23" t="str">
        <f>VLOOKUP(B8,IF(A8="COMPOSICAO",S!$A:$E,I!$A:$E),4,FALSE)</f>
        <v>H</v>
      </c>
      <c r="F8" s="23">
        <v>1.154E-2</v>
      </c>
      <c r="G8" s="76">
        <f>IF(A8="COMPOSICAO",VLOOKUP("TOTAL SEM BDI - "&amp;B8,CPUAUX5!$A:$J,9,FALSE),VLOOKUP(B8,I!$A:$E,5,FALSE))</f>
        <v>21.48</v>
      </c>
      <c r="H8" s="77"/>
      <c r="I8" s="76">
        <f>TRUNC(F8*G8,2)</f>
        <v>0.24</v>
      </c>
      <c r="J8" s="77"/>
      <c r="M8" s="23">
        <f>B8</f>
        <v>4230</v>
      </c>
      <c r="N8" s="23">
        <f>SUMIF(CPUAUX3!M:M,B7,CPUAUX3!O:O)</f>
        <v>5.2012800000000006</v>
      </c>
      <c r="O8" s="23">
        <f>F8*N8</f>
        <v>6.0022771200000005E-2</v>
      </c>
      <c r="Q8" s="23">
        <f ca="1">SUMIF(CPUAUX3!M:M,B7,CPUAUX3!R:R)</f>
        <v>1.7337599999999997</v>
      </c>
      <c r="R8" s="23">
        <f ca="1">F8*Q8</f>
        <v>2.0007590399999997E-2</v>
      </c>
    </row>
    <row r="9" spans="1:19" x14ac:dyDescent="0.3">
      <c r="A9" s="73" t="str">
        <f>"TOTAL SEM BDI - "&amp;B7</f>
        <v>TOTAL SEM BDI - 95360</v>
      </c>
      <c r="B9" s="74"/>
      <c r="C9" s="74"/>
      <c r="D9" s="74"/>
      <c r="E9" s="74"/>
      <c r="F9" s="74"/>
      <c r="G9" s="74"/>
      <c r="H9" s="75"/>
      <c r="I9" s="76">
        <f>SUM(I7:I8)</f>
        <v>0.24</v>
      </c>
      <c r="J9" s="77"/>
    </row>
    <row r="11" spans="1:19" x14ac:dyDescent="0.3">
      <c r="A11" s="4" t="s">
        <v>1000</v>
      </c>
      <c r="B11" s="4" t="s">
        <v>170</v>
      </c>
      <c r="C11" s="4" t="s">
        <v>171</v>
      </c>
      <c r="D11" s="4" t="s">
        <v>18</v>
      </c>
      <c r="E11" s="4" t="s">
        <v>172</v>
      </c>
      <c r="F11" s="4" t="s">
        <v>507</v>
      </c>
      <c r="G11" s="45" t="s">
        <v>1001</v>
      </c>
      <c r="H11" s="46"/>
      <c r="I11" s="45" t="s">
        <v>12</v>
      </c>
      <c r="J11" s="46"/>
    </row>
    <row r="12" spans="1:19" ht="45" customHeight="1" x14ac:dyDescent="0.3">
      <c r="A12" s="15" t="s">
        <v>1096</v>
      </c>
      <c r="B12" s="15">
        <v>91689</v>
      </c>
      <c r="C12" s="15" t="str">
        <f>VLOOKUP(B12,S!$A:$G,2,FALSE)</f>
        <v>SINAPI</v>
      </c>
      <c r="D12" s="22" t="str">
        <f>VLOOKUP(B12,S!$A:$G,3,FALSE)</f>
        <v>SERRA CIRCULAR DE BANCADA COM MOTOR ELÉTRICO POTÊNCIA DE 5HP, COM COIFA PARA DISCO 10" - JUROS. AF_08/2015</v>
      </c>
      <c r="E12" s="15" t="str">
        <f>VLOOKUP(B12,S!$A:$G,4,FALSE)</f>
        <v>H</v>
      </c>
      <c r="F12" s="15"/>
      <c r="G12" s="78">
        <f>I14</f>
        <v>0.02</v>
      </c>
      <c r="H12" s="79"/>
      <c r="I12" s="78"/>
      <c r="J12" s="79"/>
      <c r="K12" s="16">
        <f>VLOOKUP(B12,S!A:G,5,FALSE)</f>
        <v>0.02</v>
      </c>
      <c r="L12" s="15" t="str">
        <f>IF(K12=G12,"OK, CONFORME TABELA",IF(G12&gt;K12,"ACIMA DA TABELA: ","ABAIXO DA TABELA: ")&amp;TRUNC((G12*100)/K12,2)&amp;" %")</f>
        <v>OK, CONFORME TABELA</v>
      </c>
    </row>
    <row r="13" spans="1:19" ht="45" customHeight="1" x14ac:dyDescent="0.3">
      <c r="A13" s="23" t="s">
        <v>1005</v>
      </c>
      <c r="B13" s="23">
        <v>14618</v>
      </c>
      <c r="C13" s="23" t="str">
        <f>VLOOKUP(B13,IF(A13="COMPOSICAO",S!$A:$E,I!$A:$E),2,FALSE)</f>
        <v>SINAPI</v>
      </c>
      <c r="D13" s="24" t="str">
        <f>VLOOKUP(B13,IF(A13="COMPOSICAO",S!$A:$E,I!$A:$E),3,FALSE)</f>
        <v>SERRA CIRCULAR DE BANCADA COM MOTOR ELETRICO, POTENCIA DE *1600* W, PARA DISCO DE DIAMETRO DE 10" (250 MM)</v>
      </c>
      <c r="E13" s="23" t="str">
        <f>VLOOKUP(B13,IF(A13="COMPOSICAO",S!$A:$E,I!$A:$E),4,FALSE)</f>
        <v>UN</v>
      </c>
      <c r="F13" s="23">
        <v>1.4800000000000001E-5</v>
      </c>
      <c r="G13" s="76">
        <f>IF(A13="COMPOSICAO",VLOOKUP("TOTAL SEM BDI - "&amp;B13,CPUAUX5!$A:$J,9,FALSE),VLOOKUP(B13,I!$A:$E,5,FALSE))</f>
        <v>1759.02</v>
      </c>
      <c r="H13" s="77"/>
      <c r="I13" s="76">
        <f>TRUNC(F13*G13,2)</f>
        <v>0.02</v>
      </c>
      <c r="J13" s="77"/>
      <c r="M13" s="23">
        <f>B13</f>
        <v>14618</v>
      </c>
      <c r="N13" s="23">
        <f>SUMIF(CPUAUX3!M:M,B12,CPUAUX3!O:O)</f>
        <v>1.99594998828</v>
      </c>
      <c r="O13" s="23">
        <f>F13*N13</f>
        <v>2.9540059826544003E-5</v>
      </c>
      <c r="Q13" s="23">
        <f ca="1">SUMIF(CPUAUX3!M:M,B12,CPUAUX3!R:R)</f>
        <v>0.66531666276000001</v>
      </c>
      <c r="R13" s="23">
        <f ca="1">F13*Q13</f>
        <v>9.8466866088480009E-6</v>
      </c>
    </row>
    <row r="14" spans="1:19" x14ac:dyDescent="0.3">
      <c r="A14" s="73" t="str">
        <f>"TOTAL SEM BDI - "&amp;B12</f>
        <v>TOTAL SEM BDI - 91689</v>
      </c>
      <c r="B14" s="74"/>
      <c r="C14" s="74"/>
      <c r="D14" s="74"/>
      <c r="E14" s="74"/>
      <c r="F14" s="74"/>
      <c r="G14" s="74"/>
      <c r="H14" s="75"/>
      <c r="I14" s="76">
        <f>SUM(I12:I13)</f>
        <v>0.02</v>
      </c>
      <c r="J14" s="77"/>
    </row>
    <row r="16" spans="1:19" x14ac:dyDescent="0.3">
      <c r="A16" s="4" t="s">
        <v>1000</v>
      </c>
      <c r="B16" s="4" t="s">
        <v>170</v>
      </c>
      <c r="C16" s="4" t="s">
        <v>171</v>
      </c>
      <c r="D16" s="4" t="s">
        <v>18</v>
      </c>
      <c r="E16" s="4" t="s">
        <v>172</v>
      </c>
      <c r="F16" s="4" t="s">
        <v>507</v>
      </c>
      <c r="G16" s="45" t="s">
        <v>1001</v>
      </c>
      <c r="H16" s="46"/>
      <c r="I16" s="45" t="s">
        <v>12</v>
      </c>
      <c r="J16" s="46"/>
    </row>
    <row r="17" spans="1:18" ht="45" customHeight="1" x14ac:dyDescent="0.3">
      <c r="A17" s="15" t="s">
        <v>1096</v>
      </c>
      <c r="B17" s="15">
        <v>91688</v>
      </c>
      <c r="C17" s="15" t="str">
        <f>VLOOKUP(B17,S!$A:$G,2,FALSE)</f>
        <v>SINAPI</v>
      </c>
      <c r="D17" s="22" t="str">
        <f>VLOOKUP(B17,S!$A:$G,3,FALSE)</f>
        <v>SERRA CIRCULAR DE BANCADA COM MOTOR ELÉTRICO POTÊNCIA DE 5HP, COM COIFA PARA DISCO 10" - DEPRECIAÇÃO. AF_08/2015</v>
      </c>
      <c r="E17" s="15" t="str">
        <f>VLOOKUP(B17,S!$A:$G,4,FALSE)</f>
        <v>H</v>
      </c>
      <c r="F17" s="15"/>
      <c r="G17" s="78">
        <f>I19</f>
        <v>0.12</v>
      </c>
      <c r="H17" s="79"/>
      <c r="I17" s="78"/>
      <c r="J17" s="79"/>
      <c r="K17" s="16">
        <f>VLOOKUP(B17,S!A:G,5,FALSE)</f>
        <v>0.12</v>
      </c>
      <c r="L17" s="15" t="str">
        <f>IF(K17=G17,"OK, CONFORME TABELA",IF(G17&gt;K17,"ACIMA DA TABELA: ","ABAIXO DA TABELA: ")&amp;TRUNC((G17*100)/K17,2)&amp;" %")</f>
        <v>OK, CONFORME TABELA</v>
      </c>
    </row>
    <row r="18" spans="1:18" ht="45" customHeight="1" x14ac:dyDescent="0.3">
      <c r="A18" s="23" t="s">
        <v>1005</v>
      </c>
      <c r="B18" s="23">
        <v>14618</v>
      </c>
      <c r="C18" s="23" t="str">
        <f>VLOOKUP(B18,IF(A18="COMPOSICAO",S!$A:$E,I!$A:$E),2,FALSE)</f>
        <v>SINAPI</v>
      </c>
      <c r="D18" s="24" t="str">
        <f>VLOOKUP(B18,IF(A18="COMPOSICAO",S!$A:$E,I!$A:$E),3,FALSE)</f>
        <v>SERRA CIRCULAR DE BANCADA COM MOTOR ELETRICO, POTENCIA DE *1600* W, PARA DISCO DE DIAMETRO DE 10" (250 MM)</v>
      </c>
      <c r="E18" s="23" t="str">
        <f>VLOOKUP(B18,IF(A18="COMPOSICAO",S!$A:$E,I!$A:$E),4,FALSE)</f>
        <v>UN</v>
      </c>
      <c r="F18" s="23">
        <v>7.2000000000000002E-5</v>
      </c>
      <c r="G18" s="76">
        <f>IF(A18="COMPOSICAO",VLOOKUP("TOTAL SEM BDI - "&amp;B18,CPUAUX5!$A:$J,9,FALSE),VLOOKUP(B18,I!$A:$E,5,FALSE))</f>
        <v>1759.02</v>
      </c>
      <c r="H18" s="77"/>
      <c r="I18" s="76">
        <f>TRUNC(F18*G18,2)</f>
        <v>0.12</v>
      </c>
      <c r="J18" s="77"/>
      <c r="M18" s="23">
        <f>B18</f>
        <v>14618</v>
      </c>
      <c r="N18" s="23">
        <f>SUMIF(CPUAUX3!M:M,B17,CPUAUX3!O:O)</f>
        <v>1.99594998828</v>
      </c>
      <c r="O18" s="23">
        <f>F18*N18</f>
        <v>1.4370839915616002E-4</v>
      </c>
      <c r="Q18" s="23">
        <f ca="1">SUMIF(CPUAUX3!M:M,B17,CPUAUX3!R:R)</f>
        <v>0.66531666276000001</v>
      </c>
      <c r="R18" s="23">
        <f ca="1">F18*Q18</f>
        <v>4.7902799718720001E-5</v>
      </c>
    </row>
    <row r="19" spans="1:18" x14ac:dyDescent="0.3">
      <c r="A19" s="73" t="str">
        <f>"TOTAL SEM BDI - "&amp;B17</f>
        <v>TOTAL SEM BDI - 91688</v>
      </c>
      <c r="B19" s="74"/>
      <c r="C19" s="74"/>
      <c r="D19" s="74"/>
      <c r="E19" s="74"/>
      <c r="F19" s="74"/>
      <c r="G19" s="74"/>
      <c r="H19" s="75"/>
      <c r="I19" s="76">
        <f>SUM(I17:I18)</f>
        <v>0.12</v>
      </c>
      <c r="J19" s="77"/>
    </row>
    <row r="21" spans="1:18" x14ac:dyDescent="0.3">
      <c r="A21" s="4" t="s">
        <v>1000</v>
      </c>
      <c r="B21" s="4" t="s">
        <v>170</v>
      </c>
      <c r="C21" s="4" t="s">
        <v>171</v>
      </c>
      <c r="D21" s="4" t="s">
        <v>18</v>
      </c>
      <c r="E21" s="4" t="s">
        <v>172</v>
      </c>
      <c r="F21" s="4" t="s">
        <v>507</v>
      </c>
      <c r="G21" s="45" t="s">
        <v>1001</v>
      </c>
      <c r="H21" s="46"/>
      <c r="I21" s="45" t="s">
        <v>12</v>
      </c>
      <c r="J21" s="46"/>
    </row>
    <row r="22" spans="1:18" ht="30" customHeight="1" x14ac:dyDescent="0.3">
      <c r="A22" s="15" t="s">
        <v>1071</v>
      </c>
      <c r="B22" s="15">
        <v>88297</v>
      </c>
      <c r="C22" s="15" t="str">
        <f>VLOOKUP(B22,S!$A:$G,2,FALSE)</f>
        <v>SINAPI</v>
      </c>
      <c r="D22" s="22" t="str">
        <f>VLOOKUP(B22,S!$A:$G,3,FALSE)</f>
        <v>OPERADOR DE MÁQUINAS E EQUIPAMENTOS COM ENCARGOS COMPLEMENTARES</v>
      </c>
      <c r="E22" s="15" t="str">
        <f>VLOOKUP(B22,S!$A:$G,4,FALSE)</f>
        <v>H</v>
      </c>
      <c r="F22" s="15"/>
      <c r="G22" s="78">
        <f>I31</f>
        <v>27.16</v>
      </c>
      <c r="H22" s="79"/>
      <c r="I22" s="78"/>
      <c r="J22" s="79"/>
      <c r="K22" s="16">
        <f>VLOOKUP(B22,S!A:G,5,FALSE)</f>
        <v>27.16</v>
      </c>
      <c r="L22" s="15" t="str">
        <f>IF(K22=G22,"OK, CONFORME TABELA",IF(G22&gt;K22,"ACIMA DA TABELA: ","ABAIXO DA TABELA: ")&amp;TRUNC((G22*100)/K22,2)&amp;" %")</f>
        <v>OK, CONFORME TABELA</v>
      </c>
    </row>
    <row r="23" spans="1:18" ht="30" customHeight="1" x14ac:dyDescent="0.3">
      <c r="A23" s="23" t="s">
        <v>1005</v>
      </c>
      <c r="B23" s="23">
        <v>43488</v>
      </c>
      <c r="C23" s="23" t="str">
        <f>VLOOKUP(B23,IF(A23="COMPOSICAO",S!$A:$E,I!$A:$E),2,FALSE)</f>
        <v>SINAPI</v>
      </c>
      <c r="D23" s="24" t="str">
        <f>VLOOKUP(B23,IF(A23="COMPOSICAO",S!$A:$E,I!$A:$E),3,FALSE)</f>
        <v>EPI - FAMILIA OPERADOR ESCAVADEIRA - HORISTA (ENCARGOS COMPLEMENTARES - COLETADO CAIXA)</v>
      </c>
      <c r="E23" s="23" t="str">
        <f>VLOOKUP(B23,IF(A23="COMPOSICAO",S!$A:$E,I!$A:$E),4,FALSE)</f>
        <v>H</v>
      </c>
      <c r="F23" s="23">
        <v>1</v>
      </c>
      <c r="G23" s="76">
        <f>IF(A23="COMPOSICAO",VLOOKUP("TOTAL SEM BDI - "&amp;B23,CPUAUX5!$A:$J,9,FALSE),VLOOKUP(B23,I!$A:$E,5,FALSE))</f>
        <v>0.89</v>
      </c>
      <c r="H23" s="77"/>
      <c r="I23" s="76">
        <f t="shared" ref="I23:I30" si="0">TRUNC(F23*G23,2)</f>
        <v>0.89</v>
      </c>
      <c r="J23" s="77"/>
      <c r="M23" s="23">
        <f t="shared" ref="M23:M30" si="1">B23</f>
        <v>43488</v>
      </c>
      <c r="N23" s="23">
        <f>SUMIF(CPUAUX3!M:M,B22,CPUAUX3!O:O)</f>
        <v>1.99594998828</v>
      </c>
      <c r="O23" s="23">
        <f t="shared" ref="O23:O30" si="2">F23*N23</f>
        <v>1.99594998828</v>
      </c>
      <c r="Q23" s="23">
        <f ca="1">SUMIF(CPUAUX3!M:M,B22,CPUAUX3!R:R)</f>
        <v>0.66531666276000001</v>
      </c>
      <c r="R23" s="23">
        <f t="shared" ref="R23:R30" ca="1" si="3">F23*Q23</f>
        <v>0.66531666276000001</v>
      </c>
    </row>
    <row r="24" spans="1:18" ht="45" customHeight="1" x14ac:dyDescent="0.3">
      <c r="A24" s="23" t="s">
        <v>1005</v>
      </c>
      <c r="B24" s="23">
        <v>43464</v>
      </c>
      <c r="C24" s="23" t="str">
        <f>VLOOKUP(B24,IF(A24="COMPOSICAO",S!$A:$E,I!$A:$E),2,FALSE)</f>
        <v>SINAPI</v>
      </c>
      <c r="D24" s="24" t="str">
        <f>VLOOKUP(B24,IF(A24="COMPOSICAO",S!$A:$E,I!$A:$E),3,FALSE)</f>
        <v>FERRAMENTAS - FAMILIA OPERADOR ESCAVADEIRA - HORISTA (ENCARGOS COMPLEMENTARES - COLETADO CAIXA)</v>
      </c>
      <c r="E24" s="23" t="str">
        <f>VLOOKUP(B24,IF(A24="COMPOSICAO",S!$A:$E,I!$A:$E),4,FALSE)</f>
        <v>H</v>
      </c>
      <c r="F24" s="23">
        <v>1</v>
      </c>
      <c r="G24" s="76">
        <f>IF(A24="COMPOSICAO",VLOOKUP("TOTAL SEM BDI - "&amp;B24,CPUAUX5!$A:$J,9,FALSE),VLOOKUP(B24,I!$A:$E,5,FALSE))</f>
        <v>0.01</v>
      </c>
      <c r="H24" s="77"/>
      <c r="I24" s="76">
        <f t="shared" si="0"/>
        <v>0.01</v>
      </c>
      <c r="J24" s="77"/>
      <c r="M24" s="23">
        <f t="shared" si="1"/>
        <v>43464</v>
      </c>
      <c r="N24" s="23">
        <f>SUMIF(CPUAUX3!M:M,B22,CPUAUX3!O:O)</f>
        <v>1.99594998828</v>
      </c>
      <c r="O24" s="23">
        <f t="shared" si="2"/>
        <v>1.99594998828</v>
      </c>
      <c r="Q24" s="23">
        <f ca="1">SUMIF(CPUAUX3!M:M,B22,CPUAUX3!R:R)</f>
        <v>0.66531666276000001</v>
      </c>
      <c r="R24" s="23">
        <f t="shared" ca="1" si="3"/>
        <v>0.66531666276000001</v>
      </c>
    </row>
    <row r="25" spans="1:18" ht="30" customHeight="1" x14ac:dyDescent="0.3">
      <c r="A25" s="23" t="s">
        <v>1005</v>
      </c>
      <c r="B25" s="23">
        <v>37373</v>
      </c>
      <c r="C25" s="23" t="str">
        <f>VLOOKUP(B25,IF(A25="COMPOSICAO",S!$A:$E,I!$A:$E),2,FALSE)</f>
        <v>SINAPI</v>
      </c>
      <c r="D25" s="24" t="str">
        <f>VLOOKUP(B25,IF(A25="COMPOSICAO",S!$A:$E,I!$A:$E),3,FALSE)</f>
        <v>SEGURO - HORISTA (COLETADO CAIXA - ENCARGOS COMPLEMENTARES)</v>
      </c>
      <c r="E25" s="23" t="str">
        <f>VLOOKUP(B25,IF(A25="COMPOSICAO",S!$A:$E,I!$A:$E),4,FALSE)</f>
        <v>H</v>
      </c>
      <c r="F25" s="23">
        <v>1</v>
      </c>
      <c r="G25" s="76">
        <f>IF(A25="COMPOSICAO",VLOOKUP("TOTAL SEM BDI - "&amp;B25,CPUAUX5!$A:$J,9,FALSE),VLOOKUP(B25,I!$A:$E,5,FALSE))</f>
        <v>0.08</v>
      </c>
      <c r="H25" s="77"/>
      <c r="I25" s="76">
        <f t="shared" si="0"/>
        <v>0.08</v>
      </c>
      <c r="J25" s="77"/>
      <c r="M25" s="23">
        <f t="shared" si="1"/>
        <v>37373</v>
      </c>
      <c r="N25" s="23">
        <f>SUMIF(CPUAUX3!M:M,B22,CPUAUX3!O:O)</f>
        <v>1.99594998828</v>
      </c>
      <c r="O25" s="23">
        <f t="shared" si="2"/>
        <v>1.99594998828</v>
      </c>
      <c r="Q25" s="23">
        <f ca="1">SUMIF(CPUAUX3!M:M,B22,CPUAUX3!R:R)</f>
        <v>0.66531666276000001</v>
      </c>
      <c r="R25" s="23">
        <f t="shared" ca="1" si="3"/>
        <v>0.66531666276000001</v>
      </c>
    </row>
    <row r="26" spans="1:18" ht="30" customHeight="1" x14ac:dyDescent="0.3">
      <c r="A26" s="23" t="s">
        <v>1005</v>
      </c>
      <c r="B26" s="23">
        <v>37372</v>
      </c>
      <c r="C26" s="23" t="str">
        <f>VLOOKUP(B26,IF(A26="COMPOSICAO",S!$A:$E,I!$A:$E),2,FALSE)</f>
        <v>SINAPI</v>
      </c>
      <c r="D26" s="24" t="str">
        <f>VLOOKUP(B26,IF(A26="COMPOSICAO",S!$A:$E,I!$A:$E),3,FALSE)</f>
        <v>EXAMES - HORISTA (COLETADO CAIXA - ENCARGOS COMPLEMENTARES)</v>
      </c>
      <c r="E26" s="23" t="str">
        <f>VLOOKUP(B26,IF(A26="COMPOSICAO",S!$A:$E,I!$A:$E),4,FALSE)</f>
        <v>H</v>
      </c>
      <c r="F26" s="23">
        <v>1</v>
      </c>
      <c r="G26" s="76">
        <f>IF(A26="COMPOSICAO",VLOOKUP("TOTAL SEM BDI - "&amp;B26,CPUAUX5!$A:$J,9,FALSE),VLOOKUP(B26,I!$A:$E,5,FALSE))</f>
        <v>1.43</v>
      </c>
      <c r="H26" s="77"/>
      <c r="I26" s="76">
        <f t="shared" si="0"/>
        <v>1.43</v>
      </c>
      <c r="J26" s="77"/>
      <c r="M26" s="23">
        <f t="shared" si="1"/>
        <v>37372</v>
      </c>
      <c r="N26" s="23">
        <f>SUMIF(CPUAUX3!M:M,B22,CPUAUX3!O:O)</f>
        <v>1.99594998828</v>
      </c>
      <c r="O26" s="23">
        <f t="shared" si="2"/>
        <v>1.99594998828</v>
      </c>
      <c r="Q26" s="23">
        <f ca="1">SUMIF(CPUAUX3!M:M,B22,CPUAUX3!R:R)</f>
        <v>0.66531666276000001</v>
      </c>
      <c r="R26" s="23">
        <f t="shared" ca="1" si="3"/>
        <v>0.66531666276000001</v>
      </c>
    </row>
    <row r="27" spans="1:18" ht="30" customHeight="1" x14ac:dyDescent="0.3">
      <c r="A27" s="23" t="s">
        <v>1005</v>
      </c>
      <c r="B27" s="23">
        <v>37371</v>
      </c>
      <c r="C27" s="23" t="str">
        <f>VLOOKUP(B27,IF(A27="COMPOSICAO",S!$A:$E,I!$A:$E),2,FALSE)</f>
        <v>SINAPI</v>
      </c>
      <c r="D27" s="24" t="str">
        <f>VLOOKUP(B27,IF(A27="COMPOSICAO",S!$A:$E,I!$A:$E),3,FALSE)</f>
        <v>TRANSPORTE - HORISTA (COLETADO CAIXA - ENCARGOS COMPLEMENTARES)</v>
      </c>
      <c r="E27" s="23" t="str">
        <f>VLOOKUP(B27,IF(A27="COMPOSICAO",S!$A:$E,I!$A:$E),4,FALSE)</f>
        <v>H</v>
      </c>
      <c r="F27" s="23">
        <v>1</v>
      </c>
      <c r="G27" s="76">
        <f>IF(A27="COMPOSICAO",VLOOKUP("TOTAL SEM BDI - "&amp;B27,CPUAUX5!$A:$J,9,FALSE),VLOOKUP(B27,I!$A:$E,5,FALSE))</f>
        <v>0.56999999999999995</v>
      </c>
      <c r="H27" s="77"/>
      <c r="I27" s="76">
        <f t="shared" si="0"/>
        <v>0.56999999999999995</v>
      </c>
      <c r="J27" s="77"/>
      <c r="M27" s="23">
        <f t="shared" si="1"/>
        <v>37371</v>
      </c>
      <c r="N27" s="23">
        <f>SUMIF(CPUAUX3!M:M,B22,CPUAUX3!O:O)</f>
        <v>1.99594998828</v>
      </c>
      <c r="O27" s="23">
        <f t="shared" si="2"/>
        <v>1.99594998828</v>
      </c>
      <c r="Q27" s="23">
        <f ca="1">SUMIF(CPUAUX3!M:M,B22,CPUAUX3!R:R)</f>
        <v>0.66531666276000001</v>
      </c>
      <c r="R27" s="23">
        <f t="shared" ca="1" si="3"/>
        <v>0.66531666276000001</v>
      </c>
    </row>
    <row r="28" spans="1:18" ht="30" customHeight="1" x14ac:dyDescent="0.3">
      <c r="A28" s="23" t="s">
        <v>1005</v>
      </c>
      <c r="B28" s="23">
        <v>37370</v>
      </c>
      <c r="C28" s="23" t="str">
        <f>VLOOKUP(B28,IF(A28="COMPOSICAO",S!$A:$E,I!$A:$E),2,FALSE)</f>
        <v>SINAPI</v>
      </c>
      <c r="D28" s="24" t="str">
        <f>VLOOKUP(B28,IF(A28="COMPOSICAO",S!$A:$E,I!$A:$E),3,FALSE)</f>
        <v>ALIMENTACAO - HORISTA (COLETADO CAIXA - ENCARGOS COMPLEMENTARES)</v>
      </c>
      <c r="E28" s="23" t="str">
        <f>VLOOKUP(B28,IF(A28="COMPOSICAO",S!$A:$E,I!$A:$E),4,FALSE)</f>
        <v>H</v>
      </c>
      <c r="F28" s="23">
        <v>1</v>
      </c>
      <c r="G28" s="76">
        <f>IF(A28="COMPOSICAO",VLOOKUP("TOTAL SEM BDI - "&amp;B28,CPUAUX5!$A:$J,9,FALSE),VLOOKUP(B28,I!$A:$E,5,FALSE))</f>
        <v>2.46</v>
      </c>
      <c r="H28" s="77"/>
      <c r="I28" s="76">
        <f t="shared" si="0"/>
        <v>2.46</v>
      </c>
      <c r="J28" s="77"/>
      <c r="M28" s="23">
        <f t="shared" si="1"/>
        <v>37370</v>
      </c>
      <c r="N28" s="23">
        <f>SUMIF(CPUAUX3!M:M,B22,CPUAUX3!O:O)</f>
        <v>1.99594998828</v>
      </c>
      <c r="O28" s="23">
        <f t="shared" si="2"/>
        <v>1.99594998828</v>
      </c>
      <c r="Q28" s="23">
        <f ca="1">SUMIF(CPUAUX3!M:M,B22,CPUAUX3!R:R)</f>
        <v>0.66531666276000001</v>
      </c>
      <c r="R28" s="23">
        <f t="shared" ca="1" si="3"/>
        <v>0.66531666276000001</v>
      </c>
    </row>
    <row r="29" spans="1:18" ht="30" customHeight="1" x14ac:dyDescent="0.3">
      <c r="A29" s="23" t="s">
        <v>1005</v>
      </c>
      <c r="B29" s="23">
        <v>4230</v>
      </c>
      <c r="C29" s="23" t="str">
        <f>VLOOKUP(B29,IF(A29="COMPOSICAO",S!$A:$E,I!$A:$E),2,FALSE)</f>
        <v>SINAPI</v>
      </c>
      <c r="D29" s="24" t="str">
        <f>VLOOKUP(B29,IF(A29="COMPOSICAO",S!$A:$E,I!$A:$E),3,FALSE)</f>
        <v>OPERADOR DE MAQUINAS E TRATORES DIVERSOS - TERRAPLANAGEM (HORISTA)</v>
      </c>
      <c r="E29" s="23" t="str">
        <f>VLOOKUP(B29,IF(A29="COMPOSICAO",S!$A:$E,I!$A:$E),4,FALSE)</f>
        <v>H</v>
      </c>
      <c r="F29" s="23">
        <v>1</v>
      </c>
      <c r="G29" s="76">
        <f>IF(A29="COMPOSICAO",VLOOKUP("TOTAL SEM BDI - "&amp;B29,CPUAUX5!$A:$J,9,FALSE),VLOOKUP(B29,I!$A:$E,5,FALSE))</f>
        <v>21.48</v>
      </c>
      <c r="H29" s="77"/>
      <c r="I29" s="76">
        <f t="shared" si="0"/>
        <v>21.48</v>
      </c>
      <c r="J29" s="77"/>
      <c r="M29" s="23">
        <f t="shared" si="1"/>
        <v>4230</v>
      </c>
      <c r="N29" s="23">
        <f>SUMIF(CPUAUX3!M:M,B22,CPUAUX3!O:O)</f>
        <v>1.99594998828</v>
      </c>
      <c r="O29" s="23">
        <f t="shared" si="2"/>
        <v>1.99594998828</v>
      </c>
      <c r="Q29" s="23">
        <f ca="1">SUMIF(CPUAUX3!M:M,B22,CPUAUX3!R:R)</f>
        <v>0.66531666276000001</v>
      </c>
      <c r="R29" s="23">
        <f t="shared" ca="1" si="3"/>
        <v>0.66531666276000001</v>
      </c>
    </row>
    <row r="30" spans="1:18" ht="45" customHeight="1" x14ac:dyDescent="0.3">
      <c r="A30" s="23" t="s">
        <v>1004</v>
      </c>
      <c r="B30" s="23">
        <v>95360</v>
      </c>
      <c r="C30" s="23" t="str">
        <f>VLOOKUP(B30,IF(A30="COMPOSICAO",S!$A:$E,I!$A:$E),2,FALSE)</f>
        <v>SINAPI</v>
      </c>
      <c r="D30" s="24" t="str">
        <f>VLOOKUP(B30,IF(A30="COMPOSICAO",S!$A:$E,I!$A:$E),3,FALSE)</f>
        <v>CURSO DE CAPACITAÇÃO PARA OPERADOR DE MÁQUINAS E EQUIPAMENTOS (ENCARGOS COMPLEMENTARES) - HORISTA</v>
      </c>
      <c r="E30" s="23" t="str">
        <f>VLOOKUP(B30,IF(A30="COMPOSICAO",S!$A:$E,I!$A:$E),4,FALSE)</f>
        <v>H</v>
      </c>
      <c r="F30" s="23">
        <v>1</v>
      </c>
      <c r="G30" s="76">
        <f>IF(A30="COMPOSICAO",VLOOKUP("TOTAL SEM BDI - "&amp;B30,CPUAUX5!$A:$J,9,FALSE),VLOOKUP(B30,I!$A:$E,5,FALSE))</f>
        <v>0.24</v>
      </c>
      <c r="H30" s="77"/>
      <c r="I30" s="76">
        <f t="shared" si="0"/>
        <v>0.24</v>
      </c>
      <c r="J30" s="77"/>
      <c r="M30" s="23">
        <f t="shared" si="1"/>
        <v>95360</v>
      </c>
      <c r="N30" s="23">
        <f>SUMIF(CPUAUX3!M:M,B22,CPUAUX3!O:O)</f>
        <v>1.99594998828</v>
      </c>
      <c r="O30" s="23">
        <f t="shared" si="2"/>
        <v>1.99594998828</v>
      </c>
      <c r="Q30" s="23">
        <f ca="1">SUMIF(CPUAUX3!M:M,B22,CPUAUX3!R:R)</f>
        <v>0.66531666276000001</v>
      </c>
      <c r="R30" s="23">
        <f t="shared" ca="1" si="3"/>
        <v>0.66531666276000001</v>
      </c>
    </row>
    <row r="31" spans="1:18" x14ac:dyDescent="0.3">
      <c r="A31" s="73" t="str">
        <f>"TOTAL SEM BDI - "&amp;B22</f>
        <v>TOTAL SEM BDI - 88297</v>
      </c>
      <c r="B31" s="74"/>
      <c r="C31" s="74"/>
      <c r="D31" s="74"/>
      <c r="E31" s="74"/>
      <c r="F31" s="74"/>
      <c r="G31" s="74"/>
      <c r="H31" s="75"/>
      <c r="I31" s="76">
        <f>SUM(I22:I30)</f>
        <v>27.16</v>
      </c>
      <c r="J31" s="77"/>
    </row>
    <row r="33" spans="1:18" x14ac:dyDescent="0.3">
      <c r="A33" s="4" t="s">
        <v>1000</v>
      </c>
      <c r="B33" s="4" t="s">
        <v>170</v>
      </c>
      <c r="C33" s="4" t="s">
        <v>171</v>
      </c>
      <c r="D33" s="4" t="s">
        <v>18</v>
      </c>
      <c r="E33" s="4" t="s">
        <v>172</v>
      </c>
      <c r="F33" s="4" t="s">
        <v>507</v>
      </c>
      <c r="G33" s="45" t="s">
        <v>1001</v>
      </c>
      <c r="H33" s="46"/>
      <c r="I33" s="45" t="s">
        <v>12</v>
      </c>
      <c r="J33" s="46"/>
    </row>
    <row r="34" spans="1:18" ht="45" customHeight="1" x14ac:dyDescent="0.3">
      <c r="A34" s="15" t="s">
        <v>1096</v>
      </c>
      <c r="B34" s="15">
        <v>91691</v>
      </c>
      <c r="C34" s="15" t="str">
        <f>VLOOKUP(B34,S!$A:$G,2,FALSE)</f>
        <v>SINAPI</v>
      </c>
      <c r="D34" s="22" t="str">
        <f>VLOOKUP(B34,S!$A:$G,3,FALSE)</f>
        <v>SERRA CIRCULAR DE BANCADA COM MOTOR ELÉTRICO POTÊNCIA DE 5HP, COM COIFA PARA DISCO 10" - MATERIAIS NA OPERAÇÃO. AF_08/2015</v>
      </c>
      <c r="E34" s="15" t="str">
        <f>VLOOKUP(B34,S!$A:$G,4,FALSE)</f>
        <v>H</v>
      </c>
      <c r="F34" s="15"/>
      <c r="G34" s="78">
        <f>I36</f>
        <v>1.49</v>
      </c>
      <c r="H34" s="79"/>
      <c r="I34" s="78"/>
      <c r="J34" s="79"/>
      <c r="K34" s="16">
        <f>VLOOKUP(B34,S!A:G,5,FALSE)</f>
        <v>1.49</v>
      </c>
      <c r="L34" s="15" t="str">
        <f>IF(K34=G34,"OK, CONFORME TABELA",IF(G34&gt;K34,"ACIMA DA TABELA: ","ABAIXO DA TABELA: ")&amp;TRUNC((G34*100)/K34,2)&amp;" %")</f>
        <v>OK, CONFORME TABELA</v>
      </c>
    </row>
    <row r="35" spans="1:18" ht="30" customHeight="1" x14ac:dyDescent="0.3">
      <c r="A35" s="23" t="s">
        <v>1005</v>
      </c>
      <c r="B35" s="23">
        <v>2705</v>
      </c>
      <c r="C35" s="23" t="str">
        <f>VLOOKUP(B35,IF(A35="COMPOSICAO",S!$A:$E,I!$A:$E),2,FALSE)</f>
        <v>SINAPI</v>
      </c>
      <c r="D35" s="24" t="str">
        <f>VLOOKUP(B35,IF(A35="COMPOSICAO",S!$A:$E,I!$A:$E),3,FALSE)</f>
        <v>ENERGIA ELETRICA ATE 2000 KWH INDUSTRIAL, SEM DEMANDA</v>
      </c>
      <c r="E35" s="23" t="str">
        <f>VLOOKUP(B35,IF(A35="COMPOSICAO",S!$A:$E,I!$A:$E),4,FALSE)</f>
        <v>KWH</v>
      </c>
      <c r="F35" s="23">
        <v>1.36</v>
      </c>
      <c r="G35" s="76">
        <f>IF(A35="COMPOSICAO",VLOOKUP("TOTAL SEM BDI - "&amp;B35,CPUAUX5!$A:$J,9,FALSE),VLOOKUP(B35,I!$A:$E,5,FALSE))</f>
        <v>1.1000000000000001</v>
      </c>
      <c r="H35" s="77"/>
      <c r="I35" s="76">
        <f>TRUNC(F35*G35,2)</f>
        <v>1.49</v>
      </c>
      <c r="J35" s="77"/>
      <c r="M35" s="23">
        <f>B35</f>
        <v>2705</v>
      </c>
      <c r="N35" s="23">
        <f>SUMIF(CPUAUX3!M:M,B34,CPUAUX3!O:O)</f>
        <v>0.37722309498000006</v>
      </c>
      <c r="O35" s="23">
        <f>F35*N35</f>
        <v>0.51302340917280009</v>
      </c>
      <c r="Q35" s="23">
        <f ca="1">SUMIF(CPUAUX3!M:M,B34,CPUAUX3!R:R)</f>
        <v>0.12574103166</v>
      </c>
      <c r="R35" s="23">
        <f ca="1">F35*Q35</f>
        <v>0.17100780305760002</v>
      </c>
    </row>
    <row r="36" spans="1:18" x14ac:dyDescent="0.3">
      <c r="A36" s="73" t="str">
        <f>"TOTAL SEM BDI - "&amp;B34</f>
        <v>TOTAL SEM BDI - 91691</v>
      </c>
      <c r="B36" s="74"/>
      <c r="C36" s="74"/>
      <c r="D36" s="74"/>
      <c r="E36" s="74"/>
      <c r="F36" s="74"/>
      <c r="G36" s="74"/>
      <c r="H36" s="75"/>
      <c r="I36" s="76">
        <f>SUM(I34:I35)</f>
        <v>1.49</v>
      </c>
      <c r="J36" s="77"/>
    </row>
    <row r="38" spans="1:18" x14ac:dyDescent="0.3">
      <c r="A38" s="4" t="s">
        <v>1000</v>
      </c>
      <c r="B38" s="4" t="s">
        <v>170</v>
      </c>
      <c r="C38" s="4" t="s">
        <v>171</v>
      </c>
      <c r="D38" s="4" t="s">
        <v>18</v>
      </c>
      <c r="E38" s="4" t="s">
        <v>172</v>
      </c>
      <c r="F38" s="4" t="s">
        <v>507</v>
      </c>
      <c r="G38" s="45" t="s">
        <v>1001</v>
      </c>
      <c r="H38" s="46"/>
      <c r="I38" s="45" t="s">
        <v>12</v>
      </c>
      <c r="J38" s="46"/>
    </row>
    <row r="39" spans="1:18" ht="45" customHeight="1" x14ac:dyDescent="0.3">
      <c r="A39" s="15" t="s">
        <v>1096</v>
      </c>
      <c r="B39" s="15">
        <v>91690</v>
      </c>
      <c r="C39" s="15" t="str">
        <f>VLOOKUP(B39,S!$A:$G,2,FALSE)</f>
        <v>SINAPI</v>
      </c>
      <c r="D39" s="22" t="str">
        <f>VLOOKUP(B39,S!$A:$G,3,FALSE)</f>
        <v>SERRA CIRCULAR DE BANCADA COM MOTOR ELÉTRICO POTÊNCIA DE 5HP, COM COIFA PARA DISCO 10" - MANUTENÇÃO. AF_08/2015</v>
      </c>
      <c r="E39" s="15" t="str">
        <f>VLOOKUP(B39,S!$A:$G,4,FALSE)</f>
        <v>H</v>
      </c>
      <c r="F39" s="15"/>
      <c r="G39" s="78">
        <f>I41</f>
        <v>0.08</v>
      </c>
      <c r="H39" s="79"/>
      <c r="I39" s="78"/>
      <c r="J39" s="79"/>
      <c r="K39" s="16">
        <f>VLOOKUP(B39,S!A:G,5,FALSE)</f>
        <v>0.08</v>
      </c>
      <c r="L39" s="15" t="str">
        <f>IF(K39=G39,"OK, CONFORME TABELA",IF(G39&gt;K39,"ACIMA DA TABELA: ","ABAIXO DA TABELA: ")&amp;TRUNC((G39*100)/K39,2)&amp;" %")</f>
        <v>OK, CONFORME TABELA</v>
      </c>
    </row>
    <row r="40" spans="1:18" ht="45" customHeight="1" x14ac:dyDescent="0.3">
      <c r="A40" s="23" t="s">
        <v>1005</v>
      </c>
      <c r="B40" s="23">
        <v>14618</v>
      </c>
      <c r="C40" s="23" t="str">
        <f>VLOOKUP(B40,IF(A40="COMPOSICAO",S!$A:$E,I!$A:$E),2,FALSE)</f>
        <v>SINAPI</v>
      </c>
      <c r="D40" s="24" t="str">
        <f>VLOOKUP(B40,IF(A40="COMPOSICAO",S!$A:$E,I!$A:$E),3,FALSE)</f>
        <v>SERRA CIRCULAR DE BANCADA COM MOTOR ELETRICO, POTENCIA DE *1600* W, PARA DISCO DE DIAMETRO DE 10" (250 MM)</v>
      </c>
      <c r="E40" s="23" t="str">
        <f>VLOOKUP(B40,IF(A40="COMPOSICAO",S!$A:$E,I!$A:$E),4,FALSE)</f>
        <v>UN</v>
      </c>
      <c r="F40" s="23">
        <v>5.0000000000000002E-5</v>
      </c>
      <c r="G40" s="76">
        <f>IF(A40="COMPOSICAO",VLOOKUP("TOTAL SEM BDI - "&amp;B40,CPUAUX5!$A:$J,9,FALSE),VLOOKUP(B40,I!$A:$E,5,FALSE))</f>
        <v>1759.02</v>
      </c>
      <c r="H40" s="77"/>
      <c r="I40" s="76">
        <f>TRUNC(F40*G40,2)</f>
        <v>0.08</v>
      </c>
      <c r="J40" s="77"/>
      <c r="M40" s="23">
        <f>B40</f>
        <v>14618</v>
      </c>
      <c r="N40" s="23">
        <f>SUMIF(CPUAUX3!M:M,B39,CPUAUX3!O:O)</f>
        <v>0.37722309498000006</v>
      </c>
      <c r="O40" s="23">
        <f>F40*N40</f>
        <v>1.8861154749000003E-5</v>
      </c>
      <c r="Q40" s="23">
        <f ca="1">SUMIF(CPUAUX3!M:M,B39,CPUAUX3!R:R)</f>
        <v>0.12574103166</v>
      </c>
      <c r="R40" s="23">
        <f ca="1">F40*Q40</f>
        <v>6.2870515830000006E-6</v>
      </c>
    </row>
    <row r="41" spans="1:18" x14ac:dyDescent="0.3">
      <c r="A41" s="73" t="str">
        <f>"TOTAL SEM BDI - "&amp;B39</f>
        <v>TOTAL SEM BDI - 91690</v>
      </c>
      <c r="B41" s="74"/>
      <c r="C41" s="74"/>
      <c r="D41" s="74"/>
      <c r="E41" s="74"/>
      <c r="F41" s="74"/>
      <c r="G41" s="74"/>
      <c r="H41" s="75"/>
      <c r="I41" s="76">
        <f>SUM(I39:I40)</f>
        <v>0.08</v>
      </c>
      <c r="J41" s="77"/>
    </row>
    <row r="43" spans="1:18" x14ac:dyDescent="0.3">
      <c r="A43" s="4" t="s">
        <v>1000</v>
      </c>
      <c r="B43" s="4" t="s">
        <v>170</v>
      </c>
      <c r="C43" s="4" t="s">
        <v>171</v>
      </c>
      <c r="D43" s="4" t="s">
        <v>18</v>
      </c>
      <c r="E43" s="4" t="s">
        <v>172</v>
      </c>
      <c r="F43" s="4" t="s">
        <v>507</v>
      </c>
      <c r="G43" s="45" t="s">
        <v>1001</v>
      </c>
      <c r="H43" s="46"/>
      <c r="I43" s="45" t="s">
        <v>12</v>
      </c>
      <c r="J43" s="46"/>
    </row>
    <row r="44" spans="1:18" ht="30" customHeight="1" x14ac:dyDescent="0.3">
      <c r="A44" s="15" t="s">
        <v>1071</v>
      </c>
      <c r="B44" s="15">
        <v>95330</v>
      </c>
      <c r="C44" s="15" t="str">
        <f>VLOOKUP(B44,S!$A:$G,2,FALSE)</f>
        <v>SINAPI</v>
      </c>
      <c r="D44" s="22" t="str">
        <f>VLOOKUP(B44,S!$A:$G,3,FALSE)</f>
        <v>CURSO DE CAPACITAÇÃO PARA CARPINTEIRO DE FÔRMAS (ENCARGOS COMPLEMENTARES) - HORISTA</v>
      </c>
      <c r="E44" s="15" t="str">
        <f>VLOOKUP(B44,S!$A:$G,4,FALSE)</f>
        <v>H</v>
      </c>
      <c r="F44" s="15"/>
      <c r="G44" s="78">
        <f>I46</f>
        <v>0.23</v>
      </c>
      <c r="H44" s="79"/>
      <c r="I44" s="78"/>
      <c r="J44" s="79"/>
      <c r="K44" s="16">
        <f>VLOOKUP(B44,S!A:G,5,FALSE)</f>
        <v>0.23</v>
      </c>
      <c r="L44" s="15" t="str">
        <f>IF(K44=G44,"OK, CONFORME TABELA",IF(G44&gt;K44,"ACIMA DA TABELA: ","ABAIXO DA TABELA: ")&amp;TRUNC((G44*100)/K44,2)&amp;" %")</f>
        <v>OK, CONFORME TABELA</v>
      </c>
    </row>
    <row r="45" spans="1:18" ht="15" customHeight="1" x14ac:dyDescent="0.3">
      <c r="A45" s="23" t="s">
        <v>1005</v>
      </c>
      <c r="B45" s="23">
        <v>1213</v>
      </c>
      <c r="C45" s="23" t="str">
        <f>VLOOKUP(B45,IF(A45="COMPOSICAO",S!$A:$E,I!$A:$E),2,FALSE)</f>
        <v>SINAPI</v>
      </c>
      <c r="D45" s="24" t="str">
        <f>VLOOKUP(B45,IF(A45="COMPOSICAO",S!$A:$E,I!$A:$E),3,FALSE)</f>
        <v>CARPINTEIRO DE FORMAS PARA CONCRETO (HORISTA)</v>
      </c>
      <c r="E45" s="23" t="str">
        <f>VLOOKUP(B45,IF(A45="COMPOSICAO",S!$A:$E,I!$A:$E),4,FALSE)</f>
        <v>H</v>
      </c>
      <c r="F45" s="23">
        <v>1.154E-2</v>
      </c>
      <c r="G45" s="76">
        <f>IF(A45="COMPOSICAO",VLOOKUP("TOTAL SEM BDI - "&amp;B45,CPUAUX5!$A:$J,9,FALSE),VLOOKUP(B45,I!$A:$E,5,FALSE))</f>
        <v>20.329999999999998</v>
      </c>
      <c r="H45" s="77"/>
      <c r="I45" s="76">
        <f>TRUNC(F45*G45,2)</f>
        <v>0.23</v>
      </c>
      <c r="J45" s="77"/>
      <c r="M45" s="23">
        <f>B45</f>
        <v>1213</v>
      </c>
      <c r="N45" s="23">
        <f>SUMIF(CPUAUX3!M:M,B44,CPUAUX3!O:O)</f>
        <v>4.2141470313600005</v>
      </c>
      <c r="O45" s="23">
        <f>F45*N45</f>
        <v>4.8631256741894405E-2</v>
      </c>
      <c r="Q45" s="23">
        <f ca="1">SUMIF(CPUAUX3!M:M,B44,CPUAUX3!R:R)</f>
        <v>1.4047156771200002</v>
      </c>
      <c r="R45" s="23">
        <f ca="1">F45*Q45</f>
        <v>1.6210418913964804E-2</v>
      </c>
    </row>
    <row r="46" spans="1:18" x14ac:dyDescent="0.3">
      <c r="A46" s="73" t="str">
        <f>"TOTAL SEM BDI - "&amp;B44</f>
        <v>TOTAL SEM BDI - 95330</v>
      </c>
      <c r="B46" s="74"/>
      <c r="C46" s="74"/>
      <c r="D46" s="74"/>
      <c r="E46" s="74"/>
      <c r="F46" s="74"/>
      <c r="G46" s="74"/>
      <c r="H46" s="75"/>
      <c r="I46" s="76">
        <f>SUM(I44:I45)</f>
        <v>0.23</v>
      </c>
      <c r="J46" s="77"/>
    </row>
    <row r="48" spans="1:18" x14ac:dyDescent="0.3">
      <c r="A48" s="4" t="s">
        <v>1000</v>
      </c>
      <c r="B48" s="4" t="s">
        <v>170</v>
      </c>
      <c r="C48" s="4" t="s">
        <v>171</v>
      </c>
      <c r="D48" s="4" t="s">
        <v>18</v>
      </c>
      <c r="E48" s="4" t="s">
        <v>172</v>
      </c>
      <c r="F48" s="4" t="s">
        <v>507</v>
      </c>
      <c r="G48" s="45" t="s">
        <v>1001</v>
      </c>
      <c r="H48" s="46"/>
      <c r="I48" s="45" t="s">
        <v>12</v>
      </c>
      <c r="J48" s="46"/>
    </row>
    <row r="49" spans="1:18" ht="30" customHeight="1" x14ac:dyDescent="0.3">
      <c r="A49" s="15" t="s">
        <v>1071</v>
      </c>
      <c r="B49" s="15">
        <v>95309</v>
      </c>
      <c r="C49" s="15" t="str">
        <f>VLOOKUP(B49,S!$A:$G,2,FALSE)</f>
        <v>SINAPI</v>
      </c>
      <c r="D49" s="22" t="str">
        <f>VLOOKUP(B49,S!$A:$G,3,FALSE)</f>
        <v>CURSO DE CAPACITAÇÃO PARA AJUDANTE DE CARPINTEIRO (ENCARGOS COMPLEMENTARES) - HORISTA</v>
      </c>
      <c r="E49" s="15" t="str">
        <f>VLOOKUP(B49,S!$A:$G,4,FALSE)</f>
        <v>H</v>
      </c>
      <c r="F49" s="15"/>
      <c r="G49" s="78">
        <f>I51</f>
        <v>0.22</v>
      </c>
      <c r="H49" s="79"/>
      <c r="I49" s="78"/>
      <c r="J49" s="79"/>
      <c r="K49" s="16">
        <f>VLOOKUP(B49,S!A:G,5,FALSE)</f>
        <v>0.22</v>
      </c>
      <c r="L49" s="15" t="str">
        <f>IF(K49=G49,"OK, CONFORME TABELA",IF(G49&gt;K49,"ACIMA DA TABELA: ","ABAIXO DA TABELA: ")&amp;TRUNC((G49*100)/K49,2)&amp;" %")</f>
        <v>OK, CONFORME TABELA</v>
      </c>
    </row>
    <row r="50" spans="1:18" x14ac:dyDescent="0.3">
      <c r="A50" s="23" t="s">
        <v>1005</v>
      </c>
      <c r="B50" s="23">
        <v>6117</v>
      </c>
      <c r="C50" s="23" t="str">
        <f>VLOOKUP(B50,IF(A50="COMPOSICAO",S!$A:$E,I!$A:$E),2,FALSE)</f>
        <v>SINAPI</v>
      </c>
      <c r="D50" s="24" t="str">
        <f>VLOOKUP(B50,IF(A50="COMPOSICAO",S!$A:$E,I!$A:$E),3,FALSE)</f>
        <v>CARPINTEIRO AUXILIAR (HORISTA)</v>
      </c>
      <c r="E50" s="23" t="str">
        <f>VLOOKUP(B50,IF(A50="COMPOSICAO",S!$A:$E,I!$A:$E),4,FALSE)</f>
        <v>H</v>
      </c>
      <c r="F50" s="23">
        <v>1.4760000000000001E-2</v>
      </c>
      <c r="G50" s="76">
        <f>IF(A50="COMPOSICAO",VLOOKUP("TOTAL SEM BDI - "&amp;B50,CPUAUX5!$A:$J,9,FALSE),VLOOKUP(B50,I!$A:$E,5,FALSE))</f>
        <v>15.57</v>
      </c>
      <c r="H50" s="77"/>
      <c r="I50" s="76">
        <f>TRUNC(F50*G50,2)</f>
        <v>0.22</v>
      </c>
      <c r="J50" s="77"/>
      <c r="M50" s="23">
        <f>B50</f>
        <v>6117</v>
      </c>
      <c r="N50" s="23">
        <f>SUMIF(CPUAUX3!M:M,B49,CPUAUX3!O:O)</f>
        <v>1.0406415783600003</v>
      </c>
      <c r="O50" s="23">
        <f>F50*N50</f>
        <v>1.5359869696593604E-2</v>
      </c>
      <c r="Q50" s="23">
        <f ca="1">SUMIF(CPUAUX3!M:M,B49,CPUAUX3!R:R)</f>
        <v>0.34688052612000009</v>
      </c>
      <c r="R50" s="23">
        <f ca="1">F50*Q50</f>
        <v>5.1199565655312019E-3</v>
      </c>
    </row>
    <row r="51" spans="1:18" x14ac:dyDescent="0.3">
      <c r="A51" s="73" t="str">
        <f>"TOTAL SEM BDI - "&amp;B49</f>
        <v>TOTAL SEM BDI - 95309</v>
      </c>
      <c r="B51" s="74"/>
      <c r="C51" s="74"/>
      <c r="D51" s="74"/>
      <c r="E51" s="74"/>
      <c r="F51" s="74"/>
      <c r="G51" s="74"/>
      <c r="H51" s="75"/>
      <c r="I51" s="76">
        <f>SUM(I49:I50)</f>
        <v>0.22</v>
      </c>
      <c r="J51" s="77"/>
    </row>
    <row r="53" spans="1:18" x14ac:dyDescent="0.3">
      <c r="A53" s="4" t="s">
        <v>1000</v>
      </c>
      <c r="B53" s="4" t="s">
        <v>170</v>
      </c>
      <c r="C53" s="4" t="s">
        <v>171</v>
      </c>
      <c r="D53" s="4" t="s">
        <v>18</v>
      </c>
      <c r="E53" s="4" t="s">
        <v>172</v>
      </c>
      <c r="F53" s="4" t="s">
        <v>507</v>
      </c>
      <c r="G53" s="45" t="s">
        <v>1001</v>
      </c>
      <c r="H53" s="46"/>
      <c r="I53" s="45" t="s">
        <v>12</v>
      </c>
      <c r="J53" s="46"/>
    </row>
    <row r="54" spans="1:18" ht="30" customHeight="1" x14ac:dyDescent="0.3">
      <c r="A54" s="15" t="s">
        <v>1071</v>
      </c>
      <c r="B54" s="15">
        <v>95314</v>
      </c>
      <c r="C54" s="15" t="str">
        <f>VLOOKUP(B54,S!$A:$G,2,FALSE)</f>
        <v>SINAPI</v>
      </c>
      <c r="D54" s="22" t="str">
        <f>VLOOKUP(B54,S!$A:$G,3,FALSE)</f>
        <v>CURSO DE CAPACITAÇÃO PARA ARMADOR (ENCARGOS COMPLEMENTARES) - HORISTA</v>
      </c>
      <c r="E54" s="15" t="str">
        <f>VLOOKUP(B54,S!$A:$G,4,FALSE)</f>
        <v>H</v>
      </c>
      <c r="F54" s="15"/>
      <c r="G54" s="78">
        <f>I56</f>
        <v>0.23</v>
      </c>
      <c r="H54" s="79"/>
      <c r="I54" s="78"/>
      <c r="J54" s="79"/>
      <c r="K54" s="16">
        <f>VLOOKUP(B54,S!A:G,5,FALSE)</f>
        <v>0.23</v>
      </c>
      <c r="L54" s="15" t="str">
        <f>IF(K54=G54,"OK, CONFORME TABELA",IF(G54&gt;K54,"ACIMA DA TABELA: ","ABAIXO DA TABELA: ")&amp;TRUNC((G54*100)/K54,2)&amp;" %")</f>
        <v>OK, CONFORME TABELA</v>
      </c>
    </row>
    <row r="55" spans="1:18" x14ac:dyDescent="0.3">
      <c r="A55" s="23" t="s">
        <v>1005</v>
      </c>
      <c r="B55" s="23">
        <v>378</v>
      </c>
      <c r="C55" s="23" t="str">
        <f>VLOOKUP(B55,IF(A55="COMPOSICAO",S!$A:$E,I!$A:$E),2,FALSE)</f>
        <v>SINAPI</v>
      </c>
      <c r="D55" s="24" t="str">
        <f>VLOOKUP(B55,IF(A55="COMPOSICAO",S!$A:$E,I!$A:$E),3,FALSE)</f>
        <v>ARMADOR (HORISTA)</v>
      </c>
      <c r="E55" s="23" t="str">
        <f>VLOOKUP(B55,IF(A55="COMPOSICAO",S!$A:$E,I!$A:$E),4,FALSE)</f>
        <v>H</v>
      </c>
      <c r="F55" s="23">
        <v>1.154E-2</v>
      </c>
      <c r="G55" s="76">
        <f>IF(A55="COMPOSICAO",VLOOKUP("TOTAL SEM BDI - "&amp;B55,CPUAUX5!$A:$J,9,FALSE),VLOOKUP(B55,I!$A:$E,5,FALSE))</f>
        <v>20.329999999999998</v>
      </c>
      <c r="H55" s="77"/>
      <c r="I55" s="76">
        <f>TRUNC(F55*G55,2)</f>
        <v>0.23</v>
      </c>
      <c r="J55" s="77"/>
      <c r="M55" s="23">
        <f>B55</f>
        <v>378</v>
      </c>
      <c r="N55" s="23">
        <f>SUMIF(CPUAUX3!M:M,B54,CPUAUX3!O:O)</f>
        <v>0.97901067600000025</v>
      </c>
      <c r="O55" s="23">
        <f>F55*N55</f>
        <v>1.1297783201040003E-2</v>
      </c>
      <c r="Q55" s="23">
        <f ca="1">SUMIF(CPUAUX3!M:M,B54,CPUAUX3!R:R)</f>
        <v>0.3263368920000001</v>
      </c>
      <c r="R55" s="23">
        <f ca="1">F55*Q55</f>
        <v>3.7659277336800009E-3</v>
      </c>
    </row>
    <row r="56" spans="1:18" x14ac:dyDescent="0.3">
      <c r="A56" s="73" t="str">
        <f>"TOTAL SEM BDI - "&amp;B54</f>
        <v>TOTAL SEM BDI - 95314</v>
      </c>
      <c r="B56" s="74"/>
      <c r="C56" s="74"/>
      <c r="D56" s="74"/>
      <c r="E56" s="74"/>
      <c r="F56" s="74"/>
      <c r="G56" s="74"/>
      <c r="H56" s="75"/>
      <c r="I56" s="76">
        <f>SUM(I54:I55)</f>
        <v>0.23</v>
      </c>
      <c r="J56" s="77"/>
    </row>
    <row r="58" spans="1:18" x14ac:dyDescent="0.3">
      <c r="A58" s="4" t="s">
        <v>1000</v>
      </c>
      <c r="B58" s="4" t="s">
        <v>170</v>
      </c>
      <c r="C58" s="4" t="s">
        <v>171</v>
      </c>
      <c r="D58" s="4" t="s">
        <v>18</v>
      </c>
      <c r="E58" s="4" t="s">
        <v>172</v>
      </c>
      <c r="F58" s="4" t="s">
        <v>507</v>
      </c>
      <c r="G58" s="45" t="s">
        <v>1001</v>
      </c>
      <c r="H58" s="46"/>
      <c r="I58" s="45" t="s">
        <v>12</v>
      </c>
      <c r="J58" s="46"/>
    </row>
    <row r="59" spans="1:18" ht="30" customHeight="1" x14ac:dyDescent="0.3">
      <c r="A59" s="15" t="s">
        <v>1071</v>
      </c>
      <c r="B59" s="15">
        <v>95308</v>
      </c>
      <c r="C59" s="15" t="str">
        <f>VLOOKUP(B59,S!$A:$G,2,FALSE)</f>
        <v>SINAPI</v>
      </c>
      <c r="D59" s="22" t="str">
        <f>VLOOKUP(B59,S!$A:$G,3,FALSE)</f>
        <v>CURSO DE CAPACITAÇÃO PARA AJUDANTE DE ARMADOR (ENCARGOS COMPLEMENTARES) - HORISTA</v>
      </c>
      <c r="E59" s="15" t="str">
        <f>VLOOKUP(B59,S!$A:$G,4,FALSE)</f>
        <v>H</v>
      </c>
      <c r="F59" s="15"/>
      <c r="G59" s="78">
        <f>I61</f>
        <v>0.17</v>
      </c>
      <c r="H59" s="79"/>
      <c r="I59" s="78"/>
      <c r="J59" s="79"/>
      <c r="K59" s="16">
        <f>VLOOKUP(B59,S!A:G,5,FALSE)</f>
        <v>0.17</v>
      </c>
      <c r="L59" s="15" t="str">
        <f>IF(K59=G59,"OK, CONFORME TABELA",IF(G59&gt;K59,"ACIMA DA TABELA: ","ABAIXO DA TABELA: ")&amp;TRUNC((G59*100)/K59,2)&amp;" %")</f>
        <v>OK, CONFORME TABELA</v>
      </c>
    </row>
    <row r="60" spans="1:18" x14ac:dyDescent="0.3">
      <c r="A60" s="23" t="s">
        <v>1005</v>
      </c>
      <c r="B60" s="23">
        <v>6114</v>
      </c>
      <c r="C60" s="23" t="str">
        <f>VLOOKUP(B60,IF(A60="COMPOSICAO",S!$A:$E,I!$A:$E),2,FALSE)</f>
        <v>SINAPI</v>
      </c>
      <c r="D60" s="24" t="str">
        <f>VLOOKUP(B60,IF(A60="COMPOSICAO",S!$A:$E,I!$A:$E),3,FALSE)</f>
        <v>AJUDANTE DE ARMADOR (HORISTA)</v>
      </c>
      <c r="E60" s="23" t="str">
        <f>VLOOKUP(B60,IF(A60="COMPOSICAO",S!$A:$E,I!$A:$E),4,FALSE)</f>
        <v>H</v>
      </c>
      <c r="F60" s="23">
        <v>1.154E-2</v>
      </c>
      <c r="G60" s="76">
        <f>IF(A60="COMPOSICAO",VLOOKUP("TOTAL SEM BDI - "&amp;B60,CPUAUX5!$A:$J,9,FALSE),VLOOKUP(B60,I!$A:$E,5,FALSE))</f>
        <v>15.57</v>
      </c>
      <c r="H60" s="77"/>
      <c r="I60" s="76">
        <f>TRUNC(F60*G60,2)</f>
        <v>0.17</v>
      </c>
      <c r="J60" s="77"/>
      <c r="M60" s="23">
        <f>B60</f>
        <v>6114</v>
      </c>
      <c r="N60" s="23">
        <f>SUMIF(CPUAUX3!M:M,B59,CPUAUX3!O:O)</f>
        <v>0.15537421800000004</v>
      </c>
      <c r="O60" s="23">
        <f>F60*N60</f>
        <v>1.7930184757200005E-3</v>
      </c>
      <c r="Q60" s="23">
        <f ca="1">SUMIF(CPUAUX3!M:M,B59,CPUAUX3!R:R)</f>
        <v>5.1791406000000005E-2</v>
      </c>
      <c r="R60" s="23">
        <f ca="1">F60*Q60</f>
        <v>5.9767282524000008E-4</v>
      </c>
    </row>
    <row r="61" spans="1:18" x14ac:dyDescent="0.3">
      <c r="A61" s="73" t="str">
        <f>"TOTAL SEM BDI - "&amp;B59</f>
        <v>TOTAL SEM BDI - 95308</v>
      </c>
      <c r="B61" s="74"/>
      <c r="C61" s="74"/>
      <c r="D61" s="74"/>
      <c r="E61" s="74"/>
      <c r="F61" s="74"/>
      <c r="G61" s="74"/>
      <c r="H61" s="75"/>
      <c r="I61" s="76">
        <f>SUM(I59:I60)</f>
        <v>0.17</v>
      </c>
      <c r="J61" s="77"/>
    </row>
    <row r="63" spans="1:18" x14ac:dyDescent="0.3">
      <c r="A63" s="4" t="s">
        <v>1000</v>
      </c>
      <c r="B63" s="4" t="s">
        <v>170</v>
      </c>
      <c r="C63" s="4" t="s">
        <v>171</v>
      </c>
      <c r="D63" s="4" t="s">
        <v>18</v>
      </c>
      <c r="E63" s="4" t="s">
        <v>172</v>
      </c>
      <c r="F63" s="4" t="s">
        <v>507</v>
      </c>
      <c r="G63" s="45" t="s">
        <v>1001</v>
      </c>
      <c r="H63" s="46"/>
      <c r="I63" s="45" t="s">
        <v>12</v>
      </c>
      <c r="J63" s="46"/>
    </row>
    <row r="64" spans="1:18" ht="30" customHeight="1" x14ac:dyDescent="0.3">
      <c r="A64" s="15" t="s">
        <v>1071</v>
      </c>
      <c r="B64" s="15">
        <v>95378</v>
      </c>
      <c r="C64" s="15" t="str">
        <f>VLOOKUP(B64,S!$A:$G,2,FALSE)</f>
        <v>SINAPI</v>
      </c>
      <c r="D64" s="22" t="str">
        <f>VLOOKUP(B64,S!$A:$G,3,FALSE)</f>
        <v>CURSO DE CAPACITAÇÃO PARA SERVENTE (ENCARGOS COMPLEMENTARES) - HORISTA</v>
      </c>
      <c r="E64" s="15" t="str">
        <f>VLOOKUP(B64,S!$A:$G,4,FALSE)</f>
        <v>H</v>
      </c>
      <c r="F64" s="15"/>
      <c r="G64" s="78">
        <f>I66</f>
        <v>0.31</v>
      </c>
      <c r="H64" s="79"/>
      <c r="I64" s="78"/>
      <c r="J64" s="79"/>
      <c r="K64" s="16">
        <f>VLOOKUP(B64,S!A:G,5,FALSE)</f>
        <v>0.31</v>
      </c>
      <c r="L64" s="15" t="str">
        <f>IF(K64=G64,"OK, CONFORME TABELA",IF(G64&gt;K64,"ACIMA DA TABELA: ","ABAIXO DA TABELA: ")&amp;TRUNC((G64*100)/K64,2)&amp;" %")</f>
        <v>OK, CONFORME TABELA</v>
      </c>
    </row>
    <row r="65" spans="1:18" x14ac:dyDescent="0.3">
      <c r="A65" s="23" t="s">
        <v>1005</v>
      </c>
      <c r="B65" s="23">
        <v>6111</v>
      </c>
      <c r="C65" s="23" t="str">
        <f>VLOOKUP(B65,IF(A65="COMPOSICAO",S!$A:$E,I!$A:$E),2,FALSE)</f>
        <v>SINAPI</v>
      </c>
      <c r="D65" s="24" t="str">
        <f>VLOOKUP(B65,IF(A65="COMPOSICAO",S!$A:$E,I!$A:$E),3,FALSE)</f>
        <v>SERVENTE DE OBRAS (HORISTA)</v>
      </c>
      <c r="E65" s="23" t="str">
        <f>VLOOKUP(B65,IF(A65="COMPOSICAO",S!$A:$E,I!$A:$E),4,FALSE)</f>
        <v>H</v>
      </c>
      <c r="F65" s="23">
        <v>2.12E-2</v>
      </c>
      <c r="G65" s="76">
        <f>IF(A65="COMPOSICAO",VLOOKUP("TOTAL SEM BDI - "&amp;B65,CPUAUX5!$A:$J,9,FALSE),VLOOKUP(B65,I!$A:$E,5,FALSE))</f>
        <v>14.86</v>
      </c>
      <c r="H65" s="77"/>
      <c r="I65" s="76">
        <f>TRUNC(F65*G65,2)</f>
        <v>0.31</v>
      </c>
      <c r="J65" s="77"/>
      <c r="M65" s="23">
        <f>B65</f>
        <v>6111</v>
      </c>
      <c r="N65" s="23">
        <f>SUMIF(CPUAUX3!M:M,B64,CPUAUX3!O:O)</f>
        <v>11.821005037799999</v>
      </c>
      <c r="O65" s="23">
        <f>F65*N65</f>
        <v>0.25060530680136001</v>
      </c>
      <c r="Q65" s="23">
        <f ca="1">SUMIF(CPUAUX3!M:M,B64,CPUAUX3!R:R)</f>
        <v>3.9403350126000003</v>
      </c>
      <c r="R65" s="23">
        <f ca="1">F65*Q65</f>
        <v>8.3535102267120007E-2</v>
      </c>
    </row>
    <row r="66" spans="1:18" x14ac:dyDescent="0.3">
      <c r="A66" s="73" t="str">
        <f>"TOTAL SEM BDI - "&amp;B64</f>
        <v>TOTAL SEM BDI - 95378</v>
      </c>
      <c r="B66" s="74"/>
      <c r="C66" s="74"/>
      <c r="D66" s="74"/>
      <c r="E66" s="74"/>
      <c r="F66" s="74"/>
      <c r="G66" s="74"/>
      <c r="H66" s="75"/>
      <c r="I66" s="76">
        <f>SUM(I64:I65)</f>
        <v>0.31</v>
      </c>
      <c r="J66" s="77"/>
    </row>
    <row r="68" spans="1:18" x14ac:dyDescent="0.3">
      <c r="A68" s="4" t="s">
        <v>1000</v>
      </c>
      <c r="B68" s="4" t="s">
        <v>170</v>
      </c>
      <c r="C68" s="4" t="s">
        <v>171</v>
      </c>
      <c r="D68" s="4" t="s">
        <v>18</v>
      </c>
      <c r="E68" s="4" t="s">
        <v>172</v>
      </c>
      <c r="F68" s="4" t="s">
        <v>507</v>
      </c>
      <c r="G68" s="45" t="s">
        <v>1001</v>
      </c>
      <c r="H68" s="46"/>
      <c r="I68" s="45" t="s">
        <v>12</v>
      </c>
      <c r="J68" s="46"/>
    </row>
    <row r="69" spans="1:18" ht="60" customHeight="1" x14ac:dyDescent="0.3">
      <c r="A69" s="15" t="s">
        <v>1076</v>
      </c>
      <c r="B69" s="15">
        <v>88831</v>
      </c>
      <c r="C69" s="15" t="str">
        <f>VLOOKUP(B69,S!$A:$G,2,FALSE)</f>
        <v>SINAPI</v>
      </c>
      <c r="D69" s="22" t="str">
        <f>VLOOKUP(B69,S!$A:$G,3,FALSE)</f>
        <v>BETONEIRA CAPACIDADE NOMINAL DE 400 L, CAPACIDADE DE MISTURA 280 L, MOTOR ELÉTRICO TRIFÁSICO POTÊNCIA DE 2 CV, SEM CARREGADOR - CHI DIURNO. AF_05/2023</v>
      </c>
      <c r="E69" s="15" t="str">
        <f>VLOOKUP(B69,S!$A:$G,4,FALSE)</f>
        <v>CHI</v>
      </c>
      <c r="F69" s="15"/>
      <c r="G69" s="78">
        <f>I72</f>
        <v>0.49</v>
      </c>
      <c r="H69" s="79"/>
      <c r="I69" s="78"/>
      <c r="J69" s="79"/>
      <c r="K69" s="16">
        <f>VLOOKUP(B69,S!A:G,5,FALSE)</f>
        <v>0.49</v>
      </c>
      <c r="L69" s="15" t="str">
        <f>IF(K69=G69,"OK, CONFORME TABELA",IF(G69&gt;K69,"ACIMA DA TABELA: ","ABAIXO DA TABELA: ")&amp;TRUNC((G69*100)/K69,2)&amp;" %")</f>
        <v>OK, CONFORME TABELA</v>
      </c>
    </row>
    <row r="70" spans="1:18" ht="60" customHeight="1" x14ac:dyDescent="0.3">
      <c r="A70" s="23" t="s">
        <v>1004</v>
      </c>
      <c r="B70" s="23">
        <v>88827</v>
      </c>
      <c r="C70" s="23" t="str">
        <f>VLOOKUP(B70,IF(A70="COMPOSICAO",S!$A:$E,I!$A:$E),2,FALSE)</f>
        <v>SINAPI</v>
      </c>
      <c r="D70" s="24" t="str">
        <f>VLOOKUP(B70,IF(A70="COMPOSICAO",S!$A:$E,I!$A:$E),3,FALSE)</f>
        <v>BETONEIRA CAPACIDADE NOMINAL DE 400 L, CAPACIDADE DE MISTURA 280 L, MOTOR ELÉTRICO TRIFÁSICO POTÊNCIA DE 2 CV, SEM CARREGADOR - JUROS. AF_05/2023</v>
      </c>
      <c r="E70" s="23" t="str">
        <f>VLOOKUP(B70,IF(A70="COMPOSICAO",S!$A:$E,I!$A:$E),4,FALSE)</f>
        <v>H</v>
      </c>
      <c r="F70" s="23">
        <v>1</v>
      </c>
      <c r="G70" s="76">
        <f>IF(A70="COMPOSICAO",VLOOKUP("TOTAL SEM BDI - "&amp;B70,CPUAUX5!$A:$J,9,FALSE),VLOOKUP(B70,I!$A:$E,5,FALSE))</f>
        <v>0.09</v>
      </c>
      <c r="H70" s="77"/>
      <c r="I70" s="76">
        <f>TRUNC(F70*G70,2)</f>
        <v>0.09</v>
      </c>
      <c r="J70" s="77"/>
      <c r="M70" s="23">
        <f>B70</f>
        <v>88827</v>
      </c>
      <c r="N70" s="23">
        <f>SUMIF(CPUAUX3!M:M,B69,CPUAUX3!O:O)</f>
        <v>0.65096759699999995</v>
      </c>
      <c r="O70" s="23">
        <f>F70*N70</f>
        <v>0.65096759699999995</v>
      </c>
      <c r="Q70" s="23">
        <f ca="1">SUMIF(CPUAUX3!M:M,B69,CPUAUX3!R:R)</f>
        <v>0.21698919899999999</v>
      </c>
      <c r="R70" s="23">
        <f ca="1">F70*Q70</f>
        <v>0.21698919899999999</v>
      </c>
    </row>
    <row r="71" spans="1:18" ht="60" customHeight="1" x14ac:dyDescent="0.3">
      <c r="A71" s="23" t="s">
        <v>1004</v>
      </c>
      <c r="B71" s="23">
        <v>88826</v>
      </c>
      <c r="C71" s="23" t="str">
        <f>VLOOKUP(B71,IF(A71="COMPOSICAO",S!$A:$E,I!$A:$E),2,FALSE)</f>
        <v>SINAPI</v>
      </c>
      <c r="D71" s="24" t="str">
        <f>VLOOKUP(B71,IF(A71="COMPOSICAO",S!$A:$E,I!$A:$E),3,FALSE)</f>
        <v>BETONEIRA CAPACIDADE NOMINAL DE 400 L, CAPACIDADE DE MISTURA 280 L, MOTOR ELÉTRICO TRIFÁSICO POTÊNCIA DE 2 CV, SEM CARREGADOR - DEPRECIAÇÃO. AF_05/2023</v>
      </c>
      <c r="E71" s="23" t="str">
        <f>VLOOKUP(B71,IF(A71="COMPOSICAO",S!$A:$E,I!$A:$E),4,FALSE)</f>
        <v>H</v>
      </c>
      <c r="F71" s="23">
        <v>1</v>
      </c>
      <c r="G71" s="76">
        <f>IF(A71="COMPOSICAO",VLOOKUP("TOTAL SEM BDI - "&amp;B71,CPUAUX5!$A:$J,9,FALSE),VLOOKUP(B71,I!$A:$E,5,FALSE))</f>
        <v>0.4</v>
      </c>
      <c r="H71" s="77"/>
      <c r="I71" s="76">
        <f>TRUNC(F71*G71,2)</f>
        <v>0.4</v>
      </c>
      <c r="J71" s="77"/>
      <c r="M71" s="23">
        <f>B71</f>
        <v>88826</v>
      </c>
      <c r="N71" s="23">
        <f>SUMIF(CPUAUX3!M:M,B69,CPUAUX3!O:O)</f>
        <v>0.65096759699999995</v>
      </c>
      <c r="O71" s="23">
        <f>F71*N71</f>
        <v>0.65096759699999995</v>
      </c>
      <c r="Q71" s="23">
        <f ca="1">SUMIF(CPUAUX3!M:M,B69,CPUAUX3!R:R)</f>
        <v>0.21698919899999999</v>
      </c>
      <c r="R71" s="23">
        <f ca="1">F71*Q71</f>
        <v>0.21698919899999999</v>
      </c>
    </row>
    <row r="72" spans="1:18" x14ac:dyDescent="0.3">
      <c r="A72" s="73" t="str">
        <f>"TOTAL SEM BDI - "&amp;B69</f>
        <v>TOTAL SEM BDI - 88831</v>
      </c>
      <c r="B72" s="74"/>
      <c r="C72" s="74"/>
      <c r="D72" s="74"/>
      <c r="E72" s="74"/>
      <c r="F72" s="74"/>
      <c r="G72" s="74"/>
      <c r="H72" s="75"/>
      <c r="I72" s="76">
        <f>SUM(I69:I71)</f>
        <v>0.49</v>
      </c>
      <c r="J72" s="77"/>
    </row>
    <row r="74" spans="1:18" x14ac:dyDescent="0.3">
      <c r="A74" s="4" t="s">
        <v>1000</v>
      </c>
      <c r="B74" s="4" t="s">
        <v>170</v>
      </c>
      <c r="C74" s="4" t="s">
        <v>171</v>
      </c>
      <c r="D74" s="4" t="s">
        <v>18</v>
      </c>
      <c r="E74" s="4" t="s">
        <v>172</v>
      </c>
      <c r="F74" s="4" t="s">
        <v>507</v>
      </c>
      <c r="G74" s="45" t="s">
        <v>1001</v>
      </c>
      <c r="H74" s="46"/>
      <c r="I74" s="45" t="s">
        <v>12</v>
      </c>
      <c r="J74" s="46"/>
    </row>
    <row r="75" spans="1:18" ht="60" customHeight="1" x14ac:dyDescent="0.3">
      <c r="A75" s="15" t="s">
        <v>1076</v>
      </c>
      <c r="B75" s="15">
        <v>88830</v>
      </c>
      <c r="C75" s="15" t="str">
        <f>VLOOKUP(B75,S!$A:$G,2,FALSE)</f>
        <v>SINAPI</v>
      </c>
      <c r="D75" s="22" t="str">
        <f>VLOOKUP(B75,S!$A:$G,3,FALSE)</f>
        <v>BETONEIRA CAPACIDADE NOMINAL DE 400 L, CAPACIDADE DE MISTURA 280 L, MOTOR ELÉTRICO TRIFÁSICO POTÊNCIA DE 2 CV, SEM CARREGADOR - CHP DIURNO. AF_05/2023</v>
      </c>
      <c r="E75" s="15" t="str">
        <f>VLOOKUP(B75,S!$A:$G,4,FALSE)</f>
        <v>CHP</v>
      </c>
      <c r="F75" s="15"/>
      <c r="G75" s="78">
        <f>I80</f>
        <v>2.3000000000000003</v>
      </c>
      <c r="H75" s="79"/>
      <c r="I75" s="78"/>
      <c r="J75" s="79"/>
      <c r="K75" s="16">
        <f>VLOOKUP(B75,S!A:G,5,FALSE)</f>
        <v>2.2999999999999998</v>
      </c>
      <c r="L75" s="15" t="str">
        <f>IF(K75=G75,"OK, CONFORME TABELA",IF(G75&gt;K75,"ACIMA DA TABELA: ","ABAIXO DA TABELA: ")&amp;TRUNC((G75*100)/K75,2)&amp;" %")</f>
        <v>OK, CONFORME TABELA</v>
      </c>
    </row>
    <row r="76" spans="1:18" ht="60" customHeight="1" x14ac:dyDescent="0.3">
      <c r="A76" s="23" t="s">
        <v>1004</v>
      </c>
      <c r="B76" s="23">
        <v>88829</v>
      </c>
      <c r="C76" s="23" t="str">
        <f>VLOOKUP(B76,IF(A76="COMPOSICAO",S!$A:$E,I!$A:$E),2,FALSE)</f>
        <v>SINAPI</v>
      </c>
      <c r="D76" s="24" t="str">
        <f>VLOOKUP(B76,IF(A76="COMPOSICAO",S!$A:$E,I!$A:$E),3,FALSE)</f>
        <v>BETONEIRA CAPACIDADE NOMINAL DE 400 L, CAPACIDADE DE MISTURA 280 L, MOTOR ELÉTRICO TRIFÁSICO POTÊNCIA DE 2 CV, SEM CARREGADOR - MATERIAIS NA OPERAÇÃO. AF_05/2023</v>
      </c>
      <c r="E76" s="23" t="str">
        <f>VLOOKUP(B76,IF(A76="COMPOSICAO",S!$A:$E,I!$A:$E),4,FALSE)</f>
        <v>H</v>
      </c>
      <c r="F76" s="23">
        <v>1</v>
      </c>
      <c r="G76" s="76">
        <f>IF(A76="COMPOSICAO",VLOOKUP("TOTAL SEM BDI - "&amp;B76,CPUAUX5!$A:$J,9,FALSE),VLOOKUP(B76,I!$A:$E,5,FALSE))</f>
        <v>1.37</v>
      </c>
      <c r="H76" s="77"/>
      <c r="I76" s="76">
        <f>TRUNC(F76*G76,2)</f>
        <v>1.37</v>
      </c>
      <c r="J76" s="77"/>
      <c r="M76" s="23">
        <f>B76</f>
        <v>88829</v>
      </c>
      <c r="N76" s="23">
        <f>SUMIF(CPUAUX3!M:M,B75,CPUAUX3!O:O)</f>
        <v>0.69040358099999999</v>
      </c>
      <c r="O76" s="23">
        <f>F76*N76</f>
        <v>0.69040358099999999</v>
      </c>
      <c r="Q76" s="23">
        <f ca="1">SUMIF(CPUAUX3!M:M,B75,CPUAUX3!R:R)</f>
        <v>0.23013452700000001</v>
      </c>
      <c r="R76" s="23">
        <f ca="1">F76*Q76</f>
        <v>0.23013452700000001</v>
      </c>
    </row>
    <row r="77" spans="1:18" ht="60" customHeight="1" x14ac:dyDescent="0.3">
      <c r="A77" s="23" t="s">
        <v>1004</v>
      </c>
      <c r="B77" s="23">
        <v>88828</v>
      </c>
      <c r="C77" s="23" t="str">
        <f>VLOOKUP(B77,IF(A77="COMPOSICAO",S!$A:$E,I!$A:$E),2,FALSE)</f>
        <v>SINAPI</v>
      </c>
      <c r="D77" s="24" t="str">
        <f>VLOOKUP(B77,IF(A77="COMPOSICAO",S!$A:$E,I!$A:$E),3,FALSE)</f>
        <v>BETONEIRA CAPACIDADE NOMINAL DE 400 L, CAPACIDADE DE MISTURA 280 L, MOTOR ELÉTRICO TRIFÁSICO POTÊNCIA DE 2 CV, SEM CARREGADOR - MANUTENÇÃO. AF_05/2023</v>
      </c>
      <c r="E77" s="23" t="str">
        <f>VLOOKUP(B77,IF(A77="COMPOSICAO",S!$A:$E,I!$A:$E),4,FALSE)</f>
        <v>H</v>
      </c>
      <c r="F77" s="23">
        <v>1</v>
      </c>
      <c r="G77" s="76">
        <f>IF(A77="COMPOSICAO",VLOOKUP("TOTAL SEM BDI - "&amp;B77,CPUAUX5!$A:$J,9,FALSE),VLOOKUP(B77,I!$A:$E,5,FALSE))</f>
        <v>0.44</v>
      </c>
      <c r="H77" s="77"/>
      <c r="I77" s="76">
        <f>TRUNC(F77*G77,2)</f>
        <v>0.44</v>
      </c>
      <c r="J77" s="77"/>
      <c r="M77" s="23">
        <f>B77</f>
        <v>88828</v>
      </c>
      <c r="N77" s="23">
        <f>SUMIF(CPUAUX3!M:M,B75,CPUAUX3!O:O)</f>
        <v>0.69040358099999999</v>
      </c>
      <c r="O77" s="23">
        <f>F77*N77</f>
        <v>0.69040358099999999</v>
      </c>
      <c r="Q77" s="23">
        <f ca="1">SUMIF(CPUAUX3!M:M,B75,CPUAUX3!R:R)</f>
        <v>0.23013452700000001</v>
      </c>
      <c r="R77" s="23">
        <f ca="1">F77*Q77</f>
        <v>0.23013452700000001</v>
      </c>
    </row>
    <row r="78" spans="1:18" ht="60" customHeight="1" x14ac:dyDescent="0.3">
      <c r="A78" s="23" t="s">
        <v>1004</v>
      </c>
      <c r="B78" s="23">
        <v>88827</v>
      </c>
      <c r="C78" s="23" t="str">
        <f>VLOOKUP(B78,IF(A78="COMPOSICAO",S!$A:$E,I!$A:$E),2,FALSE)</f>
        <v>SINAPI</v>
      </c>
      <c r="D78" s="24" t="str">
        <f>VLOOKUP(B78,IF(A78="COMPOSICAO",S!$A:$E,I!$A:$E),3,FALSE)</f>
        <v>BETONEIRA CAPACIDADE NOMINAL DE 400 L, CAPACIDADE DE MISTURA 280 L, MOTOR ELÉTRICO TRIFÁSICO POTÊNCIA DE 2 CV, SEM CARREGADOR - JUROS. AF_05/2023</v>
      </c>
      <c r="E78" s="23" t="str">
        <f>VLOOKUP(B78,IF(A78="COMPOSICAO",S!$A:$E,I!$A:$E),4,FALSE)</f>
        <v>H</v>
      </c>
      <c r="F78" s="23">
        <v>1</v>
      </c>
      <c r="G78" s="76">
        <f>IF(A78="COMPOSICAO",VLOOKUP("TOTAL SEM BDI - "&amp;B78,CPUAUX5!$A:$J,9,FALSE),VLOOKUP(B78,I!$A:$E,5,FALSE))</f>
        <v>0.09</v>
      </c>
      <c r="H78" s="77"/>
      <c r="I78" s="76">
        <f>TRUNC(F78*G78,2)</f>
        <v>0.09</v>
      </c>
      <c r="J78" s="77"/>
      <c r="M78" s="23">
        <f>B78</f>
        <v>88827</v>
      </c>
      <c r="N78" s="23">
        <f>SUMIF(CPUAUX3!M:M,B75,CPUAUX3!O:O)</f>
        <v>0.69040358099999999</v>
      </c>
      <c r="O78" s="23">
        <f>F78*N78</f>
        <v>0.69040358099999999</v>
      </c>
      <c r="Q78" s="23">
        <f ca="1">SUMIF(CPUAUX3!M:M,B75,CPUAUX3!R:R)</f>
        <v>0.23013452700000001</v>
      </c>
      <c r="R78" s="23">
        <f ca="1">F78*Q78</f>
        <v>0.23013452700000001</v>
      </c>
    </row>
    <row r="79" spans="1:18" ht="60" customHeight="1" x14ac:dyDescent="0.3">
      <c r="A79" s="23" t="s">
        <v>1004</v>
      </c>
      <c r="B79" s="23">
        <v>88826</v>
      </c>
      <c r="C79" s="23" t="str">
        <f>VLOOKUP(B79,IF(A79="COMPOSICAO",S!$A:$E,I!$A:$E),2,FALSE)</f>
        <v>SINAPI</v>
      </c>
      <c r="D79" s="24" t="str">
        <f>VLOOKUP(B79,IF(A79="COMPOSICAO",S!$A:$E,I!$A:$E),3,FALSE)</f>
        <v>BETONEIRA CAPACIDADE NOMINAL DE 400 L, CAPACIDADE DE MISTURA 280 L, MOTOR ELÉTRICO TRIFÁSICO POTÊNCIA DE 2 CV, SEM CARREGADOR - DEPRECIAÇÃO. AF_05/2023</v>
      </c>
      <c r="E79" s="23" t="str">
        <f>VLOOKUP(B79,IF(A79="COMPOSICAO",S!$A:$E,I!$A:$E),4,FALSE)</f>
        <v>H</v>
      </c>
      <c r="F79" s="23">
        <v>1</v>
      </c>
      <c r="G79" s="76">
        <f>IF(A79="COMPOSICAO",VLOOKUP("TOTAL SEM BDI - "&amp;B79,CPUAUX5!$A:$J,9,FALSE),VLOOKUP(B79,I!$A:$E,5,FALSE))</f>
        <v>0.4</v>
      </c>
      <c r="H79" s="77"/>
      <c r="I79" s="76">
        <f>TRUNC(F79*G79,2)</f>
        <v>0.4</v>
      </c>
      <c r="J79" s="77"/>
      <c r="M79" s="23">
        <f>B79</f>
        <v>88826</v>
      </c>
      <c r="N79" s="23">
        <f>SUMIF(CPUAUX3!M:M,B75,CPUAUX3!O:O)</f>
        <v>0.69040358099999999</v>
      </c>
      <c r="O79" s="23">
        <f>F79*N79</f>
        <v>0.69040358099999999</v>
      </c>
      <c r="Q79" s="23">
        <f ca="1">SUMIF(CPUAUX3!M:M,B75,CPUAUX3!R:R)</f>
        <v>0.23013452700000001</v>
      </c>
      <c r="R79" s="23">
        <f ca="1">F79*Q79</f>
        <v>0.23013452700000001</v>
      </c>
    </row>
    <row r="80" spans="1:18" x14ac:dyDescent="0.3">
      <c r="A80" s="73" t="str">
        <f>"TOTAL SEM BDI - "&amp;B75</f>
        <v>TOTAL SEM BDI - 88830</v>
      </c>
      <c r="B80" s="74"/>
      <c r="C80" s="74"/>
      <c r="D80" s="74"/>
      <c r="E80" s="74"/>
      <c r="F80" s="74"/>
      <c r="G80" s="74"/>
      <c r="H80" s="75"/>
      <c r="I80" s="76">
        <f>SUM(I75:I79)</f>
        <v>2.3000000000000003</v>
      </c>
      <c r="J80" s="77"/>
    </row>
    <row r="82" spans="1:18" x14ac:dyDescent="0.3">
      <c r="A82" s="4" t="s">
        <v>1000</v>
      </c>
      <c r="B82" s="4" t="s">
        <v>170</v>
      </c>
      <c r="C82" s="4" t="s">
        <v>171</v>
      </c>
      <c r="D82" s="4" t="s">
        <v>18</v>
      </c>
      <c r="E82" s="4" t="s">
        <v>172</v>
      </c>
      <c r="F82" s="4" t="s">
        <v>507</v>
      </c>
      <c r="G82" s="45" t="s">
        <v>1001</v>
      </c>
      <c r="H82" s="46"/>
      <c r="I82" s="45" t="s">
        <v>12</v>
      </c>
      <c r="J82" s="46"/>
    </row>
    <row r="83" spans="1:18" ht="30" customHeight="1" x14ac:dyDescent="0.3">
      <c r="A83" s="15" t="s">
        <v>1071</v>
      </c>
      <c r="B83" s="15">
        <v>88377</v>
      </c>
      <c r="C83" s="15" t="str">
        <f>VLOOKUP(B83,S!$A:$G,2,FALSE)</f>
        <v>SINAPI</v>
      </c>
      <c r="D83" s="22" t="str">
        <f>VLOOKUP(B83,S!$A:$G,3,FALSE)</f>
        <v>OPERADOR DE BETONEIRA ESTACIONÁRIA/MISTURADOR COM ENCARGOS COMPLEMENTARES</v>
      </c>
      <c r="E83" s="15" t="str">
        <f>VLOOKUP(B83,S!$A:$G,4,FALSE)</f>
        <v>H</v>
      </c>
      <c r="F83" s="15"/>
      <c r="G83" s="78">
        <f>I92</f>
        <v>27.09</v>
      </c>
      <c r="H83" s="79"/>
      <c r="I83" s="78"/>
      <c r="J83" s="79"/>
      <c r="K83" s="16">
        <f>VLOOKUP(B83,S!A:G,5,FALSE)</f>
        <v>27.09</v>
      </c>
      <c r="L83" s="15" t="str">
        <f>IF(K83=G83,"OK, CONFORME TABELA",IF(G83&gt;K83,"ACIMA DA TABELA: ","ABAIXO DA TABELA: ")&amp;TRUNC((G83*100)/K83,2)&amp;" %")</f>
        <v>OK, CONFORME TABELA</v>
      </c>
    </row>
    <row r="84" spans="1:18" ht="30" customHeight="1" x14ac:dyDescent="0.3">
      <c r="A84" s="23" t="s">
        <v>1005</v>
      </c>
      <c r="B84" s="23">
        <v>43488</v>
      </c>
      <c r="C84" s="23" t="str">
        <f>VLOOKUP(B84,IF(A84="COMPOSICAO",S!$A:$E,I!$A:$E),2,FALSE)</f>
        <v>SINAPI</v>
      </c>
      <c r="D84" s="24" t="str">
        <f>VLOOKUP(B84,IF(A84="COMPOSICAO",S!$A:$E,I!$A:$E),3,FALSE)</f>
        <v>EPI - FAMILIA OPERADOR ESCAVADEIRA - HORISTA (ENCARGOS COMPLEMENTARES - COLETADO CAIXA)</v>
      </c>
      <c r="E84" s="23" t="str">
        <f>VLOOKUP(B84,IF(A84="COMPOSICAO",S!$A:$E,I!$A:$E),4,FALSE)</f>
        <v>H</v>
      </c>
      <c r="F84" s="23">
        <v>1</v>
      </c>
      <c r="G84" s="76">
        <f>IF(A84="COMPOSICAO",VLOOKUP("TOTAL SEM BDI - "&amp;B84,CPUAUX5!$A:$J,9,FALSE),VLOOKUP(B84,I!$A:$E,5,FALSE))</f>
        <v>0.89</v>
      </c>
      <c r="H84" s="77"/>
      <c r="I84" s="76">
        <f t="shared" ref="I84:I91" si="4">TRUNC(F84*G84,2)</f>
        <v>0.89</v>
      </c>
      <c r="J84" s="77"/>
      <c r="M84" s="23">
        <f t="shared" ref="M84:M91" si="5">B84</f>
        <v>43488</v>
      </c>
      <c r="N84" s="23">
        <f>SUMIF(CPUAUX3!M:M,B83,CPUAUX3!O:O)</f>
        <v>1.341462465</v>
      </c>
      <c r="O84" s="23">
        <f t="shared" ref="O84:O91" si="6">F84*N84</f>
        <v>1.341462465</v>
      </c>
      <c r="Q84" s="23">
        <f ca="1">SUMIF(CPUAUX3!M:M,B83,CPUAUX3!R:R)</f>
        <v>0.447154155</v>
      </c>
      <c r="R84" s="23">
        <f t="shared" ref="R84:R91" ca="1" si="7">F84*Q84</f>
        <v>0.447154155</v>
      </c>
    </row>
    <row r="85" spans="1:18" ht="45" customHeight="1" x14ac:dyDescent="0.3">
      <c r="A85" s="23" t="s">
        <v>1005</v>
      </c>
      <c r="B85" s="23">
        <v>43464</v>
      </c>
      <c r="C85" s="23" t="str">
        <f>VLOOKUP(B85,IF(A85="COMPOSICAO",S!$A:$E,I!$A:$E),2,FALSE)</f>
        <v>SINAPI</v>
      </c>
      <c r="D85" s="24" t="str">
        <f>VLOOKUP(B85,IF(A85="COMPOSICAO",S!$A:$E,I!$A:$E),3,FALSE)</f>
        <v>FERRAMENTAS - FAMILIA OPERADOR ESCAVADEIRA - HORISTA (ENCARGOS COMPLEMENTARES - COLETADO CAIXA)</v>
      </c>
      <c r="E85" s="23" t="str">
        <f>VLOOKUP(B85,IF(A85="COMPOSICAO",S!$A:$E,I!$A:$E),4,FALSE)</f>
        <v>H</v>
      </c>
      <c r="F85" s="23">
        <v>1</v>
      </c>
      <c r="G85" s="76">
        <f>IF(A85="COMPOSICAO",VLOOKUP("TOTAL SEM BDI - "&amp;B85,CPUAUX5!$A:$J,9,FALSE),VLOOKUP(B85,I!$A:$E,5,FALSE))</f>
        <v>0.01</v>
      </c>
      <c r="H85" s="77"/>
      <c r="I85" s="76">
        <f t="shared" si="4"/>
        <v>0.01</v>
      </c>
      <c r="J85" s="77"/>
      <c r="M85" s="23">
        <f t="shared" si="5"/>
        <v>43464</v>
      </c>
      <c r="N85" s="23">
        <f>SUMIF(CPUAUX3!M:M,B83,CPUAUX3!O:O)</f>
        <v>1.341462465</v>
      </c>
      <c r="O85" s="23">
        <f t="shared" si="6"/>
        <v>1.341462465</v>
      </c>
      <c r="Q85" s="23">
        <f ca="1">SUMIF(CPUAUX3!M:M,B83,CPUAUX3!R:R)</f>
        <v>0.447154155</v>
      </c>
      <c r="R85" s="23">
        <f t="shared" ca="1" si="7"/>
        <v>0.447154155</v>
      </c>
    </row>
    <row r="86" spans="1:18" ht="30" customHeight="1" x14ac:dyDescent="0.3">
      <c r="A86" s="23" t="s">
        <v>1005</v>
      </c>
      <c r="B86" s="23">
        <v>37666</v>
      </c>
      <c r="C86" s="23" t="str">
        <f>VLOOKUP(B86,IF(A86="COMPOSICAO",S!$A:$E,I!$A:$E),2,FALSE)</f>
        <v>SINAPI</v>
      </c>
      <c r="D86" s="24" t="str">
        <f>VLOOKUP(B86,IF(A86="COMPOSICAO",S!$A:$E,I!$A:$E),3,FALSE)</f>
        <v>OPERADOR DE BETONEIRA ESTACIONARIA / MISTURADOR (HORISTA)</v>
      </c>
      <c r="E86" s="23" t="str">
        <f>VLOOKUP(B86,IF(A86="COMPOSICAO",S!$A:$E,I!$A:$E),4,FALSE)</f>
        <v>H</v>
      </c>
      <c r="F86" s="23">
        <v>1</v>
      </c>
      <c r="G86" s="76">
        <f>IF(A86="COMPOSICAO",VLOOKUP("TOTAL SEM BDI - "&amp;B86,CPUAUX5!$A:$J,9,FALSE),VLOOKUP(B86,I!$A:$E,5,FALSE))</f>
        <v>21.48</v>
      </c>
      <c r="H86" s="77"/>
      <c r="I86" s="76">
        <f t="shared" si="4"/>
        <v>21.48</v>
      </c>
      <c r="J86" s="77"/>
      <c r="M86" s="23">
        <f t="shared" si="5"/>
        <v>37666</v>
      </c>
      <c r="N86" s="23">
        <f>SUMIF(CPUAUX3!M:M,B83,CPUAUX3!O:O)</f>
        <v>1.341462465</v>
      </c>
      <c r="O86" s="23">
        <f t="shared" si="6"/>
        <v>1.341462465</v>
      </c>
      <c r="Q86" s="23">
        <f ca="1">SUMIF(CPUAUX3!M:M,B83,CPUAUX3!R:R)</f>
        <v>0.447154155</v>
      </c>
      <c r="R86" s="23">
        <f t="shared" ca="1" si="7"/>
        <v>0.447154155</v>
      </c>
    </row>
    <row r="87" spans="1:18" ht="30" customHeight="1" x14ac:dyDescent="0.3">
      <c r="A87" s="23" t="s">
        <v>1005</v>
      </c>
      <c r="B87" s="23">
        <v>37373</v>
      </c>
      <c r="C87" s="23" t="str">
        <f>VLOOKUP(B87,IF(A87="COMPOSICAO",S!$A:$E,I!$A:$E),2,FALSE)</f>
        <v>SINAPI</v>
      </c>
      <c r="D87" s="24" t="str">
        <f>VLOOKUP(B87,IF(A87="COMPOSICAO",S!$A:$E,I!$A:$E),3,FALSE)</f>
        <v>SEGURO - HORISTA (COLETADO CAIXA - ENCARGOS COMPLEMENTARES)</v>
      </c>
      <c r="E87" s="23" t="str">
        <f>VLOOKUP(B87,IF(A87="COMPOSICAO",S!$A:$E,I!$A:$E),4,FALSE)</f>
        <v>H</v>
      </c>
      <c r="F87" s="23">
        <v>1</v>
      </c>
      <c r="G87" s="76">
        <f>IF(A87="COMPOSICAO",VLOOKUP("TOTAL SEM BDI - "&amp;B87,CPUAUX5!$A:$J,9,FALSE),VLOOKUP(B87,I!$A:$E,5,FALSE))</f>
        <v>0.08</v>
      </c>
      <c r="H87" s="77"/>
      <c r="I87" s="76">
        <f t="shared" si="4"/>
        <v>0.08</v>
      </c>
      <c r="J87" s="77"/>
      <c r="M87" s="23">
        <f t="shared" si="5"/>
        <v>37373</v>
      </c>
      <c r="N87" s="23">
        <f>SUMIF(CPUAUX3!M:M,B83,CPUAUX3!O:O)</f>
        <v>1.341462465</v>
      </c>
      <c r="O87" s="23">
        <f t="shared" si="6"/>
        <v>1.341462465</v>
      </c>
      <c r="Q87" s="23">
        <f ca="1">SUMIF(CPUAUX3!M:M,B83,CPUAUX3!R:R)</f>
        <v>0.447154155</v>
      </c>
      <c r="R87" s="23">
        <f t="shared" ca="1" si="7"/>
        <v>0.447154155</v>
      </c>
    </row>
    <row r="88" spans="1:18" ht="30" customHeight="1" x14ac:dyDescent="0.3">
      <c r="A88" s="23" t="s">
        <v>1005</v>
      </c>
      <c r="B88" s="23">
        <v>37372</v>
      </c>
      <c r="C88" s="23" t="str">
        <f>VLOOKUP(B88,IF(A88="COMPOSICAO",S!$A:$E,I!$A:$E),2,FALSE)</f>
        <v>SINAPI</v>
      </c>
      <c r="D88" s="24" t="str">
        <f>VLOOKUP(B88,IF(A88="COMPOSICAO",S!$A:$E,I!$A:$E),3,FALSE)</f>
        <v>EXAMES - HORISTA (COLETADO CAIXA - ENCARGOS COMPLEMENTARES)</v>
      </c>
      <c r="E88" s="23" t="str">
        <f>VLOOKUP(B88,IF(A88="COMPOSICAO",S!$A:$E,I!$A:$E),4,FALSE)</f>
        <v>H</v>
      </c>
      <c r="F88" s="23">
        <v>1</v>
      </c>
      <c r="G88" s="76">
        <f>IF(A88="COMPOSICAO",VLOOKUP("TOTAL SEM BDI - "&amp;B88,CPUAUX5!$A:$J,9,FALSE),VLOOKUP(B88,I!$A:$E,5,FALSE))</f>
        <v>1.43</v>
      </c>
      <c r="H88" s="77"/>
      <c r="I88" s="76">
        <f t="shared" si="4"/>
        <v>1.43</v>
      </c>
      <c r="J88" s="77"/>
      <c r="M88" s="23">
        <f t="shared" si="5"/>
        <v>37372</v>
      </c>
      <c r="N88" s="23">
        <f>SUMIF(CPUAUX3!M:M,B83,CPUAUX3!O:O)</f>
        <v>1.341462465</v>
      </c>
      <c r="O88" s="23">
        <f t="shared" si="6"/>
        <v>1.341462465</v>
      </c>
      <c r="Q88" s="23">
        <f ca="1">SUMIF(CPUAUX3!M:M,B83,CPUAUX3!R:R)</f>
        <v>0.447154155</v>
      </c>
      <c r="R88" s="23">
        <f t="shared" ca="1" si="7"/>
        <v>0.447154155</v>
      </c>
    </row>
    <row r="89" spans="1:18" ht="30" customHeight="1" x14ac:dyDescent="0.3">
      <c r="A89" s="23" t="s">
        <v>1005</v>
      </c>
      <c r="B89" s="23">
        <v>37371</v>
      </c>
      <c r="C89" s="23" t="str">
        <f>VLOOKUP(B89,IF(A89="COMPOSICAO",S!$A:$E,I!$A:$E),2,FALSE)</f>
        <v>SINAPI</v>
      </c>
      <c r="D89" s="24" t="str">
        <f>VLOOKUP(B89,IF(A89="COMPOSICAO",S!$A:$E,I!$A:$E),3,FALSE)</f>
        <v>TRANSPORTE - HORISTA (COLETADO CAIXA - ENCARGOS COMPLEMENTARES)</v>
      </c>
      <c r="E89" s="23" t="str">
        <f>VLOOKUP(B89,IF(A89="COMPOSICAO",S!$A:$E,I!$A:$E),4,FALSE)</f>
        <v>H</v>
      </c>
      <c r="F89" s="23">
        <v>1</v>
      </c>
      <c r="G89" s="76">
        <f>IF(A89="COMPOSICAO",VLOOKUP("TOTAL SEM BDI - "&amp;B89,CPUAUX5!$A:$J,9,FALSE),VLOOKUP(B89,I!$A:$E,5,FALSE))</f>
        <v>0.56999999999999995</v>
      </c>
      <c r="H89" s="77"/>
      <c r="I89" s="76">
        <f t="shared" si="4"/>
        <v>0.56999999999999995</v>
      </c>
      <c r="J89" s="77"/>
      <c r="M89" s="23">
        <f t="shared" si="5"/>
        <v>37371</v>
      </c>
      <c r="N89" s="23">
        <f>SUMIF(CPUAUX3!M:M,B83,CPUAUX3!O:O)</f>
        <v>1.341462465</v>
      </c>
      <c r="O89" s="23">
        <f t="shared" si="6"/>
        <v>1.341462465</v>
      </c>
      <c r="Q89" s="23">
        <f ca="1">SUMIF(CPUAUX3!M:M,B83,CPUAUX3!R:R)</f>
        <v>0.447154155</v>
      </c>
      <c r="R89" s="23">
        <f t="shared" ca="1" si="7"/>
        <v>0.447154155</v>
      </c>
    </row>
    <row r="90" spans="1:18" ht="30" customHeight="1" x14ac:dyDescent="0.3">
      <c r="A90" s="23" t="s">
        <v>1005</v>
      </c>
      <c r="B90" s="23">
        <v>37370</v>
      </c>
      <c r="C90" s="23" t="str">
        <f>VLOOKUP(B90,IF(A90="COMPOSICAO",S!$A:$E,I!$A:$E),2,FALSE)</f>
        <v>SINAPI</v>
      </c>
      <c r="D90" s="24" t="str">
        <f>VLOOKUP(B90,IF(A90="COMPOSICAO",S!$A:$E,I!$A:$E),3,FALSE)</f>
        <v>ALIMENTACAO - HORISTA (COLETADO CAIXA - ENCARGOS COMPLEMENTARES)</v>
      </c>
      <c r="E90" s="23" t="str">
        <f>VLOOKUP(B90,IF(A90="COMPOSICAO",S!$A:$E,I!$A:$E),4,FALSE)</f>
        <v>H</v>
      </c>
      <c r="F90" s="23">
        <v>1</v>
      </c>
      <c r="G90" s="76">
        <f>IF(A90="COMPOSICAO",VLOOKUP("TOTAL SEM BDI - "&amp;B90,CPUAUX5!$A:$J,9,FALSE),VLOOKUP(B90,I!$A:$E,5,FALSE))</f>
        <v>2.46</v>
      </c>
      <c r="H90" s="77"/>
      <c r="I90" s="76">
        <f t="shared" si="4"/>
        <v>2.46</v>
      </c>
      <c r="J90" s="77"/>
      <c r="M90" s="23">
        <f t="shared" si="5"/>
        <v>37370</v>
      </c>
      <c r="N90" s="23">
        <f>SUMIF(CPUAUX3!M:M,B83,CPUAUX3!O:O)</f>
        <v>1.341462465</v>
      </c>
      <c r="O90" s="23">
        <f t="shared" si="6"/>
        <v>1.341462465</v>
      </c>
      <c r="Q90" s="23">
        <f ca="1">SUMIF(CPUAUX3!M:M,B83,CPUAUX3!R:R)</f>
        <v>0.447154155</v>
      </c>
      <c r="R90" s="23">
        <f t="shared" ca="1" si="7"/>
        <v>0.447154155</v>
      </c>
    </row>
    <row r="91" spans="1:18" ht="45" customHeight="1" x14ac:dyDescent="0.3">
      <c r="A91" s="23" t="s">
        <v>1004</v>
      </c>
      <c r="B91" s="23">
        <v>95389</v>
      </c>
      <c r="C91" s="23" t="str">
        <f>VLOOKUP(B91,IF(A91="COMPOSICAO",S!$A:$E,I!$A:$E),2,FALSE)</f>
        <v>SINAPI</v>
      </c>
      <c r="D91" s="24" t="str">
        <f>VLOOKUP(B91,IF(A91="COMPOSICAO",S!$A:$E,I!$A:$E),3,FALSE)</f>
        <v>CURSO DE CAPACITAÇÃO PARA OPERADOR DE BETONEIRA ESTACIONÁRIA/MISTURADOR (ENCARGOS COMPLEMENTARES) - HORISTA</v>
      </c>
      <c r="E91" s="23" t="str">
        <f>VLOOKUP(B91,IF(A91="COMPOSICAO",S!$A:$E,I!$A:$E),4,FALSE)</f>
        <v>H</v>
      </c>
      <c r="F91" s="23">
        <v>1</v>
      </c>
      <c r="G91" s="76">
        <f>IF(A91="COMPOSICAO",VLOOKUP("TOTAL SEM BDI - "&amp;B91,CPUAUX5!$A:$J,9,FALSE),VLOOKUP(B91,I!$A:$E,5,FALSE))</f>
        <v>0.17</v>
      </c>
      <c r="H91" s="77"/>
      <c r="I91" s="76">
        <f t="shared" si="4"/>
        <v>0.17</v>
      </c>
      <c r="J91" s="77"/>
      <c r="M91" s="23">
        <f t="shared" si="5"/>
        <v>95389</v>
      </c>
      <c r="N91" s="23">
        <f>SUMIF(CPUAUX3!M:M,B83,CPUAUX3!O:O)</f>
        <v>1.341462465</v>
      </c>
      <c r="O91" s="23">
        <f t="shared" si="6"/>
        <v>1.341462465</v>
      </c>
      <c r="Q91" s="23">
        <f ca="1">SUMIF(CPUAUX3!M:M,B83,CPUAUX3!R:R)</f>
        <v>0.447154155</v>
      </c>
      <c r="R91" s="23">
        <f t="shared" ca="1" si="7"/>
        <v>0.447154155</v>
      </c>
    </row>
    <row r="92" spans="1:18" x14ac:dyDescent="0.3">
      <c r="A92" s="73" t="str">
        <f>"TOTAL SEM BDI - "&amp;B83</f>
        <v>TOTAL SEM BDI - 88377</v>
      </c>
      <c r="B92" s="74"/>
      <c r="C92" s="74"/>
      <c r="D92" s="74"/>
      <c r="E92" s="74"/>
      <c r="F92" s="74"/>
      <c r="G92" s="74"/>
      <c r="H92" s="75"/>
      <c r="I92" s="76">
        <f>SUM(I83:I91)</f>
        <v>27.09</v>
      </c>
      <c r="J92" s="77"/>
    </row>
    <row r="94" spans="1:18" x14ac:dyDescent="0.3">
      <c r="A94" s="4" t="s">
        <v>1000</v>
      </c>
      <c r="B94" s="4" t="s">
        <v>170</v>
      </c>
      <c r="C94" s="4" t="s">
        <v>171</v>
      </c>
      <c r="D94" s="4" t="s">
        <v>18</v>
      </c>
      <c r="E94" s="4" t="s">
        <v>172</v>
      </c>
      <c r="F94" s="4" t="s">
        <v>507</v>
      </c>
      <c r="G94" s="45" t="s">
        <v>1001</v>
      </c>
      <c r="H94" s="46"/>
      <c r="I94" s="45" t="s">
        <v>12</v>
      </c>
      <c r="J94" s="46"/>
    </row>
    <row r="95" spans="1:18" x14ac:dyDescent="0.3">
      <c r="A95" s="15" t="s">
        <v>1071</v>
      </c>
      <c r="B95" s="15">
        <v>88316</v>
      </c>
      <c r="C95" s="15" t="str">
        <f>VLOOKUP(B95,S!$A:$G,2,FALSE)</f>
        <v>SINAPI</v>
      </c>
      <c r="D95" s="22" t="str">
        <f>VLOOKUP(B95,S!$A:$G,3,FALSE)</f>
        <v>SERVENTE COM ENCARGOS COMPLEMENTARES</v>
      </c>
      <c r="E95" s="15" t="str">
        <f>VLOOKUP(B95,S!$A:$G,4,FALSE)</f>
        <v>H</v>
      </c>
      <c r="F95" s="15"/>
      <c r="G95" s="78">
        <f>I104</f>
        <v>21.709999999999997</v>
      </c>
      <c r="H95" s="79"/>
      <c r="I95" s="78"/>
      <c r="J95" s="79"/>
      <c r="K95" s="16">
        <f>VLOOKUP(B95,S!A:G,5,FALSE)</f>
        <v>21.71</v>
      </c>
      <c r="L95" s="15" t="str">
        <f>IF(K95=G95,"OK, CONFORME TABELA",IF(G95&gt;K95,"ACIMA DA TABELA: ","ABAIXO DA TABELA: ")&amp;TRUNC((G95*100)/K95,2)&amp;" %")</f>
        <v>OK, CONFORME TABELA</v>
      </c>
    </row>
    <row r="96" spans="1:18" ht="30" customHeight="1" x14ac:dyDescent="0.3">
      <c r="A96" s="23" t="s">
        <v>1005</v>
      </c>
      <c r="B96" s="23">
        <v>43491</v>
      </c>
      <c r="C96" s="23" t="str">
        <f>VLOOKUP(B96,IF(A96="COMPOSICAO",S!$A:$E,I!$A:$E),2,FALSE)</f>
        <v>SINAPI</v>
      </c>
      <c r="D96" s="24" t="str">
        <f>VLOOKUP(B96,IF(A96="COMPOSICAO",S!$A:$E,I!$A:$E),3,FALSE)</f>
        <v>EPI - FAMILIA SERVENTE - HORISTA (ENCARGOS COMPLEMENTARES - COLETADO CAIXA)</v>
      </c>
      <c r="E96" s="23" t="str">
        <f>VLOOKUP(B96,IF(A96="COMPOSICAO",S!$A:$E,I!$A:$E),4,FALSE)</f>
        <v>H</v>
      </c>
      <c r="F96" s="23">
        <v>1</v>
      </c>
      <c r="G96" s="76">
        <f>IF(A96="COMPOSICAO",VLOOKUP("TOTAL SEM BDI - "&amp;B96,CPUAUX5!$A:$J,9,FALSE),VLOOKUP(B96,I!$A:$E,5,FALSE))</f>
        <v>1.39</v>
      </c>
      <c r="H96" s="77"/>
      <c r="I96" s="76">
        <f t="shared" ref="I96:I103" si="8">TRUNC(F96*G96,2)</f>
        <v>1.39</v>
      </c>
      <c r="J96" s="77"/>
      <c r="M96" s="23">
        <f t="shared" ref="M96:M103" si="9">B96</f>
        <v>43491</v>
      </c>
      <c r="N96" s="23">
        <f>SUMIF(CPUAUX3!M:M,B95,CPUAUX3!O:O)</f>
        <v>2.1247049250000001</v>
      </c>
      <c r="O96" s="23">
        <f t="shared" ref="O96:O103" si="10">F96*N96</f>
        <v>2.1247049250000001</v>
      </c>
      <c r="Q96" s="23">
        <f ca="1">SUMIF(CPUAUX3!M:M,B95,CPUAUX3!R:R)</f>
        <v>0.7082349750000001</v>
      </c>
      <c r="R96" s="23">
        <f t="shared" ref="R96:R103" ca="1" si="11">F96*Q96</f>
        <v>0.7082349750000001</v>
      </c>
    </row>
    <row r="97" spans="1:18" ht="30" customHeight="1" x14ac:dyDescent="0.3">
      <c r="A97" s="23" t="s">
        <v>1005</v>
      </c>
      <c r="B97" s="23">
        <v>43467</v>
      </c>
      <c r="C97" s="23" t="str">
        <f>VLOOKUP(B97,IF(A97="COMPOSICAO",S!$A:$E,I!$A:$E),2,FALSE)</f>
        <v>SINAPI</v>
      </c>
      <c r="D97" s="24" t="str">
        <f>VLOOKUP(B97,IF(A97="COMPOSICAO",S!$A:$E,I!$A:$E),3,FALSE)</f>
        <v>FERRAMENTAS - FAMILIA SERVENTE - HORISTA (ENCARGOS COMPLEMENTARES - COLETADO CAIXA)</v>
      </c>
      <c r="E97" s="23" t="str">
        <f>VLOOKUP(B97,IF(A97="COMPOSICAO",S!$A:$E,I!$A:$E),4,FALSE)</f>
        <v>H</v>
      </c>
      <c r="F97" s="23">
        <v>1</v>
      </c>
      <c r="G97" s="76">
        <f>IF(A97="COMPOSICAO",VLOOKUP("TOTAL SEM BDI - "&amp;B97,CPUAUX5!$A:$J,9,FALSE),VLOOKUP(B97,I!$A:$E,5,FALSE))</f>
        <v>0.61</v>
      </c>
      <c r="H97" s="77"/>
      <c r="I97" s="76">
        <f t="shared" si="8"/>
        <v>0.61</v>
      </c>
      <c r="J97" s="77"/>
      <c r="M97" s="23">
        <f t="shared" si="9"/>
        <v>43467</v>
      </c>
      <c r="N97" s="23">
        <f>SUMIF(CPUAUX3!M:M,B95,CPUAUX3!O:O)</f>
        <v>2.1247049250000001</v>
      </c>
      <c r="O97" s="23">
        <f t="shared" si="10"/>
        <v>2.1247049250000001</v>
      </c>
      <c r="Q97" s="23">
        <f ca="1">SUMIF(CPUAUX3!M:M,B95,CPUAUX3!R:R)</f>
        <v>0.7082349750000001</v>
      </c>
      <c r="R97" s="23">
        <f t="shared" ca="1" si="11"/>
        <v>0.7082349750000001</v>
      </c>
    </row>
    <row r="98" spans="1:18" ht="30" customHeight="1" x14ac:dyDescent="0.3">
      <c r="A98" s="23" t="s">
        <v>1005</v>
      </c>
      <c r="B98" s="23">
        <v>37373</v>
      </c>
      <c r="C98" s="23" t="str">
        <f>VLOOKUP(B98,IF(A98="COMPOSICAO",S!$A:$E,I!$A:$E),2,FALSE)</f>
        <v>SINAPI</v>
      </c>
      <c r="D98" s="24" t="str">
        <f>VLOOKUP(B98,IF(A98="COMPOSICAO",S!$A:$E,I!$A:$E),3,FALSE)</f>
        <v>SEGURO - HORISTA (COLETADO CAIXA - ENCARGOS COMPLEMENTARES)</v>
      </c>
      <c r="E98" s="23" t="str">
        <f>VLOOKUP(B98,IF(A98="COMPOSICAO",S!$A:$E,I!$A:$E),4,FALSE)</f>
        <v>H</v>
      </c>
      <c r="F98" s="23">
        <v>1</v>
      </c>
      <c r="G98" s="76">
        <f>IF(A98="COMPOSICAO",VLOOKUP("TOTAL SEM BDI - "&amp;B98,CPUAUX5!$A:$J,9,FALSE),VLOOKUP(B98,I!$A:$E,5,FALSE))</f>
        <v>0.08</v>
      </c>
      <c r="H98" s="77"/>
      <c r="I98" s="76">
        <f t="shared" si="8"/>
        <v>0.08</v>
      </c>
      <c r="J98" s="77"/>
      <c r="M98" s="23">
        <f t="shared" si="9"/>
        <v>37373</v>
      </c>
      <c r="N98" s="23">
        <f>SUMIF(CPUAUX3!M:M,B95,CPUAUX3!O:O)</f>
        <v>2.1247049250000001</v>
      </c>
      <c r="O98" s="23">
        <f t="shared" si="10"/>
        <v>2.1247049250000001</v>
      </c>
      <c r="Q98" s="23">
        <f ca="1">SUMIF(CPUAUX3!M:M,B95,CPUAUX3!R:R)</f>
        <v>0.7082349750000001</v>
      </c>
      <c r="R98" s="23">
        <f t="shared" ca="1" si="11"/>
        <v>0.7082349750000001</v>
      </c>
    </row>
    <row r="99" spans="1:18" ht="30" customHeight="1" x14ac:dyDescent="0.3">
      <c r="A99" s="23" t="s">
        <v>1005</v>
      </c>
      <c r="B99" s="23">
        <v>37372</v>
      </c>
      <c r="C99" s="23" t="str">
        <f>VLOOKUP(B99,IF(A99="COMPOSICAO",S!$A:$E,I!$A:$E),2,FALSE)</f>
        <v>SINAPI</v>
      </c>
      <c r="D99" s="24" t="str">
        <f>VLOOKUP(B99,IF(A99="COMPOSICAO",S!$A:$E,I!$A:$E),3,FALSE)</f>
        <v>EXAMES - HORISTA (COLETADO CAIXA - ENCARGOS COMPLEMENTARES)</v>
      </c>
      <c r="E99" s="23" t="str">
        <f>VLOOKUP(B99,IF(A99="COMPOSICAO",S!$A:$E,I!$A:$E),4,FALSE)</f>
        <v>H</v>
      </c>
      <c r="F99" s="23">
        <v>1</v>
      </c>
      <c r="G99" s="76">
        <f>IF(A99="COMPOSICAO",VLOOKUP("TOTAL SEM BDI - "&amp;B99,CPUAUX5!$A:$J,9,FALSE),VLOOKUP(B99,I!$A:$E,5,FALSE))</f>
        <v>1.43</v>
      </c>
      <c r="H99" s="77"/>
      <c r="I99" s="76">
        <f t="shared" si="8"/>
        <v>1.43</v>
      </c>
      <c r="J99" s="77"/>
      <c r="M99" s="23">
        <f t="shared" si="9"/>
        <v>37372</v>
      </c>
      <c r="N99" s="23">
        <f>SUMIF(CPUAUX3!M:M,B95,CPUAUX3!O:O)</f>
        <v>2.1247049250000001</v>
      </c>
      <c r="O99" s="23">
        <f t="shared" si="10"/>
        <v>2.1247049250000001</v>
      </c>
      <c r="Q99" s="23">
        <f ca="1">SUMIF(CPUAUX3!M:M,B95,CPUAUX3!R:R)</f>
        <v>0.7082349750000001</v>
      </c>
      <c r="R99" s="23">
        <f t="shared" ca="1" si="11"/>
        <v>0.7082349750000001</v>
      </c>
    </row>
    <row r="100" spans="1:18" ht="30" customHeight="1" x14ac:dyDescent="0.3">
      <c r="A100" s="23" t="s">
        <v>1005</v>
      </c>
      <c r="B100" s="23">
        <v>37371</v>
      </c>
      <c r="C100" s="23" t="str">
        <f>VLOOKUP(B100,IF(A100="COMPOSICAO",S!$A:$E,I!$A:$E),2,FALSE)</f>
        <v>SINAPI</v>
      </c>
      <c r="D100" s="24" t="str">
        <f>VLOOKUP(B100,IF(A100="COMPOSICAO",S!$A:$E,I!$A:$E),3,FALSE)</f>
        <v>TRANSPORTE - HORISTA (COLETADO CAIXA - ENCARGOS COMPLEMENTARES)</v>
      </c>
      <c r="E100" s="23" t="str">
        <f>VLOOKUP(B100,IF(A100="COMPOSICAO",S!$A:$E,I!$A:$E),4,FALSE)</f>
        <v>H</v>
      </c>
      <c r="F100" s="23">
        <v>1</v>
      </c>
      <c r="G100" s="76">
        <f>IF(A100="COMPOSICAO",VLOOKUP("TOTAL SEM BDI - "&amp;B100,CPUAUX5!$A:$J,9,FALSE),VLOOKUP(B100,I!$A:$E,5,FALSE))</f>
        <v>0.56999999999999995</v>
      </c>
      <c r="H100" s="77"/>
      <c r="I100" s="76">
        <f t="shared" si="8"/>
        <v>0.56999999999999995</v>
      </c>
      <c r="J100" s="77"/>
      <c r="M100" s="23">
        <f t="shared" si="9"/>
        <v>37371</v>
      </c>
      <c r="N100" s="23">
        <f>SUMIF(CPUAUX3!M:M,B95,CPUAUX3!O:O)</f>
        <v>2.1247049250000001</v>
      </c>
      <c r="O100" s="23">
        <f t="shared" si="10"/>
        <v>2.1247049250000001</v>
      </c>
      <c r="Q100" s="23">
        <f ca="1">SUMIF(CPUAUX3!M:M,B95,CPUAUX3!R:R)</f>
        <v>0.7082349750000001</v>
      </c>
      <c r="R100" s="23">
        <f t="shared" ca="1" si="11"/>
        <v>0.7082349750000001</v>
      </c>
    </row>
    <row r="101" spans="1:18" ht="30" customHeight="1" x14ac:dyDescent="0.3">
      <c r="A101" s="23" t="s">
        <v>1005</v>
      </c>
      <c r="B101" s="23">
        <v>37370</v>
      </c>
      <c r="C101" s="23" t="str">
        <f>VLOOKUP(B101,IF(A101="COMPOSICAO",S!$A:$E,I!$A:$E),2,FALSE)</f>
        <v>SINAPI</v>
      </c>
      <c r="D101" s="24" t="str">
        <f>VLOOKUP(B101,IF(A101="COMPOSICAO",S!$A:$E,I!$A:$E),3,FALSE)</f>
        <v>ALIMENTACAO - HORISTA (COLETADO CAIXA - ENCARGOS COMPLEMENTARES)</v>
      </c>
      <c r="E101" s="23" t="str">
        <f>VLOOKUP(B101,IF(A101="COMPOSICAO",S!$A:$E,I!$A:$E),4,FALSE)</f>
        <v>H</v>
      </c>
      <c r="F101" s="23">
        <v>1</v>
      </c>
      <c r="G101" s="76">
        <f>IF(A101="COMPOSICAO",VLOOKUP("TOTAL SEM BDI - "&amp;B101,CPUAUX5!$A:$J,9,FALSE),VLOOKUP(B101,I!$A:$E,5,FALSE))</f>
        <v>2.46</v>
      </c>
      <c r="H101" s="77"/>
      <c r="I101" s="76">
        <f t="shared" si="8"/>
        <v>2.46</v>
      </c>
      <c r="J101" s="77"/>
      <c r="M101" s="23">
        <f t="shared" si="9"/>
        <v>37370</v>
      </c>
      <c r="N101" s="23">
        <f>SUMIF(CPUAUX3!M:M,B95,CPUAUX3!O:O)</f>
        <v>2.1247049250000001</v>
      </c>
      <c r="O101" s="23">
        <f t="shared" si="10"/>
        <v>2.1247049250000001</v>
      </c>
      <c r="Q101" s="23">
        <f ca="1">SUMIF(CPUAUX3!M:M,B95,CPUAUX3!R:R)</f>
        <v>0.7082349750000001</v>
      </c>
      <c r="R101" s="23">
        <f t="shared" ca="1" si="11"/>
        <v>0.7082349750000001</v>
      </c>
    </row>
    <row r="102" spans="1:18" x14ac:dyDescent="0.3">
      <c r="A102" s="23" t="s">
        <v>1005</v>
      </c>
      <c r="B102" s="23">
        <v>6111</v>
      </c>
      <c r="C102" s="23" t="str">
        <f>VLOOKUP(B102,IF(A102="COMPOSICAO",S!$A:$E,I!$A:$E),2,FALSE)</f>
        <v>SINAPI</v>
      </c>
      <c r="D102" s="24" t="str">
        <f>VLOOKUP(B102,IF(A102="COMPOSICAO",S!$A:$E,I!$A:$E),3,FALSE)</f>
        <v>SERVENTE DE OBRAS (HORISTA)</v>
      </c>
      <c r="E102" s="23" t="str">
        <f>VLOOKUP(B102,IF(A102="COMPOSICAO",S!$A:$E,I!$A:$E),4,FALSE)</f>
        <v>H</v>
      </c>
      <c r="F102" s="23">
        <v>1</v>
      </c>
      <c r="G102" s="76">
        <f>IF(A102="COMPOSICAO",VLOOKUP("TOTAL SEM BDI - "&amp;B102,CPUAUX5!$A:$J,9,FALSE),VLOOKUP(B102,I!$A:$E,5,FALSE))</f>
        <v>14.86</v>
      </c>
      <c r="H102" s="77"/>
      <c r="I102" s="76">
        <f t="shared" si="8"/>
        <v>14.86</v>
      </c>
      <c r="J102" s="77"/>
      <c r="M102" s="23">
        <f t="shared" si="9"/>
        <v>6111</v>
      </c>
      <c r="N102" s="23">
        <f>SUMIF(CPUAUX3!M:M,B95,CPUAUX3!O:O)</f>
        <v>2.1247049250000001</v>
      </c>
      <c r="O102" s="23">
        <f t="shared" si="10"/>
        <v>2.1247049250000001</v>
      </c>
      <c r="Q102" s="23">
        <f ca="1">SUMIF(CPUAUX3!M:M,B95,CPUAUX3!R:R)</f>
        <v>0.7082349750000001</v>
      </c>
      <c r="R102" s="23">
        <f t="shared" ca="1" si="11"/>
        <v>0.7082349750000001</v>
      </c>
    </row>
    <row r="103" spans="1:18" ht="30" customHeight="1" x14ac:dyDescent="0.3">
      <c r="A103" s="23" t="s">
        <v>1004</v>
      </c>
      <c r="B103" s="23">
        <v>95378</v>
      </c>
      <c r="C103" s="23" t="str">
        <f>VLOOKUP(B103,IF(A103="COMPOSICAO",S!$A:$E,I!$A:$E),2,FALSE)</f>
        <v>SINAPI</v>
      </c>
      <c r="D103" s="24" t="str">
        <f>VLOOKUP(B103,IF(A103="COMPOSICAO",S!$A:$E,I!$A:$E),3,FALSE)</f>
        <v>CURSO DE CAPACITAÇÃO PARA SERVENTE (ENCARGOS COMPLEMENTARES) - HORISTA</v>
      </c>
      <c r="E103" s="23" t="str">
        <f>VLOOKUP(B103,IF(A103="COMPOSICAO",S!$A:$E,I!$A:$E),4,FALSE)</f>
        <v>H</v>
      </c>
      <c r="F103" s="23">
        <v>1</v>
      </c>
      <c r="G103" s="76">
        <f>IF(A103="COMPOSICAO",VLOOKUP("TOTAL SEM BDI - "&amp;B103,CPUAUX5!$A:$J,9,FALSE),VLOOKUP(B103,I!$A:$E,5,FALSE))</f>
        <v>0.31</v>
      </c>
      <c r="H103" s="77"/>
      <c r="I103" s="76">
        <f t="shared" si="8"/>
        <v>0.31</v>
      </c>
      <c r="J103" s="77"/>
      <c r="M103" s="23">
        <f t="shared" si="9"/>
        <v>95378</v>
      </c>
      <c r="N103" s="23">
        <f>SUMIF(CPUAUX3!M:M,B95,CPUAUX3!O:O)</f>
        <v>2.1247049250000001</v>
      </c>
      <c r="O103" s="23">
        <f t="shared" si="10"/>
        <v>2.1247049250000001</v>
      </c>
      <c r="Q103" s="23">
        <f ca="1">SUMIF(CPUAUX3!M:M,B95,CPUAUX3!R:R)</f>
        <v>0.7082349750000001</v>
      </c>
      <c r="R103" s="23">
        <f t="shared" ca="1" si="11"/>
        <v>0.7082349750000001</v>
      </c>
    </row>
    <row r="104" spans="1:18" x14ac:dyDescent="0.3">
      <c r="A104" s="73" t="str">
        <f>"TOTAL SEM BDI - "&amp;B95</f>
        <v>TOTAL SEM BDI - 88316</v>
      </c>
      <c r="B104" s="74"/>
      <c r="C104" s="74"/>
      <c r="D104" s="74"/>
      <c r="E104" s="74"/>
      <c r="F104" s="74"/>
      <c r="G104" s="74"/>
      <c r="H104" s="75"/>
      <c r="I104" s="76">
        <f>SUM(I95:I103)</f>
        <v>21.709999999999997</v>
      </c>
      <c r="J104" s="77"/>
    </row>
    <row r="106" spans="1:18" x14ac:dyDescent="0.3">
      <c r="A106" s="4" t="s">
        <v>1000</v>
      </c>
      <c r="B106" s="4" t="s">
        <v>170</v>
      </c>
      <c r="C106" s="4" t="s">
        <v>171</v>
      </c>
      <c r="D106" s="4" t="s">
        <v>18</v>
      </c>
      <c r="E106" s="4" t="s">
        <v>172</v>
      </c>
      <c r="F106" s="4" t="s">
        <v>507</v>
      </c>
      <c r="G106" s="45" t="s">
        <v>1001</v>
      </c>
      <c r="H106" s="46"/>
      <c r="I106" s="45" t="s">
        <v>12</v>
      </c>
      <c r="J106" s="46"/>
    </row>
    <row r="107" spans="1:18" ht="45" customHeight="1" x14ac:dyDescent="0.3">
      <c r="A107" s="15" t="s">
        <v>1096</v>
      </c>
      <c r="B107" s="15">
        <v>90583</v>
      </c>
      <c r="C107" s="15" t="str">
        <f>VLOOKUP(B107,S!$A:$G,2,FALSE)</f>
        <v>SINAPI</v>
      </c>
      <c r="D107" s="22" t="str">
        <f>VLOOKUP(B107,S!$A:$G,3,FALSE)</f>
        <v>VIBRADOR DE IMERSÃO, DIÂMETRO DE PONTEIRA 45MM, MOTOR ELÉTRICO TRIFÁSICO POTÊNCIA DE 2 CV - JUROS. AF_06/2015</v>
      </c>
      <c r="E107" s="15" t="str">
        <f>VLOOKUP(B107,S!$A:$G,4,FALSE)</f>
        <v>H</v>
      </c>
      <c r="F107" s="15"/>
      <c r="G107" s="78">
        <f>I109</f>
        <v>0.09</v>
      </c>
      <c r="H107" s="79"/>
      <c r="I107" s="78"/>
      <c r="J107" s="79"/>
      <c r="K107" s="16">
        <f>VLOOKUP(B107,S!A:G,5,FALSE)</f>
        <v>0.09</v>
      </c>
      <c r="L107" s="15" t="str">
        <f>IF(K107=G107,"OK, CONFORME TABELA",IF(G107&gt;K107,"ACIMA DA TABELA: ","ABAIXO DA TABELA: ")&amp;TRUNC((G107*100)/K107,2)&amp;" %")</f>
        <v>OK, CONFORME TABELA</v>
      </c>
    </row>
    <row r="108" spans="1:18" ht="45" customHeight="1" x14ac:dyDescent="0.3">
      <c r="A108" s="23" t="s">
        <v>1005</v>
      </c>
      <c r="B108" s="23">
        <v>13896</v>
      </c>
      <c r="C108" s="23" t="str">
        <f>VLOOKUP(B108,IF(A108="COMPOSICAO",S!$A:$E,I!$A:$E),2,FALSE)</f>
        <v>SINAPI</v>
      </c>
      <c r="D108" s="24" t="str">
        <f>VLOOKUP(B108,IF(A108="COMPOSICAO",S!$A:$E,I!$A:$E),3,FALSE)</f>
        <v>VIBRADOR DE IMERSAO, DIAMETRO DA PONTEIRA DE *45* MM, COM MOTOR ELETRICO TRIFASICO DE 2 HP (2 CV)</v>
      </c>
      <c r="E108" s="23" t="str">
        <f>VLOOKUP(B108,IF(A108="COMPOSICAO",S!$A:$E,I!$A:$E),4,FALSE)</f>
        <v>UN</v>
      </c>
      <c r="F108" s="23">
        <v>2.9600000000000001E-5</v>
      </c>
      <c r="G108" s="76">
        <f>IF(A108="COMPOSICAO",VLOOKUP("TOTAL SEM BDI - "&amp;B108,CPUAUX5!$A:$J,9,FALSE),VLOOKUP(B108,I!$A:$E,5,FALSE))</f>
        <v>3120.96</v>
      </c>
      <c r="H108" s="77"/>
      <c r="I108" s="76">
        <f>TRUNC(F108*G108,2)</f>
        <v>0.09</v>
      </c>
      <c r="J108" s="77"/>
      <c r="M108" s="23">
        <f>B108</f>
        <v>13896</v>
      </c>
      <c r="N108" s="23">
        <f>SUMIF(CPUAUX3!M:M,B107,CPUAUX3!O:O)</f>
        <v>0.97240499999999996</v>
      </c>
      <c r="O108" s="23">
        <f>F108*N108</f>
        <v>2.8783188E-5</v>
      </c>
      <c r="Q108" s="23">
        <f ca="1">SUMIF(CPUAUX3!M:M,B107,CPUAUX3!R:R)</f>
        <v>0.32413500000000006</v>
      </c>
      <c r="R108" s="23">
        <f ca="1">F108*Q108</f>
        <v>9.5943960000000016E-6</v>
      </c>
    </row>
    <row r="109" spans="1:18" x14ac:dyDescent="0.3">
      <c r="A109" s="73" t="str">
        <f>"TOTAL SEM BDI - "&amp;B107</f>
        <v>TOTAL SEM BDI - 90583</v>
      </c>
      <c r="B109" s="74"/>
      <c r="C109" s="74"/>
      <c r="D109" s="74"/>
      <c r="E109" s="74"/>
      <c r="F109" s="74"/>
      <c r="G109" s="74"/>
      <c r="H109" s="75"/>
      <c r="I109" s="76">
        <f>SUM(I107:I108)</f>
        <v>0.09</v>
      </c>
      <c r="J109" s="77"/>
    </row>
    <row r="111" spans="1:18" x14ac:dyDescent="0.3">
      <c r="A111" s="4" t="s">
        <v>1000</v>
      </c>
      <c r="B111" s="4" t="s">
        <v>170</v>
      </c>
      <c r="C111" s="4" t="s">
        <v>171</v>
      </c>
      <c r="D111" s="4" t="s">
        <v>18</v>
      </c>
      <c r="E111" s="4" t="s">
        <v>172</v>
      </c>
      <c r="F111" s="4" t="s">
        <v>507</v>
      </c>
      <c r="G111" s="45" t="s">
        <v>1001</v>
      </c>
      <c r="H111" s="46"/>
      <c r="I111" s="45" t="s">
        <v>12</v>
      </c>
      <c r="J111" s="46"/>
    </row>
    <row r="112" spans="1:18" ht="45" customHeight="1" x14ac:dyDescent="0.3">
      <c r="A112" s="15" t="s">
        <v>1096</v>
      </c>
      <c r="B112" s="15">
        <v>90582</v>
      </c>
      <c r="C112" s="15" t="str">
        <f>VLOOKUP(B112,S!$A:$G,2,FALSE)</f>
        <v>SINAPI</v>
      </c>
      <c r="D112" s="22" t="str">
        <f>VLOOKUP(B112,S!$A:$G,3,FALSE)</f>
        <v>VIBRADOR DE IMERSÃO, DIÂMETRO DE PONTEIRA 45MM, MOTOR ELÉTRICO TRIFÁSICO POTÊNCIA DE 2 CV - DEPRECIAÇÃO. AF_06/2015</v>
      </c>
      <c r="E112" s="15" t="str">
        <f>VLOOKUP(B112,S!$A:$G,4,FALSE)</f>
        <v>H</v>
      </c>
      <c r="F112" s="15"/>
      <c r="G112" s="78">
        <f>I114</f>
        <v>0.39</v>
      </c>
      <c r="H112" s="79"/>
      <c r="I112" s="78"/>
      <c r="J112" s="79"/>
      <c r="K112" s="16">
        <f>VLOOKUP(B112,S!A:G,5,FALSE)</f>
        <v>0.39</v>
      </c>
      <c r="L112" s="15" t="str">
        <f>IF(K112=G112,"OK, CONFORME TABELA",IF(G112&gt;K112,"ACIMA DA TABELA: ","ABAIXO DA TABELA: ")&amp;TRUNC((G112*100)/K112,2)&amp;" %")</f>
        <v>OK, CONFORME TABELA</v>
      </c>
    </row>
    <row r="113" spans="1:18" ht="45" customHeight="1" x14ac:dyDescent="0.3">
      <c r="A113" s="23" t="s">
        <v>1005</v>
      </c>
      <c r="B113" s="23">
        <v>13896</v>
      </c>
      <c r="C113" s="23" t="str">
        <f>VLOOKUP(B113,IF(A113="COMPOSICAO",S!$A:$E,I!$A:$E),2,FALSE)</f>
        <v>SINAPI</v>
      </c>
      <c r="D113" s="24" t="str">
        <f>VLOOKUP(B113,IF(A113="COMPOSICAO",S!$A:$E,I!$A:$E),3,FALSE)</f>
        <v>VIBRADOR DE IMERSAO, DIAMETRO DA PONTEIRA DE *45* MM, COM MOTOR ELETRICO TRIFASICO DE 2 HP (2 CV)</v>
      </c>
      <c r="E113" s="23" t="str">
        <f>VLOOKUP(B113,IF(A113="COMPOSICAO",S!$A:$E,I!$A:$E),4,FALSE)</f>
        <v>UN</v>
      </c>
      <c r="F113" s="23">
        <v>1.2799999999999999E-4</v>
      </c>
      <c r="G113" s="76">
        <f>IF(A113="COMPOSICAO",VLOOKUP("TOTAL SEM BDI - "&amp;B113,CPUAUX5!$A:$J,9,FALSE),VLOOKUP(B113,I!$A:$E,5,FALSE))</f>
        <v>3120.96</v>
      </c>
      <c r="H113" s="77"/>
      <c r="I113" s="76">
        <f>TRUNC(F113*G113,2)</f>
        <v>0.39</v>
      </c>
      <c r="J113" s="77"/>
      <c r="M113" s="23">
        <f>B113</f>
        <v>13896</v>
      </c>
      <c r="N113" s="23">
        <f>SUMIF(CPUAUX3!M:M,B112,CPUAUX3!O:O)</f>
        <v>0.97240499999999996</v>
      </c>
      <c r="O113" s="23">
        <f>F113*N113</f>
        <v>1.2446783999999999E-4</v>
      </c>
      <c r="Q113" s="23">
        <f ca="1">SUMIF(CPUAUX3!M:M,B112,CPUAUX3!R:R)</f>
        <v>0.32413500000000006</v>
      </c>
      <c r="R113" s="23">
        <f ca="1">F113*Q113</f>
        <v>4.1489280000000008E-5</v>
      </c>
    </row>
    <row r="114" spans="1:18" x14ac:dyDescent="0.3">
      <c r="A114" s="73" t="str">
        <f>"TOTAL SEM BDI - "&amp;B112</f>
        <v>TOTAL SEM BDI - 90582</v>
      </c>
      <c r="B114" s="74"/>
      <c r="C114" s="74"/>
      <c r="D114" s="74"/>
      <c r="E114" s="74"/>
      <c r="F114" s="74"/>
      <c r="G114" s="74"/>
      <c r="H114" s="75"/>
      <c r="I114" s="76">
        <f>SUM(I112:I113)</f>
        <v>0.39</v>
      </c>
      <c r="J114" s="77"/>
    </row>
    <row r="116" spans="1:18" x14ac:dyDescent="0.3">
      <c r="A116" s="4" t="s">
        <v>1000</v>
      </c>
      <c r="B116" s="4" t="s">
        <v>170</v>
      </c>
      <c r="C116" s="4" t="s">
        <v>171</v>
      </c>
      <c r="D116" s="4" t="s">
        <v>18</v>
      </c>
      <c r="E116" s="4" t="s">
        <v>172</v>
      </c>
      <c r="F116" s="4" t="s">
        <v>507</v>
      </c>
      <c r="G116" s="45" t="s">
        <v>1001</v>
      </c>
      <c r="H116" s="46"/>
      <c r="I116" s="45" t="s">
        <v>12</v>
      </c>
      <c r="J116" s="46"/>
    </row>
    <row r="117" spans="1:18" ht="45" customHeight="1" x14ac:dyDescent="0.3">
      <c r="A117" s="15" t="s">
        <v>1096</v>
      </c>
      <c r="B117" s="15">
        <v>90585</v>
      </c>
      <c r="C117" s="15" t="str">
        <f>VLOOKUP(B117,S!$A:$G,2,FALSE)</f>
        <v>SINAPI</v>
      </c>
      <c r="D117" s="22" t="str">
        <f>VLOOKUP(B117,S!$A:$G,3,FALSE)</f>
        <v>VIBRADOR DE IMERSÃO, DIÂMETRO DE PONTEIRA 45MM, MOTOR ELÉTRICO TRIFÁSICO POTÊNCIA DE 2 CV - MATERIAIS NA OPERAÇÃO. AF_06/2015</v>
      </c>
      <c r="E117" s="15" t="str">
        <f>VLOOKUP(B117,S!$A:$G,4,FALSE)</f>
        <v>H</v>
      </c>
      <c r="F117" s="15"/>
      <c r="G117" s="78">
        <f>I119</f>
        <v>0.56999999999999995</v>
      </c>
      <c r="H117" s="79"/>
      <c r="I117" s="78"/>
      <c r="J117" s="79"/>
      <c r="K117" s="16">
        <f>VLOOKUP(B117,S!A:G,5,FALSE)</f>
        <v>0.56999999999999995</v>
      </c>
      <c r="L117" s="15" t="str">
        <f>IF(K117=G117,"OK, CONFORME TABELA",IF(G117&gt;K117,"ACIMA DA TABELA: ","ABAIXO DA TABELA: ")&amp;TRUNC((G117*100)/K117,2)&amp;" %")</f>
        <v>OK, CONFORME TABELA</v>
      </c>
    </row>
    <row r="118" spans="1:18" ht="30" customHeight="1" x14ac:dyDescent="0.3">
      <c r="A118" s="23" t="s">
        <v>1005</v>
      </c>
      <c r="B118" s="23">
        <v>2705</v>
      </c>
      <c r="C118" s="23" t="str">
        <f>VLOOKUP(B118,IF(A118="COMPOSICAO",S!$A:$E,I!$A:$E),2,FALSE)</f>
        <v>SINAPI</v>
      </c>
      <c r="D118" s="24" t="str">
        <f>VLOOKUP(B118,IF(A118="COMPOSICAO",S!$A:$E,I!$A:$E),3,FALSE)</f>
        <v>ENERGIA ELETRICA ATE 2000 KWH INDUSTRIAL, SEM DEMANDA</v>
      </c>
      <c r="E118" s="23" t="str">
        <f>VLOOKUP(B118,IF(A118="COMPOSICAO",S!$A:$E,I!$A:$E),4,FALSE)</f>
        <v>KWH</v>
      </c>
      <c r="F118" s="23">
        <v>0.52</v>
      </c>
      <c r="G118" s="76">
        <f>IF(A118="COMPOSICAO",VLOOKUP("TOTAL SEM BDI - "&amp;B118,CPUAUX5!$A:$J,9,FALSE),VLOOKUP(B118,I!$A:$E,5,FALSE))</f>
        <v>1.1000000000000001</v>
      </c>
      <c r="H118" s="77"/>
      <c r="I118" s="76">
        <f>TRUNC(F118*G118,2)</f>
        <v>0.56999999999999995</v>
      </c>
      <c r="J118" s="77"/>
      <c r="M118" s="23">
        <f>B118</f>
        <v>2705</v>
      </c>
      <c r="N118" s="23">
        <f>SUMIF(CPUAUX3!M:M,B117,CPUAUX3!O:O)</f>
        <v>0.24925319999999998</v>
      </c>
      <c r="O118" s="23">
        <f>F118*N118</f>
        <v>0.12961166399999999</v>
      </c>
      <c r="Q118" s="23">
        <f ca="1">SUMIF(CPUAUX3!M:M,B117,CPUAUX3!R:R)</f>
        <v>8.3084400000000003E-2</v>
      </c>
      <c r="R118" s="23">
        <f ca="1">F118*Q118</f>
        <v>4.3203888000000003E-2</v>
      </c>
    </row>
    <row r="119" spans="1:18" x14ac:dyDescent="0.3">
      <c r="A119" s="73" t="str">
        <f>"TOTAL SEM BDI - "&amp;B117</f>
        <v>TOTAL SEM BDI - 90585</v>
      </c>
      <c r="B119" s="74"/>
      <c r="C119" s="74"/>
      <c r="D119" s="74"/>
      <c r="E119" s="74"/>
      <c r="F119" s="74"/>
      <c r="G119" s="74"/>
      <c r="H119" s="75"/>
      <c r="I119" s="76">
        <f>SUM(I117:I118)</f>
        <v>0.56999999999999995</v>
      </c>
      <c r="J119" s="77"/>
    </row>
    <row r="121" spans="1:18" x14ac:dyDescent="0.3">
      <c r="A121" s="4" t="s">
        <v>1000</v>
      </c>
      <c r="B121" s="4" t="s">
        <v>170</v>
      </c>
      <c r="C121" s="4" t="s">
        <v>171</v>
      </c>
      <c r="D121" s="4" t="s">
        <v>18</v>
      </c>
      <c r="E121" s="4" t="s">
        <v>172</v>
      </c>
      <c r="F121" s="4" t="s">
        <v>507</v>
      </c>
      <c r="G121" s="45" t="s">
        <v>1001</v>
      </c>
      <c r="H121" s="46"/>
      <c r="I121" s="45" t="s">
        <v>12</v>
      </c>
      <c r="J121" s="46"/>
    </row>
    <row r="122" spans="1:18" ht="45" customHeight="1" x14ac:dyDescent="0.3">
      <c r="A122" s="15" t="s">
        <v>1096</v>
      </c>
      <c r="B122" s="15">
        <v>90584</v>
      </c>
      <c r="C122" s="15" t="str">
        <f>VLOOKUP(B122,S!$A:$G,2,FALSE)</f>
        <v>SINAPI</v>
      </c>
      <c r="D122" s="22" t="str">
        <f>VLOOKUP(B122,S!$A:$G,3,FALSE)</f>
        <v>VIBRADOR DE IMERSÃO, DIÂMETRO DE PONTEIRA 45MM, MOTOR ELÉTRICO TRIFÁSICO POTÊNCIA DE 2 CV - MANUTENÇÃO. AF_06/2015</v>
      </c>
      <c r="E122" s="15" t="str">
        <f>VLOOKUP(B122,S!$A:$G,4,FALSE)</f>
        <v>H</v>
      </c>
      <c r="F122" s="15"/>
      <c r="G122" s="78">
        <f>I124</f>
        <v>0.31</v>
      </c>
      <c r="H122" s="79"/>
      <c r="I122" s="78"/>
      <c r="J122" s="79"/>
      <c r="K122" s="16">
        <f>VLOOKUP(B122,S!A:G,5,FALSE)</f>
        <v>0.31</v>
      </c>
      <c r="L122" s="15" t="str">
        <f>IF(K122=G122,"OK, CONFORME TABELA",IF(G122&gt;K122,"ACIMA DA TABELA: ","ABAIXO DA TABELA: ")&amp;TRUNC((G122*100)/K122,2)&amp;" %")</f>
        <v>OK, CONFORME TABELA</v>
      </c>
    </row>
    <row r="123" spans="1:18" ht="45" customHeight="1" x14ac:dyDescent="0.3">
      <c r="A123" s="23" t="s">
        <v>1005</v>
      </c>
      <c r="B123" s="23">
        <v>13896</v>
      </c>
      <c r="C123" s="23" t="str">
        <f>VLOOKUP(B123,IF(A123="COMPOSICAO",S!$A:$E,I!$A:$E),2,FALSE)</f>
        <v>SINAPI</v>
      </c>
      <c r="D123" s="24" t="str">
        <f>VLOOKUP(B123,IF(A123="COMPOSICAO",S!$A:$E,I!$A:$E),3,FALSE)</f>
        <v>VIBRADOR DE IMERSAO, DIAMETRO DA PONTEIRA DE *45* MM, COM MOTOR ELETRICO TRIFASICO DE 2 HP (2 CV)</v>
      </c>
      <c r="E123" s="23" t="str">
        <f>VLOOKUP(B123,IF(A123="COMPOSICAO",S!$A:$E,I!$A:$E),4,FALSE)</f>
        <v>UN</v>
      </c>
      <c r="F123" s="23">
        <v>1E-4</v>
      </c>
      <c r="G123" s="76">
        <f>IF(A123="COMPOSICAO",VLOOKUP("TOTAL SEM BDI - "&amp;B123,CPUAUX5!$A:$J,9,FALSE),VLOOKUP(B123,I!$A:$E,5,FALSE))</f>
        <v>3120.96</v>
      </c>
      <c r="H123" s="77"/>
      <c r="I123" s="76">
        <f>TRUNC(F123*G123,2)</f>
        <v>0.31</v>
      </c>
      <c r="J123" s="77"/>
      <c r="M123" s="23">
        <f>B123</f>
        <v>13896</v>
      </c>
      <c r="N123" s="23">
        <f>SUMIF(CPUAUX3!M:M,B122,CPUAUX3!O:O)</f>
        <v>0.24925319999999998</v>
      </c>
      <c r="O123" s="23">
        <f>F123*N123</f>
        <v>2.4925319999999998E-5</v>
      </c>
      <c r="Q123" s="23">
        <f ca="1">SUMIF(CPUAUX3!M:M,B122,CPUAUX3!R:R)</f>
        <v>8.3084400000000003E-2</v>
      </c>
      <c r="R123" s="23">
        <f ca="1">F123*Q123</f>
        <v>8.308440000000001E-6</v>
      </c>
    </row>
    <row r="124" spans="1:18" x14ac:dyDescent="0.3">
      <c r="A124" s="73" t="str">
        <f>"TOTAL SEM BDI - "&amp;B122</f>
        <v>TOTAL SEM BDI - 90584</v>
      </c>
      <c r="B124" s="74"/>
      <c r="C124" s="74"/>
      <c r="D124" s="74"/>
      <c r="E124" s="74"/>
      <c r="F124" s="74"/>
      <c r="G124" s="74"/>
      <c r="H124" s="75"/>
      <c r="I124" s="76">
        <f>SUM(I122:I123)</f>
        <v>0.31</v>
      </c>
      <c r="J124" s="77"/>
    </row>
    <row r="126" spans="1:18" x14ac:dyDescent="0.3">
      <c r="A126" s="4" t="s">
        <v>1000</v>
      </c>
      <c r="B126" s="4" t="s">
        <v>170</v>
      </c>
      <c r="C126" s="4" t="s">
        <v>171</v>
      </c>
      <c r="D126" s="4" t="s">
        <v>18</v>
      </c>
      <c r="E126" s="4" t="s">
        <v>172</v>
      </c>
      <c r="F126" s="4" t="s">
        <v>507</v>
      </c>
      <c r="G126" s="45" t="s">
        <v>1001</v>
      </c>
      <c r="H126" s="46"/>
      <c r="I126" s="45" t="s">
        <v>12</v>
      </c>
      <c r="J126" s="46"/>
    </row>
    <row r="127" spans="1:18" ht="30" customHeight="1" x14ac:dyDescent="0.3">
      <c r="A127" s="15" t="s">
        <v>1071</v>
      </c>
      <c r="B127" s="15">
        <v>95371</v>
      </c>
      <c r="C127" s="15" t="str">
        <f>VLOOKUP(B127,S!$A:$G,2,FALSE)</f>
        <v>SINAPI</v>
      </c>
      <c r="D127" s="22" t="str">
        <f>VLOOKUP(B127,S!$A:$G,3,FALSE)</f>
        <v>CURSO DE CAPACITAÇÃO PARA PEDREIRO (ENCARGOS COMPLEMENTARES) - HORISTA</v>
      </c>
      <c r="E127" s="15" t="str">
        <f>VLOOKUP(B127,S!$A:$G,4,FALSE)</f>
        <v>H</v>
      </c>
      <c r="F127" s="15"/>
      <c r="G127" s="78">
        <f>I129</f>
        <v>0.43</v>
      </c>
      <c r="H127" s="79"/>
      <c r="I127" s="78"/>
      <c r="J127" s="79"/>
      <c r="K127" s="16">
        <f>VLOOKUP(B127,S!A:G,5,FALSE)</f>
        <v>0.43</v>
      </c>
      <c r="L127" s="15" t="str">
        <f>IF(K127=G127,"OK, CONFORME TABELA",IF(G127&gt;K127,"ACIMA DA TABELA: ","ABAIXO DA TABELA: ")&amp;TRUNC((G127*100)/K127,2)&amp;" %")</f>
        <v>OK, CONFORME TABELA</v>
      </c>
    </row>
    <row r="128" spans="1:18" x14ac:dyDescent="0.3">
      <c r="A128" s="23" t="s">
        <v>1005</v>
      </c>
      <c r="B128" s="23">
        <v>4750</v>
      </c>
      <c r="C128" s="23" t="str">
        <f>VLOOKUP(B128,IF(A128="COMPOSICAO",S!$A:$E,I!$A:$E),2,FALSE)</f>
        <v>SINAPI</v>
      </c>
      <c r="D128" s="24" t="str">
        <f>VLOOKUP(B128,IF(A128="COMPOSICAO",S!$A:$E,I!$A:$E),3,FALSE)</f>
        <v>PEDREIRO (HORISTA)</v>
      </c>
      <c r="E128" s="23" t="str">
        <f>VLOOKUP(B128,IF(A128="COMPOSICAO",S!$A:$E,I!$A:$E),4,FALSE)</f>
        <v>H</v>
      </c>
      <c r="F128" s="23">
        <v>2.12E-2</v>
      </c>
      <c r="G128" s="76">
        <f>IF(A128="COMPOSICAO",VLOOKUP("TOTAL SEM BDI - "&amp;B128,CPUAUX5!$A:$J,9,FALSE),VLOOKUP(B128,I!$A:$E,5,FALSE))</f>
        <v>20.329999999999998</v>
      </c>
      <c r="H128" s="77"/>
      <c r="I128" s="76">
        <f>TRUNC(F128*G128,2)</f>
        <v>0.43</v>
      </c>
      <c r="J128" s="77"/>
      <c r="M128" s="23">
        <f>B128</f>
        <v>4750</v>
      </c>
      <c r="N128" s="23">
        <f>SUMIF(CPUAUX3!M:M,B127,CPUAUX3!O:O)</f>
        <v>1.8940067999999997</v>
      </c>
      <c r="O128" s="23">
        <f>F128*N128</f>
        <v>4.0152944159999995E-2</v>
      </c>
      <c r="Q128" s="23">
        <f ca="1">SUMIF(CPUAUX3!M:M,B127,CPUAUX3!R:R)</f>
        <v>0.6313356</v>
      </c>
      <c r="R128" s="23">
        <f ca="1">F128*Q128</f>
        <v>1.338431472E-2</v>
      </c>
    </row>
    <row r="129" spans="1:10" x14ac:dyDescent="0.3">
      <c r="A129" s="73" t="str">
        <f>"TOTAL SEM BDI - "&amp;B127</f>
        <v>TOTAL SEM BDI - 95371</v>
      </c>
      <c r="B129" s="74"/>
      <c r="C129" s="74"/>
      <c r="D129" s="74"/>
      <c r="E129" s="74"/>
      <c r="F129" s="74"/>
      <c r="G129" s="74"/>
      <c r="H129" s="75"/>
      <c r="I129" s="76">
        <f>SUM(I127:I128)</f>
        <v>0.43</v>
      </c>
      <c r="J129" s="77"/>
    </row>
  </sheetData>
  <mergeCells count="215">
    <mergeCell ref="N4:P4"/>
    <mergeCell ref="Q4:S4"/>
    <mergeCell ref="G6:H6"/>
    <mergeCell ref="I6:J6"/>
    <mergeCell ref="G7:H7"/>
    <mergeCell ref="I7:J7"/>
    <mergeCell ref="G8:H8"/>
    <mergeCell ref="I8:J8"/>
    <mergeCell ref="A9:H9"/>
    <mergeCell ref="I9:J9"/>
    <mergeCell ref="A1:J1"/>
    <mergeCell ref="A2:J2"/>
    <mergeCell ref="A3:J3"/>
    <mergeCell ref="A14:H14"/>
    <mergeCell ref="I14:J14"/>
    <mergeCell ref="G16:H16"/>
    <mergeCell ref="I16:J16"/>
    <mergeCell ref="G17:H17"/>
    <mergeCell ref="I17:J17"/>
    <mergeCell ref="G11:H11"/>
    <mergeCell ref="I11:J11"/>
    <mergeCell ref="G12:H12"/>
    <mergeCell ref="I12:J12"/>
    <mergeCell ref="G13:H13"/>
    <mergeCell ref="I13:J13"/>
    <mergeCell ref="G22:H22"/>
    <mergeCell ref="I22:J22"/>
    <mergeCell ref="G23:H23"/>
    <mergeCell ref="I23:J23"/>
    <mergeCell ref="G24:H24"/>
    <mergeCell ref="I24:J24"/>
    <mergeCell ref="G18:H18"/>
    <mergeCell ref="I18:J18"/>
    <mergeCell ref="A19:H19"/>
    <mergeCell ref="I19:J19"/>
    <mergeCell ref="G21:H21"/>
    <mergeCell ref="I21:J21"/>
    <mergeCell ref="G28:H28"/>
    <mergeCell ref="I28:J28"/>
    <mergeCell ref="G29:H29"/>
    <mergeCell ref="I29:J29"/>
    <mergeCell ref="G30:H30"/>
    <mergeCell ref="I30:J30"/>
    <mergeCell ref="G25:H25"/>
    <mergeCell ref="I25:J25"/>
    <mergeCell ref="G26:H26"/>
    <mergeCell ref="I26:J26"/>
    <mergeCell ref="G27:H27"/>
    <mergeCell ref="I27:J27"/>
    <mergeCell ref="G35:H35"/>
    <mergeCell ref="I35:J35"/>
    <mergeCell ref="A36:H36"/>
    <mergeCell ref="I36:J36"/>
    <mergeCell ref="G38:H38"/>
    <mergeCell ref="I38:J38"/>
    <mergeCell ref="A31:H31"/>
    <mergeCell ref="I31:J31"/>
    <mergeCell ref="G33:H33"/>
    <mergeCell ref="I33:J33"/>
    <mergeCell ref="G34:H34"/>
    <mergeCell ref="I34:J34"/>
    <mergeCell ref="G43:H43"/>
    <mergeCell ref="I43:J43"/>
    <mergeCell ref="G44:H44"/>
    <mergeCell ref="I44:J44"/>
    <mergeCell ref="G45:H45"/>
    <mergeCell ref="I45:J45"/>
    <mergeCell ref="G39:H39"/>
    <mergeCell ref="I39:J39"/>
    <mergeCell ref="G40:H40"/>
    <mergeCell ref="I40:J40"/>
    <mergeCell ref="A41:H41"/>
    <mergeCell ref="I41:J41"/>
    <mergeCell ref="G50:H50"/>
    <mergeCell ref="I50:J50"/>
    <mergeCell ref="A51:H51"/>
    <mergeCell ref="I51:J51"/>
    <mergeCell ref="G53:H53"/>
    <mergeCell ref="I53:J53"/>
    <mergeCell ref="A46:H46"/>
    <mergeCell ref="I46:J46"/>
    <mergeCell ref="G48:H48"/>
    <mergeCell ref="I48:J48"/>
    <mergeCell ref="G49:H49"/>
    <mergeCell ref="I49:J49"/>
    <mergeCell ref="G58:H58"/>
    <mergeCell ref="I58:J58"/>
    <mergeCell ref="G59:H59"/>
    <mergeCell ref="I59:J59"/>
    <mergeCell ref="G60:H60"/>
    <mergeCell ref="I60:J60"/>
    <mergeCell ref="G54:H54"/>
    <mergeCell ref="I54:J54"/>
    <mergeCell ref="G55:H55"/>
    <mergeCell ref="I55:J55"/>
    <mergeCell ref="A56:H56"/>
    <mergeCell ref="I56:J56"/>
    <mergeCell ref="G65:H65"/>
    <mergeCell ref="I65:J65"/>
    <mergeCell ref="A66:H66"/>
    <mergeCell ref="I66:J66"/>
    <mergeCell ref="G68:H68"/>
    <mergeCell ref="I68:J68"/>
    <mergeCell ref="A61:H61"/>
    <mergeCell ref="I61:J61"/>
    <mergeCell ref="G63:H63"/>
    <mergeCell ref="I63:J63"/>
    <mergeCell ref="G64:H64"/>
    <mergeCell ref="I64:J64"/>
    <mergeCell ref="A72:H72"/>
    <mergeCell ref="I72:J72"/>
    <mergeCell ref="G74:H74"/>
    <mergeCell ref="I74:J74"/>
    <mergeCell ref="G75:H75"/>
    <mergeCell ref="I75:J75"/>
    <mergeCell ref="G69:H69"/>
    <mergeCell ref="I69:J69"/>
    <mergeCell ref="G70:H70"/>
    <mergeCell ref="I70:J70"/>
    <mergeCell ref="G71:H71"/>
    <mergeCell ref="I71:J71"/>
    <mergeCell ref="G79:H79"/>
    <mergeCell ref="I79:J79"/>
    <mergeCell ref="A80:H80"/>
    <mergeCell ref="I80:J80"/>
    <mergeCell ref="G82:H82"/>
    <mergeCell ref="I82:J82"/>
    <mergeCell ref="G76:H76"/>
    <mergeCell ref="I76:J76"/>
    <mergeCell ref="G77:H77"/>
    <mergeCell ref="I77:J77"/>
    <mergeCell ref="G78:H78"/>
    <mergeCell ref="I78:J78"/>
    <mergeCell ref="G86:H86"/>
    <mergeCell ref="I86:J86"/>
    <mergeCell ref="G87:H87"/>
    <mergeCell ref="I87:J87"/>
    <mergeCell ref="G88:H88"/>
    <mergeCell ref="I88:J88"/>
    <mergeCell ref="G83:H83"/>
    <mergeCell ref="I83:J83"/>
    <mergeCell ref="G84:H84"/>
    <mergeCell ref="I84:J84"/>
    <mergeCell ref="G85:H85"/>
    <mergeCell ref="I85:J85"/>
    <mergeCell ref="A92:H92"/>
    <mergeCell ref="I92:J92"/>
    <mergeCell ref="G94:H94"/>
    <mergeCell ref="I94:J94"/>
    <mergeCell ref="G95:H95"/>
    <mergeCell ref="I95:J95"/>
    <mergeCell ref="G89:H89"/>
    <mergeCell ref="I89:J89"/>
    <mergeCell ref="G90:H90"/>
    <mergeCell ref="I90:J90"/>
    <mergeCell ref="G91:H91"/>
    <mergeCell ref="I91:J91"/>
    <mergeCell ref="G99:H99"/>
    <mergeCell ref="I99:J99"/>
    <mergeCell ref="G100:H100"/>
    <mergeCell ref="I100:J100"/>
    <mergeCell ref="G101:H101"/>
    <mergeCell ref="I101:J101"/>
    <mergeCell ref="G96:H96"/>
    <mergeCell ref="I96:J96"/>
    <mergeCell ref="G97:H97"/>
    <mergeCell ref="I97:J97"/>
    <mergeCell ref="G98:H98"/>
    <mergeCell ref="I98:J98"/>
    <mergeCell ref="G106:H106"/>
    <mergeCell ref="I106:J106"/>
    <mergeCell ref="G107:H107"/>
    <mergeCell ref="I107:J107"/>
    <mergeCell ref="G108:H108"/>
    <mergeCell ref="I108:J108"/>
    <mergeCell ref="G102:H102"/>
    <mergeCell ref="I102:J102"/>
    <mergeCell ref="G103:H103"/>
    <mergeCell ref="I103:J103"/>
    <mergeCell ref="A104:H104"/>
    <mergeCell ref="I104:J104"/>
    <mergeCell ref="G113:H113"/>
    <mergeCell ref="I113:J113"/>
    <mergeCell ref="A114:H114"/>
    <mergeCell ref="I114:J114"/>
    <mergeCell ref="G116:H116"/>
    <mergeCell ref="I116:J116"/>
    <mergeCell ref="A109:H109"/>
    <mergeCell ref="I109:J109"/>
    <mergeCell ref="G111:H111"/>
    <mergeCell ref="I111:J111"/>
    <mergeCell ref="G112:H112"/>
    <mergeCell ref="I112:J112"/>
    <mergeCell ref="G121:H121"/>
    <mergeCell ref="I121:J121"/>
    <mergeCell ref="G122:H122"/>
    <mergeCell ref="I122:J122"/>
    <mergeCell ref="G123:H123"/>
    <mergeCell ref="I123:J123"/>
    <mergeCell ref="G117:H117"/>
    <mergeCell ref="I117:J117"/>
    <mergeCell ref="G118:H118"/>
    <mergeCell ref="I118:J118"/>
    <mergeCell ref="A119:H119"/>
    <mergeCell ref="I119:J119"/>
    <mergeCell ref="G128:H128"/>
    <mergeCell ref="I128:J128"/>
    <mergeCell ref="A129:H129"/>
    <mergeCell ref="I129:J129"/>
    <mergeCell ref="A124:H124"/>
    <mergeCell ref="I124:J124"/>
    <mergeCell ref="G126:H126"/>
    <mergeCell ref="I126:J126"/>
    <mergeCell ref="G127:H127"/>
    <mergeCell ref="I127:J127"/>
  </mergeCells>
  <pageMargins left="0.78740157480314965" right="0.39370078740157483" top="1.1811023622047245" bottom="0.78740157480314965" header="0.31496062992125984" footer="0.31496062992125984"/>
  <pageSetup paperSize="9" scale="44" fitToHeight="0" orientation="portrait" r:id="rId1"/>
  <headerFooter>
    <oddHeader>&amp;C&amp;G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656F-E788-4F5E-882A-8A3B2D889A7F}">
  <sheetPr>
    <pageSetUpPr fitToPage="1"/>
  </sheetPr>
  <dimension ref="A1:S39"/>
  <sheetViews>
    <sheetView showGridLines="0" workbookViewId="0">
      <selection sqref="A1:J1"/>
    </sheetView>
  </sheetViews>
  <sheetFormatPr defaultRowHeight="14.4" x14ac:dyDescent="0.3"/>
  <cols>
    <col min="1" max="3" width="13.88671875" bestFit="1" customWidth="1"/>
    <col min="4" max="4" width="55.5546875" bestFit="1" customWidth="1"/>
    <col min="5" max="10" width="17.5546875" bestFit="1" customWidth="1"/>
    <col min="11" max="11" width="12" bestFit="1" customWidth="1"/>
    <col min="12" max="12" width="33.33203125" bestFit="1" customWidth="1"/>
    <col min="13" max="19" width="14.77734375" bestFit="1" customWidth="1"/>
  </cols>
  <sheetData>
    <row r="1" spans="1:19" x14ac:dyDescent="0.3">
      <c r="A1" s="44" t="str">
        <f>CIDADE</f>
        <v>MUNICÍPIOS DE PARNAGUÁ - PI E ANÍSIO DE ABREU-PI</v>
      </c>
      <c r="B1" s="44"/>
      <c r="C1" s="44"/>
      <c r="D1" s="44"/>
      <c r="E1" s="44"/>
      <c r="F1" s="44"/>
      <c r="G1" s="44"/>
      <c r="H1" s="44"/>
      <c r="I1" s="44"/>
      <c r="J1" s="44"/>
    </row>
    <row r="2" spans="1:19" x14ac:dyDescent="0.3">
      <c r="A2" s="44" t="str">
        <f>OBRA</f>
        <v>IMPLANTAÇÃO DE 6 (SEIS) SISTEMAS DE ABASTECIMENTO DE ÁGUA EM COMUNIDADES RURAIS NOS MUNICÍPIOS DE PARNAGUÁ-PI E ANÍSIO DE ABREU-PI (TC 967175/2024)</v>
      </c>
      <c r="B2" s="44"/>
      <c r="C2" s="44"/>
      <c r="D2" s="44"/>
      <c r="E2" s="44"/>
      <c r="F2" s="44"/>
      <c r="G2" s="44"/>
      <c r="H2" s="44"/>
      <c r="I2" s="44"/>
      <c r="J2" s="44"/>
    </row>
    <row r="3" spans="1:19" x14ac:dyDescent="0.3">
      <c r="A3" s="44" t="s">
        <v>1099</v>
      </c>
      <c r="B3" s="44"/>
      <c r="C3" s="44"/>
      <c r="D3" s="44"/>
      <c r="E3" s="44"/>
      <c r="F3" s="44"/>
      <c r="G3" s="44"/>
      <c r="H3" s="44"/>
      <c r="I3" s="44"/>
      <c r="J3" s="44"/>
    </row>
    <row r="4" spans="1:19" x14ac:dyDescent="0.3">
      <c r="N4" s="45" t="s">
        <v>996</v>
      </c>
      <c r="O4" s="47"/>
      <c r="P4" s="46"/>
      <c r="Q4" s="45" t="s">
        <v>997</v>
      </c>
      <c r="R4" s="47"/>
      <c r="S4" s="46"/>
    </row>
    <row r="5" spans="1:19" x14ac:dyDescent="0.3">
      <c r="A5" s="1" t="s">
        <v>1</v>
      </c>
      <c r="B5" s="7" t="str">
        <f>FONTE&amp;FOLHA</f>
        <v>SINAPI PI 07/2025, SEINFRA CE 28, ORSE SE 06/2025, CAESB 10/2024SEM DESONERAÇÃO</v>
      </c>
      <c r="C5" s="3"/>
      <c r="D5" s="3"/>
      <c r="E5" s="3"/>
      <c r="F5" s="3"/>
      <c r="G5" s="27" t="s">
        <v>7</v>
      </c>
      <c r="H5" s="8">
        <f>LEI</f>
        <v>113.33</v>
      </c>
      <c r="I5" s="1" t="s">
        <v>16</v>
      </c>
      <c r="J5" s="8">
        <f>BDI</f>
        <v>22.33</v>
      </c>
      <c r="M5" s="4" t="s">
        <v>170</v>
      </c>
      <c r="N5" s="4" t="s">
        <v>998</v>
      </c>
      <c r="O5" s="4" t="s">
        <v>158</v>
      </c>
      <c r="P5" s="4" t="s">
        <v>999</v>
      </c>
      <c r="Q5" s="4" t="s">
        <v>998</v>
      </c>
      <c r="R5" s="4" t="s">
        <v>158</v>
      </c>
      <c r="S5" s="4" t="s">
        <v>999</v>
      </c>
    </row>
    <row r="6" spans="1:19" x14ac:dyDescent="0.3">
      <c r="A6" s="4" t="s">
        <v>1000</v>
      </c>
      <c r="B6" s="4" t="s">
        <v>170</v>
      </c>
      <c r="C6" s="4" t="s">
        <v>171</v>
      </c>
      <c r="D6" s="4" t="s">
        <v>18</v>
      </c>
      <c r="E6" s="4" t="s">
        <v>172</v>
      </c>
      <c r="F6" s="4" t="s">
        <v>507</v>
      </c>
      <c r="G6" s="45" t="s">
        <v>1001</v>
      </c>
      <c r="H6" s="46"/>
      <c r="I6" s="45" t="s">
        <v>12</v>
      </c>
      <c r="J6" s="46"/>
    </row>
    <row r="7" spans="1:19" ht="45" customHeight="1" x14ac:dyDescent="0.3">
      <c r="A7" s="15" t="s">
        <v>1071</v>
      </c>
      <c r="B7" s="15">
        <v>95360</v>
      </c>
      <c r="C7" s="15" t="str">
        <f>VLOOKUP(B7,S!$A:$G,2,FALSE)</f>
        <v>SINAPI</v>
      </c>
      <c r="D7" s="22" t="str">
        <f>VLOOKUP(B7,S!$A:$G,3,FALSE)</f>
        <v>CURSO DE CAPACITAÇÃO PARA OPERADOR DE MÁQUINAS E EQUIPAMENTOS (ENCARGOS COMPLEMENTARES) - HORISTA</v>
      </c>
      <c r="E7" s="15" t="str">
        <f>VLOOKUP(B7,S!$A:$G,4,FALSE)</f>
        <v>H</v>
      </c>
      <c r="F7" s="15"/>
      <c r="G7" s="78">
        <f>I9</f>
        <v>0.24</v>
      </c>
      <c r="H7" s="79"/>
      <c r="I7" s="78"/>
      <c r="J7" s="79"/>
      <c r="K7" s="16">
        <f>VLOOKUP(B7,S!A:G,5,FALSE)</f>
        <v>0.24</v>
      </c>
      <c r="L7" s="15" t="str">
        <f>IF(K7=G7,"OK, CONFORME TABELA",IF(G7&gt;K7,"ACIMA DA TABELA: ","ABAIXO DA TABELA: ")&amp;TRUNC((G7*100)/K7,2)&amp;" %")</f>
        <v>OK, CONFORME TABELA</v>
      </c>
    </row>
    <row r="8" spans="1:19" ht="30" customHeight="1" x14ac:dyDescent="0.3">
      <c r="A8" s="23" t="s">
        <v>1005</v>
      </c>
      <c r="B8" s="23">
        <v>4230</v>
      </c>
      <c r="C8" s="23" t="str">
        <f>VLOOKUP(B8,I!$A:$E,2,FALSE)</f>
        <v>SINAPI</v>
      </c>
      <c r="D8" s="24" t="str">
        <f>VLOOKUP(B8,I!$A:$E,3,FALSE)</f>
        <v>OPERADOR DE MAQUINAS E TRATORES DIVERSOS - TERRAPLANAGEM (HORISTA)</v>
      </c>
      <c r="E8" s="23" t="str">
        <f>VLOOKUP(B8,I!$A:$E,4,FALSE)</f>
        <v>H</v>
      </c>
      <c r="F8" s="23">
        <v>1.154E-2</v>
      </c>
      <c r="G8" s="76">
        <f>VLOOKUP(B8,I!$A:$E,5,FALSE)</f>
        <v>21.48</v>
      </c>
      <c r="H8" s="77"/>
      <c r="I8" s="76">
        <f>TRUNC(F8*G8,2)</f>
        <v>0.24</v>
      </c>
      <c r="J8" s="77"/>
      <c r="M8" s="23">
        <f>B8</f>
        <v>4230</v>
      </c>
      <c r="N8" s="23">
        <f>SUMIF(CPUAUX4!M:M,B7,CPUAUX4!O:O)</f>
        <v>1.99594998828</v>
      </c>
      <c r="O8" s="23">
        <f>F8*N8</f>
        <v>2.30332628647512E-2</v>
      </c>
      <c r="Q8" s="23">
        <f ca="1">SUMIF(CPUAUX4!M:M,B7,CPUAUX4!R:R)</f>
        <v>0.66531666276000001</v>
      </c>
      <c r="R8" s="23">
        <f ca="1">F8*Q8</f>
        <v>7.6777542882504003E-3</v>
      </c>
    </row>
    <row r="9" spans="1:19" x14ac:dyDescent="0.3">
      <c r="A9" s="73" t="str">
        <f>"TOTAL SEM BDI - "&amp;B7</f>
        <v>TOTAL SEM BDI - 95360</v>
      </c>
      <c r="B9" s="74"/>
      <c r="C9" s="74"/>
      <c r="D9" s="74"/>
      <c r="E9" s="74"/>
      <c r="F9" s="74"/>
      <c r="G9" s="74"/>
      <c r="H9" s="75"/>
      <c r="I9" s="76">
        <f>SUM(I7:I8)</f>
        <v>0.24</v>
      </c>
      <c r="J9" s="77"/>
    </row>
    <row r="11" spans="1:19" x14ac:dyDescent="0.3">
      <c r="A11" s="4" t="s">
        <v>1000</v>
      </c>
      <c r="B11" s="4" t="s">
        <v>170</v>
      </c>
      <c r="C11" s="4" t="s">
        <v>171</v>
      </c>
      <c r="D11" s="4" t="s">
        <v>18</v>
      </c>
      <c r="E11" s="4" t="s">
        <v>172</v>
      </c>
      <c r="F11" s="4" t="s">
        <v>507</v>
      </c>
      <c r="G11" s="45" t="s">
        <v>1001</v>
      </c>
      <c r="H11" s="46"/>
      <c r="I11" s="45" t="s">
        <v>12</v>
      </c>
      <c r="J11" s="46"/>
    </row>
    <row r="12" spans="1:19" ht="60" customHeight="1" x14ac:dyDescent="0.3">
      <c r="A12" s="15" t="s">
        <v>1096</v>
      </c>
      <c r="B12" s="15">
        <v>88827</v>
      </c>
      <c r="C12" s="15" t="str">
        <f>VLOOKUP(B12,S!$A:$G,2,FALSE)</f>
        <v>SINAPI</v>
      </c>
      <c r="D12" s="22" t="str">
        <f>VLOOKUP(B12,S!$A:$G,3,FALSE)</f>
        <v>BETONEIRA CAPACIDADE NOMINAL DE 400 L, CAPACIDADE DE MISTURA 280 L, MOTOR ELÉTRICO TRIFÁSICO POTÊNCIA DE 2 CV, SEM CARREGADOR - JUROS. AF_05/2023</v>
      </c>
      <c r="E12" s="15" t="str">
        <f>VLOOKUP(B12,S!$A:$G,4,FALSE)</f>
        <v>H</v>
      </c>
      <c r="F12" s="15"/>
      <c r="G12" s="78">
        <f>I14</f>
        <v>0.09</v>
      </c>
      <c r="H12" s="79"/>
      <c r="I12" s="78"/>
      <c r="J12" s="79"/>
      <c r="K12" s="16">
        <f>VLOOKUP(B12,S!A:G,5,FALSE)</f>
        <v>0.09</v>
      </c>
      <c r="L12" s="15" t="str">
        <f>IF(K12=G12,"OK, CONFORME TABELA",IF(G12&gt;K12,"ACIMA DA TABELA: ","ABAIXO DA TABELA: ")&amp;TRUNC((G12*100)/K12,2)&amp;" %")</f>
        <v>OK, CONFORME TABELA</v>
      </c>
    </row>
    <row r="13" spans="1:19" ht="45" customHeight="1" x14ac:dyDescent="0.3">
      <c r="A13" s="23" t="s">
        <v>1005</v>
      </c>
      <c r="B13" s="23">
        <v>10535</v>
      </c>
      <c r="C13" s="23" t="str">
        <f>VLOOKUP(B13,I!$A:$E,2,FALSE)</f>
        <v>SINAPI</v>
      </c>
      <c r="D13" s="24" t="str">
        <f>VLOOKUP(B13,I!$A:$E,3,FALSE)</f>
        <v>BETONEIRA CAPACIDADE NOMINAL 400 L, CAPACIDADE DE MISTURA 280 L, MOTOR ELETRICO TRIFASICO 220/380 V POTENCIA 2 CV, SEM CARREGADOR</v>
      </c>
      <c r="E13" s="23" t="str">
        <f>VLOOKUP(B13,I!$A:$E,4,FALSE)</f>
        <v>UN</v>
      </c>
      <c r="F13" s="23">
        <v>1.4800000000000001E-5</v>
      </c>
      <c r="G13" s="76">
        <f>VLOOKUP(B13,I!$A:$E,5,FALSE)</f>
        <v>6387.62</v>
      </c>
      <c r="H13" s="77"/>
      <c r="I13" s="76">
        <f>TRUNC(F13*G13,2)</f>
        <v>0.09</v>
      </c>
      <c r="J13" s="77"/>
      <c r="M13" s="23">
        <f>B13</f>
        <v>10535</v>
      </c>
      <c r="N13" s="23">
        <f>SUMIF(CPUAUX4!M:M,B12,CPUAUX4!O:O)</f>
        <v>1.3413711779999999</v>
      </c>
      <c r="O13" s="23">
        <f>F13*N13</f>
        <v>1.98522934344E-5</v>
      </c>
      <c r="Q13" s="23">
        <f ca="1">SUMIF(CPUAUX4!M:M,B12,CPUAUX4!R:R)</f>
        <v>0.447123726</v>
      </c>
      <c r="R13" s="23">
        <f ca="1">F13*Q13</f>
        <v>6.6174311448000004E-6</v>
      </c>
    </row>
    <row r="14" spans="1:19" x14ac:dyDescent="0.3">
      <c r="A14" s="73" t="str">
        <f>"TOTAL SEM BDI - "&amp;B12</f>
        <v>TOTAL SEM BDI - 88827</v>
      </c>
      <c r="B14" s="74"/>
      <c r="C14" s="74"/>
      <c r="D14" s="74"/>
      <c r="E14" s="74"/>
      <c r="F14" s="74"/>
      <c r="G14" s="74"/>
      <c r="H14" s="75"/>
      <c r="I14" s="76">
        <f>SUM(I12:I13)</f>
        <v>0.09</v>
      </c>
      <c r="J14" s="77"/>
    </row>
    <row r="16" spans="1:19" x14ac:dyDescent="0.3">
      <c r="A16" s="4" t="s">
        <v>1000</v>
      </c>
      <c r="B16" s="4" t="s">
        <v>170</v>
      </c>
      <c r="C16" s="4" t="s">
        <v>171</v>
      </c>
      <c r="D16" s="4" t="s">
        <v>18</v>
      </c>
      <c r="E16" s="4" t="s">
        <v>172</v>
      </c>
      <c r="F16" s="4" t="s">
        <v>507</v>
      </c>
      <c r="G16" s="45" t="s">
        <v>1001</v>
      </c>
      <c r="H16" s="46"/>
      <c r="I16" s="45" t="s">
        <v>12</v>
      </c>
      <c r="J16" s="46"/>
    </row>
    <row r="17" spans="1:18" ht="60" customHeight="1" x14ac:dyDescent="0.3">
      <c r="A17" s="15" t="s">
        <v>1096</v>
      </c>
      <c r="B17" s="15">
        <v>88826</v>
      </c>
      <c r="C17" s="15" t="str">
        <f>VLOOKUP(B17,S!$A:$G,2,FALSE)</f>
        <v>SINAPI</v>
      </c>
      <c r="D17" s="22" t="str">
        <f>VLOOKUP(B17,S!$A:$G,3,FALSE)</f>
        <v>BETONEIRA CAPACIDADE NOMINAL DE 400 L, CAPACIDADE DE MISTURA 280 L, MOTOR ELÉTRICO TRIFÁSICO POTÊNCIA DE 2 CV, SEM CARREGADOR - DEPRECIAÇÃO. AF_05/2023</v>
      </c>
      <c r="E17" s="15" t="str">
        <f>VLOOKUP(B17,S!$A:$G,4,FALSE)</f>
        <v>H</v>
      </c>
      <c r="F17" s="15"/>
      <c r="G17" s="78">
        <f>I19</f>
        <v>0.4</v>
      </c>
      <c r="H17" s="79"/>
      <c r="I17" s="78"/>
      <c r="J17" s="79"/>
      <c r="K17" s="16">
        <f>VLOOKUP(B17,S!A:G,5,FALSE)</f>
        <v>0.4</v>
      </c>
      <c r="L17" s="15" t="str">
        <f>IF(K17=G17,"OK, CONFORME TABELA",IF(G17&gt;K17,"ACIMA DA TABELA: ","ABAIXO DA TABELA: ")&amp;TRUNC((G17*100)/K17,2)&amp;" %")</f>
        <v>OK, CONFORME TABELA</v>
      </c>
    </row>
    <row r="18" spans="1:18" ht="45" customHeight="1" x14ac:dyDescent="0.3">
      <c r="A18" s="23" t="s">
        <v>1005</v>
      </c>
      <c r="B18" s="23">
        <v>10535</v>
      </c>
      <c r="C18" s="23" t="str">
        <f>VLOOKUP(B18,I!$A:$E,2,FALSE)</f>
        <v>SINAPI</v>
      </c>
      <c r="D18" s="24" t="str">
        <f>VLOOKUP(B18,I!$A:$E,3,FALSE)</f>
        <v>BETONEIRA CAPACIDADE NOMINAL 400 L, CAPACIDADE DE MISTURA 280 L, MOTOR ELETRICO TRIFASICO 220/380 V POTENCIA 2 CV, SEM CARREGADOR</v>
      </c>
      <c r="E18" s="23" t="str">
        <f>VLOOKUP(B18,I!$A:$E,4,FALSE)</f>
        <v>UN</v>
      </c>
      <c r="F18" s="23">
        <v>6.3999999999999997E-5</v>
      </c>
      <c r="G18" s="76">
        <f>VLOOKUP(B18,I!$A:$E,5,FALSE)</f>
        <v>6387.62</v>
      </c>
      <c r="H18" s="77"/>
      <c r="I18" s="76">
        <f>TRUNC(F18*G18,2)</f>
        <v>0.4</v>
      </c>
      <c r="J18" s="77"/>
      <c r="M18" s="23">
        <f>B18</f>
        <v>10535</v>
      </c>
      <c r="N18" s="23">
        <f>SUMIF(CPUAUX4!M:M,B17,CPUAUX4!O:O)</f>
        <v>1.3413711779999999</v>
      </c>
      <c r="O18" s="23">
        <f>F18*N18</f>
        <v>8.5847755391999989E-5</v>
      </c>
      <c r="Q18" s="23">
        <f ca="1">SUMIF(CPUAUX4!M:M,B17,CPUAUX4!R:R)</f>
        <v>0.447123726</v>
      </c>
      <c r="R18" s="23">
        <f ca="1">F18*Q18</f>
        <v>2.8615918463999997E-5</v>
      </c>
    </row>
    <row r="19" spans="1:18" x14ac:dyDescent="0.3">
      <c r="A19" s="73" t="str">
        <f>"TOTAL SEM BDI - "&amp;B17</f>
        <v>TOTAL SEM BDI - 88826</v>
      </c>
      <c r="B19" s="74"/>
      <c r="C19" s="74"/>
      <c r="D19" s="74"/>
      <c r="E19" s="74"/>
      <c r="F19" s="74"/>
      <c r="G19" s="74"/>
      <c r="H19" s="75"/>
      <c r="I19" s="76">
        <f>SUM(I17:I18)</f>
        <v>0.4</v>
      </c>
      <c r="J19" s="77"/>
    </row>
    <row r="21" spans="1:18" x14ac:dyDescent="0.3">
      <c r="A21" s="4" t="s">
        <v>1000</v>
      </c>
      <c r="B21" s="4" t="s">
        <v>170</v>
      </c>
      <c r="C21" s="4" t="s">
        <v>171</v>
      </c>
      <c r="D21" s="4" t="s">
        <v>18</v>
      </c>
      <c r="E21" s="4" t="s">
        <v>172</v>
      </c>
      <c r="F21" s="4" t="s">
        <v>507</v>
      </c>
      <c r="G21" s="45" t="s">
        <v>1001</v>
      </c>
      <c r="H21" s="46"/>
      <c r="I21" s="45" t="s">
        <v>12</v>
      </c>
      <c r="J21" s="46"/>
    </row>
    <row r="22" spans="1:18" ht="60" customHeight="1" x14ac:dyDescent="0.3">
      <c r="A22" s="15" t="s">
        <v>1096</v>
      </c>
      <c r="B22" s="15">
        <v>88829</v>
      </c>
      <c r="C22" s="15" t="str">
        <f>VLOOKUP(B22,S!$A:$G,2,FALSE)</f>
        <v>SINAPI</v>
      </c>
      <c r="D22" s="22" t="str">
        <f>VLOOKUP(B22,S!$A:$G,3,FALSE)</f>
        <v>BETONEIRA CAPACIDADE NOMINAL DE 400 L, CAPACIDADE DE MISTURA 280 L, MOTOR ELÉTRICO TRIFÁSICO POTÊNCIA DE 2 CV, SEM CARREGADOR - MATERIAIS NA OPERAÇÃO. AF_05/2023</v>
      </c>
      <c r="E22" s="15" t="str">
        <f>VLOOKUP(B22,S!$A:$G,4,FALSE)</f>
        <v>H</v>
      </c>
      <c r="F22" s="15"/>
      <c r="G22" s="78">
        <f>I24</f>
        <v>1.37</v>
      </c>
      <c r="H22" s="79"/>
      <c r="I22" s="78"/>
      <c r="J22" s="79"/>
      <c r="K22" s="16">
        <f>VLOOKUP(B22,S!A:G,5,FALSE)</f>
        <v>1.37</v>
      </c>
      <c r="L22" s="15" t="str">
        <f>IF(K22=G22,"OK, CONFORME TABELA",IF(G22&gt;K22,"ACIMA DA TABELA: ","ABAIXO DA TABELA: ")&amp;TRUNC((G22*100)/K22,2)&amp;" %")</f>
        <v>OK, CONFORME TABELA</v>
      </c>
    </row>
    <row r="23" spans="1:18" ht="30" customHeight="1" x14ac:dyDescent="0.3">
      <c r="A23" s="23" t="s">
        <v>1005</v>
      </c>
      <c r="B23" s="23">
        <v>2705</v>
      </c>
      <c r="C23" s="23" t="str">
        <f>VLOOKUP(B23,I!$A:$E,2,FALSE)</f>
        <v>SINAPI</v>
      </c>
      <c r="D23" s="24" t="str">
        <f>VLOOKUP(B23,I!$A:$E,3,FALSE)</f>
        <v>ENERGIA ELETRICA ATE 2000 KWH INDUSTRIAL, SEM DEMANDA</v>
      </c>
      <c r="E23" s="23" t="str">
        <f>VLOOKUP(B23,I!$A:$E,4,FALSE)</f>
        <v>KWH</v>
      </c>
      <c r="F23" s="23">
        <v>1.25</v>
      </c>
      <c r="G23" s="76">
        <f>VLOOKUP(B23,I!$A:$E,5,FALSE)</f>
        <v>1.1000000000000001</v>
      </c>
      <c r="H23" s="77"/>
      <c r="I23" s="76">
        <f>TRUNC(F23*G23,2)</f>
        <v>1.37</v>
      </c>
      <c r="J23" s="77"/>
      <c r="M23" s="23">
        <f>B23</f>
        <v>2705</v>
      </c>
      <c r="N23" s="23">
        <f>SUMIF(CPUAUX4!M:M,B22,CPUAUX4!O:O)</f>
        <v>0.69040358099999999</v>
      </c>
      <c r="O23" s="23">
        <f>F23*N23</f>
        <v>0.86300447624999999</v>
      </c>
      <c r="Q23" s="23">
        <f ca="1">SUMIF(CPUAUX4!M:M,B22,CPUAUX4!R:R)</f>
        <v>0.23013452700000001</v>
      </c>
      <c r="R23" s="23">
        <f ca="1">F23*Q23</f>
        <v>0.28766815875000001</v>
      </c>
    </row>
    <row r="24" spans="1:18" x14ac:dyDescent="0.3">
      <c r="A24" s="73" t="str">
        <f>"TOTAL SEM BDI - "&amp;B22</f>
        <v>TOTAL SEM BDI - 88829</v>
      </c>
      <c r="B24" s="74"/>
      <c r="C24" s="74"/>
      <c r="D24" s="74"/>
      <c r="E24" s="74"/>
      <c r="F24" s="74"/>
      <c r="G24" s="74"/>
      <c r="H24" s="75"/>
      <c r="I24" s="76">
        <f>SUM(I22:I23)</f>
        <v>1.37</v>
      </c>
      <c r="J24" s="77"/>
    </row>
    <row r="26" spans="1:18" x14ac:dyDescent="0.3">
      <c r="A26" s="4" t="s">
        <v>1000</v>
      </c>
      <c r="B26" s="4" t="s">
        <v>170</v>
      </c>
      <c r="C26" s="4" t="s">
        <v>171</v>
      </c>
      <c r="D26" s="4" t="s">
        <v>18</v>
      </c>
      <c r="E26" s="4" t="s">
        <v>172</v>
      </c>
      <c r="F26" s="4" t="s">
        <v>507</v>
      </c>
      <c r="G26" s="45" t="s">
        <v>1001</v>
      </c>
      <c r="H26" s="46"/>
      <c r="I26" s="45" t="s">
        <v>12</v>
      </c>
      <c r="J26" s="46"/>
    </row>
    <row r="27" spans="1:18" ht="60" customHeight="1" x14ac:dyDescent="0.3">
      <c r="A27" s="15" t="s">
        <v>1096</v>
      </c>
      <c r="B27" s="15">
        <v>88828</v>
      </c>
      <c r="C27" s="15" t="str">
        <f>VLOOKUP(B27,S!$A:$G,2,FALSE)</f>
        <v>SINAPI</v>
      </c>
      <c r="D27" s="22" t="str">
        <f>VLOOKUP(B27,S!$A:$G,3,FALSE)</f>
        <v>BETONEIRA CAPACIDADE NOMINAL DE 400 L, CAPACIDADE DE MISTURA 280 L, MOTOR ELÉTRICO TRIFÁSICO POTÊNCIA DE 2 CV, SEM CARREGADOR - MANUTENÇÃO. AF_05/2023</v>
      </c>
      <c r="E27" s="15" t="str">
        <f>VLOOKUP(B27,S!$A:$G,4,FALSE)</f>
        <v>H</v>
      </c>
      <c r="F27" s="15"/>
      <c r="G27" s="78">
        <f>I29</f>
        <v>0.44</v>
      </c>
      <c r="H27" s="79"/>
      <c r="I27" s="78"/>
      <c r="J27" s="79"/>
      <c r="K27" s="16">
        <f>VLOOKUP(B27,S!A:G,5,FALSE)</f>
        <v>0.44</v>
      </c>
      <c r="L27" s="15" t="str">
        <f>IF(K27=G27,"OK, CONFORME TABELA",IF(G27&gt;K27,"ACIMA DA TABELA: ","ABAIXO DA TABELA: ")&amp;TRUNC((G27*100)/K27,2)&amp;" %")</f>
        <v>OK, CONFORME TABELA</v>
      </c>
    </row>
    <row r="28" spans="1:18" ht="45" customHeight="1" x14ac:dyDescent="0.3">
      <c r="A28" s="23" t="s">
        <v>1005</v>
      </c>
      <c r="B28" s="23">
        <v>10535</v>
      </c>
      <c r="C28" s="23" t="str">
        <f>VLOOKUP(B28,I!$A:$E,2,FALSE)</f>
        <v>SINAPI</v>
      </c>
      <c r="D28" s="24" t="str">
        <f>VLOOKUP(B28,I!$A:$E,3,FALSE)</f>
        <v>BETONEIRA CAPACIDADE NOMINAL 400 L, CAPACIDADE DE MISTURA 280 L, MOTOR ELETRICO TRIFASICO 220/380 V POTENCIA 2 CV, SEM CARREGADOR</v>
      </c>
      <c r="E28" s="23" t="str">
        <f>VLOOKUP(B28,I!$A:$E,4,FALSE)</f>
        <v>UN</v>
      </c>
      <c r="F28" s="23">
        <v>6.9999999999999994E-5</v>
      </c>
      <c r="G28" s="76">
        <f>VLOOKUP(B28,I!$A:$E,5,FALSE)</f>
        <v>6387.62</v>
      </c>
      <c r="H28" s="77"/>
      <c r="I28" s="76">
        <f>TRUNC(F28*G28,2)</f>
        <v>0.44</v>
      </c>
      <c r="J28" s="77"/>
      <c r="M28" s="23">
        <f>B28</f>
        <v>10535</v>
      </c>
      <c r="N28" s="23">
        <f>SUMIF(CPUAUX4!M:M,B27,CPUAUX4!O:O)</f>
        <v>0.69040358099999999</v>
      </c>
      <c r="O28" s="23">
        <f>F28*N28</f>
        <v>4.8328250669999998E-5</v>
      </c>
      <c r="Q28" s="23">
        <f ca="1">SUMIF(CPUAUX4!M:M,B27,CPUAUX4!R:R)</f>
        <v>0.23013452700000001</v>
      </c>
      <c r="R28" s="23">
        <f ca="1">F28*Q28</f>
        <v>1.610941689E-5</v>
      </c>
    </row>
    <row r="29" spans="1:18" x14ac:dyDescent="0.3">
      <c r="A29" s="73" t="str">
        <f>"TOTAL SEM BDI - "&amp;B27</f>
        <v>TOTAL SEM BDI - 88828</v>
      </c>
      <c r="B29" s="74"/>
      <c r="C29" s="74"/>
      <c r="D29" s="74"/>
      <c r="E29" s="74"/>
      <c r="F29" s="74"/>
      <c r="G29" s="74"/>
      <c r="H29" s="75"/>
      <c r="I29" s="76">
        <f>SUM(I27:I28)</f>
        <v>0.44</v>
      </c>
      <c r="J29" s="77"/>
    </row>
    <row r="31" spans="1:18" x14ac:dyDescent="0.3">
      <c r="A31" s="4" t="s">
        <v>1000</v>
      </c>
      <c r="B31" s="4" t="s">
        <v>170</v>
      </c>
      <c r="C31" s="4" t="s">
        <v>171</v>
      </c>
      <c r="D31" s="4" t="s">
        <v>18</v>
      </c>
      <c r="E31" s="4" t="s">
        <v>172</v>
      </c>
      <c r="F31" s="4" t="s">
        <v>507</v>
      </c>
      <c r="G31" s="45" t="s">
        <v>1001</v>
      </c>
      <c r="H31" s="46"/>
      <c r="I31" s="45" t="s">
        <v>12</v>
      </c>
      <c r="J31" s="46"/>
    </row>
    <row r="32" spans="1:18" ht="45" customHeight="1" x14ac:dyDescent="0.3">
      <c r="A32" s="15" t="s">
        <v>1071</v>
      </c>
      <c r="B32" s="15">
        <v>95389</v>
      </c>
      <c r="C32" s="15" t="str">
        <f>VLOOKUP(B32,S!$A:$G,2,FALSE)</f>
        <v>SINAPI</v>
      </c>
      <c r="D32" s="22" t="str">
        <f>VLOOKUP(B32,S!$A:$G,3,FALSE)</f>
        <v>CURSO DE CAPACITAÇÃO PARA OPERADOR DE BETONEIRA ESTACIONÁRIA/MISTURADOR (ENCARGOS COMPLEMENTARES) - HORISTA</v>
      </c>
      <c r="E32" s="15" t="str">
        <f>VLOOKUP(B32,S!$A:$G,4,FALSE)</f>
        <v>H</v>
      </c>
      <c r="F32" s="15"/>
      <c r="G32" s="78">
        <f>I34</f>
        <v>0.17</v>
      </c>
      <c r="H32" s="79"/>
      <c r="I32" s="78"/>
      <c r="J32" s="79"/>
      <c r="K32" s="16">
        <f>VLOOKUP(B32,S!A:G,5,FALSE)</f>
        <v>0.17</v>
      </c>
      <c r="L32" s="15" t="str">
        <f>IF(K32=G32,"OK, CONFORME TABELA",IF(G32&gt;K32,"ACIMA DA TABELA: ","ABAIXO DA TABELA: ")&amp;TRUNC((G32*100)/K32,2)&amp;" %")</f>
        <v>OK, CONFORME TABELA</v>
      </c>
    </row>
    <row r="33" spans="1:18" ht="30" customHeight="1" x14ac:dyDescent="0.3">
      <c r="A33" s="23" t="s">
        <v>1005</v>
      </c>
      <c r="B33" s="23">
        <v>37666</v>
      </c>
      <c r="C33" s="23" t="str">
        <f>VLOOKUP(B33,I!$A:$E,2,FALSE)</f>
        <v>SINAPI</v>
      </c>
      <c r="D33" s="24" t="str">
        <f>VLOOKUP(B33,I!$A:$E,3,FALSE)</f>
        <v>OPERADOR DE BETONEIRA ESTACIONARIA / MISTURADOR (HORISTA)</v>
      </c>
      <c r="E33" s="23" t="str">
        <f>VLOOKUP(B33,I!$A:$E,4,FALSE)</f>
        <v>H</v>
      </c>
      <c r="F33" s="23">
        <v>8.3099999999999997E-3</v>
      </c>
      <c r="G33" s="76">
        <f>VLOOKUP(B33,I!$A:$E,5,FALSE)</f>
        <v>21.48</v>
      </c>
      <c r="H33" s="77"/>
      <c r="I33" s="76">
        <f>TRUNC(F33*G33,2)</f>
        <v>0.17</v>
      </c>
      <c r="J33" s="77"/>
      <c r="M33" s="23">
        <f>B33</f>
        <v>37666</v>
      </c>
      <c r="N33" s="23">
        <f>SUMIF(CPUAUX4!M:M,B32,CPUAUX4!O:O)</f>
        <v>1.341462465</v>
      </c>
      <c r="O33" s="23">
        <f>F33*N33</f>
        <v>1.1147553084149999E-2</v>
      </c>
      <c r="Q33" s="23">
        <f ca="1">SUMIF(CPUAUX4!M:M,B32,CPUAUX4!R:R)</f>
        <v>0.447154155</v>
      </c>
      <c r="R33" s="23">
        <f ca="1">F33*Q33</f>
        <v>3.7158510280499999E-3</v>
      </c>
    </row>
    <row r="34" spans="1:18" x14ac:dyDescent="0.3">
      <c r="A34" s="73" t="str">
        <f>"TOTAL SEM BDI - "&amp;B32</f>
        <v>TOTAL SEM BDI - 95389</v>
      </c>
      <c r="B34" s="74"/>
      <c r="C34" s="74"/>
      <c r="D34" s="74"/>
      <c r="E34" s="74"/>
      <c r="F34" s="74"/>
      <c r="G34" s="74"/>
      <c r="H34" s="75"/>
      <c r="I34" s="76">
        <f>SUM(I32:I33)</f>
        <v>0.17</v>
      </c>
      <c r="J34" s="77"/>
    </row>
    <row r="36" spans="1:18" x14ac:dyDescent="0.3">
      <c r="A36" s="4" t="s">
        <v>1000</v>
      </c>
      <c r="B36" s="4" t="s">
        <v>170</v>
      </c>
      <c r="C36" s="4" t="s">
        <v>171</v>
      </c>
      <c r="D36" s="4" t="s">
        <v>18</v>
      </c>
      <c r="E36" s="4" t="s">
        <v>172</v>
      </c>
      <c r="F36" s="4" t="s">
        <v>507</v>
      </c>
      <c r="G36" s="45" t="s">
        <v>1001</v>
      </c>
      <c r="H36" s="46"/>
      <c r="I36" s="45" t="s">
        <v>12</v>
      </c>
      <c r="J36" s="46"/>
    </row>
    <row r="37" spans="1:18" ht="30" customHeight="1" x14ac:dyDescent="0.3">
      <c r="A37" s="15" t="s">
        <v>1071</v>
      </c>
      <c r="B37" s="15">
        <v>95378</v>
      </c>
      <c r="C37" s="15" t="str">
        <f>VLOOKUP(B37,S!$A:$G,2,FALSE)</f>
        <v>SINAPI</v>
      </c>
      <c r="D37" s="22" t="str">
        <f>VLOOKUP(B37,S!$A:$G,3,FALSE)</f>
        <v>CURSO DE CAPACITAÇÃO PARA SERVENTE (ENCARGOS COMPLEMENTARES) - HORISTA</v>
      </c>
      <c r="E37" s="15" t="str">
        <f>VLOOKUP(B37,S!$A:$G,4,FALSE)</f>
        <v>H</v>
      </c>
      <c r="F37" s="15"/>
      <c r="G37" s="78">
        <f>I39</f>
        <v>0.31</v>
      </c>
      <c r="H37" s="79"/>
      <c r="I37" s="78"/>
      <c r="J37" s="79"/>
      <c r="K37" s="16">
        <f>VLOOKUP(B37,S!A:G,5,FALSE)</f>
        <v>0.31</v>
      </c>
      <c r="L37" s="15" t="str">
        <f>IF(K37=G37,"OK, CONFORME TABELA",IF(G37&gt;K37,"ACIMA DA TABELA: ","ABAIXO DA TABELA: ")&amp;TRUNC((G37*100)/K37,2)&amp;" %")</f>
        <v>OK, CONFORME TABELA</v>
      </c>
    </row>
    <row r="38" spans="1:18" x14ac:dyDescent="0.3">
      <c r="A38" s="23" t="s">
        <v>1005</v>
      </c>
      <c r="B38" s="23">
        <v>6111</v>
      </c>
      <c r="C38" s="23" t="str">
        <f>VLOOKUP(B38,I!$A:$E,2,FALSE)</f>
        <v>SINAPI</v>
      </c>
      <c r="D38" s="24" t="str">
        <f>VLOOKUP(B38,I!$A:$E,3,FALSE)</f>
        <v>SERVENTE DE OBRAS (HORISTA)</v>
      </c>
      <c r="E38" s="23" t="str">
        <f>VLOOKUP(B38,I!$A:$E,4,FALSE)</f>
        <v>H</v>
      </c>
      <c r="F38" s="23">
        <v>2.12E-2</v>
      </c>
      <c r="G38" s="76">
        <f>VLOOKUP(B38,I!$A:$E,5,FALSE)</f>
        <v>14.86</v>
      </c>
      <c r="H38" s="77"/>
      <c r="I38" s="76">
        <f>TRUNC(F38*G38,2)</f>
        <v>0.31</v>
      </c>
      <c r="J38" s="77"/>
      <c r="M38" s="23">
        <f>B38</f>
        <v>6111</v>
      </c>
      <c r="N38" s="23">
        <f>SUMIF(CPUAUX4!M:M,B37,CPUAUX4!O:O)</f>
        <v>2.1247049250000001</v>
      </c>
      <c r="O38" s="23">
        <f>F38*N38</f>
        <v>4.5043744410000003E-2</v>
      </c>
      <c r="Q38" s="23">
        <f ca="1">SUMIF(CPUAUX4!M:M,B37,CPUAUX4!R:R)</f>
        <v>0.7082349750000001</v>
      </c>
      <c r="R38" s="23">
        <f ca="1">F38*Q38</f>
        <v>1.5014581470000002E-2</v>
      </c>
    </row>
    <row r="39" spans="1:18" x14ac:dyDescent="0.3">
      <c r="A39" s="73" t="str">
        <f>"TOTAL SEM BDI - "&amp;B37</f>
        <v>TOTAL SEM BDI - 95378</v>
      </c>
      <c r="B39" s="74"/>
      <c r="C39" s="74"/>
      <c r="D39" s="74"/>
      <c r="E39" s="74"/>
      <c r="F39" s="74"/>
      <c r="G39" s="74"/>
      <c r="H39" s="75"/>
      <c r="I39" s="76">
        <f>SUM(I37:I38)</f>
        <v>0.31</v>
      </c>
      <c r="J39" s="77"/>
    </row>
  </sheetData>
  <mergeCells count="61">
    <mergeCell ref="A1:J1"/>
    <mergeCell ref="A2:J2"/>
    <mergeCell ref="A3:J3"/>
    <mergeCell ref="N4:P4"/>
    <mergeCell ref="Q4:S4"/>
    <mergeCell ref="G7:H7"/>
    <mergeCell ref="I7:J7"/>
    <mergeCell ref="G8:H8"/>
    <mergeCell ref="I8:J8"/>
    <mergeCell ref="G6:H6"/>
    <mergeCell ref="I6:J6"/>
    <mergeCell ref="A9:H9"/>
    <mergeCell ref="I9:J9"/>
    <mergeCell ref="G11:H11"/>
    <mergeCell ref="I11:J11"/>
    <mergeCell ref="G12:H12"/>
    <mergeCell ref="I12:J12"/>
    <mergeCell ref="G13:H13"/>
    <mergeCell ref="I13:J13"/>
    <mergeCell ref="A14:H14"/>
    <mergeCell ref="I14:J14"/>
    <mergeCell ref="G16:H16"/>
    <mergeCell ref="I16:J16"/>
    <mergeCell ref="G17:H17"/>
    <mergeCell ref="I17:J17"/>
    <mergeCell ref="G18:H18"/>
    <mergeCell ref="I18:J18"/>
    <mergeCell ref="A19:H19"/>
    <mergeCell ref="I19:J19"/>
    <mergeCell ref="G21:H21"/>
    <mergeCell ref="I21:J21"/>
    <mergeCell ref="G22:H22"/>
    <mergeCell ref="I22:J22"/>
    <mergeCell ref="G23:H23"/>
    <mergeCell ref="I23:J23"/>
    <mergeCell ref="A24:H24"/>
    <mergeCell ref="I24:J24"/>
    <mergeCell ref="G26:H26"/>
    <mergeCell ref="I26:J26"/>
    <mergeCell ref="G27:H27"/>
    <mergeCell ref="I27:J27"/>
    <mergeCell ref="G28:H28"/>
    <mergeCell ref="I28:J28"/>
    <mergeCell ref="A29:H29"/>
    <mergeCell ref="I29:J29"/>
    <mergeCell ref="G31:H31"/>
    <mergeCell ref="I31:J31"/>
    <mergeCell ref="G32:H32"/>
    <mergeCell ref="I32:J32"/>
    <mergeCell ref="G33:H33"/>
    <mergeCell ref="I33:J33"/>
    <mergeCell ref="A34:H34"/>
    <mergeCell ref="I34:J34"/>
    <mergeCell ref="A39:H39"/>
    <mergeCell ref="I39:J39"/>
    <mergeCell ref="G36:H36"/>
    <mergeCell ref="I36:J36"/>
    <mergeCell ref="G37:H37"/>
    <mergeCell ref="I37:J37"/>
    <mergeCell ref="G38:H38"/>
    <mergeCell ref="I38:J38"/>
  </mergeCells>
  <pageMargins left="0.78740157480314965" right="0.39370078740157483" top="1.1811023622047245" bottom="0.78740157480314965" header="0.31496062992125984" footer="0.31496062992125984"/>
  <pageSetup paperSize="9" scale="44" fitToHeight="0" orientation="portrait" r:id="rId1"/>
  <headerFooter>
    <oddHeader>&amp;C&amp;G</oddHead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50B64-8CEB-4D98-9B28-57107C16A860}">
  <sheetPr>
    <pageSetUpPr fitToPage="1"/>
  </sheetPr>
  <dimension ref="A1:G44"/>
  <sheetViews>
    <sheetView showGridLines="0" workbookViewId="0">
      <selection activeCell="F11" sqref="F11"/>
    </sheetView>
  </sheetViews>
  <sheetFormatPr defaultRowHeight="15" customHeight="1" x14ac:dyDescent="0.3"/>
  <cols>
    <col min="1" max="1" width="12" bestFit="1" customWidth="1"/>
    <col min="2" max="2" width="81.44140625" bestFit="1" customWidth="1"/>
    <col min="3" max="3" width="14.77734375" bestFit="1" customWidth="1"/>
    <col min="4" max="4" width="9.21875" bestFit="1" customWidth="1"/>
    <col min="5" max="5" width="11.109375" bestFit="1" customWidth="1"/>
    <col min="6" max="6" width="13" bestFit="1" customWidth="1"/>
    <col min="7" max="7" width="33.33203125" bestFit="1" customWidth="1"/>
  </cols>
  <sheetData>
    <row r="1" spans="1:7" ht="15" customHeight="1" x14ac:dyDescent="0.3">
      <c r="A1" s="44" t="str">
        <f>CIDADE</f>
        <v>MUNICÍPIOS DE PARNAGUÁ - PI E ANÍSIO DE ABREU-PI</v>
      </c>
      <c r="B1" s="44"/>
      <c r="C1" s="44"/>
      <c r="D1" s="44"/>
      <c r="E1" s="44"/>
      <c r="F1" s="44"/>
    </row>
    <row r="2" spans="1:7" ht="15" customHeight="1" x14ac:dyDescent="0.3">
      <c r="A2" s="44" t="str">
        <f>OBRA</f>
        <v>IMPLANTAÇÃO DE 6 (SEIS) SISTEMAS DE ABASTECIMENTO DE ÁGUA EM COMUNIDADES RURAIS NOS MUNICÍPIOS DE PARNAGUÁ-PI E ANÍSIO DE ABREU-PI (TC 967175/2024)</v>
      </c>
      <c r="B2" s="44"/>
      <c r="C2" s="44"/>
      <c r="D2" s="44"/>
      <c r="E2" s="44"/>
      <c r="F2" s="44"/>
    </row>
    <row r="3" spans="1:7" ht="15" customHeight="1" x14ac:dyDescent="0.3">
      <c r="A3" s="44" t="s">
        <v>1100</v>
      </c>
      <c r="B3" s="44"/>
      <c r="C3" s="44"/>
      <c r="D3" s="44"/>
      <c r="E3" s="44"/>
      <c r="F3" s="44"/>
    </row>
    <row r="5" spans="1:7" ht="15" customHeight="1" x14ac:dyDescent="0.3">
      <c r="A5" s="1" t="s">
        <v>1</v>
      </c>
      <c r="B5" s="7" t="str">
        <f>FONTE&amp;FOLHA</f>
        <v>SINAPI PI 07/2025, SEINFRA CE 28, ORSE SE 06/2025, CAESB 10/2024SEM DESONERAÇÃO</v>
      </c>
      <c r="C5" s="1" t="s">
        <v>7</v>
      </c>
      <c r="D5" s="8">
        <f>LEI</f>
        <v>113.33</v>
      </c>
      <c r="E5" s="1" t="s">
        <v>16</v>
      </c>
      <c r="F5" s="8">
        <f>BDI</f>
        <v>22.33</v>
      </c>
    </row>
    <row r="6" spans="1:7" ht="15" customHeight="1" x14ac:dyDescent="0.3">
      <c r="A6" s="4" t="s">
        <v>17</v>
      </c>
      <c r="B6" s="45" t="s">
        <v>18</v>
      </c>
      <c r="C6" s="47"/>
      <c r="D6" s="47"/>
      <c r="E6" s="46"/>
      <c r="F6" s="4" t="s">
        <v>19</v>
      </c>
      <c r="G6" s="28" t="s">
        <v>1101</v>
      </c>
    </row>
    <row r="7" spans="1:7" ht="15" customHeight="1" x14ac:dyDescent="0.3">
      <c r="A7" s="23" t="s">
        <v>1102</v>
      </c>
      <c r="B7" s="93" t="s">
        <v>1103</v>
      </c>
      <c r="C7" s="94"/>
      <c r="D7" s="94"/>
      <c r="E7" s="95"/>
      <c r="F7" s="29">
        <v>3.4299999999999997E-2</v>
      </c>
      <c r="G7" s="28" t="s">
        <v>1104</v>
      </c>
    </row>
    <row r="8" spans="1:7" ht="15" customHeight="1" x14ac:dyDescent="0.3">
      <c r="A8" s="23" t="s">
        <v>1105</v>
      </c>
      <c r="B8" s="93" t="s">
        <v>1106</v>
      </c>
      <c r="C8" s="94"/>
      <c r="D8" s="94"/>
      <c r="E8" s="95"/>
      <c r="F8" s="29">
        <v>2.8E-3</v>
      </c>
      <c r="G8" s="28" t="s">
        <v>1107</v>
      </c>
    </row>
    <row r="9" spans="1:7" ht="15" customHeight="1" x14ac:dyDescent="0.3">
      <c r="A9" s="23" t="s">
        <v>1108</v>
      </c>
      <c r="B9" s="93" t="s">
        <v>1109</v>
      </c>
      <c r="C9" s="94"/>
      <c r="D9" s="94"/>
      <c r="E9" s="95"/>
      <c r="F9" s="29">
        <v>0.01</v>
      </c>
      <c r="G9" s="28" t="s">
        <v>1110</v>
      </c>
    </row>
    <row r="10" spans="1:7" ht="15" customHeight="1" x14ac:dyDescent="0.3">
      <c r="A10" s="23" t="s">
        <v>1111</v>
      </c>
      <c r="B10" s="93" t="s">
        <v>1112</v>
      </c>
      <c r="C10" s="94"/>
      <c r="D10" s="94"/>
      <c r="E10" s="95"/>
      <c r="F10" s="29">
        <v>9.4000000000000004E-3</v>
      </c>
      <c r="G10" s="28" t="s">
        <v>1113</v>
      </c>
    </row>
    <row r="11" spans="1:7" ht="15" customHeight="1" x14ac:dyDescent="0.3">
      <c r="A11" s="23" t="s">
        <v>1114</v>
      </c>
      <c r="B11" s="93" t="s">
        <v>1115</v>
      </c>
      <c r="C11" s="94"/>
      <c r="D11" s="94"/>
      <c r="E11" s="95"/>
      <c r="F11" s="29">
        <v>8.0399999999999999E-2</v>
      </c>
      <c r="G11" s="28" t="s">
        <v>1116</v>
      </c>
    </row>
    <row r="12" spans="1:7" ht="15" customHeight="1" x14ac:dyDescent="0.3">
      <c r="A12" s="23" t="s">
        <v>1117</v>
      </c>
      <c r="B12" s="93" t="s">
        <v>1118</v>
      </c>
      <c r="C12" s="94"/>
      <c r="D12" s="94"/>
      <c r="E12" s="95"/>
      <c r="F12" s="29">
        <f>SUM(F13,F14,F15,F18)</f>
        <v>6.6500000000000004E-2</v>
      </c>
    </row>
    <row r="13" spans="1:7" ht="15" customHeight="1" x14ac:dyDescent="0.3">
      <c r="A13" s="23" t="s">
        <v>1119</v>
      </c>
      <c r="B13" s="93" t="s">
        <v>1120</v>
      </c>
      <c r="C13" s="94"/>
      <c r="D13" s="94"/>
      <c r="E13" s="95"/>
      <c r="F13" s="29">
        <v>6.4999999999999997E-3</v>
      </c>
    </row>
    <row r="14" spans="1:7" ht="15" customHeight="1" x14ac:dyDescent="0.3">
      <c r="A14" s="23" t="s">
        <v>1121</v>
      </c>
      <c r="B14" s="93" t="s">
        <v>1122</v>
      </c>
      <c r="C14" s="94"/>
      <c r="D14" s="94"/>
      <c r="E14" s="95"/>
      <c r="F14" s="29">
        <v>0.03</v>
      </c>
    </row>
    <row r="15" spans="1:7" ht="15" customHeight="1" x14ac:dyDescent="0.3">
      <c r="A15" s="90" t="s">
        <v>1123</v>
      </c>
      <c r="B15" s="93" t="str">
        <f>"IMPOSTO SOBRE SERVIÇOS DE QUALQUER NATUREZA ("&amp;F16*100&amp;"% x "&amp;F17*100&amp;"% = "&amp;F15*100&amp;"%)"</f>
        <v>IMPOSTO SOBRE SERVIÇOS DE QUALQUER NATUREZA (5% x 60% = 3%)</v>
      </c>
      <c r="C15" s="94"/>
      <c r="D15" s="94"/>
      <c r="E15" s="95"/>
      <c r="F15" s="29">
        <f>ROUND(F16*F17,4)</f>
        <v>0.03</v>
      </c>
    </row>
    <row r="16" spans="1:7" ht="15" customHeight="1" x14ac:dyDescent="0.3">
      <c r="A16" s="91"/>
      <c r="B16" s="93" t="s">
        <v>1124</v>
      </c>
      <c r="C16" s="94"/>
      <c r="D16" s="94"/>
      <c r="E16" s="95"/>
      <c r="F16" s="29">
        <v>0.05</v>
      </c>
      <c r="G16" s="28" t="s">
        <v>1125</v>
      </c>
    </row>
    <row r="17" spans="1:7" ht="15" customHeight="1" x14ac:dyDescent="0.3">
      <c r="A17" s="92"/>
      <c r="B17" s="93" t="s">
        <v>1126</v>
      </c>
      <c r="C17" s="94"/>
      <c r="D17" s="94"/>
      <c r="E17" s="95"/>
      <c r="F17" s="29">
        <v>0.6</v>
      </c>
      <c r="G17" s="28" t="s">
        <v>1125</v>
      </c>
    </row>
    <row r="18" spans="1:7" ht="15" customHeight="1" x14ac:dyDescent="0.3">
      <c r="A18" s="23" t="s">
        <v>1127</v>
      </c>
      <c r="B18" s="93" t="s">
        <v>1128</v>
      </c>
      <c r="C18" s="94"/>
      <c r="D18" s="94"/>
      <c r="E18" s="95"/>
      <c r="F18" s="29">
        <f>IF(FOLHA="COM DESONERAÇÃO",0.036,0)</f>
        <v>0</v>
      </c>
    </row>
    <row r="19" spans="1:7" ht="15" customHeight="1" x14ac:dyDescent="0.3">
      <c r="A19" s="4" t="s">
        <v>1129</v>
      </c>
      <c r="B19" s="45" t="s">
        <v>1130</v>
      </c>
      <c r="C19" s="47"/>
      <c r="D19" s="47"/>
      <c r="E19" s="46"/>
      <c r="F19" s="19">
        <f>ROUND((((1+F7+F8+F9)*(1+F10)*(1+F11))/(1-F12))-1,4)</f>
        <v>0.2233</v>
      </c>
      <c r="G19" s="28" t="s">
        <v>1131</v>
      </c>
    </row>
    <row r="21" spans="1:7" ht="15" customHeight="1" x14ac:dyDescent="0.3">
      <c r="A21" s="80" t="s">
        <v>1132</v>
      </c>
      <c r="B21" s="80"/>
      <c r="C21" s="80"/>
      <c r="D21" s="80"/>
      <c r="E21" s="80"/>
      <c r="F21" s="80"/>
    </row>
    <row r="23" spans="1:7" ht="15" customHeight="1" x14ac:dyDescent="0.3">
      <c r="A23" s="45" t="s">
        <v>13</v>
      </c>
      <c r="B23" s="47"/>
      <c r="C23" s="47"/>
      <c r="D23" s="47"/>
      <c r="E23" s="47"/>
      <c r="F23" s="46"/>
    </row>
    <row r="24" spans="1:7" ht="15" customHeight="1" x14ac:dyDescent="0.3">
      <c r="A24" s="81" t="s">
        <v>1133</v>
      </c>
      <c r="B24" s="82"/>
      <c r="C24" s="82"/>
      <c r="D24" s="82"/>
      <c r="E24" s="82"/>
      <c r="F24" s="83"/>
    </row>
    <row r="25" spans="1:7" ht="15" customHeight="1" x14ac:dyDescent="0.3">
      <c r="A25" s="84"/>
      <c r="B25" s="85"/>
      <c r="C25" s="85"/>
      <c r="D25" s="85"/>
      <c r="E25" s="85"/>
      <c r="F25" s="86"/>
    </row>
    <row r="26" spans="1:7" ht="15" customHeight="1" x14ac:dyDescent="0.3">
      <c r="A26" s="84"/>
      <c r="B26" s="85"/>
      <c r="C26" s="85"/>
      <c r="D26" s="85"/>
      <c r="E26" s="85"/>
      <c r="F26" s="86"/>
    </row>
    <row r="27" spans="1:7" ht="15" customHeight="1" x14ac:dyDescent="0.3">
      <c r="A27" s="84"/>
      <c r="B27" s="85"/>
      <c r="C27" s="85"/>
      <c r="D27" s="85"/>
      <c r="E27" s="85"/>
      <c r="F27" s="86"/>
    </row>
    <row r="28" spans="1:7" ht="15" customHeight="1" x14ac:dyDescent="0.3">
      <c r="A28" s="84"/>
      <c r="B28" s="85"/>
      <c r="C28" s="85"/>
      <c r="D28" s="85"/>
      <c r="E28" s="85"/>
      <c r="F28" s="86"/>
    </row>
    <row r="29" spans="1:7" ht="15" customHeight="1" x14ac:dyDescent="0.3">
      <c r="A29" s="84"/>
      <c r="B29" s="85"/>
      <c r="C29" s="85"/>
      <c r="D29" s="85"/>
      <c r="E29" s="85"/>
      <c r="F29" s="86"/>
    </row>
    <row r="30" spans="1:7" ht="15" customHeight="1" x14ac:dyDescent="0.3">
      <c r="A30" s="84"/>
      <c r="B30" s="85"/>
      <c r="C30" s="85"/>
      <c r="D30" s="85"/>
      <c r="E30" s="85"/>
      <c r="F30" s="86"/>
    </row>
    <row r="31" spans="1:7" ht="15" customHeight="1" x14ac:dyDescent="0.3">
      <c r="A31" s="84"/>
      <c r="B31" s="85"/>
      <c r="C31" s="85"/>
      <c r="D31" s="85"/>
      <c r="E31" s="85"/>
      <c r="F31" s="86"/>
    </row>
    <row r="32" spans="1:7" ht="15" customHeight="1" x14ac:dyDescent="0.3">
      <c r="A32" s="84"/>
      <c r="B32" s="85"/>
      <c r="C32" s="85"/>
      <c r="D32" s="85"/>
      <c r="E32" s="85"/>
      <c r="F32" s="86"/>
    </row>
    <row r="33" spans="1:6" ht="15" customHeight="1" x14ac:dyDescent="0.3">
      <c r="A33" s="84"/>
      <c r="B33" s="85"/>
      <c r="C33" s="85"/>
      <c r="D33" s="85"/>
      <c r="E33" s="85"/>
      <c r="F33" s="86"/>
    </row>
    <row r="34" spans="1:6" ht="15" customHeight="1" x14ac:dyDescent="0.3">
      <c r="A34" s="84"/>
      <c r="B34" s="85"/>
      <c r="C34" s="85"/>
      <c r="D34" s="85"/>
      <c r="E34" s="85"/>
      <c r="F34" s="86"/>
    </row>
    <row r="35" spans="1:6" ht="15" customHeight="1" x14ac:dyDescent="0.3">
      <c r="A35" s="84"/>
      <c r="B35" s="85"/>
      <c r="C35" s="85"/>
      <c r="D35" s="85"/>
      <c r="E35" s="85"/>
      <c r="F35" s="86"/>
    </row>
    <row r="36" spans="1:6" ht="15" customHeight="1" x14ac:dyDescent="0.3">
      <c r="A36" s="84"/>
      <c r="B36" s="85"/>
      <c r="C36" s="85"/>
      <c r="D36" s="85"/>
      <c r="E36" s="85"/>
      <c r="F36" s="86"/>
    </row>
    <row r="37" spans="1:6" ht="15" customHeight="1" x14ac:dyDescent="0.3">
      <c r="A37" s="84"/>
      <c r="B37" s="85"/>
      <c r="C37" s="85"/>
      <c r="D37" s="85"/>
      <c r="E37" s="85"/>
      <c r="F37" s="86"/>
    </row>
    <row r="38" spans="1:6" ht="15" customHeight="1" x14ac:dyDescent="0.3">
      <c r="A38" s="84"/>
      <c r="B38" s="85"/>
      <c r="C38" s="85"/>
      <c r="D38" s="85"/>
      <c r="E38" s="85"/>
      <c r="F38" s="86"/>
    </row>
    <row r="39" spans="1:6" ht="15" customHeight="1" x14ac:dyDescent="0.3">
      <c r="A39" s="84"/>
      <c r="B39" s="85"/>
      <c r="C39" s="85"/>
      <c r="D39" s="85"/>
      <c r="E39" s="85"/>
      <c r="F39" s="86"/>
    </row>
    <row r="40" spans="1:6" ht="15" customHeight="1" x14ac:dyDescent="0.3">
      <c r="A40" s="84"/>
      <c r="B40" s="85"/>
      <c r="C40" s="85"/>
      <c r="D40" s="85"/>
      <c r="E40" s="85"/>
      <c r="F40" s="86"/>
    </row>
    <row r="41" spans="1:6" ht="15" customHeight="1" x14ac:dyDescent="0.3">
      <c r="A41" s="84"/>
      <c r="B41" s="85"/>
      <c r="C41" s="85"/>
      <c r="D41" s="85"/>
      <c r="E41" s="85"/>
      <c r="F41" s="86"/>
    </row>
    <row r="42" spans="1:6" ht="15" customHeight="1" x14ac:dyDescent="0.3">
      <c r="A42" s="84"/>
      <c r="B42" s="85"/>
      <c r="C42" s="85"/>
      <c r="D42" s="85"/>
      <c r="E42" s="85"/>
      <c r="F42" s="86"/>
    </row>
    <row r="43" spans="1:6" ht="15" customHeight="1" x14ac:dyDescent="0.3">
      <c r="A43" s="84"/>
      <c r="B43" s="85"/>
      <c r="C43" s="85"/>
      <c r="D43" s="85"/>
      <c r="E43" s="85"/>
      <c r="F43" s="86"/>
    </row>
    <row r="44" spans="1:6" ht="15" customHeight="1" x14ac:dyDescent="0.3">
      <c r="A44" s="87"/>
      <c r="B44" s="88"/>
      <c r="C44" s="88"/>
      <c r="D44" s="88"/>
      <c r="E44" s="88"/>
      <c r="F44" s="89"/>
    </row>
  </sheetData>
  <mergeCells count="21">
    <mergeCell ref="B14:E14"/>
    <mergeCell ref="A1:F1"/>
    <mergeCell ref="A2:F2"/>
    <mergeCell ref="A3:F3"/>
    <mergeCell ref="B6:E6"/>
    <mergeCell ref="B7:E7"/>
    <mergeCell ref="B8:E8"/>
    <mergeCell ref="B9:E9"/>
    <mergeCell ref="B10:E10"/>
    <mergeCell ref="B11:E11"/>
    <mergeCell ref="B12:E12"/>
    <mergeCell ref="B13:E13"/>
    <mergeCell ref="A21:F21"/>
    <mergeCell ref="A23:F23"/>
    <mergeCell ref="A24:F44"/>
    <mergeCell ref="A15:A17"/>
    <mergeCell ref="B15:E15"/>
    <mergeCell ref="B16:E16"/>
    <mergeCell ref="B17:E17"/>
    <mergeCell ref="B18:E18"/>
    <mergeCell ref="B19:E19"/>
  </mergeCells>
  <pageMargins left="0.78740157480314965" right="0.39370078740157483" top="1.1811023622047245" bottom="0.78740157480314965" header="0.31496062992125984" footer="0.31496062992125984"/>
  <pageSetup paperSize="9" scale="63" fitToHeight="0" orientation="portrait" r:id="rId1"/>
  <headerFooter>
    <oddHeader>&amp;C&amp;G</oddHead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D034B-7F89-41F4-A6FC-CA0025CF10A1}">
  <sheetPr>
    <pageSetUpPr fitToPage="1"/>
  </sheetPr>
  <dimension ref="A1:F44"/>
  <sheetViews>
    <sheetView showGridLines="0" workbookViewId="0">
      <selection sqref="A1:F1"/>
    </sheetView>
  </sheetViews>
  <sheetFormatPr defaultRowHeight="15" customHeight="1" x14ac:dyDescent="0.3"/>
  <cols>
    <col min="1" max="1" width="12" bestFit="1" customWidth="1"/>
    <col min="2" max="2" width="79.6640625" bestFit="1" customWidth="1"/>
    <col min="3" max="6" width="16.6640625" bestFit="1" customWidth="1"/>
  </cols>
  <sheetData>
    <row r="1" spans="1:6" ht="15" customHeight="1" x14ac:dyDescent="0.3">
      <c r="A1" s="44" t="str">
        <f>CIDADE</f>
        <v>MUNICÍPIOS DE PARNAGUÁ - PI E ANÍSIO DE ABREU-PI</v>
      </c>
      <c r="B1" s="44"/>
      <c r="C1" s="44"/>
      <c r="D1" s="44"/>
      <c r="E1" s="44"/>
      <c r="F1" s="44"/>
    </row>
    <row r="2" spans="1:6" ht="15" customHeight="1" x14ac:dyDescent="0.3">
      <c r="A2" s="44" t="str">
        <f>OBRA</f>
        <v>IMPLANTAÇÃO DE 6 (SEIS) SISTEMAS DE ABASTECIMENTO DE ÁGUA EM COMUNIDADES RURAIS NOS MUNICÍPIOS DE PARNAGUÁ-PI E ANÍSIO DE ABREU-PI (TC 967175/2024)</v>
      </c>
      <c r="B2" s="44"/>
      <c r="C2" s="44"/>
      <c r="D2" s="44"/>
      <c r="E2" s="44"/>
      <c r="F2" s="44"/>
    </row>
    <row r="3" spans="1:6" ht="15" customHeight="1" x14ac:dyDescent="0.3">
      <c r="A3" s="44" t="s">
        <v>1134</v>
      </c>
      <c r="B3" s="44"/>
      <c r="C3" s="44"/>
      <c r="D3" s="44"/>
      <c r="E3" s="44"/>
      <c r="F3" s="44"/>
    </row>
    <row r="5" spans="1:6" ht="15" customHeight="1" x14ac:dyDescent="0.3">
      <c r="A5" s="1" t="s">
        <v>1</v>
      </c>
      <c r="B5" s="7" t="str">
        <f>FONTE&amp;FOLHA</f>
        <v>SINAPI PI 07/2025, SEINFRA CE 28, ORSE SE 06/2025, CAESB 10/2024SEM DESONERAÇÃO</v>
      </c>
      <c r="C5" s="1" t="s">
        <v>7</v>
      </c>
      <c r="D5" s="8">
        <f>LEI</f>
        <v>113.33</v>
      </c>
      <c r="E5" s="1" t="s">
        <v>16</v>
      </c>
      <c r="F5" s="8">
        <f>BDI</f>
        <v>22.33</v>
      </c>
    </row>
    <row r="6" spans="1:6" ht="15" customHeight="1" x14ac:dyDescent="0.3">
      <c r="A6" s="64" t="s">
        <v>170</v>
      </c>
      <c r="B6" s="64" t="s">
        <v>18</v>
      </c>
      <c r="C6" s="45" t="s">
        <v>1135</v>
      </c>
      <c r="D6" s="46"/>
      <c r="E6" s="45" t="s">
        <v>2</v>
      </c>
      <c r="F6" s="46"/>
    </row>
    <row r="7" spans="1:6" ht="15" customHeight="1" x14ac:dyDescent="0.3">
      <c r="A7" s="65"/>
      <c r="B7" s="65"/>
      <c r="C7" s="4" t="s">
        <v>1136</v>
      </c>
      <c r="D7" s="4" t="s">
        <v>1137</v>
      </c>
      <c r="E7" s="4" t="s">
        <v>1136</v>
      </c>
      <c r="F7" s="4" t="s">
        <v>1137</v>
      </c>
    </row>
    <row r="8" spans="1:6" ht="15" customHeight="1" x14ac:dyDescent="0.3">
      <c r="A8" s="45" t="s">
        <v>1138</v>
      </c>
      <c r="B8" s="47"/>
      <c r="C8" s="47"/>
      <c r="D8" s="47"/>
      <c r="E8" s="47"/>
      <c r="F8" s="46"/>
    </row>
    <row r="9" spans="1:6" ht="15" customHeight="1" x14ac:dyDescent="0.3">
      <c r="A9" s="23" t="s">
        <v>1139</v>
      </c>
      <c r="B9" s="23" t="s">
        <v>1140</v>
      </c>
      <c r="C9" s="25">
        <v>0.05</v>
      </c>
      <c r="D9" s="25">
        <v>0.05</v>
      </c>
      <c r="E9" s="25">
        <v>0.2</v>
      </c>
      <c r="F9" s="25">
        <v>0.2</v>
      </c>
    </row>
    <row r="10" spans="1:6" ht="15" customHeight="1" x14ac:dyDescent="0.3">
      <c r="A10" s="23" t="s">
        <v>1141</v>
      </c>
      <c r="B10" s="23" t="s">
        <v>1142</v>
      </c>
      <c r="C10" s="25">
        <v>1.4999999999999999E-2</v>
      </c>
      <c r="D10" s="25">
        <v>1.4999999999999999E-2</v>
      </c>
      <c r="E10" s="25">
        <v>1.4999999999999999E-2</v>
      </c>
      <c r="F10" s="25">
        <v>1.4999999999999999E-2</v>
      </c>
    </row>
    <row r="11" spans="1:6" ht="15" customHeight="1" x14ac:dyDescent="0.3">
      <c r="A11" s="23" t="s">
        <v>1143</v>
      </c>
      <c r="B11" s="23" t="s">
        <v>1144</v>
      </c>
      <c r="C11" s="25">
        <v>0.01</v>
      </c>
      <c r="D11" s="25">
        <v>0.01</v>
      </c>
      <c r="E11" s="25">
        <v>0.01</v>
      </c>
      <c r="F11" s="25">
        <v>0.01</v>
      </c>
    </row>
    <row r="12" spans="1:6" ht="15" customHeight="1" x14ac:dyDescent="0.3">
      <c r="A12" s="23" t="s">
        <v>1145</v>
      </c>
      <c r="B12" s="23" t="s">
        <v>1146</v>
      </c>
      <c r="C12" s="25">
        <v>2E-3</v>
      </c>
      <c r="D12" s="25">
        <v>2E-3</v>
      </c>
      <c r="E12" s="25">
        <v>2E-3</v>
      </c>
      <c r="F12" s="25">
        <v>2E-3</v>
      </c>
    </row>
    <row r="13" spans="1:6" ht="15" customHeight="1" x14ac:dyDescent="0.3">
      <c r="A13" s="23" t="s">
        <v>1147</v>
      </c>
      <c r="B13" s="23" t="s">
        <v>1148</v>
      </c>
      <c r="C13" s="25">
        <v>6.0000000000000001E-3</v>
      </c>
      <c r="D13" s="25">
        <v>6.0000000000000001E-3</v>
      </c>
      <c r="E13" s="25">
        <v>6.0000000000000001E-3</v>
      </c>
      <c r="F13" s="25">
        <v>6.0000000000000001E-3</v>
      </c>
    </row>
    <row r="14" spans="1:6" ht="15" customHeight="1" x14ac:dyDescent="0.3">
      <c r="A14" s="23" t="s">
        <v>1149</v>
      </c>
      <c r="B14" s="23" t="s">
        <v>1150</v>
      </c>
      <c r="C14" s="25">
        <v>2.5000000000000001E-2</v>
      </c>
      <c r="D14" s="25">
        <v>2.5000000000000001E-2</v>
      </c>
      <c r="E14" s="25">
        <v>2.5000000000000001E-2</v>
      </c>
      <c r="F14" s="25">
        <v>2.5000000000000001E-2</v>
      </c>
    </row>
    <row r="15" spans="1:6" ht="15" customHeight="1" x14ac:dyDescent="0.3">
      <c r="A15" s="23" t="s">
        <v>1151</v>
      </c>
      <c r="B15" s="23" t="s">
        <v>1152</v>
      </c>
      <c r="C15" s="25">
        <v>0.03</v>
      </c>
      <c r="D15" s="25">
        <v>0.03</v>
      </c>
      <c r="E15" s="25">
        <v>0.03</v>
      </c>
      <c r="F15" s="25">
        <v>0.03</v>
      </c>
    </row>
    <row r="16" spans="1:6" ht="15" customHeight="1" x14ac:dyDescent="0.3">
      <c r="A16" s="23" t="s">
        <v>1153</v>
      </c>
      <c r="B16" s="23" t="s">
        <v>1154</v>
      </c>
      <c r="C16" s="25">
        <v>0.08</v>
      </c>
      <c r="D16" s="25">
        <v>0.08</v>
      </c>
      <c r="E16" s="25">
        <v>0.08</v>
      </c>
      <c r="F16" s="25">
        <v>0.08</v>
      </c>
    </row>
    <row r="17" spans="1:6" ht="15" customHeight="1" x14ac:dyDescent="0.3">
      <c r="A17" s="23" t="s">
        <v>1155</v>
      </c>
      <c r="B17" s="23" t="s">
        <v>1156</v>
      </c>
      <c r="C17" s="25">
        <v>0</v>
      </c>
      <c r="D17" s="25">
        <v>0</v>
      </c>
      <c r="E17" s="25">
        <v>0</v>
      </c>
      <c r="F17" s="25">
        <v>0</v>
      </c>
    </row>
    <row r="18" spans="1:6" ht="15" customHeight="1" x14ac:dyDescent="0.3">
      <c r="A18" s="23" t="s">
        <v>1157</v>
      </c>
      <c r="B18" s="23" t="s">
        <v>158</v>
      </c>
      <c r="C18" s="25">
        <f>SUM(C9:C17)</f>
        <v>0.21800000000000003</v>
      </c>
      <c r="D18" s="25">
        <f>SUM(D9:D17)</f>
        <v>0.21800000000000003</v>
      </c>
      <c r="E18" s="25">
        <f>SUM(E9:E17)</f>
        <v>0.36800000000000005</v>
      </c>
      <c r="F18" s="25">
        <f>SUM(F9:F17)</f>
        <v>0.36800000000000005</v>
      </c>
    </row>
    <row r="19" spans="1:6" ht="15" customHeight="1" x14ac:dyDescent="0.3">
      <c r="A19" s="45" t="s">
        <v>1158</v>
      </c>
      <c r="B19" s="47"/>
      <c r="C19" s="47"/>
      <c r="D19" s="47"/>
      <c r="E19" s="47"/>
      <c r="F19" s="46"/>
    </row>
    <row r="20" spans="1:6" ht="15" customHeight="1" x14ac:dyDescent="0.3">
      <c r="A20" s="23" t="s">
        <v>1159</v>
      </c>
      <c r="B20" s="23" t="s">
        <v>1160</v>
      </c>
      <c r="C20" s="25">
        <v>0.1782</v>
      </c>
      <c r="D20" s="23" t="s">
        <v>1161</v>
      </c>
      <c r="E20" s="25">
        <v>0.1782</v>
      </c>
      <c r="F20" s="23" t="s">
        <v>1161</v>
      </c>
    </row>
    <row r="21" spans="1:6" ht="15" customHeight="1" x14ac:dyDescent="0.3">
      <c r="A21" s="23" t="s">
        <v>1162</v>
      </c>
      <c r="B21" s="23" t="s">
        <v>1163</v>
      </c>
      <c r="C21" s="25">
        <v>3.95E-2</v>
      </c>
      <c r="D21" s="23" t="s">
        <v>1161</v>
      </c>
      <c r="E21" s="25">
        <v>3.95E-2</v>
      </c>
      <c r="F21" s="23" t="s">
        <v>1161</v>
      </c>
    </row>
    <row r="22" spans="1:6" ht="15" customHeight="1" x14ac:dyDescent="0.3">
      <c r="A22" s="23" t="s">
        <v>1164</v>
      </c>
      <c r="B22" s="23" t="s">
        <v>1165</v>
      </c>
      <c r="C22" s="25">
        <v>8.6E-3</v>
      </c>
      <c r="D22" s="25">
        <v>6.4999999999999997E-3</v>
      </c>
      <c r="E22" s="25">
        <v>8.6E-3</v>
      </c>
      <c r="F22" s="25">
        <v>6.4999999999999997E-3</v>
      </c>
    </row>
    <row r="23" spans="1:6" ht="15" customHeight="1" x14ac:dyDescent="0.3">
      <c r="A23" s="23" t="s">
        <v>1166</v>
      </c>
      <c r="B23" s="23" t="s">
        <v>1167</v>
      </c>
      <c r="C23" s="25">
        <v>0.1096</v>
      </c>
      <c r="D23" s="25">
        <v>8.3299999999999999E-2</v>
      </c>
      <c r="E23" s="25">
        <v>0.1096</v>
      </c>
      <c r="F23" s="25">
        <v>8.3299999999999999E-2</v>
      </c>
    </row>
    <row r="24" spans="1:6" ht="15" customHeight="1" x14ac:dyDescent="0.3">
      <c r="A24" s="23" t="s">
        <v>1168</v>
      </c>
      <c r="B24" s="23" t="s">
        <v>1169</v>
      </c>
      <c r="C24" s="25">
        <v>6.9999999999999999E-4</v>
      </c>
      <c r="D24" s="25">
        <v>5.0000000000000001E-4</v>
      </c>
      <c r="E24" s="25">
        <v>6.9999999999999999E-4</v>
      </c>
      <c r="F24" s="25">
        <v>5.0000000000000001E-4</v>
      </c>
    </row>
    <row r="25" spans="1:6" ht="15" customHeight="1" x14ac:dyDescent="0.3">
      <c r="A25" s="23" t="s">
        <v>1170</v>
      </c>
      <c r="B25" s="23" t="s">
        <v>1171</v>
      </c>
      <c r="C25" s="25">
        <v>7.3000000000000001E-3</v>
      </c>
      <c r="D25" s="25">
        <v>5.5999999999999999E-3</v>
      </c>
      <c r="E25" s="25">
        <v>7.3000000000000001E-3</v>
      </c>
      <c r="F25" s="25">
        <v>5.5999999999999999E-3</v>
      </c>
    </row>
    <row r="26" spans="1:6" ht="15" customHeight="1" x14ac:dyDescent="0.3">
      <c r="A26" s="23" t="s">
        <v>1172</v>
      </c>
      <c r="B26" s="23" t="s">
        <v>1173</v>
      </c>
      <c r="C26" s="25">
        <v>1.17E-2</v>
      </c>
      <c r="D26" s="23" t="s">
        <v>1161</v>
      </c>
      <c r="E26" s="25">
        <v>1.17E-2</v>
      </c>
      <c r="F26" s="23" t="s">
        <v>1161</v>
      </c>
    </row>
    <row r="27" spans="1:6" ht="15" customHeight="1" x14ac:dyDescent="0.3">
      <c r="A27" s="23" t="s">
        <v>1174</v>
      </c>
      <c r="B27" s="23" t="s">
        <v>1175</v>
      </c>
      <c r="C27" s="25">
        <v>1E-3</v>
      </c>
      <c r="D27" s="25">
        <v>6.9999999999999999E-4</v>
      </c>
      <c r="E27" s="25">
        <v>1E-3</v>
      </c>
      <c r="F27" s="25">
        <v>6.9999999999999999E-4</v>
      </c>
    </row>
    <row r="28" spans="1:6" ht="15" customHeight="1" x14ac:dyDescent="0.3">
      <c r="A28" s="23" t="s">
        <v>1176</v>
      </c>
      <c r="B28" s="23" t="s">
        <v>1177</v>
      </c>
      <c r="C28" s="25">
        <v>0.1171</v>
      </c>
      <c r="D28" s="25">
        <v>8.8999999999999996E-2</v>
      </c>
      <c r="E28" s="25">
        <v>0.1171</v>
      </c>
      <c r="F28" s="25">
        <v>8.8999999999999996E-2</v>
      </c>
    </row>
    <row r="29" spans="1:6" ht="15" customHeight="1" x14ac:dyDescent="0.3">
      <c r="A29" s="23" t="s">
        <v>1178</v>
      </c>
      <c r="B29" s="23" t="s">
        <v>1179</v>
      </c>
      <c r="C29" s="25">
        <v>2.9999999999999997E-4</v>
      </c>
      <c r="D29" s="25">
        <v>2.9999999999999997E-4</v>
      </c>
      <c r="E29" s="25">
        <v>2.9999999999999997E-4</v>
      </c>
      <c r="F29" s="25">
        <v>2.9999999999999997E-4</v>
      </c>
    </row>
    <row r="30" spans="1:6" ht="15" customHeight="1" x14ac:dyDescent="0.3">
      <c r="A30" s="23" t="s">
        <v>1180</v>
      </c>
      <c r="B30" s="23" t="s">
        <v>158</v>
      </c>
      <c r="C30" s="25">
        <f>SUM(C20:C29)</f>
        <v>0.47399999999999992</v>
      </c>
      <c r="D30" s="25">
        <f>SUM(D20:D29)</f>
        <v>0.18589999999999998</v>
      </c>
      <c r="E30" s="25">
        <f>SUM(E20:E29)</f>
        <v>0.47399999999999992</v>
      </c>
      <c r="F30" s="25">
        <f>SUM(F20:F29)</f>
        <v>0.18589999999999998</v>
      </c>
    </row>
    <row r="31" spans="1:6" ht="15" customHeight="1" x14ac:dyDescent="0.3">
      <c r="A31" s="45" t="s">
        <v>1181</v>
      </c>
      <c r="B31" s="47"/>
      <c r="C31" s="47"/>
      <c r="D31" s="47"/>
      <c r="E31" s="47"/>
      <c r="F31" s="46"/>
    </row>
    <row r="32" spans="1:6" ht="15" customHeight="1" x14ac:dyDescent="0.3">
      <c r="A32" s="23" t="s">
        <v>1182</v>
      </c>
      <c r="B32" s="23" t="s">
        <v>1183</v>
      </c>
      <c r="C32" s="25">
        <v>5.2999999999999999E-2</v>
      </c>
      <c r="D32" s="25">
        <v>4.0300000000000002E-2</v>
      </c>
      <c r="E32" s="25">
        <v>5.2999999999999999E-2</v>
      </c>
      <c r="F32" s="25">
        <v>4.0300000000000002E-2</v>
      </c>
    </row>
    <row r="33" spans="1:6" ht="15" customHeight="1" x14ac:dyDescent="0.3">
      <c r="A33" s="23" t="s">
        <v>1184</v>
      </c>
      <c r="B33" s="23" t="s">
        <v>1185</v>
      </c>
      <c r="C33" s="25">
        <v>1.1999999999999999E-3</v>
      </c>
      <c r="D33" s="25">
        <v>8.9999999999999998E-4</v>
      </c>
      <c r="E33" s="25">
        <v>1.1999999999999999E-3</v>
      </c>
      <c r="F33" s="25">
        <v>8.9999999999999998E-4</v>
      </c>
    </row>
    <row r="34" spans="1:6" ht="15" customHeight="1" x14ac:dyDescent="0.3">
      <c r="A34" s="23" t="s">
        <v>1186</v>
      </c>
      <c r="B34" s="23" t="s">
        <v>1187</v>
      </c>
      <c r="C34" s="25">
        <v>2.46E-2</v>
      </c>
      <c r="D34" s="25">
        <v>1.8700000000000001E-2</v>
      </c>
      <c r="E34" s="25">
        <v>2.46E-2</v>
      </c>
      <c r="F34" s="25">
        <v>1.8700000000000001E-2</v>
      </c>
    </row>
    <row r="35" spans="1:6" ht="15" customHeight="1" x14ac:dyDescent="0.3">
      <c r="A35" s="23" t="s">
        <v>1188</v>
      </c>
      <c r="B35" s="23" t="s">
        <v>1189</v>
      </c>
      <c r="C35" s="25">
        <v>2.8899999999999999E-2</v>
      </c>
      <c r="D35" s="25">
        <v>2.1999999999999999E-2</v>
      </c>
      <c r="E35" s="25">
        <v>2.8899999999999999E-2</v>
      </c>
      <c r="F35" s="25">
        <v>2.1999999999999999E-2</v>
      </c>
    </row>
    <row r="36" spans="1:6" ht="15" customHeight="1" x14ac:dyDescent="0.3">
      <c r="A36" s="23" t="s">
        <v>1190</v>
      </c>
      <c r="B36" s="23" t="s">
        <v>1191</v>
      </c>
      <c r="C36" s="25">
        <v>4.4999999999999997E-3</v>
      </c>
      <c r="D36" s="25">
        <v>3.3999999999999998E-3</v>
      </c>
      <c r="E36" s="25">
        <v>4.4999999999999997E-3</v>
      </c>
      <c r="F36" s="25">
        <v>3.3999999999999998E-3</v>
      </c>
    </row>
    <row r="37" spans="1:6" ht="15" customHeight="1" x14ac:dyDescent="0.3">
      <c r="A37" s="23" t="s">
        <v>1192</v>
      </c>
      <c r="B37" s="23" t="s">
        <v>158</v>
      </c>
      <c r="C37" s="25">
        <f>SUM(C32:C36)</f>
        <v>0.11219999999999999</v>
      </c>
      <c r="D37" s="25">
        <f>SUM(D32:D36)</f>
        <v>8.5300000000000001E-2</v>
      </c>
      <c r="E37" s="25">
        <f>SUM(E32:E36)</f>
        <v>0.11219999999999999</v>
      </c>
      <c r="F37" s="25">
        <f>SUM(F32:F36)</f>
        <v>8.5300000000000001E-2</v>
      </c>
    </row>
    <row r="38" spans="1:6" ht="15" customHeight="1" x14ac:dyDescent="0.3">
      <c r="A38" s="45" t="s">
        <v>1193</v>
      </c>
      <c r="B38" s="47"/>
      <c r="C38" s="47"/>
      <c r="D38" s="47"/>
      <c r="E38" s="47"/>
      <c r="F38" s="46"/>
    </row>
    <row r="39" spans="1:6" ht="15" customHeight="1" x14ac:dyDescent="0.3">
      <c r="A39" s="23" t="s">
        <v>1194</v>
      </c>
      <c r="B39" t="s">
        <v>1195</v>
      </c>
      <c r="C39" s="25">
        <v>9.7900000000000001E-2</v>
      </c>
      <c r="D39" s="25">
        <v>3.6400000000000002E-2</v>
      </c>
      <c r="E39" s="25">
        <v>0.1744</v>
      </c>
      <c r="F39" s="25">
        <v>6.8400000000000002E-2</v>
      </c>
    </row>
    <row r="40" spans="1:6" ht="42" customHeight="1" x14ac:dyDescent="0.3">
      <c r="A40" s="23" t="s">
        <v>1196</v>
      </c>
      <c r="B40" s="30" t="s">
        <v>1197</v>
      </c>
      <c r="C40" s="25">
        <v>4.4999999999999997E-3</v>
      </c>
      <c r="D40" s="25">
        <v>3.3999999999999998E-3</v>
      </c>
      <c r="E40" s="25">
        <v>4.7000000000000002E-3</v>
      </c>
      <c r="F40" s="25">
        <v>3.5999999999999999E-3</v>
      </c>
    </row>
    <row r="41" spans="1:6" ht="15" customHeight="1" x14ac:dyDescent="0.3">
      <c r="A41" s="23" t="s">
        <v>1198</v>
      </c>
      <c r="B41" s="23" t="s">
        <v>158</v>
      </c>
      <c r="C41" s="25">
        <f>SUM(C39:C40)</f>
        <v>0.1024</v>
      </c>
      <c r="D41" s="25">
        <f>SUM(D39:D40)</f>
        <v>3.9800000000000002E-2</v>
      </c>
      <c r="E41" s="25">
        <f>SUM(E39:E40)</f>
        <v>0.17910000000000001</v>
      </c>
      <c r="F41" s="25">
        <f>SUM(F39:F40)</f>
        <v>7.2000000000000008E-2</v>
      </c>
    </row>
    <row r="42" spans="1:6" ht="15" customHeight="1" x14ac:dyDescent="0.3">
      <c r="A42" s="45" t="s">
        <v>1199</v>
      </c>
      <c r="B42" s="47"/>
      <c r="C42" s="47"/>
      <c r="D42" s="47"/>
      <c r="E42" s="47"/>
      <c r="F42" s="46"/>
    </row>
    <row r="43" spans="1:6" ht="15" customHeight="1" x14ac:dyDescent="0.3">
      <c r="A43" s="45" t="s">
        <v>158</v>
      </c>
      <c r="B43" s="46"/>
      <c r="C43" s="19">
        <f>SUM(C18,C30,C37,C41)</f>
        <v>0.90659999999999996</v>
      </c>
      <c r="D43" s="19">
        <f>SUM(D18,D30,D37,D41)</f>
        <v>0.52900000000000003</v>
      </c>
      <c r="E43" s="19">
        <f>SUM(E18,E30,E37,E41)</f>
        <v>1.1333</v>
      </c>
      <c r="F43" s="19">
        <f>SUM(F18,F30,F37,F41)</f>
        <v>0.71120000000000005</v>
      </c>
    </row>
    <row r="44" spans="1:6" ht="15" customHeight="1" x14ac:dyDescent="0.3">
      <c r="A44" s="6" t="s">
        <v>1200</v>
      </c>
    </row>
  </sheetData>
  <mergeCells count="13">
    <mergeCell ref="A43:B43"/>
    <mergeCell ref="A1:F1"/>
    <mergeCell ref="A2:F2"/>
    <mergeCell ref="A3:F3"/>
    <mergeCell ref="A6:A7"/>
    <mergeCell ref="B6:B7"/>
    <mergeCell ref="C6:D6"/>
    <mergeCell ref="E6:F6"/>
    <mergeCell ref="A8:F8"/>
    <mergeCell ref="A19:F19"/>
    <mergeCell ref="A31:F31"/>
    <mergeCell ref="A38:F38"/>
    <mergeCell ref="A42:F42"/>
  </mergeCells>
  <pageMargins left="0.78740157480314965" right="0.39370078740157483" top="1.1811023622047245" bottom="0.78740157480314965" header="0.31496062992125984" footer="0.31496062992125984"/>
  <pageSetup paperSize="9" scale="57" fitToHeight="0" orientation="portrait" r:id="rId1"/>
  <headerFooter>
    <oddHeader>&amp;C&amp;G</oddHead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59DD5-D33B-48EC-B590-7AF0D8C07ECE}">
  <sheetPr>
    <pageSetUpPr fitToPage="1"/>
  </sheetPr>
  <dimension ref="A1:I59"/>
  <sheetViews>
    <sheetView showGridLines="0" topLeftCell="A46" workbookViewId="0">
      <selection sqref="A1:I1"/>
    </sheetView>
  </sheetViews>
  <sheetFormatPr defaultRowHeight="14.4" x14ac:dyDescent="0.3"/>
  <cols>
    <col min="1" max="3" width="12" bestFit="1" customWidth="1"/>
    <col min="4" max="4" width="74.109375" bestFit="1" customWidth="1"/>
    <col min="5" max="5" width="9.21875" bestFit="1" customWidth="1"/>
    <col min="6" max="10" width="14.77734375" bestFit="1" customWidth="1"/>
  </cols>
  <sheetData>
    <row r="1" spans="1:9" x14ac:dyDescent="0.3">
      <c r="A1" s="44" t="str">
        <f>CIDADE</f>
        <v>MUNICÍPIOS DE PARNAGUÁ - PI E ANÍSIO DE ABREU-PI</v>
      </c>
      <c r="B1" s="44"/>
      <c r="C1" s="44"/>
      <c r="D1" s="44"/>
      <c r="E1" s="44"/>
      <c r="F1" s="44"/>
      <c r="G1" s="44"/>
      <c r="H1" s="44"/>
      <c r="I1" s="44"/>
    </row>
    <row r="2" spans="1:9" x14ac:dyDescent="0.3">
      <c r="A2" s="44" t="str">
        <f>OBRA</f>
        <v>IMPLANTAÇÃO DE 6 (SEIS) SISTEMAS DE ABASTECIMENTO DE ÁGUA EM COMUNIDADES RURAIS NOS MUNICÍPIOS DE PARNAGUÁ-PI E ANÍSIO DE ABREU-PI (TC 967175/2024)</v>
      </c>
      <c r="B2" s="44"/>
      <c r="C2" s="44"/>
      <c r="D2" s="44"/>
      <c r="E2" s="44"/>
      <c r="F2" s="44"/>
      <c r="G2" s="44"/>
      <c r="H2" s="44"/>
      <c r="I2" s="44"/>
    </row>
    <row r="3" spans="1:9" x14ac:dyDescent="0.3">
      <c r="A3" s="44" t="s">
        <v>1201</v>
      </c>
      <c r="B3" s="44"/>
      <c r="C3" s="44"/>
      <c r="D3" s="44"/>
      <c r="E3" s="44"/>
      <c r="F3" s="44"/>
      <c r="G3" s="44"/>
      <c r="H3" s="44"/>
      <c r="I3" s="44"/>
    </row>
    <row r="5" spans="1:9" x14ac:dyDescent="0.3">
      <c r="A5" s="1" t="s">
        <v>1</v>
      </c>
      <c r="B5" s="7" t="str">
        <f>FONTE&amp;FOLHA</f>
        <v>SINAPI PI 07/2025, SEINFRA CE 28, ORSE SE 06/2025, CAESB 10/2024SEM DESONERAÇÃO</v>
      </c>
      <c r="C5" s="1"/>
      <c r="D5" s="1"/>
      <c r="E5" s="1"/>
      <c r="F5" s="1" t="s">
        <v>7</v>
      </c>
      <c r="G5" s="8">
        <f>LEI</f>
        <v>113.33</v>
      </c>
      <c r="H5" s="1" t="s">
        <v>16</v>
      </c>
      <c r="I5" s="8">
        <f>BDI</f>
        <v>22.33</v>
      </c>
    </row>
    <row r="6" spans="1:9" x14ac:dyDescent="0.3">
      <c r="A6" s="4" t="s">
        <v>1202</v>
      </c>
      <c r="B6" s="4" t="s">
        <v>170</v>
      </c>
      <c r="C6" s="4" t="s">
        <v>171</v>
      </c>
      <c r="D6" s="4" t="s">
        <v>18</v>
      </c>
      <c r="E6" s="4" t="s">
        <v>172</v>
      </c>
      <c r="F6" s="4" t="s">
        <v>173</v>
      </c>
      <c r="G6" s="4" t="s">
        <v>174</v>
      </c>
      <c r="H6" s="4" t="s">
        <v>175</v>
      </c>
      <c r="I6" s="4" t="s">
        <v>12</v>
      </c>
    </row>
    <row r="7" spans="1:9" ht="28.8" x14ac:dyDescent="0.3">
      <c r="A7" s="23">
        <v>1</v>
      </c>
      <c r="B7" s="23" t="s">
        <v>640</v>
      </c>
      <c r="C7" s="23" t="str">
        <f>VLOOKUP(B7,CPU!$B:$J,2,FALSE)</f>
        <v>PRÓPRIA</v>
      </c>
      <c r="D7" s="24" t="str">
        <f>VLOOKUP(B7,CPU!$B:$J,3,FALSE)</f>
        <v>AQUISIÇÃO E ASSENTAMENTO DE TUBO RÍGIDO PVC, CLASSE 12, DN 60 MM, INCLUSO CONEXÕES</v>
      </c>
      <c r="E7" s="23" t="str">
        <f>VLOOKUP(B7,CPU!$B:$J,4,FALSE)</f>
        <v>M</v>
      </c>
      <c r="F7" s="5">
        <f>SUMIF(ORCAMENTO!B:B,B7,ORCAMENTO!F:F)</f>
        <v>16123.900000000001</v>
      </c>
      <c r="G7" s="5">
        <f>VLOOKUP("TOTAL SEM BDI - "&amp;B7,CPU!$A:$J,9,FALSE)</f>
        <v>27.91</v>
      </c>
      <c r="H7" s="5">
        <f>VLOOKUP("TOTAL COM BDI - "&amp;B7,CPU!$A:$J,9,FALSE)</f>
        <v>34.14</v>
      </c>
      <c r="I7" s="5">
        <f>SUMIF(ORCAMENTO!B:B,B7,ORCAMENTO!I:I)</f>
        <v>550469.94999999995</v>
      </c>
    </row>
    <row r="8" spans="1:9" ht="72" x14ac:dyDescent="0.3">
      <c r="A8" s="23">
        <v>2</v>
      </c>
      <c r="B8" s="23" t="s">
        <v>630</v>
      </c>
      <c r="C8" s="23" t="str">
        <f>VLOOKUP(B8,CPU!$B:$J,2,FALSE)</f>
        <v>PRÓPRIA</v>
      </c>
      <c r="D8" s="24" t="str">
        <f>VLOOKUP(B8,CPU!$B:$J,3,FALSE)</f>
        <v>FORNECIMENTO E INSTALAÇÃO DE RESERVATÓRIO ELEVADO C/ CAIXA D'AGUA EM POLIESTER REFORCADO COM FIBRA DE VIDRO DE 10.000 LITROS, APOIADO EM ESTRUTURA PRÉ-MOLDADA EM CONCRETO, COMPOSTA DE CAPITEL P/APOIO DA CAIXA E PILAR C/ALTURA ÚTIL = 10,00M, INCLUSO FRETE E MONTAGEM NO LOCAL, COM FUNDAÇÃO EM CONCRETO SIMPLES FCK=20MPA</v>
      </c>
      <c r="E8" s="23" t="str">
        <f>VLOOKUP(B8,CPU!$B:$J,4,FALSE)</f>
        <v>UND</v>
      </c>
      <c r="F8" s="5">
        <f>SUMIF(ORCAMENTO!B:B,B8,ORCAMENTO!F:F)</f>
        <v>6</v>
      </c>
      <c r="G8" s="5">
        <f>VLOOKUP("TOTAL SEM BDI - "&amp;B8,CPU!$A:$J,9,FALSE)</f>
        <v>24798.26</v>
      </c>
      <c r="H8" s="5">
        <f>VLOOKUP("TOTAL COM BDI - "&amp;B8,CPU!$A:$J,9,FALSE)</f>
        <v>30335.71</v>
      </c>
      <c r="I8" s="5">
        <f>SUMIF(ORCAMENTO!B:B,B8,ORCAMENTO!I:I)</f>
        <v>182014.25999999998</v>
      </c>
    </row>
    <row r="9" spans="1:9" ht="57.6" x14ac:dyDescent="0.3">
      <c r="A9" s="23">
        <v>3</v>
      </c>
      <c r="B9" s="23" t="s">
        <v>637</v>
      </c>
      <c r="C9" s="23" t="str">
        <f>VLOOKUP(B9,CPU!$B:$J,2,FALSE)</f>
        <v>PRÓPRIA</v>
      </c>
      <c r="D9" s="24" t="str">
        <f>VLOOKUP(B9,CPU!$B:$J,3,FALSE)</f>
        <v>REATERRO MECANIZADO DE VALA COM RETROESCAVADEIRA (CAPACIDADE DA CAÇAMBA DA RETRO: 0,26 M³/POTÊNCIA: 88 HP), LARGURA ATÉ 0,8 M, PROFUNDIDADE ATÉ 1,5 M, COM SOLO (SEM SUBSTITUIÇÃO) DE 1ª CATEGORIA. AF_08/2023 (REF: 104733-SINAPI-05/2025)</v>
      </c>
      <c r="E9" s="23" t="str">
        <f>VLOOKUP(B9,CPU!$B:$J,4,FALSE)</f>
        <v>M3</v>
      </c>
      <c r="F9" s="5">
        <f>SUMIF(ORCAMENTO!B:B,B9,ORCAMENTO!F:F)</f>
        <v>6557.6399999999985</v>
      </c>
      <c r="G9" s="5">
        <f>VLOOKUP("TOTAL SEM BDI - "&amp;B9,CPU!$A:$J,9,FALSE)</f>
        <v>12.76</v>
      </c>
      <c r="H9" s="5">
        <f>VLOOKUP("TOTAL COM BDI - "&amp;B9,CPU!$A:$J,9,FALSE)</f>
        <v>15.61</v>
      </c>
      <c r="I9" s="5">
        <f>SUMIF(ORCAMENTO!B:B,B9,ORCAMENTO!I:I)</f>
        <v>102364.76</v>
      </c>
    </row>
    <row r="10" spans="1:9" ht="43.2" x14ac:dyDescent="0.3">
      <c r="A10" s="23">
        <v>4</v>
      </c>
      <c r="B10" s="23" t="s">
        <v>615</v>
      </c>
      <c r="C10" s="23" t="str">
        <f>VLOOKUP(B10,CPU!$B:$J,2,FALSE)</f>
        <v>PRÓPRIA</v>
      </c>
      <c r="D10" s="24" t="str">
        <f>VLOOKUP(B10,CPU!$B:$J,3,FALSE)</f>
        <v>FORNECIMENTO E INSTALAÇÃO DE KIT DE BOMBEAMENTO SOLAR P/ POÇO COM PROFUNDIDADE DE 100 A 120 M, INCLUSO BOMBA 3CV, INVERSOR, PAINÉIS, QUADRO DE COMANDO, DISJUNTORES, CABOS E CONEXÕES E ESTRUTURA TIPO SOLO</v>
      </c>
      <c r="E10" s="23" t="str">
        <f>VLOOKUP(B10,CPU!$B:$J,4,FALSE)</f>
        <v>UND</v>
      </c>
      <c r="F10" s="5">
        <f>SUMIF(ORCAMENTO!B:B,B10,ORCAMENTO!F:F)</f>
        <v>6</v>
      </c>
      <c r="G10" s="5">
        <f>VLOOKUP("TOTAL SEM BDI - "&amp;B10,CPU!$A:$J,9,FALSE)</f>
        <v>12042.74</v>
      </c>
      <c r="H10" s="5">
        <f>VLOOKUP("TOTAL COM BDI - "&amp;B10,CPU!$A:$J,9,FALSE)</f>
        <v>14731.88</v>
      </c>
      <c r="I10" s="5">
        <f>SUMIF(ORCAMENTO!B:B,B10,ORCAMENTO!I:I)</f>
        <v>88391.28</v>
      </c>
    </row>
    <row r="11" spans="1:9" x14ac:dyDescent="0.3">
      <c r="A11" s="23">
        <v>5</v>
      </c>
      <c r="B11" s="23" t="s">
        <v>515</v>
      </c>
      <c r="C11" s="23" t="str">
        <f>VLOOKUP(B11,CPU!$B:$J,2,FALSE)</f>
        <v>PRÓPRIA</v>
      </c>
      <c r="D11" s="24" t="str">
        <f>VLOOKUP(B11,CPU!$B:$J,3,FALSE)</f>
        <v>ADMINISTRAÇÃO LOCAL DA OBRA</v>
      </c>
      <c r="E11" s="23" t="str">
        <f>VLOOKUP(B11,CPU!$B:$J,4,FALSE)</f>
        <v>MÊS</v>
      </c>
      <c r="F11" s="5">
        <f>SUMIF(ORCAMENTO!B:B,B11,ORCAMENTO!F:F)</f>
        <v>5</v>
      </c>
      <c r="G11" s="5">
        <f>VLOOKUP("TOTAL SEM BDI - "&amp;B11,CPU!$A:$J,9,FALSE)</f>
        <v>13447.4</v>
      </c>
      <c r="H11" s="5">
        <f>VLOOKUP("TOTAL COM BDI - "&amp;B11,CPU!$A:$J,9,FALSE)</f>
        <v>16450.2</v>
      </c>
      <c r="I11" s="5">
        <f>SUMIF(ORCAMENTO!B:B,B11,ORCAMENTO!I:I)</f>
        <v>82251</v>
      </c>
    </row>
    <row r="12" spans="1:9" x14ac:dyDescent="0.3">
      <c r="A12" s="23">
        <v>6</v>
      </c>
      <c r="B12" s="23" t="s">
        <v>533</v>
      </c>
      <c r="C12" s="23" t="str">
        <f>VLOOKUP(B12,CPU!$B:$J,2,FALSE)</f>
        <v>PRÓPRIA</v>
      </c>
      <c r="D12" s="24" t="str">
        <f>VLOOKUP(B12,CPU!$B:$J,3,FALSE)</f>
        <v>PERFURAÇÃO EM ROCHA CRISTALINA DN 6" (REF: 06237/ORSE-ORSE-04/2025)</v>
      </c>
      <c r="E12" s="23" t="str">
        <f>VLOOKUP(B12,CPU!$B:$J,4,FALSE)</f>
        <v>M</v>
      </c>
      <c r="F12" s="5">
        <f>SUMIF(ORCAMENTO!B:B,B12,ORCAMENTO!F:F)</f>
        <v>520</v>
      </c>
      <c r="G12" s="5">
        <f>VLOOKUP("TOTAL SEM BDI - "&amp;B12,CPU!$A:$J,9,FALSE)</f>
        <v>125.23</v>
      </c>
      <c r="H12" s="5">
        <f>VLOOKUP("TOTAL COM BDI - "&amp;B12,CPU!$A:$J,9,FALSE)</f>
        <v>153.19</v>
      </c>
      <c r="I12" s="5">
        <f>SUMIF(ORCAMENTO!B:B,B12,ORCAMENTO!I:I)</f>
        <v>79658.799999999988</v>
      </c>
    </row>
    <row r="13" spans="1:9" ht="57.6" x14ac:dyDescent="0.3">
      <c r="A13" s="23">
        <v>7</v>
      </c>
      <c r="B13" s="23">
        <v>102314</v>
      </c>
      <c r="C13" s="23" t="str">
        <f>VLOOKUP(B13,CPU!$B:$J,2,FALSE)</f>
        <v>SINAPI</v>
      </c>
      <c r="D13" s="24" t="str">
        <f>VLOOKUP(B13,CPU!$B:$J,3,FALSE)</f>
        <v>ESCAVAÇÃO MECANIZADA DE VALA COM PROF. ATÉ 1,5 M (MÉDIA MONTANTE E JUSANTE/UMA COMPOSIÇÃO POR TRECHO),COM ESCAVADEIRA (0,8 M3), LARG. MENOR QUE 1,5 M, EM SOLO DE 2A CATEGORIA, LOCAIS COM BAIXO NÍVEL DE INTERFERÊNCIA. AF_09/2024</v>
      </c>
      <c r="E13" s="23" t="str">
        <f>VLOOKUP(B13,CPU!$B:$J,4,FALSE)</f>
        <v>M3</v>
      </c>
      <c r="F13" s="5">
        <f>SUMIF(ORCAMENTO!B:B,B13,ORCAMENTO!F:F)</f>
        <v>6557.6399999999985</v>
      </c>
      <c r="G13" s="5">
        <f>VLOOKUP("TOTAL SEM BDI - "&amp;B13,CPU!$A:$J,9,FALSE)</f>
        <v>8.5</v>
      </c>
      <c r="H13" s="5">
        <f>VLOOKUP("TOTAL COM BDI - "&amp;B13,CPU!$A:$J,9,FALSE)</f>
        <v>10.4</v>
      </c>
      <c r="I13" s="5">
        <f>SUMIF(ORCAMENTO!B:B,B13,ORCAMENTO!I:I)</f>
        <v>68199.460000000006</v>
      </c>
    </row>
    <row r="14" spans="1:9" x14ac:dyDescent="0.3">
      <c r="A14" s="23">
        <v>8</v>
      </c>
      <c r="B14" s="23" t="s">
        <v>642</v>
      </c>
      <c r="C14" s="23" t="str">
        <f>VLOOKUP(B14,CPU!$B:$J,2,FALSE)</f>
        <v>PRÓPRIA</v>
      </c>
      <c r="D14" s="24" t="str">
        <f>VLOOKUP(B14,CPU!$B:$J,3,FALSE)</f>
        <v>LIGAÇÃO DOMICILIAR</v>
      </c>
      <c r="E14" s="23" t="str">
        <f>VLOOKUP(B14,CPU!$B:$J,4,FALSE)</f>
        <v>UND</v>
      </c>
      <c r="F14" s="5">
        <f>SUMIF(ORCAMENTO!B:B,B14,ORCAMENTO!F:F)</f>
        <v>192</v>
      </c>
      <c r="G14" s="5">
        <f>VLOOKUP("TOTAL SEM BDI - "&amp;B14,CPU!$A:$J,9,FALSE)</f>
        <v>206.11</v>
      </c>
      <c r="H14" s="5">
        <f>VLOOKUP("TOTAL COM BDI - "&amp;B14,CPU!$A:$J,9,FALSE)</f>
        <v>252.13000000000002</v>
      </c>
      <c r="I14" s="5">
        <f>SUMIF(ORCAMENTO!B:B,B14,ORCAMENTO!I:I)</f>
        <v>48408.959999999999</v>
      </c>
    </row>
    <row r="15" spans="1:9" ht="43.2" x14ac:dyDescent="0.3">
      <c r="A15" s="23">
        <v>9</v>
      </c>
      <c r="B15" s="23">
        <v>101197</v>
      </c>
      <c r="C15" s="23" t="str">
        <f>VLOOKUP(B15,CPU!$B:$J,2,FALSE)</f>
        <v>SINAPI</v>
      </c>
      <c r="D15" s="24" t="str">
        <f>VLOOKUP(B15,CPU!$B:$J,3,FALSE)</f>
        <v>CERCA COM MOURÕES DE CONCRETO, SEÇÃO "T" PONTA INCLINADA, 10X10 CM, ESPAÇAMENTO DE 2,5 M, CRAVADOS 0,5 M, COM 11 FIOS DE ARAME FARPADO Nº 14 - FORNECIMENTO E INSTALAÇÃO. AF_05/2020</v>
      </c>
      <c r="E15" s="23" t="str">
        <f>VLOOKUP(B15,CPU!$B:$J,4,FALSE)</f>
        <v>M</v>
      </c>
      <c r="F15" s="5">
        <f>SUMIF(ORCAMENTO!B:B,B15,ORCAMENTO!F:F)</f>
        <v>222</v>
      </c>
      <c r="G15" s="5">
        <f>VLOOKUP("TOTAL SEM BDI - "&amp;B15,CPU!$A:$J,9,FALSE)</f>
        <v>130.54</v>
      </c>
      <c r="H15" s="5">
        <f>VLOOKUP("TOTAL COM BDI - "&amp;B15,CPU!$A:$J,9,FALSE)</f>
        <v>159.69</v>
      </c>
      <c r="I15" s="5">
        <f>SUMIF(ORCAMENTO!B:B,B15,ORCAMENTO!I:I)</f>
        <v>35451.18</v>
      </c>
    </row>
    <row r="16" spans="1:9" x14ac:dyDescent="0.3">
      <c r="A16" s="23">
        <v>10</v>
      </c>
      <c r="B16" s="23" t="s">
        <v>530</v>
      </c>
      <c r="C16" s="23" t="str">
        <f>VLOOKUP(B16,CPU!$B:$J,2,FALSE)</f>
        <v>PRÓPRIA</v>
      </c>
      <c r="D16" s="24" t="str">
        <f>VLOOKUP(B16,CPU!$B:$J,3,FALSE)</f>
        <v>PERFURAÇÃO EM ROCHA SEDIMENTAR DN 10" (REF: 06230/ORSE-ORSE-04/2025)</v>
      </c>
      <c r="E16" s="23" t="str">
        <f>VLOOKUP(B16,CPU!$B:$J,4,FALSE)</f>
        <v>M</v>
      </c>
      <c r="F16" s="5">
        <f>SUMIF(ORCAMENTO!B:B,B16,ORCAMENTO!F:F)</f>
        <v>120</v>
      </c>
      <c r="G16" s="5">
        <f>VLOOKUP("TOTAL SEM BDI - "&amp;B16,CPU!$A:$J,9,FALSE)</f>
        <v>202.21</v>
      </c>
      <c r="H16" s="5">
        <f>VLOOKUP("TOTAL COM BDI - "&amp;B16,CPU!$A:$J,9,FALSE)</f>
        <v>247.36</v>
      </c>
      <c r="I16" s="5">
        <f>SUMIF(ORCAMENTO!B:B,B16,ORCAMENTO!I:I)</f>
        <v>29683.200000000001</v>
      </c>
    </row>
    <row r="17" spans="1:9" x14ac:dyDescent="0.3">
      <c r="A17" s="23">
        <v>11</v>
      </c>
      <c r="B17" s="23" t="s">
        <v>554</v>
      </c>
      <c r="C17" s="23" t="str">
        <f>VLOOKUP(B17,CPU!$B:$J,2,FALSE)</f>
        <v>PRÓPRIA</v>
      </c>
      <c r="D17" s="24" t="str">
        <f>VLOOKUP(B17,CPU!$B:$J,3,FALSE)</f>
        <v>FORNECIMENTO E INSTALAÇÃO DE TUBO EDUTOR DE PVC DE 1.1/2'' COM LUVA</v>
      </c>
      <c r="E17" s="23" t="str">
        <f>VLOOKUP(B17,CPU!$B:$J,4,FALSE)</f>
        <v>M</v>
      </c>
      <c r="F17" s="5">
        <f>SUMIF(ORCAMENTO!B:B,B17,ORCAMENTO!F:F)</f>
        <v>580</v>
      </c>
      <c r="G17" s="5">
        <f>VLOOKUP("TOTAL SEM BDI - "&amp;B17,CPU!$A:$J,9,FALSE)</f>
        <v>46.25</v>
      </c>
      <c r="H17" s="5">
        <f>VLOOKUP("TOTAL COM BDI - "&amp;B17,CPU!$A:$J,9,FALSE)</f>
        <v>56.58</v>
      </c>
      <c r="I17" s="5">
        <f>SUMIF(ORCAMENTO!B:B,B17,ORCAMENTO!I:I)</f>
        <v>32816.400000000001</v>
      </c>
    </row>
    <row r="18" spans="1:9" x14ac:dyDescent="0.3">
      <c r="A18" s="23">
        <v>12</v>
      </c>
      <c r="B18" s="23" t="s">
        <v>549</v>
      </c>
      <c r="C18" s="23" t="str">
        <f>VLOOKUP(B18,CPU!$B:$J,2,FALSE)</f>
        <v>PRÓPRIA</v>
      </c>
      <c r="D18" s="24" t="str">
        <f>VLOOKUP(B18,CPU!$B:$J,3,FALSE)</f>
        <v>FORNECIMENTO E INSTALAÇÃO DE REVESTIMENTO GEOMECÂNICO STANDART DN-154-S</v>
      </c>
      <c r="E18" s="23" t="str">
        <f>VLOOKUP(B18,CPU!$B:$J,4,FALSE)</f>
        <v>M</v>
      </c>
      <c r="F18" s="5">
        <f>SUMIF(ORCAMENTO!B:B,B18,ORCAMENTO!F:F)</f>
        <v>126</v>
      </c>
      <c r="G18" s="5">
        <f>VLOOKUP("TOTAL SEM BDI - "&amp;B18,CPU!$A:$J,9,FALSE)</f>
        <v>170.76</v>
      </c>
      <c r="H18" s="5">
        <f>VLOOKUP("TOTAL COM BDI - "&amp;B18,CPU!$A:$J,9,FALSE)</f>
        <v>208.89</v>
      </c>
      <c r="I18" s="5">
        <f>SUMIF(ORCAMENTO!B:B,B18,ORCAMENTO!I:I)</f>
        <v>26320.139999999996</v>
      </c>
    </row>
    <row r="19" spans="1:9" x14ac:dyDescent="0.3">
      <c r="A19" s="23">
        <v>13</v>
      </c>
      <c r="B19" s="23" t="s">
        <v>539</v>
      </c>
      <c r="C19" s="23" t="str">
        <f>VLOOKUP(B19,CPU!$B:$J,2,FALSE)</f>
        <v>PRÓPRIA</v>
      </c>
      <c r="D19" s="24" t="str">
        <f>VLOOKUP(B19,CPU!$B:$J,3,FALSE)</f>
        <v>DESENVOLVIMENTO COM BOMBA SUBMERSA</v>
      </c>
      <c r="E19" s="23" t="str">
        <f>VLOOKUP(B19,CPU!$B:$J,4,FALSE)</f>
        <v>H</v>
      </c>
      <c r="F19" s="5">
        <f>SUMIF(ORCAMENTO!B:B,B19,ORCAMENTO!F:F)</f>
        <v>36</v>
      </c>
      <c r="G19" s="5">
        <f>VLOOKUP("TOTAL SEM BDI - "&amp;B19,CPU!$A:$J,9,FALSE)</f>
        <v>515.70000000000005</v>
      </c>
      <c r="H19" s="5">
        <f>VLOOKUP("TOTAL COM BDI - "&amp;B19,CPU!$A:$J,9,FALSE)</f>
        <v>630.86</v>
      </c>
      <c r="I19" s="5">
        <f>SUMIF(ORCAMENTO!B:B,B19,ORCAMENTO!I:I)</f>
        <v>22710.959999999999</v>
      </c>
    </row>
    <row r="20" spans="1:9" x14ac:dyDescent="0.3">
      <c r="A20" s="23">
        <v>14</v>
      </c>
      <c r="B20" s="23" t="s">
        <v>524</v>
      </c>
      <c r="C20" s="23" t="str">
        <f>VLOOKUP(B20,CPU!$B:$J,2,FALSE)</f>
        <v>PRÓPRIA</v>
      </c>
      <c r="D20" s="24" t="str">
        <f>VLOOKUP(B20,CPU!$B:$J,3,FALSE)</f>
        <v>TRANSPORTE DE MÁQUINAS E EQUIPAMENTOS</v>
      </c>
      <c r="E20" s="23" t="str">
        <f>VLOOKUP(B20,CPU!$B:$J,4,FALSE)</f>
        <v>KM</v>
      </c>
      <c r="F20" s="5">
        <f>SUMIF(ORCAMENTO!B:B,B20,ORCAMENTO!F:F)</f>
        <v>3309.9999999999995</v>
      </c>
      <c r="G20" s="5">
        <f>VLOOKUP("TOTAL SEM BDI - "&amp;B20,CPU!$A:$J,9,FALSE)</f>
        <v>5.5</v>
      </c>
      <c r="H20" s="5">
        <f>VLOOKUP("TOTAL COM BDI - "&amp;B20,CPU!$A:$J,9,FALSE)</f>
        <v>6.73</v>
      </c>
      <c r="I20" s="5">
        <f>SUMIF(ORCAMENTO!B:B,B20,ORCAMENTO!I:I)</f>
        <v>22276.319999999996</v>
      </c>
    </row>
    <row r="21" spans="1:9" x14ac:dyDescent="0.3">
      <c r="A21" s="23">
        <v>15</v>
      </c>
      <c r="B21" s="23" t="s">
        <v>528</v>
      </c>
      <c r="C21" s="23" t="str">
        <f>VLOOKUP(B21,CPU!$B:$J,2,FALSE)</f>
        <v>PRÓPRIA</v>
      </c>
      <c r="D21" s="24" t="str">
        <f>VLOOKUP(B21,CPU!$B:$J,3,FALSE)</f>
        <v>PERFILAGEM ÓTICA</v>
      </c>
      <c r="E21" s="23" t="str">
        <f>VLOOKUP(B21,CPU!$B:$J,4,FALSE)</f>
        <v>UN</v>
      </c>
      <c r="F21" s="5">
        <f>SUMIF(ORCAMENTO!B:B,B21,ORCAMENTO!F:F)</f>
        <v>6</v>
      </c>
      <c r="G21" s="5">
        <f>VLOOKUP("TOTAL SEM BDI - "&amp;B21,CPU!$A:$J,9,FALSE)</f>
        <v>2908.88</v>
      </c>
      <c r="H21" s="5">
        <f>VLOOKUP("TOTAL COM BDI - "&amp;B21,CPU!$A:$J,9,FALSE)</f>
        <v>3558.4300000000003</v>
      </c>
      <c r="I21" s="5">
        <f>SUMIF(ORCAMENTO!B:B,B21,ORCAMENTO!I:I)</f>
        <v>21350.579999999998</v>
      </c>
    </row>
    <row r="22" spans="1:9" ht="72" x14ac:dyDescent="0.3">
      <c r="A22" s="23">
        <v>16</v>
      </c>
      <c r="B22" s="23" t="s">
        <v>847</v>
      </c>
      <c r="C22" s="23" t="str">
        <f>VLOOKUP(B22,CPU!$B:$J,2,FALSE)</f>
        <v>PRÓPRIA</v>
      </c>
      <c r="D22" s="24" t="str">
        <f>VLOOKUP(B22,CPU!$B:$J,3,FALSE)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22" s="23" t="str">
        <f>VLOOKUP(B22,CPU!$B:$J,4,FALSE)</f>
        <v>UND</v>
      </c>
      <c r="F22" s="5">
        <f>SUMIF(ORCAMENTO!B:B,B22,ORCAMENTO!F:F)</f>
        <v>1</v>
      </c>
      <c r="G22" s="5">
        <f>VLOOKUP("TOTAL SEM BDI - "&amp;B22,CPU!$A:$J,9,FALSE)</f>
        <v>16919.690000000002</v>
      </c>
      <c r="H22" s="5">
        <f>VLOOKUP("TOTAL COM BDI - "&amp;B22,CPU!$A:$J,9,FALSE)</f>
        <v>20697.86</v>
      </c>
      <c r="I22" s="5">
        <f>SUMIF(ORCAMENTO!B:B,B22,ORCAMENTO!I:I)</f>
        <v>20697.86</v>
      </c>
    </row>
    <row r="23" spans="1:9" x14ac:dyDescent="0.3">
      <c r="A23" s="23">
        <v>17</v>
      </c>
      <c r="B23" s="23" t="s">
        <v>617</v>
      </c>
      <c r="C23" s="23" t="str">
        <f>VLOOKUP(B23,CPU!$B:$J,2,FALSE)</f>
        <v>PRÓPRIA</v>
      </c>
      <c r="D23" s="24" t="str">
        <f>VLOOKUP(B23,CPU!$B:$J,3,FALSE)</f>
        <v>FORNECIMENTO E INSTALAÇÃO DE CABO CHATO SUBMERSO DE 3 X 6 MM²</v>
      </c>
      <c r="E23" s="23" t="str">
        <f>VLOOKUP(B23,CPU!$B:$J,4,FALSE)</f>
        <v>M</v>
      </c>
      <c r="F23" s="5">
        <f>SUMIF(ORCAMENTO!B:B,B23,ORCAMENTO!F:F)</f>
        <v>640</v>
      </c>
      <c r="G23" s="5">
        <f>VLOOKUP("TOTAL SEM BDI - "&amp;B23,CPU!$A:$J,9,FALSE)</f>
        <v>25.98</v>
      </c>
      <c r="H23" s="5">
        <f>VLOOKUP("TOTAL COM BDI - "&amp;B23,CPU!$A:$J,9,FALSE)</f>
        <v>31.78</v>
      </c>
      <c r="I23" s="5">
        <f>SUMIF(ORCAMENTO!B:B,B23,ORCAMENTO!I:I)</f>
        <v>20339.2</v>
      </c>
    </row>
    <row r="24" spans="1:9" x14ac:dyDescent="0.3">
      <c r="A24" s="23">
        <v>18</v>
      </c>
      <c r="B24" s="23" t="s">
        <v>541</v>
      </c>
      <c r="C24" s="23" t="str">
        <f>VLOOKUP(B24,CPU!$B:$J,2,FALSE)</f>
        <v>PRÓPRIA</v>
      </c>
      <c r="D24" s="24" t="str">
        <f>VLOOKUP(B24,CPU!$B:$J,3,FALSE)</f>
        <v>TESTE VAZÃO COM BOMBA SUBMERSA</v>
      </c>
      <c r="E24" s="23" t="str">
        <f>VLOOKUP(B24,CPU!$B:$J,4,FALSE)</f>
        <v>H</v>
      </c>
      <c r="F24" s="5">
        <f>SUMIF(ORCAMENTO!B:B,B24,ORCAMENTO!F:F)</f>
        <v>144</v>
      </c>
      <c r="G24" s="5">
        <f>VLOOKUP("TOTAL SEM BDI - "&amp;B24,CPU!$A:$J,9,FALSE)</f>
        <v>97.789999999999992</v>
      </c>
      <c r="H24" s="5">
        <f>VLOOKUP("TOTAL COM BDI - "&amp;B24,CPU!$A:$J,9,FALSE)</f>
        <v>119.63</v>
      </c>
      <c r="I24" s="5">
        <f>SUMIF(ORCAMENTO!B:B,B24,ORCAMENTO!I:I)</f>
        <v>17226.719999999998</v>
      </c>
    </row>
    <row r="25" spans="1:9" x14ac:dyDescent="0.3">
      <c r="A25" s="23">
        <v>19</v>
      </c>
      <c r="B25" s="23" t="s">
        <v>556</v>
      </c>
      <c r="C25" s="23" t="str">
        <f>VLOOKUP(B25,CPU!$B:$J,2,FALSE)</f>
        <v>PRÓPRIA</v>
      </c>
      <c r="D25" s="24" t="str">
        <f>VLOOKUP(B25,CPU!$B:$J,3,FALSE)</f>
        <v>BARRILETE (CURVAS E CONEXÕES)</v>
      </c>
      <c r="E25" s="23" t="str">
        <f>VLOOKUP(B25,CPU!$B:$J,4,FALSE)</f>
        <v>UN</v>
      </c>
      <c r="F25" s="5">
        <f>SUMIF(ORCAMENTO!B:B,B25,ORCAMENTO!F:F)</f>
        <v>6</v>
      </c>
      <c r="G25" s="5">
        <f>VLOOKUP("TOTAL SEM BDI - "&amp;B25,CPU!$A:$J,9,FALSE)</f>
        <v>2147.0500000000002</v>
      </c>
      <c r="H25" s="5">
        <f>VLOOKUP("TOTAL COM BDI - "&amp;B25,CPU!$A:$J,9,FALSE)</f>
        <v>2626.4900000000002</v>
      </c>
      <c r="I25" s="5">
        <f>SUMIF(ORCAMENTO!B:B,B25,ORCAMENTO!I:I)</f>
        <v>15758.939999999999</v>
      </c>
    </row>
    <row r="26" spans="1:9" ht="43.2" x14ac:dyDescent="0.3">
      <c r="A26" s="23">
        <v>20</v>
      </c>
      <c r="B26" s="23">
        <v>103329</v>
      </c>
      <c r="C26" s="23" t="str">
        <f>VLOOKUP(B26,CPU!$B:$J,2,FALSE)</f>
        <v>SINAPI</v>
      </c>
      <c r="D26" s="24" t="str">
        <f>VLOOKUP(B26,CPU!$B:$J,3,FALSE)</f>
        <v>ALVENARIA DE VEDAÇÃO DE BLOCOS CERÂMICOS FURADOS NA HORIZONTAL DE 9X19X19 CM (ESPESSURA 9 CM) E ARGAMASSA DE ASSENTAMENTO COM PREPARO MANUAL. AF_12/2021</v>
      </c>
      <c r="E26" s="23" t="str">
        <f>VLOOKUP(B26,CPU!$B:$J,4,FALSE)</f>
        <v>M2</v>
      </c>
      <c r="F26" s="5">
        <f>SUMIF(ORCAMENTO!B:B,B26,ORCAMENTO!F:F)</f>
        <v>115.86000000000001</v>
      </c>
      <c r="G26" s="5">
        <f>VLOOKUP("TOTAL SEM BDI - "&amp;B26,CPU!$A:$J,9,FALSE)</f>
        <v>95.039999999999992</v>
      </c>
      <c r="H26" s="5">
        <f>VLOOKUP("TOTAL COM BDI - "&amp;B26,CPU!$A:$J,9,FALSE)</f>
        <v>116.25999999999999</v>
      </c>
      <c r="I26" s="5">
        <f>SUMIF(ORCAMENTO!B:B,B26,ORCAMENTO!I:I)</f>
        <v>13469.88</v>
      </c>
    </row>
    <row r="27" spans="1:9" x14ac:dyDescent="0.3">
      <c r="A27" s="23">
        <v>21</v>
      </c>
      <c r="B27" s="23" t="s">
        <v>522</v>
      </c>
      <c r="C27" s="23" t="str">
        <f>VLOOKUP(B27,CPU!$B:$J,2,FALSE)</f>
        <v>PRÓPRIA</v>
      </c>
      <c r="D27" s="24" t="str">
        <f>VLOOKUP(B27,CPU!$B:$J,3,FALSE)</f>
        <v>LOCAÇÃO DO POÇO COM ESTUDO GEOLÓGICO/HIDROGEOLÓGICO/GEOFÍSICO</v>
      </c>
      <c r="E27" s="23" t="str">
        <f>VLOOKUP(B27,CPU!$B:$J,4,FALSE)</f>
        <v>UN</v>
      </c>
      <c r="F27" s="5">
        <f>SUMIF(ORCAMENTO!B:B,B27,ORCAMENTO!F:F)</f>
        <v>6</v>
      </c>
      <c r="G27" s="5">
        <f>VLOOKUP("TOTAL SEM BDI - "&amp;B27,CPU!$A:$J,9,FALSE)</f>
        <v>1692.3999999999999</v>
      </c>
      <c r="H27" s="5">
        <f>VLOOKUP("TOTAL COM BDI - "&amp;B27,CPU!$A:$J,9,FALSE)</f>
        <v>2070.31</v>
      </c>
      <c r="I27" s="5">
        <f>SUMIF(ORCAMENTO!B:B,B27,ORCAMENTO!I:I)</f>
        <v>12421.859999999999</v>
      </c>
    </row>
    <row r="28" spans="1:9" ht="43.2" x14ac:dyDescent="0.3">
      <c r="A28" s="23">
        <v>22</v>
      </c>
      <c r="B28" s="23">
        <v>87530</v>
      </c>
      <c r="C28" s="23" t="str">
        <f>VLOOKUP(B28,CPU!$B:$J,2,FALSE)</f>
        <v>SINAPI</v>
      </c>
      <c r="D28" s="24" t="str">
        <f>VLOOKUP(B28,CPU!$B:$J,3,FALSE)</f>
        <v>MASSA ÚNICA, EM ARGAMASSA TRAÇO 1:2:8, PREPARO MANUAL, APLICADA MANUALMENTE EM PAREDES INTERNAS DE AMBIENTES COM ÁREA ENTRE 5M² E 10M², E = 17,5MM, COM TALISCAS. AF_03/2024</v>
      </c>
      <c r="E28" s="23" t="str">
        <f>VLOOKUP(B28,CPU!$B:$J,4,FALSE)</f>
        <v>M2</v>
      </c>
      <c r="F28" s="5">
        <f>SUMIF(ORCAMENTO!B:B,B28,ORCAMENTO!F:F)</f>
        <v>231.72</v>
      </c>
      <c r="G28" s="5">
        <f>VLOOKUP("TOTAL SEM BDI - "&amp;B28,CPU!$A:$J,9,FALSE)</f>
        <v>40.85</v>
      </c>
      <c r="H28" s="5">
        <f>VLOOKUP("TOTAL COM BDI - "&amp;B28,CPU!$A:$J,9,FALSE)</f>
        <v>49.97</v>
      </c>
      <c r="I28" s="5">
        <f>SUMIF(ORCAMENTO!B:B,B28,ORCAMENTO!I:I)</f>
        <v>11579.039999999999</v>
      </c>
    </row>
    <row r="29" spans="1:9" x14ac:dyDescent="0.3">
      <c r="A29" s="23">
        <v>23</v>
      </c>
      <c r="B29" s="23" t="s">
        <v>603</v>
      </c>
      <c r="C29" s="23" t="str">
        <f>VLOOKUP(B29,CPU!$B:$J,2,FALSE)</f>
        <v>PRÓPRIA</v>
      </c>
      <c r="D29" s="24" t="str">
        <f>VLOOKUP(B29,CPU!$B:$J,3,FALSE)</f>
        <v>PORTÃO DE FERRO EM BARRA CHATA TIPO TIJOLINHO (REF: C1999-SEINFRA 28)</v>
      </c>
      <c r="E29" s="23" t="str">
        <f>VLOOKUP(B29,CPU!$B:$J,4,FALSE)</f>
        <v>M2</v>
      </c>
      <c r="F29" s="5">
        <f>SUMIF(ORCAMENTO!B:B,B29,ORCAMENTO!F:F)</f>
        <v>36</v>
      </c>
      <c r="G29" s="5">
        <f>VLOOKUP("TOTAL SEM BDI - "&amp;B29,CPU!$A:$J,9,FALSE)</f>
        <v>189.43</v>
      </c>
      <c r="H29" s="5">
        <f>VLOOKUP("TOTAL COM BDI - "&amp;B29,CPU!$A:$J,9,FALSE)</f>
        <v>231.73000000000002</v>
      </c>
      <c r="I29" s="5">
        <f>SUMIF(ORCAMENTO!B:B,B29,ORCAMENTO!I:I)</f>
        <v>8342.2800000000007</v>
      </c>
    </row>
    <row r="30" spans="1:9" x14ac:dyDescent="0.3">
      <c r="A30" s="23">
        <v>24</v>
      </c>
      <c r="B30" s="23" t="s">
        <v>545</v>
      </c>
      <c r="C30" s="23" t="str">
        <f>VLOOKUP(B30,CPU!$B:$J,2,FALSE)</f>
        <v>PRÓPRIA</v>
      </c>
      <c r="D30" s="24" t="str">
        <f>VLOOKUP(B30,CPU!$B:$J,3,FALSE)</f>
        <v>RELATÓRIO TÉCNICO</v>
      </c>
      <c r="E30" s="23" t="str">
        <f>VLOOKUP(B30,CPU!$B:$J,4,FALSE)</f>
        <v>UN</v>
      </c>
      <c r="F30" s="5">
        <f>SUMIF(ORCAMENTO!B:B,B30,ORCAMENTO!F:F)</f>
        <v>6</v>
      </c>
      <c r="G30" s="5">
        <f>VLOOKUP("TOTAL SEM BDI - "&amp;B30,CPU!$A:$J,9,FALSE)</f>
        <v>1110.2</v>
      </c>
      <c r="H30" s="5">
        <f>VLOOKUP("TOTAL COM BDI - "&amp;B30,CPU!$A:$J,9,FALSE)</f>
        <v>1358.1100000000001</v>
      </c>
      <c r="I30" s="5">
        <f>SUMIF(ORCAMENTO!B:B,B30,ORCAMENTO!I:I)</f>
        <v>8148.6599999999989</v>
      </c>
    </row>
    <row r="31" spans="1:9" x14ac:dyDescent="0.3">
      <c r="A31" s="23">
        <v>25</v>
      </c>
      <c r="B31" s="23" t="s">
        <v>558</v>
      </c>
      <c r="C31" s="23" t="str">
        <f>VLOOKUP(B31,CPU!$B:$J,2,FALSE)</f>
        <v>PRÓPRIA</v>
      </c>
      <c r="D31" s="24" t="str">
        <f>VLOOKUP(B31,CPU!$B:$J,3,FALSE)</f>
        <v>AQUISIÇÃO E INSTALAÇÃO DE DOSADOR DE CLORO</v>
      </c>
      <c r="E31" s="23" t="str">
        <f>VLOOKUP(B31,CPU!$B:$J,4,FALSE)</f>
        <v>UND</v>
      </c>
      <c r="F31" s="5">
        <f>SUMIF(ORCAMENTO!B:B,B31,ORCAMENTO!F:F)</f>
        <v>6</v>
      </c>
      <c r="G31" s="5">
        <f>VLOOKUP("TOTAL SEM BDI - "&amp;B31,CPU!$A:$J,9,FALSE)</f>
        <v>1061.6399999999999</v>
      </c>
      <c r="H31" s="5">
        <f>VLOOKUP("TOTAL COM BDI - "&amp;B31,CPU!$A:$J,9,FALSE)</f>
        <v>1298.6999999999998</v>
      </c>
      <c r="I31" s="5">
        <f>SUMIF(ORCAMENTO!B:B,B31,ORCAMENTO!I:I)</f>
        <v>7792.2</v>
      </c>
    </row>
    <row r="32" spans="1:9" x14ac:dyDescent="0.3">
      <c r="A32" s="23">
        <v>26</v>
      </c>
      <c r="B32" s="23" t="s">
        <v>535</v>
      </c>
      <c r="C32" s="23" t="str">
        <f>VLOOKUP(B32,CPU!$B:$J,2,FALSE)</f>
        <v>PRÓPRIA</v>
      </c>
      <c r="D32" s="24" t="str">
        <f>VLOOKUP(B32,CPU!$B:$J,3,FALSE)</f>
        <v>CIMENTAÇÃO SANITÁRIA</v>
      </c>
      <c r="E32" s="23" t="str">
        <f>VLOOKUP(B32,CPU!$B:$J,4,FALSE)</f>
        <v>M</v>
      </c>
      <c r="F32" s="5">
        <f>SUMIF(ORCAMENTO!B:B,B32,ORCAMENTO!F:F)</f>
        <v>60</v>
      </c>
      <c r="G32" s="5">
        <f>VLOOKUP("TOTAL SEM BDI - "&amp;B32,CPU!$A:$J,9,FALSE)</f>
        <v>98.79</v>
      </c>
      <c r="H32" s="5">
        <f>VLOOKUP("TOTAL COM BDI - "&amp;B32,CPU!$A:$J,9,FALSE)</f>
        <v>120.85000000000001</v>
      </c>
      <c r="I32" s="5">
        <f>SUMIF(ORCAMENTO!B:B,B32,ORCAMENTO!I:I)</f>
        <v>7251</v>
      </c>
    </row>
    <row r="33" spans="1:9" ht="28.8" x14ac:dyDescent="0.3">
      <c r="A33" s="23">
        <v>27</v>
      </c>
      <c r="B33" s="23" t="s">
        <v>627</v>
      </c>
      <c r="C33" s="23" t="str">
        <f>VLOOKUP(B33,CPU!$B:$J,2,FALSE)</f>
        <v>PRÓPRIA</v>
      </c>
      <c r="D33" s="24" t="str">
        <f>VLOOKUP(B33,CPU!$B:$J,3,FALSE)</f>
        <v>AQUISIÇÃO E ASSENTAMENTO DE TUBO RÍGIDO PVC, CLASSE 12, DN 50 MM, INCLUSO CONEXÕES</v>
      </c>
      <c r="E33" s="23" t="str">
        <f>VLOOKUP(B33,CPU!$B:$J,4,FALSE)</f>
        <v>M</v>
      </c>
      <c r="F33" s="5">
        <f>SUMIF(ORCAMENTO!B:B,B33,ORCAMENTO!F:F)</f>
        <v>96</v>
      </c>
      <c r="G33" s="5">
        <f>VLOOKUP("TOTAL SEM BDI - "&amp;B33,CPU!$A:$J,9,FALSE)</f>
        <v>25.79</v>
      </c>
      <c r="H33" s="5">
        <f>VLOOKUP("TOTAL COM BDI - "&amp;B33,CPU!$A:$J,9,FALSE)</f>
        <v>31.549999999999997</v>
      </c>
      <c r="I33" s="5">
        <f>SUMIF(ORCAMENTO!B:B,B33,ORCAMENTO!I:I)</f>
        <v>3028.8</v>
      </c>
    </row>
    <row r="34" spans="1:9" x14ac:dyDescent="0.3">
      <c r="A34" s="23">
        <v>28</v>
      </c>
      <c r="B34" s="23" t="s">
        <v>574</v>
      </c>
      <c r="C34" s="23" t="str">
        <f>VLOOKUP(B34,CPU!$B:$J,2,FALSE)</f>
        <v>PRÓPRIA</v>
      </c>
      <c r="D34" s="24" t="str">
        <f>VLOOKUP(B34,CPU!$B:$J,3,FALSE)</f>
        <v>CINTA DE AMARRAÇÃO DE ALVENARIA MOLDADA IN LOCO EM CONCRETO</v>
      </c>
      <c r="E34" s="23" t="str">
        <f>VLOOKUP(B34,CPU!$B:$J,4,FALSE)</f>
        <v>M</v>
      </c>
      <c r="F34" s="5">
        <f>SUMIF(ORCAMENTO!B:B,B34,ORCAMENTO!F:F)</f>
        <v>51.6</v>
      </c>
      <c r="G34" s="5">
        <f>VLOOKUP("TOTAL SEM BDI - "&amp;B34,CPU!$A:$J,9,FALSE)</f>
        <v>81.47999999999999</v>
      </c>
      <c r="H34" s="5">
        <f>VLOOKUP("TOTAL COM BDI - "&amp;B34,CPU!$A:$J,9,FALSE)</f>
        <v>99.669999999999987</v>
      </c>
      <c r="I34" s="5">
        <f>SUMIF(ORCAMENTO!B:B,B34,ORCAMENTO!I:I)</f>
        <v>5142.96</v>
      </c>
    </row>
    <row r="35" spans="1:9" x14ac:dyDescent="0.3">
      <c r="A35" s="23">
        <v>29</v>
      </c>
      <c r="B35" s="23">
        <v>100701</v>
      </c>
      <c r="C35" s="23" t="str">
        <f>VLOOKUP(B35,CPU!$B:$J,2,FALSE)</f>
        <v>SINAPI</v>
      </c>
      <c r="D35" s="24" t="str">
        <f>VLOOKUP(B35,CPU!$B:$J,3,FALSE)</f>
        <v>PORTA DE FERRO, DE ABRIR, TIPO GRADE COM CHAPA, COM GUARNIÇÕES. AF_12/2019</v>
      </c>
      <c r="E35" s="23" t="str">
        <f>VLOOKUP(B35,CPU!$B:$J,4,FALSE)</f>
        <v>M2</v>
      </c>
      <c r="F35" s="5">
        <f>SUMIF(ORCAMENTO!B:B,B35,ORCAMENTO!F:F)</f>
        <v>10.08</v>
      </c>
      <c r="G35" s="5">
        <f>VLOOKUP("TOTAL SEM BDI - "&amp;B35,CPU!$A:$J,9,FALSE)</f>
        <v>415.24</v>
      </c>
      <c r="H35" s="5">
        <f>VLOOKUP("TOTAL COM BDI - "&amp;B35,CPU!$A:$J,9,FALSE)</f>
        <v>507.96000000000004</v>
      </c>
      <c r="I35" s="5">
        <f>SUMIF(ORCAMENTO!B:B,B35,ORCAMENTO!I:I)</f>
        <v>5120.22</v>
      </c>
    </row>
    <row r="36" spans="1:9" ht="28.8" x14ac:dyDescent="0.3">
      <c r="A36" s="23">
        <v>30</v>
      </c>
      <c r="B36" s="23">
        <v>103800</v>
      </c>
      <c r="C36" s="23" t="str">
        <f>VLOOKUP(B36,CPU!$B:$J,2,FALSE)</f>
        <v>SINAPI</v>
      </c>
      <c r="D36" s="24" t="str">
        <f>VLOOKUP(B36,CPU!$B:$J,3,FALSE)</f>
        <v>PEDRA ARGAMASSADA COM CIMENTO E AREIA 1:3, 40% DE ARGAMASSA EM VOLUME - AREIA E PEDRA DE MÃO COMERCIAIS - FORNECIMENTO E ASSENTAMENTO. AF_08/2022</v>
      </c>
      <c r="E36" s="23" t="str">
        <f>VLOOKUP(B36,CPU!$B:$J,4,FALSE)</f>
        <v>M3</v>
      </c>
      <c r="F36" s="5">
        <f>SUMIF(ORCAMENTO!B:B,B36,ORCAMENTO!F:F)</f>
        <v>6.24</v>
      </c>
      <c r="G36" s="5">
        <f>VLOOKUP("TOTAL SEM BDI - "&amp;B36,CPU!$A:$J,9,FALSE)</f>
        <v>666</v>
      </c>
      <c r="H36" s="5">
        <f>VLOOKUP("TOTAL COM BDI - "&amp;B36,CPU!$A:$J,9,FALSE)</f>
        <v>814.72</v>
      </c>
      <c r="I36" s="5">
        <f>SUMIF(ORCAMENTO!B:B,B36,ORCAMENTO!I:I)</f>
        <v>5083.8599999999988</v>
      </c>
    </row>
    <row r="37" spans="1:9" ht="28.8" x14ac:dyDescent="0.3">
      <c r="A37" s="23">
        <v>31</v>
      </c>
      <c r="B37" s="23" t="s">
        <v>590</v>
      </c>
      <c r="C37" s="23" t="str">
        <f>VLOOKUP(B37,CPU!$B:$J,2,FALSE)</f>
        <v>PRÓPRIA</v>
      </c>
      <c r="D37" s="24" t="str">
        <f>VLOOKUP(B37,CPU!$B:$J,3,FALSE)</f>
        <v>TRAMA DE MADEIRA COMPOSTA POR RIPAS, CAIBROS E TERÇAS PARA TELHADOS DE ATÉ 2 ÁGUAS PARA TELHA CERÂMICA CAPA-CANAL, INCLUSO TRANSPORTE VERTICAL</v>
      </c>
      <c r="E37" s="23" t="str">
        <f>VLOOKUP(B37,CPU!$B:$J,4,FALSE)</f>
        <v>M²</v>
      </c>
      <c r="F37" s="5">
        <f>SUMIF(ORCAMENTO!B:B,B37,ORCAMENTO!F:F)</f>
        <v>61.38000000000001</v>
      </c>
      <c r="G37" s="5">
        <f>VLOOKUP("TOTAL SEM BDI - "&amp;B37,CPU!$A:$J,9,FALSE)</f>
        <v>66.67</v>
      </c>
      <c r="H37" s="5">
        <f>VLOOKUP("TOTAL COM BDI - "&amp;B37,CPU!$A:$J,9,FALSE)</f>
        <v>81.56</v>
      </c>
      <c r="I37" s="5">
        <f>SUMIF(ORCAMENTO!B:B,B37,ORCAMENTO!I:I)</f>
        <v>5006.16</v>
      </c>
    </row>
    <row r="38" spans="1:9" ht="28.8" x14ac:dyDescent="0.3">
      <c r="A38" s="23">
        <v>32</v>
      </c>
      <c r="B38" s="23">
        <v>99059</v>
      </c>
      <c r="C38" s="23" t="str">
        <f>VLOOKUP(B38,CPU!$B:$J,2,FALSE)</f>
        <v>SINAPI</v>
      </c>
      <c r="D38" s="24" t="str">
        <f>VLOOKUP(B38,CPU!$B:$J,3,FALSE)</f>
        <v>LOCAÇÃO CONVENCIONAL DE OBRA, UTILIZANDO GABARITO DE TÁBUAS CORRIDAS PONTALETADAS A CADA 2,00M - 2 UTILIZAÇÕES. AF_03/2024</v>
      </c>
      <c r="E38" s="23" t="str">
        <f>VLOOKUP(B38,CPU!$B:$J,4,FALSE)</f>
        <v>M</v>
      </c>
      <c r="F38" s="5">
        <f>SUMIF(ORCAMENTO!B:B,B38,ORCAMENTO!F:F)</f>
        <v>61.2</v>
      </c>
      <c r="G38" s="5">
        <f>VLOOKUP("TOTAL SEM BDI - "&amp;B38,CPU!$A:$J,9,FALSE)</f>
        <v>60.18</v>
      </c>
      <c r="H38" s="5">
        <f>VLOOKUP("TOTAL COM BDI - "&amp;B38,CPU!$A:$J,9,FALSE)</f>
        <v>73.62</v>
      </c>
      <c r="I38" s="5">
        <f>SUMIF(ORCAMENTO!B:B,B38,ORCAMENTO!I:I)</f>
        <v>4505.5199999999995</v>
      </c>
    </row>
    <row r="39" spans="1:9" ht="43.2" x14ac:dyDescent="0.3">
      <c r="A39" s="23">
        <v>33</v>
      </c>
      <c r="B39" s="23">
        <v>94994</v>
      </c>
      <c r="C39" s="23" t="str">
        <f>VLOOKUP(B39,CPU!$B:$J,2,FALSE)</f>
        <v>SINAPI</v>
      </c>
      <c r="D39" s="24" t="str">
        <f>VLOOKUP(B39,CPU!$B:$J,3,FALSE)</f>
        <v>EXECUÇÃO DE PASSEIO (CALÇADA) OU PISO DE CONCRETO COM CONCRETO MOLDADO IN LOCO, FEITO EM OBRA, ACABAMENTO CONVENCIONAL, ESPESSURA 8 CM, ARMADO. AF_08/2022</v>
      </c>
      <c r="E39" s="23" t="str">
        <f>VLOOKUP(B39,CPU!$B:$J,4,FALSE)</f>
        <v>M2</v>
      </c>
      <c r="F39" s="5">
        <f>SUMIF(ORCAMENTO!B:B,B39,ORCAMENTO!F:F)</f>
        <v>33.6</v>
      </c>
      <c r="G39" s="5">
        <f>VLOOKUP("TOTAL SEM BDI - "&amp;B39,CPU!$A:$J,9,FALSE)</f>
        <v>108.30000000000003</v>
      </c>
      <c r="H39" s="5">
        <f>VLOOKUP("TOTAL COM BDI - "&amp;B39,CPU!$A:$J,9,FALSE)</f>
        <v>132.48000000000002</v>
      </c>
      <c r="I39" s="5">
        <f>SUMIF(ORCAMENTO!B:B,B39,ORCAMENTO!I:I)</f>
        <v>4451.34</v>
      </c>
    </row>
    <row r="40" spans="1:9" x14ac:dyDescent="0.3">
      <c r="A40" s="23">
        <v>34</v>
      </c>
      <c r="B40" s="23" t="s">
        <v>547</v>
      </c>
      <c r="C40" s="23" t="str">
        <f>VLOOKUP(B40,CPU!$B:$J,2,FALSE)</f>
        <v>PRÓPRIA</v>
      </c>
      <c r="D40" s="24" t="str">
        <f>VLOOKUP(B40,CPU!$B:$J,3,FALSE)</f>
        <v>ANÁLISE FÍSICO-QUÍMICA DA ÁGUA</v>
      </c>
      <c r="E40" s="23" t="str">
        <f>VLOOKUP(B40,CPU!$B:$J,4,FALSE)</f>
        <v>UN</v>
      </c>
      <c r="F40" s="5">
        <f>SUMIF(ORCAMENTO!B:B,B40,ORCAMENTO!F:F)</f>
        <v>6</v>
      </c>
      <c r="G40" s="5">
        <f>VLOOKUP("TOTAL SEM BDI - "&amp;B40,CPU!$A:$J,9,FALSE)</f>
        <v>565.21</v>
      </c>
      <c r="H40" s="5">
        <f>VLOOKUP("TOTAL COM BDI - "&amp;B40,CPU!$A:$J,9,FALSE)</f>
        <v>691.42000000000007</v>
      </c>
      <c r="I40" s="5">
        <f>SUMIF(ORCAMENTO!B:B,B40,ORCAMENTO!I:I)</f>
        <v>4148.5199999999995</v>
      </c>
    </row>
    <row r="41" spans="1:9" ht="28.8" x14ac:dyDescent="0.3">
      <c r="A41" s="23">
        <v>35</v>
      </c>
      <c r="B41" s="23">
        <v>94498</v>
      </c>
      <c r="C41" s="23" t="str">
        <f>VLOOKUP(B41,CPU!$B:$J,2,FALSE)</f>
        <v>SINAPI</v>
      </c>
      <c r="D41" s="24" t="str">
        <f>VLOOKUP(B41,CPU!$B:$J,3,FALSE)</f>
        <v>REGISTRO DE GAVETA BRUTO, LATÃO, ROSCÁVEL, 2" - FORNECIMENTO E INSTALAÇÃO. AF_08/2021</v>
      </c>
      <c r="E41" s="23" t="str">
        <f>VLOOKUP(B41,CPU!$B:$J,4,FALSE)</f>
        <v>UN</v>
      </c>
      <c r="F41" s="5">
        <f>SUMIF(ORCAMENTO!B:B,B41,ORCAMENTO!F:F)</f>
        <v>19</v>
      </c>
      <c r="G41" s="5">
        <f>VLOOKUP("TOTAL SEM BDI - "&amp;B41,CPU!$A:$J,9,FALSE)</f>
        <v>164.12</v>
      </c>
      <c r="H41" s="5">
        <f>VLOOKUP("TOTAL COM BDI - "&amp;B41,CPU!$A:$J,9,FALSE)</f>
        <v>200.77</v>
      </c>
      <c r="I41" s="5">
        <f>SUMIF(ORCAMENTO!B:B,B41,ORCAMENTO!I:I)</f>
        <v>3814.6299999999997</v>
      </c>
    </row>
    <row r="42" spans="1:9" x14ac:dyDescent="0.3">
      <c r="A42" s="23">
        <v>36</v>
      </c>
      <c r="B42" s="23">
        <v>98524</v>
      </c>
      <c r="C42" s="23" t="str">
        <f>VLOOKUP(B42,CPU!$B:$J,2,FALSE)</f>
        <v>SINAPI</v>
      </c>
      <c r="D42" s="24" t="str">
        <f>VLOOKUP(B42,CPU!$B:$J,3,FALSE)</f>
        <v>LIMPEZA MANUAL DE VEGETAÇÃO EM TERRENO COM ENXADA. AF_03/2024</v>
      </c>
      <c r="E42" s="23" t="str">
        <f>VLOOKUP(B42,CPU!$B:$J,4,FALSE)</f>
        <v>M2</v>
      </c>
      <c r="F42" s="5">
        <f>SUMIF(ORCAMENTO!B:B,B42,ORCAMENTO!F:F)</f>
        <v>600</v>
      </c>
      <c r="G42" s="5">
        <f>VLOOKUP("TOTAL SEM BDI - "&amp;B42,CPU!$A:$J,9,FALSE)</f>
        <v>4.62</v>
      </c>
      <c r="H42" s="5">
        <f>VLOOKUP("TOTAL COM BDI - "&amp;B42,CPU!$A:$J,9,FALSE)</f>
        <v>5.65</v>
      </c>
      <c r="I42" s="5">
        <f>SUMIF(ORCAMENTO!B:B,B42,ORCAMENTO!I:I)</f>
        <v>3390</v>
      </c>
    </row>
    <row r="43" spans="1:9" x14ac:dyDescent="0.3">
      <c r="A43" s="23">
        <v>37</v>
      </c>
      <c r="B43" s="23" t="s">
        <v>518</v>
      </c>
      <c r="C43" s="23" t="str">
        <f>VLOOKUP(B43,CPU!$B:$J,2,FALSE)</f>
        <v>PRÓPRIA</v>
      </c>
      <c r="D43" s="24" t="str">
        <f>VLOOKUP(B43,CPU!$B:$J,3,FALSE)</f>
        <v>PLACAS PADRÃO DE OBRA</v>
      </c>
      <c r="E43" s="23" t="str">
        <f>VLOOKUP(B43,CPU!$B:$J,4,FALSE)</f>
        <v>M2</v>
      </c>
      <c r="F43" s="5">
        <f>SUMIF(ORCAMENTO!B:B,B43,ORCAMENTO!F:F)</f>
        <v>12.96</v>
      </c>
      <c r="G43" s="5">
        <f>VLOOKUP("TOTAL SEM BDI - "&amp;B43,CPU!$A:$J,9,FALSE)</f>
        <v>189.89999999999998</v>
      </c>
      <c r="H43" s="5">
        <f>VLOOKUP("TOTAL COM BDI - "&amp;B43,CPU!$A:$J,9,FALSE)</f>
        <v>232.29999999999998</v>
      </c>
      <c r="I43" s="5">
        <f>SUMIF(ORCAMENTO!B:B,B43,ORCAMENTO!I:I)</f>
        <v>3010.61</v>
      </c>
    </row>
    <row r="44" spans="1:9" x14ac:dyDescent="0.3">
      <c r="A44" s="23">
        <v>38</v>
      </c>
      <c r="B44" s="23">
        <v>93358</v>
      </c>
      <c r="C44" s="23" t="str">
        <f>VLOOKUP(B44,CPU!$B:$J,2,FALSE)</f>
        <v>SINAPI</v>
      </c>
      <c r="D44" s="24" t="str">
        <f>VLOOKUP(B44,CPU!$B:$J,3,FALSE)</f>
        <v>ESCAVAÇÃO MANUAL DE VALA. AF_09/2024</v>
      </c>
      <c r="E44" s="23" t="str">
        <f>VLOOKUP(B44,CPU!$B:$J,4,FALSE)</f>
        <v>M3</v>
      </c>
      <c r="F44" s="5">
        <f>SUMIF(ORCAMENTO!B:B,B44,ORCAMENTO!F:F)</f>
        <v>28.619999999999997</v>
      </c>
      <c r="G44" s="5">
        <f>VLOOKUP("TOTAL SEM BDI - "&amp;B44,CPU!$A:$J,9,FALSE)</f>
        <v>85.87</v>
      </c>
      <c r="H44" s="5">
        <f>VLOOKUP("TOTAL COM BDI - "&amp;B44,CPU!$A:$J,9,FALSE)</f>
        <v>105.04</v>
      </c>
      <c r="I44" s="5">
        <f>SUMIF(ORCAMENTO!B:B,B44,ORCAMENTO!I:I)</f>
        <v>3006.24</v>
      </c>
    </row>
    <row r="45" spans="1:9" x14ac:dyDescent="0.3">
      <c r="A45" s="23">
        <v>39</v>
      </c>
      <c r="B45" s="23" t="s">
        <v>543</v>
      </c>
      <c r="C45" s="23" t="str">
        <f>VLOOKUP(B45,CPU!$B:$J,2,FALSE)</f>
        <v>PRÓPRIA</v>
      </c>
      <c r="D45" s="24" t="str">
        <f>VLOOKUP(B45,CPU!$B:$J,3,FALSE)</f>
        <v>DESINFECÇÃO</v>
      </c>
      <c r="E45" s="23" t="str">
        <f>VLOOKUP(B45,CPU!$B:$J,4,FALSE)</f>
        <v>H</v>
      </c>
      <c r="F45" s="5">
        <f>SUMIF(ORCAMENTO!B:B,B45,ORCAMENTO!F:F)</f>
        <v>24</v>
      </c>
      <c r="G45" s="5">
        <f>VLOOKUP("TOTAL SEM BDI - "&amp;B45,CPU!$A:$J,9,FALSE)</f>
        <v>102.36000000000003</v>
      </c>
      <c r="H45" s="5">
        <f>VLOOKUP("TOTAL COM BDI - "&amp;B45,CPU!$A:$J,9,FALSE)</f>
        <v>125.22000000000003</v>
      </c>
      <c r="I45" s="5">
        <f>SUMIF(ORCAMENTO!B:B,B45,ORCAMENTO!I:I)</f>
        <v>3005.28</v>
      </c>
    </row>
    <row r="46" spans="1:9" ht="28.8" x14ac:dyDescent="0.3">
      <c r="A46" s="23">
        <v>40</v>
      </c>
      <c r="B46" s="23" t="s">
        <v>588</v>
      </c>
      <c r="C46" s="23" t="str">
        <f>VLOOKUP(B46,CPU!$B:$J,2,FALSE)</f>
        <v>PRÓPRIA</v>
      </c>
      <c r="D46" s="24" t="str">
        <f>VLOOKUP(B46,CPU!$B:$J,3,FALSE)</f>
        <v>TELHAMENTO COM TELHA CERÂMICA CAPA-CANAL, TIPO COLONIAL, COM ATÉ 2 ÁGUAS, INCLUSO TRANSPORTE VERTICAL</v>
      </c>
      <c r="E46" s="23" t="str">
        <f>VLOOKUP(B46,CPU!$B:$J,4,FALSE)</f>
        <v>M²</v>
      </c>
      <c r="F46" s="5">
        <f>SUMIF(ORCAMENTO!B:B,B46,ORCAMENTO!F:F)</f>
        <v>61.38000000000001</v>
      </c>
      <c r="G46" s="5">
        <f>VLOOKUP("TOTAL SEM BDI - "&amp;B46,CPU!$A:$J,9,FALSE)</f>
        <v>37.64</v>
      </c>
      <c r="H46" s="5">
        <f>VLOOKUP("TOTAL COM BDI - "&amp;B46,CPU!$A:$J,9,FALSE)</f>
        <v>46.05</v>
      </c>
      <c r="I46" s="5">
        <f>SUMIF(ORCAMENTO!B:B,B46,ORCAMENTO!I:I)</f>
        <v>2826.54</v>
      </c>
    </row>
    <row r="47" spans="1:9" ht="28.8" x14ac:dyDescent="0.3">
      <c r="A47" s="23">
        <v>41</v>
      </c>
      <c r="B47" s="23" t="s">
        <v>577</v>
      </c>
      <c r="C47" s="23" t="str">
        <f>VLOOKUP(B47,CPU!$B:$J,2,FALSE)</f>
        <v>PRÓPRIA</v>
      </c>
      <c r="D47" s="24" t="str">
        <f>VLOOKUP(B47,CPU!$B:$J,3,FALSE)</f>
        <v>(COMPOSIÇÃO REPRESENTATIVA) EXECUÇÃO DE ESTRUTURAS DE CONCRETO ARMADO, PARA EDIFICAÇÃO INSTITUCIONAL TÉRREA, FCK = 25 MPA</v>
      </c>
      <c r="E47" s="23" t="str">
        <f>VLOOKUP(B47,CPU!$B:$J,4,FALSE)</f>
        <v>M³</v>
      </c>
      <c r="F47" s="5">
        <f>SUMIF(ORCAMENTO!B:B,B47,ORCAMENTO!F:F)</f>
        <v>1.8000000000000003</v>
      </c>
      <c r="G47" s="5">
        <f>VLOOKUP("TOTAL SEM BDI - "&amp;B47,CPU!$A:$J,9,FALSE)</f>
        <v>1270.1599999999999</v>
      </c>
      <c r="H47" s="5">
        <f>VLOOKUP("TOTAL COM BDI - "&amp;B47,CPU!$A:$J,9,FALSE)</f>
        <v>1553.79</v>
      </c>
      <c r="I47" s="5">
        <f>SUMIF(ORCAMENTO!B:B,B47,ORCAMENTO!I:I)</f>
        <v>2796.8399999999997</v>
      </c>
    </row>
    <row r="48" spans="1:9" x14ac:dyDescent="0.3">
      <c r="A48" s="23">
        <v>42</v>
      </c>
      <c r="B48" s="23" t="s">
        <v>606</v>
      </c>
      <c r="C48" s="23" t="str">
        <f>VLOOKUP(B48,CPU!$B:$J,2,FALSE)</f>
        <v>PRÓPRIA</v>
      </c>
      <c r="D48" s="24" t="str">
        <f>VLOOKUP(B48,CPU!$B:$J,3,FALSE)</f>
        <v>CAIAÇÃO EM TRES DEMÃOS EM PAREDES (REF: C0589-SEINFRA 28)</v>
      </c>
      <c r="E48" s="23" t="str">
        <f>VLOOKUP(B48,CPU!$B:$J,4,FALSE)</f>
        <v>M2</v>
      </c>
      <c r="F48" s="5">
        <f>SUMIF(ORCAMENTO!B:B,B48,ORCAMENTO!F:F)</f>
        <v>231.72</v>
      </c>
      <c r="G48" s="5">
        <f>VLOOKUP("TOTAL SEM BDI - "&amp;B48,CPU!$A:$J,9,FALSE)</f>
        <v>9.3800000000000008</v>
      </c>
      <c r="H48" s="5">
        <f>VLOOKUP("TOTAL COM BDI - "&amp;B48,CPU!$A:$J,9,FALSE)</f>
        <v>11.47</v>
      </c>
      <c r="I48" s="5">
        <f>SUMIF(ORCAMENTO!B:B,B48,ORCAMENTO!I:I)</f>
        <v>2657.8200000000006</v>
      </c>
    </row>
    <row r="49" spans="1:9" ht="43.2" x14ac:dyDescent="0.3">
      <c r="A49" s="23">
        <v>43</v>
      </c>
      <c r="B49" s="23">
        <v>87904</v>
      </c>
      <c r="C49" s="23" t="str">
        <f>VLOOKUP(B49,CPU!$B:$J,2,FALSE)</f>
        <v>SINAPI</v>
      </c>
      <c r="D49" s="24" t="str">
        <f>VLOOKUP(B49,CPU!$B:$J,3,FALSE)</f>
        <v>CHAPISCO APLICADO EM ALVENARIA (COM PRESENÇA DE VÃOS) E ESTRUTURAS DE CONCRETO DE FACHADA, COM COLHER DE PEDREIRO. ARGAMASSA TRAÇO 1:3 COM PREPARO MANUAL. AF_10/2022</v>
      </c>
      <c r="E49" s="23" t="str">
        <f>VLOOKUP(B49,CPU!$B:$J,4,FALSE)</f>
        <v>M2</v>
      </c>
      <c r="F49" s="5">
        <f>SUMIF(ORCAMENTO!B:B,B49,ORCAMENTO!F:F)</f>
        <v>231.72</v>
      </c>
      <c r="G49" s="5">
        <f>VLOOKUP("TOTAL SEM BDI - "&amp;B49,CPU!$A:$J,9,FALSE)</f>
        <v>8.7199999999999989</v>
      </c>
      <c r="H49" s="5">
        <f>VLOOKUP("TOTAL COM BDI - "&amp;B49,CPU!$A:$J,9,FALSE)</f>
        <v>10.669999999999998</v>
      </c>
      <c r="I49" s="5">
        <f>SUMIF(ORCAMENTO!B:B,B49,ORCAMENTO!I:I)</f>
        <v>2472.48</v>
      </c>
    </row>
    <row r="50" spans="1:9" ht="43.2" x14ac:dyDescent="0.3">
      <c r="A50" s="23">
        <v>44</v>
      </c>
      <c r="B50" s="23">
        <v>101161</v>
      </c>
      <c r="C50" s="23" t="str">
        <f>VLOOKUP(B50,CPU!$B:$J,2,FALSE)</f>
        <v>SINAPI</v>
      </c>
      <c r="D50" s="24" t="str">
        <f>VLOOKUP(B50,CPU!$B:$J,3,FALSE)</f>
        <v>ALVENARIA DE VEDAÇÃO COM ELEMENTO VAZADO DE CONCRETO (COBOGÓ) DE 7X50X50CM E ARGAMASSA DE ASSENTAMENTO COM PREPARO EM BETONEIRA. AF_05/2020</v>
      </c>
      <c r="E50" s="23" t="str">
        <f>VLOOKUP(B50,CPU!$B:$J,4,FALSE)</f>
        <v>M2</v>
      </c>
      <c r="F50" s="5">
        <f>SUMIF(ORCAMENTO!B:B,B50,ORCAMENTO!F:F)</f>
        <v>9</v>
      </c>
      <c r="G50" s="5">
        <f>VLOOKUP("TOTAL SEM BDI - "&amp;B50,CPU!$A:$J,9,FALSE)</f>
        <v>204.37</v>
      </c>
      <c r="H50" s="5">
        <f>VLOOKUP("TOTAL COM BDI - "&amp;B50,CPU!$A:$J,9,FALSE)</f>
        <v>250.01</v>
      </c>
      <c r="I50" s="5">
        <f>SUMIF(ORCAMENTO!B:B,B50,ORCAMENTO!I:I)</f>
        <v>2250.12</v>
      </c>
    </row>
    <row r="51" spans="1:9" ht="28.8" x14ac:dyDescent="0.3">
      <c r="A51" s="23">
        <v>45</v>
      </c>
      <c r="B51" s="23">
        <v>101749</v>
      </c>
      <c r="C51" s="23" t="str">
        <f>VLOOKUP(B51,CPU!$B:$J,2,FALSE)</f>
        <v>SINAPI</v>
      </c>
      <c r="D51" s="24" t="str">
        <f>VLOOKUP(B51,CPU!$B:$J,3,FALSE)</f>
        <v>PISO CIMENTADO, TRAÇO 1:3 (CIMENTO E AREIA), ACABAMENTO LISO, ESPESSURA 4,0 CM, PREPARO MECÂNICO DA ARGAMASSA. AF_09/2020</v>
      </c>
      <c r="E51" s="23" t="str">
        <f>VLOOKUP(B51,CPU!$B:$J,4,FALSE)</f>
        <v>M2</v>
      </c>
      <c r="F51" s="5">
        <f>SUMIF(ORCAMENTO!B:B,B51,ORCAMENTO!F:F)</f>
        <v>24</v>
      </c>
      <c r="G51" s="5">
        <f>VLOOKUP("TOTAL SEM BDI - "&amp;B51,CPU!$A:$J,9,FALSE)</f>
        <v>64.739999999999995</v>
      </c>
      <c r="H51" s="5">
        <f>VLOOKUP("TOTAL COM BDI - "&amp;B51,CPU!$A:$J,9,FALSE)</f>
        <v>79.199999999999989</v>
      </c>
      <c r="I51" s="5">
        <f>SUMIF(ORCAMENTO!B:B,B51,ORCAMENTO!I:I)</f>
        <v>1900.8</v>
      </c>
    </row>
    <row r="52" spans="1:9" ht="43.2" x14ac:dyDescent="0.3">
      <c r="A52" s="23">
        <v>46</v>
      </c>
      <c r="B52" s="23">
        <v>103335</v>
      </c>
      <c r="C52" s="23" t="str">
        <f>VLOOKUP(B52,CPU!$B:$J,2,FALSE)</f>
        <v>SINAPI</v>
      </c>
      <c r="D52" s="24" t="str">
        <f>VLOOKUP(B52,CPU!$B:$J,3,FALSE)</f>
        <v>ALVENARIA DE VEDAÇÃO DE BLOCOS CERÂMICOS FURADOS NA HORIZONTAL DE 14X9X19 CM (ESPESSURA 14 CM, BLOCO DEITADO) E ARGAMASSA DE ASSENTAMENTO COM PREPARO MANUAL. AF_12/2021</v>
      </c>
      <c r="E52" s="23" t="str">
        <f>VLOOKUP(B52,CPU!$B:$J,4,FALSE)</f>
        <v>M2</v>
      </c>
      <c r="F52" s="5">
        <f>SUMIF(ORCAMENTO!B:B,B52,ORCAMENTO!F:F)</f>
        <v>10.320000000000002</v>
      </c>
      <c r="G52" s="5">
        <f>VLOOKUP("TOTAL SEM BDI - "&amp;B52,CPU!$A:$J,9,FALSE)</f>
        <v>146.44</v>
      </c>
      <c r="H52" s="5">
        <f>VLOOKUP("TOTAL COM BDI - "&amp;B52,CPU!$A:$J,9,FALSE)</f>
        <v>179.14</v>
      </c>
      <c r="I52" s="5">
        <f>SUMIF(ORCAMENTO!B:B,B52,ORCAMENTO!I:I)</f>
        <v>1848.7199999999998</v>
      </c>
    </row>
    <row r="53" spans="1:9" x14ac:dyDescent="0.3">
      <c r="A53" s="23">
        <v>47</v>
      </c>
      <c r="B53" s="23" t="s">
        <v>623</v>
      </c>
      <c r="C53" s="23" t="str">
        <f>VLOOKUP(B53,CPU!$B:$J,2,FALSE)</f>
        <v>PRÓPRIA</v>
      </c>
      <c r="D53" s="24" t="str">
        <f>VLOOKUP(B53,CPU!$B:$J,3,FALSE)</f>
        <v>BLOCO DE ANCORAGEM EM CONCRETO SIMPLES FCK=10MPA (REF: C3403-SEINFRA 28)</v>
      </c>
      <c r="E53" s="23" t="str">
        <f>VLOOKUP(B53,CPU!$B:$J,4,FALSE)</f>
        <v>M3</v>
      </c>
      <c r="F53" s="5">
        <f>SUMIF(ORCAMENTO!B:B,B53,ORCAMENTO!F:F)</f>
        <v>1.56</v>
      </c>
      <c r="G53" s="5">
        <f>VLOOKUP("TOTAL SEM BDI - "&amp;B53,CPU!$A:$J,9,FALSE)</f>
        <v>832.05</v>
      </c>
      <c r="H53" s="5">
        <f>VLOOKUP("TOTAL COM BDI - "&amp;B53,CPU!$A:$J,9,FALSE)</f>
        <v>1017.8499999999999</v>
      </c>
      <c r="I53" s="5">
        <f>SUMIF(ORCAMENTO!B:B,B53,ORCAMENTO!I:I)</f>
        <v>1587.8399999999997</v>
      </c>
    </row>
    <row r="54" spans="1:9" x14ac:dyDescent="0.3">
      <c r="A54" s="23">
        <v>48</v>
      </c>
      <c r="B54" s="23" t="s">
        <v>537</v>
      </c>
      <c r="C54" s="23" t="str">
        <f>VLOOKUP(B54,CPU!$B:$J,2,FALSE)</f>
        <v>PRÓPRIA</v>
      </c>
      <c r="D54" s="24" t="str">
        <f>VLOOKUP(B54,CPU!$B:$J,3,FALSE)</f>
        <v>LAJE DE PROTEÇÃO EM CONCRETO (1,0 M X 1,0 M X 0,15 M)</v>
      </c>
      <c r="E54" s="23" t="str">
        <f>VLOOKUP(B54,CPU!$B:$J,4,FALSE)</f>
        <v>M³</v>
      </c>
      <c r="F54" s="5">
        <f>SUMIF(ORCAMENTO!B:B,B54,ORCAMENTO!F:F)</f>
        <v>0.9</v>
      </c>
      <c r="G54" s="5">
        <f>VLOOKUP("TOTAL SEM BDI - "&amp;B54,CPU!$A:$J,9,FALSE)</f>
        <v>1246.81</v>
      </c>
      <c r="H54" s="5">
        <f>VLOOKUP("TOTAL COM BDI - "&amp;B54,CPU!$A:$J,9,FALSE)</f>
        <v>1525.22</v>
      </c>
      <c r="I54" s="5">
        <f>SUMIF(ORCAMENTO!B:B,B54,ORCAMENTO!I:I)</f>
        <v>1372.68</v>
      </c>
    </row>
    <row r="55" spans="1:9" ht="43.2" x14ac:dyDescent="0.3">
      <c r="A55" s="23">
        <v>49</v>
      </c>
      <c r="B55" s="23">
        <v>100758</v>
      </c>
      <c r="C55" s="23" t="str">
        <f>VLOOKUP(B55,CPU!$B:$J,2,FALSE)</f>
        <v>SINAPI</v>
      </c>
      <c r="D55" s="24" t="str">
        <f>VLOOKUP(B55,CPU!$B:$J,3,FALSE)</f>
        <v>PINTURA COM TINTA ALQUÍDICA DE ACABAMENTO (ESMALTE SINTÉTICO ACETINADO) APLICADA A ROLO OU PINCEL SOBRE SUPERFÍCIES METÁLICAS (EXCETO PERFIL) EXECUTADO EM OBRA (02 DEMÃOS). AF_01/2020</v>
      </c>
      <c r="E55" s="23" t="str">
        <f>VLOOKUP(B55,CPU!$B:$J,4,FALSE)</f>
        <v>M2</v>
      </c>
      <c r="F55" s="5">
        <f>SUMIF(ORCAMENTO!B:B,B55,ORCAMENTO!F:F)</f>
        <v>20.16</v>
      </c>
      <c r="G55" s="5">
        <f>VLOOKUP("TOTAL SEM BDI - "&amp;B55,CPU!$A:$J,9,FALSE)</f>
        <v>50.339999999999996</v>
      </c>
      <c r="H55" s="5">
        <f>VLOOKUP("TOTAL COM BDI - "&amp;B55,CPU!$A:$J,9,FALSE)</f>
        <v>61.58</v>
      </c>
      <c r="I55" s="5">
        <f>SUMIF(ORCAMENTO!B:B,B55,ORCAMENTO!I:I)</f>
        <v>1241.46</v>
      </c>
    </row>
    <row r="56" spans="1:9" ht="28.8" x14ac:dyDescent="0.3">
      <c r="A56" s="23">
        <v>50</v>
      </c>
      <c r="B56" s="23">
        <v>96617</v>
      </c>
      <c r="C56" s="23" t="str">
        <f>VLOOKUP(B56,CPU!$B:$J,2,FALSE)</f>
        <v>SINAPI</v>
      </c>
      <c r="D56" s="24" t="str">
        <f>VLOOKUP(B56,CPU!$B:$J,3,FALSE)</f>
        <v>LASTRO DE CONCRETO MAGRO, APLICADO EM BLOCOS DE COROAMENTO OU SAPATAS, ESPESSURA DE 3 CM. AF_01/2024</v>
      </c>
      <c r="E56" s="23" t="str">
        <f>VLOOKUP(B56,CPU!$B:$J,4,FALSE)</f>
        <v>M2</v>
      </c>
      <c r="F56" s="5">
        <f>SUMIF(ORCAMENTO!B:B,B56,ORCAMENTO!F:F)</f>
        <v>39.479999999999997</v>
      </c>
      <c r="G56" s="5">
        <f>VLOOKUP("TOTAL SEM BDI - "&amp;B56,CPU!$A:$J,9,FALSE)</f>
        <v>23.57</v>
      </c>
      <c r="H56" s="5">
        <f>VLOOKUP("TOTAL COM BDI - "&amp;B56,CPU!$A:$J,9,FALSE)</f>
        <v>28.83</v>
      </c>
      <c r="I56" s="5">
        <f>SUMIF(ORCAMENTO!B:B,B56,ORCAMENTO!I:I)</f>
        <v>1138.2</v>
      </c>
    </row>
    <row r="57" spans="1:9" x14ac:dyDescent="0.3">
      <c r="A57" s="23">
        <v>51</v>
      </c>
      <c r="B57" s="23" t="s">
        <v>621</v>
      </c>
      <c r="C57" s="23" t="str">
        <f>VLOOKUP(B57,CPU!$B:$J,2,FALSE)</f>
        <v>PRÓPRIA</v>
      </c>
      <c r="D57" s="24" t="str">
        <f>VLOOKUP(B57,CPU!$B:$J,3,FALSE)</f>
        <v>REATERRO DE VALA COM COMPACTAÇÃO MANUAL</v>
      </c>
      <c r="E57" s="23" t="str">
        <f>VLOOKUP(B57,CPU!$B:$J,4,FALSE)</f>
        <v>M³</v>
      </c>
      <c r="F57" s="5">
        <f>SUMIF(ORCAMENTO!B:B,B57,ORCAMENTO!F:F)</f>
        <v>19.38</v>
      </c>
      <c r="G57" s="5">
        <f>VLOOKUP("TOTAL SEM BDI - "&amp;B57,CPU!$A:$J,9,FALSE)</f>
        <v>36.9</v>
      </c>
      <c r="H57" s="5">
        <f>VLOOKUP("TOTAL COM BDI - "&amp;B57,CPU!$A:$J,9,FALSE)</f>
        <v>45.14</v>
      </c>
      <c r="I57" s="5">
        <f>SUMIF(ORCAMENTO!B:B,B57,ORCAMENTO!I:I)</f>
        <v>874.8</v>
      </c>
    </row>
    <row r="58" spans="1:9" x14ac:dyDescent="0.3">
      <c r="A58" s="23">
        <v>52</v>
      </c>
      <c r="B58" s="23" t="s">
        <v>551</v>
      </c>
      <c r="C58" s="23" t="str">
        <f>VLOOKUP(B58,CPU!$B:$J,2,FALSE)</f>
        <v>PRÓPRIA</v>
      </c>
      <c r="D58" s="24" t="str">
        <f>VLOOKUP(B58,CPU!$B:$J,3,FALSE)</f>
        <v>FORNECIMENTO E INSTALAÇÃO DE TAMPA PARA POÇO</v>
      </c>
      <c r="E58" s="23" t="str">
        <f>VLOOKUP(B58,CPU!$B:$J,4,FALSE)</f>
        <v>UN</v>
      </c>
      <c r="F58" s="5">
        <f>SUMIF(ORCAMENTO!B:B,B58,ORCAMENTO!F:F)</f>
        <v>6</v>
      </c>
      <c r="G58" s="5">
        <f>VLOOKUP("TOTAL SEM BDI - "&amp;B58,CPU!$A:$J,9,FALSE)</f>
        <v>109.94</v>
      </c>
      <c r="H58" s="5">
        <f>VLOOKUP("TOTAL COM BDI - "&amp;B58,CPU!$A:$J,9,FALSE)</f>
        <v>134.49</v>
      </c>
      <c r="I58" s="5">
        <f>SUMIF(ORCAMENTO!B:B,B58,ORCAMENTO!I:I)</f>
        <v>806.94</v>
      </c>
    </row>
    <row r="59" spans="1:9" x14ac:dyDescent="0.3">
      <c r="A59" s="45" t="s">
        <v>158</v>
      </c>
      <c r="B59" s="47"/>
      <c r="C59" s="47"/>
      <c r="D59" s="47"/>
      <c r="E59" s="47"/>
      <c r="F59" s="47"/>
      <c r="G59" s="47"/>
      <c r="H59" s="46"/>
      <c r="I59" s="18">
        <f>SUM(I7:I58)</f>
        <v>1611884.27</v>
      </c>
    </row>
  </sheetData>
  <mergeCells count="4">
    <mergeCell ref="A1:I1"/>
    <mergeCell ref="A2:I2"/>
    <mergeCell ref="A3:I3"/>
    <mergeCell ref="A59:H59"/>
  </mergeCells>
  <pageMargins left="0.78740157480314965" right="0.39370078740157483" top="1.1811023622047245" bottom="0.78740157480314965" header="0.31496062992125984" footer="0.31496062992125984"/>
  <pageSetup paperSize="9" scale="50" fitToHeight="0" orientation="portrait" r:id="rId1"/>
  <headerFooter>
    <oddHeader>&amp;C&amp;G</oddHead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EB863-3908-462A-A392-AA8AA7AF875C}">
  <sheetPr>
    <pageSetUpPr fitToPage="1"/>
  </sheetPr>
  <dimension ref="A1:I207"/>
  <sheetViews>
    <sheetView showGridLines="0" topLeftCell="A194" workbookViewId="0">
      <selection activeCell="F131" sqref="F131"/>
    </sheetView>
  </sheetViews>
  <sheetFormatPr defaultRowHeight="14.4" x14ac:dyDescent="0.3"/>
  <cols>
    <col min="1" max="3" width="12" bestFit="1" customWidth="1"/>
    <col min="4" max="4" width="74.109375" bestFit="1" customWidth="1"/>
    <col min="5" max="8" width="15.77734375" bestFit="1" customWidth="1"/>
    <col min="9" max="12" width="14.77734375" bestFit="1" customWidth="1"/>
  </cols>
  <sheetData>
    <row r="1" spans="1:9" x14ac:dyDescent="0.3">
      <c r="A1" s="44" t="str">
        <f>CIDADE</f>
        <v>MUNICÍPIOS DE PARNAGUÁ - PI E ANÍSIO DE ABREU-PI</v>
      </c>
      <c r="B1" s="44"/>
      <c r="C1" s="44"/>
      <c r="D1" s="44"/>
      <c r="E1" s="44"/>
      <c r="F1" s="44"/>
      <c r="G1" s="44"/>
      <c r="H1" s="44"/>
      <c r="I1" s="44"/>
    </row>
    <row r="2" spans="1:9" x14ac:dyDescent="0.3">
      <c r="A2" s="44" t="str">
        <f>OBRA</f>
        <v>IMPLANTAÇÃO DE 6 (SEIS) SISTEMAS DE ABASTECIMENTO DE ÁGUA EM COMUNIDADES RURAIS NOS MUNICÍPIOS DE PARNAGUÁ-PI E ANÍSIO DE ABREU-PI (TC 967175/2024)</v>
      </c>
      <c r="B2" s="44"/>
      <c r="C2" s="44"/>
      <c r="D2" s="44"/>
      <c r="E2" s="44"/>
      <c r="F2" s="44"/>
      <c r="G2" s="44"/>
      <c r="H2" s="44"/>
      <c r="I2" s="44"/>
    </row>
    <row r="3" spans="1:9" x14ac:dyDescent="0.3">
      <c r="A3" s="44" t="s">
        <v>1203</v>
      </c>
      <c r="B3" s="44"/>
      <c r="C3" s="44"/>
      <c r="D3" s="44"/>
      <c r="E3" s="44"/>
      <c r="F3" s="44"/>
      <c r="G3" s="44"/>
      <c r="H3" s="44"/>
      <c r="I3" s="44"/>
    </row>
    <row r="5" spans="1:9" x14ac:dyDescent="0.3">
      <c r="A5" s="1" t="s">
        <v>1</v>
      </c>
      <c r="B5" s="7" t="str">
        <f>FONTE&amp;FOLHA</f>
        <v>SINAPI PI 07/2025, SEINFRA CE 28, ORSE SE 06/2025, CAESB 10/2024SEM DESONERAÇÃO</v>
      </c>
      <c r="C5" s="1"/>
      <c r="D5" s="1"/>
      <c r="E5" s="1"/>
      <c r="F5" s="1" t="s">
        <v>7</v>
      </c>
      <c r="G5" s="8">
        <f>LEI</f>
        <v>113.33</v>
      </c>
      <c r="H5" s="1" t="s">
        <v>16</v>
      </c>
      <c r="I5" s="8">
        <f>BDI</f>
        <v>22.33</v>
      </c>
    </row>
    <row r="6" spans="1:9" x14ac:dyDescent="0.3">
      <c r="A6" s="4" t="s">
        <v>1202</v>
      </c>
      <c r="B6" s="4" t="s">
        <v>170</v>
      </c>
      <c r="C6" s="4" t="s">
        <v>171</v>
      </c>
      <c r="D6" s="4" t="s">
        <v>18</v>
      </c>
      <c r="E6" s="4" t="s">
        <v>172</v>
      </c>
      <c r="F6" s="4" t="s">
        <v>998</v>
      </c>
      <c r="G6" s="4" t="s">
        <v>1204</v>
      </c>
      <c r="H6" s="4" t="s">
        <v>12</v>
      </c>
      <c r="I6" s="4" t="s">
        <v>19</v>
      </c>
    </row>
    <row r="7" spans="1:9" x14ac:dyDescent="0.3">
      <c r="A7" s="23">
        <v>1</v>
      </c>
      <c r="B7" s="23">
        <v>9873</v>
      </c>
      <c r="C7" s="23" t="str">
        <f>VLOOKUP(B7,I!$A:$G,2,FALSE)</f>
        <v>SINAPI</v>
      </c>
      <c r="D7" s="24" t="str">
        <f>VLOOKUP(B7,I!$A:$G,3,FALSE)</f>
        <v>TUBO PVC, SOLDAVEL, DE 60 MM, AGUA FRIA (NBR-5648)</v>
      </c>
      <c r="E7" s="23" t="str">
        <f>VLOOKUP(B7,I!$A:$G,4,FALSE)</f>
        <v>M</v>
      </c>
      <c r="F7" s="23">
        <f>SUMIF(CPU!M:M,B7,CPU!O:O)+SUMIF(CPUAUX1!M:M,B7,CPUAUX1!O:O)+SUMIF(CPUAUX2!M:M,B7,CPUAUX2!O:O)+SUMIF(CPUAUX3!M:M,B7,CPUAUX3!O:O)+SUMIF(CPUAUX4!M:M,B7,CPUAUX4!O:O)+SUMIF(CPUAUX5!M:M,B7,CPUAUX5!O:O)</f>
        <v>16123.900000000001</v>
      </c>
      <c r="G7" s="5">
        <f>VLOOKUP(B7,I!$A:$G,5,FALSE)</f>
        <v>25.38</v>
      </c>
      <c r="H7" s="5">
        <f t="shared" ref="H7:H38" si="0">F7*G7</f>
        <v>409224.58199999999</v>
      </c>
      <c r="I7" s="25">
        <f t="shared" ref="I7:I38" si="1">H7/$H$202</f>
        <v>0.31038287436806011</v>
      </c>
    </row>
    <row r="8" spans="1:9" ht="43.2" x14ac:dyDescent="0.3">
      <c r="A8" s="23">
        <v>2</v>
      </c>
      <c r="B8" s="23" t="s">
        <v>1065</v>
      </c>
      <c r="C8" s="23" t="str">
        <f>VLOOKUP(B8,I!$A:$G,2,FALSE)</f>
        <v>PRÓPRIA</v>
      </c>
      <c r="D8" s="24" t="str">
        <f>VLOOKUP(B8,I!$A:$G,3,FALSE)</f>
        <v>FORNECIMENTO E INSTALAÇÃO DE BASE PARA RESERVATÓRIO EM CONCRETO PRÉ-MOLDADO COM H=10,00 M LIVRE, COM 03 PILARES E 01 LAJE,  INCLUSO FRETE E FUNDAÇÃO EM CONCRETO SIMPLES FCK = 20 MPA</v>
      </c>
      <c r="E8" s="23" t="str">
        <f>VLOOKUP(B8,I!$A:$G,4,FALSE)</f>
        <v>UN</v>
      </c>
      <c r="F8" s="23">
        <f>SUMIF(CPU!M:M,B8,CPU!O:O)+SUMIF(CPUAUX1!M:M,B8,CPUAUX1!O:O)+SUMIF(CPUAUX2!M:M,B8,CPUAUX2!O:O)+SUMIF(CPUAUX3!M:M,B8,CPUAUX3!O:O)+SUMIF(CPUAUX4!M:M,B8,CPUAUX4!O:O)+SUMIF(CPUAUX5!M:M,B8,CPUAUX5!O:O)</f>
        <v>6</v>
      </c>
      <c r="G8" s="5">
        <f>VLOOKUP(B8,I!$A:$G,5,FALSE)</f>
        <v>18900</v>
      </c>
      <c r="H8" s="5">
        <f t="shared" si="0"/>
        <v>113400</v>
      </c>
      <c r="I8" s="25">
        <f t="shared" si="1"/>
        <v>8.6010028481959599E-2</v>
      </c>
    </row>
    <row r="9" spans="1:9" ht="28.8" x14ac:dyDescent="0.3">
      <c r="A9" s="23">
        <v>3</v>
      </c>
      <c r="B9" s="23" t="s">
        <v>1017</v>
      </c>
      <c r="C9" s="23" t="str">
        <f>VLOOKUP(B9,I!$A:$G,2,FALSE)</f>
        <v>ORSE</v>
      </c>
      <c r="D9" s="24" t="str">
        <f>VLOOKUP(B9,I!$A:$G,3,FALSE)</f>
        <v>PERFURAÇÃO EM ROCHA CRISTALINA - ROCHA CRISTALINA ALTERADA / COMPACTA DN 6" (POÇO ATÉ 120M)</v>
      </c>
      <c r="E9" s="23" t="str">
        <f>VLOOKUP(B9,I!$A:$G,4,FALSE)</f>
        <v>M</v>
      </c>
      <c r="F9" s="23">
        <f>SUMIF(CPU!M:M,B9,CPU!O:O)+SUMIF(CPUAUX1!M:M,B9,CPUAUX1!O:O)+SUMIF(CPUAUX2!M:M,B9,CPUAUX2!O:O)+SUMIF(CPUAUX3!M:M,B9,CPUAUX3!O:O)+SUMIF(CPUAUX4!M:M,B9,CPUAUX4!O:O)+SUMIF(CPUAUX5!M:M,B9,CPUAUX5!O:O)</f>
        <v>520</v>
      </c>
      <c r="G9" s="5">
        <f>VLOOKUP(B9,I!$A:$G,5,FALSE)</f>
        <v>125.23</v>
      </c>
      <c r="H9" s="5">
        <f t="shared" si="0"/>
        <v>65119.6</v>
      </c>
      <c r="I9" s="25">
        <f t="shared" si="1"/>
        <v>4.9390993392714432E-2</v>
      </c>
    </row>
    <row r="10" spans="1:9" x14ac:dyDescent="0.3">
      <c r="A10" s="23">
        <v>4</v>
      </c>
      <c r="B10" s="23">
        <v>6111</v>
      </c>
      <c r="C10" s="23" t="str">
        <f>VLOOKUP(B10,I!$A:$G,2,FALSE)</f>
        <v>SINAPI</v>
      </c>
      <c r="D10" s="24" t="str">
        <f>VLOOKUP(B10,I!$A:$G,3,FALSE)</f>
        <v>SERVENTE DE OBRAS (HORISTA)</v>
      </c>
      <c r="E10" s="23" t="str">
        <f>VLOOKUP(B10,I!$A:$G,4,FALSE)</f>
        <v>H</v>
      </c>
      <c r="F10" s="23">
        <f>SUMIF(CPU!M:M,B10,CPU!O:O)+SUMIF(CPUAUX1!M:M,B10,CPUAUX1!O:O)+SUMIF(CPUAUX2!M:M,B10,CPUAUX2!O:O)+SUMIF(CPUAUX3!M:M,B10,CPUAUX3!O:O)+SUMIF(CPUAUX4!M:M,B10,CPUAUX4!O:O)+SUMIF(CPUAUX5!M:M,B10,CPUAUX5!O:O)</f>
        <v>3013.3769635213089</v>
      </c>
      <c r="G10" s="5">
        <f>VLOOKUP(B10,I!$A:$G,5,FALSE)</f>
        <v>14.86</v>
      </c>
      <c r="H10" s="5">
        <f t="shared" si="0"/>
        <v>44778.78167792665</v>
      </c>
      <c r="I10" s="25">
        <f t="shared" si="1"/>
        <v>3.3963177138500195E-2</v>
      </c>
    </row>
    <row r="11" spans="1:9" ht="57.6" x14ac:dyDescent="0.3">
      <c r="A11" s="23">
        <v>5</v>
      </c>
      <c r="B11" s="23">
        <v>36531</v>
      </c>
      <c r="C11" s="23" t="str">
        <f>VLOOKUP(B11,I!$A:$G,2,FALSE)</f>
        <v>SINAPI</v>
      </c>
      <c r="D11" s="24" t="str">
        <f>VLOOKUP(B11,I!$A:$G,3,FALSE)</f>
        <v>RETROESCAVADEIRA SOBRE RODAS COM CARREGADEIRA, TRACAO 4 X 4, POTENCIA LIQUIDA 88 HP, PESO OPERACIONAL MINIMO DE 6674 KG, CAPACIDADE DA CARREGADEIRA DE 1,00 M3 E DA RETROESCAVADEIRA MINIMA DE 0,26 M3, PROFUNDIDADE DE ESCAVACAO MAXIMA DE 4,37 M</v>
      </c>
      <c r="E11" s="23" t="str">
        <f>VLOOKUP(B11,I!$A:$G,4,FALSE)</f>
        <v>UN</v>
      </c>
      <c r="F11" s="23">
        <f>SUMIF(CPU!M:M,B11,CPU!O:O)+SUMIF(CPUAUX1!M:M,B11,CPUAUX1!O:O)+SUMIF(CPUAUX2!M:M,B11,CPUAUX2!O:O)+SUMIF(CPUAUX3!M:M,B11,CPUAUX3!O:O)+SUMIF(CPUAUX4!M:M,B11,CPUAUX4!O:O)+SUMIF(CPUAUX5!M:M,B11,CPUAUX5!O:O)</f>
        <v>8.5749012167999988E-2</v>
      </c>
      <c r="G11" s="5">
        <f>VLOOKUP(B11,I!$A:$G,5,FALSE)</f>
        <v>466463.38</v>
      </c>
      <c r="H11" s="5">
        <f t="shared" si="0"/>
        <v>39998.774047546402</v>
      </c>
      <c r="I11" s="25">
        <f t="shared" si="1"/>
        <v>3.0337704542089353E-2</v>
      </c>
    </row>
    <row r="12" spans="1:9" x14ac:dyDescent="0.3">
      <c r="A12" s="23">
        <v>6</v>
      </c>
      <c r="B12" s="23">
        <v>2706</v>
      </c>
      <c r="C12" s="23" t="str">
        <f>VLOOKUP(B12,I!$A:$G,2,FALSE)</f>
        <v>SINAPI</v>
      </c>
      <c r="D12" s="24" t="str">
        <f>VLOOKUP(B12,I!$A:$G,3,FALSE)</f>
        <v>ENGENHEIRO CIVIL DE OBRA JUNIOR (HORISTA)</v>
      </c>
      <c r="E12" s="23" t="str">
        <f>VLOOKUP(B12,I!$A:$G,4,FALSE)</f>
        <v>H</v>
      </c>
      <c r="F12" s="23">
        <f>SUMIF(CPU!M:M,B12,CPU!O:O)+SUMIF(CPUAUX1!M:M,B12,CPUAUX1!O:O)+SUMIF(CPUAUX2!M:M,B12,CPUAUX2!O:O)+SUMIF(CPUAUX3!M:M,B12,CPUAUX3!O:O)+SUMIF(CPUAUX4!M:M,B12,CPUAUX4!O:O)+SUMIF(CPUAUX5!M:M,B12,CPUAUX5!O:O)</f>
        <v>304.428</v>
      </c>
      <c r="G12" s="5">
        <f>VLOOKUP(B12,I!$A:$G,5,FALSE)</f>
        <v>125.11</v>
      </c>
      <c r="H12" s="5">
        <f t="shared" si="0"/>
        <v>38086.987079999999</v>
      </c>
      <c r="I12" s="25">
        <f t="shared" si="1"/>
        <v>2.8887679396321229E-2</v>
      </c>
    </row>
    <row r="13" spans="1:9" ht="28.8" x14ac:dyDescent="0.3">
      <c r="A13" s="23">
        <v>7</v>
      </c>
      <c r="B13" s="23">
        <v>37106</v>
      </c>
      <c r="C13" s="23" t="str">
        <f>VLOOKUP(B13,I!$A:$G,2,FALSE)</f>
        <v>SINAPI</v>
      </c>
      <c r="D13" s="24" t="str">
        <f>VLOOKUP(B13,I!$A:$G,3,FALSE)</f>
        <v>CAIXA D'AGUA / RESERVATORIO EM POLIESTER REFORCADO COM FIBRA DE VIDRO, 10000 LITROS, COM TAMPA</v>
      </c>
      <c r="E13" s="23" t="str">
        <f>VLOOKUP(B13,I!$A:$G,4,FALSE)</f>
        <v>UN</v>
      </c>
      <c r="F13" s="23">
        <f>SUMIF(CPU!M:M,B13,CPU!O:O)+SUMIF(CPUAUX1!M:M,B13,CPUAUX1!O:O)+SUMIF(CPUAUX2!M:M,B13,CPUAUX2!O:O)+SUMIF(CPUAUX3!M:M,B13,CPUAUX3!O:O)+SUMIF(CPUAUX4!M:M,B13,CPUAUX4!O:O)+SUMIF(CPUAUX5!M:M,B13,CPUAUX5!O:O)</f>
        <v>6</v>
      </c>
      <c r="G13" s="5">
        <f>VLOOKUP(B13,I!$A:$G,5,FALSE)</f>
        <v>5813.32</v>
      </c>
      <c r="H13" s="5">
        <f t="shared" si="0"/>
        <v>34879.919999999998</v>
      </c>
      <c r="I13" s="25">
        <f t="shared" si="1"/>
        <v>2.6455228506600287E-2</v>
      </c>
    </row>
    <row r="14" spans="1:9" ht="28.8" x14ac:dyDescent="0.3">
      <c r="A14" s="23">
        <v>8</v>
      </c>
      <c r="B14" s="23">
        <v>10685</v>
      </c>
      <c r="C14" s="23" t="str">
        <f>VLOOKUP(B14,I!$A:$G,2,FALSE)</f>
        <v>SINAPI</v>
      </c>
      <c r="D14" s="24" t="str">
        <f>VLOOKUP(B14,I!$A:$G,3,FALSE)</f>
        <v>ESCAVADEIRA HIDRAULICA SOBRE ESTEIRAS, CACAMBA 0,80M3, PESO OPERACIONAL 17T, POTENCIA BRUTA 111HP</v>
      </c>
      <c r="E14" s="23" t="str">
        <f>VLOOKUP(B14,I!$A:$G,4,FALSE)</f>
        <v>UN</v>
      </c>
      <c r="F14" s="23">
        <f>SUMIF(CPU!M:M,B14,CPU!O:O)+SUMIF(CPUAUX1!M:M,B14,CPUAUX1!O:O)+SUMIF(CPUAUX2!M:M,B14,CPUAUX2!O:O)+SUMIF(CPUAUX3!M:M,B14,CPUAUX3!O:O)+SUMIF(CPUAUX4!M:M,B14,CPUAUX4!O:O)+SUMIF(CPUAUX5!M:M,B14,CPUAUX5!O:O)</f>
        <v>3.3758135548593589E-2</v>
      </c>
      <c r="G14" s="5">
        <f>VLOOKUP(B14,I!$A:$G,5,FALSE)</f>
        <v>859948.31</v>
      </c>
      <c r="H14" s="5">
        <f t="shared" si="0"/>
        <v>29030.251613763983</v>
      </c>
      <c r="I14" s="25">
        <f t="shared" si="1"/>
        <v>2.2018454745487602E-2</v>
      </c>
    </row>
    <row r="15" spans="1:9" x14ac:dyDescent="0.3">
      <c r="A15" s="23">
        <v>9</v>
      </c>
      <c r="B15" s="23">
        <v>4234</v>
      </c>
      <c r="C15" s="23" t="str">
        <f>VLOOKUP(B15,I!$A:$G,2,FALSE)</f>
        <v>SINAPI</v>
      </c>
      <c r="D15" s="24" t="str">
        <f>VLOOKUP(B15,I!$A:$G,3,FALSE)</f>
        <v>OPERADOR DE ESCAVADEIRA (HORISTA)</v>
      </c>
      <c r="E15" s="23" t="str">
        <f>VLOOKUP(B15,I!$A:$G,4,FALSE)</f>
        <v>H</v>
      </c>
      <c r="F15" s="23">
        <f>SUMIF(CPU!M:M,B15,CPU!O:O)+SUMIF(CPUAUX1!M:M,B15,CPUAUX1!O:O)+SUMIF(CPUAUX2!M:M,B15,CPUAUX2!O:O)+SUMIF(CPUAUX3!M:M,B15,CPUAUX3!O:O)+SUMIF(CPUAUX4!M:M,B15,CPUAUX4!O:O)+SUMIF(CPUAUX5!M:M,B15,CPUAUX5!O:O)</f>
        <v>1182.8381670364274</v>
      </c>
      <c r="G15" s="5">
        <f>VLOOKUP(B15,I!$A:$G,5,FALSE)</f>
        <v>24.53</v>
      </c>
      <c r="H15" s="5">
        <f t="shared" si="0"/>
        <v>29015.020237403565</v>
      </c>
      <c r="I15" s="25">
        <f t="shared" si="1"/>
        <v>2.2006902266523059E-2</v>
      </c>
    </row>
    <row r="16" spans="1:9" x14ac:dyDescent="0.3">
      <c r="A16" s="23">
        <v>10</v>
      </c>
      <c r="B16" s="23">
        <v>4221</v>
      </c>
      <c r="C16" s="23" t="str">
        <f>VLOOKUP(B16,I!$A:$G,2,FALSE)</f>
        <v>SINAPI</v>
      </c>
      <c r="D16" s="24" t="str">
        <f>VLOOKUP(B16,I!$A:$G,3,FALSE)</f>
        <v>OLEO DIESEL COMBUSTIVEL COMUM METROPOLITANO S-10 OU S-500</v>
      </c>
      <c r="E16" s="23" t="str">
        <f>VLOOKUP(B16,I!$A:$G,4,FALSE)</f>
        <v>L</v>
      </c>
      <c r="F16" s="23">
        <f>SUMIF(CPU!M:M,B16,CPU!O:O)+SUMIF(CPUAUX1!M:M,B16,CPUAUX1!O:O)+SUMIF(CPUAUX2!M:M,B16,CPUAUX2!O:O)+SUMIF(CPUAUX3!M:M,B16,CPUAUX3!O:O)+SUMIF(CPUAUX4!M:M,B16,CPUAUX4!O:O)+SUMIF(CPUAUX5!M:M,B16,CPUAUX5!O:O)</f>
        <v>4858.9902409743581</v>
      </c>
      <c r="G16" s="5">
        <f>VLOOKUP(B16,I!$A:$G,5,FALSE)</f>
        <v>5.88</v>
      </c>
      <c r="H16" s="5">
        <f t="shared" si="0"/>
        <v>28570.862616929226</v>
      </c>
      <c r="I16" s="25">
        <f t="shared" si="1"/>
        <v>2.1670023875099097E-2</v>
      </c>
    </row>
    <row r="17" spans="1:9" x14ac:dyDescent="0.3">
      <c r="A17" s="23">
        <v>11</v>
      </c>
      <c r="B17" s="23" t="s">
        <v>1050</v>
      </c>
      <c r="C17" s="23" t="str">
        <f>VLOOKUP(B17,I!$A:$G,2,FALSE)</f>
        <v>PRÓPRIA</v>
      </c>
      <c r="D17" s="24" t="str">
        <f>VLOOKUP(B17,I!$A:$G,3,FALSE)</f>
        <v>PAINEL FOTOVOLTÁICO 605 W, 2384 MM X 1134 MM X 30 MM, TSUN OU SIMILAR</v>
      </c>
      <c r="E17" s="23" t="str">
        <f>VLOOKUP(B17,I!$A:$G,4,FALSE)</f>
        <v>UND</v>
      </c>
      <c r="F17" s="23">
        <f>SUMIF(CPU!M:M,B17,CPU!O:O)+SUMIF(CPUAUX1!M:M,B17,CPUAUX1!O:O)+SUMIF(CPUAUX2!M:M,B17,CPUAUX2!O:O)+SUMIF(CPUAUX3!M:M,B17,CPUAUX3!O:O)+SUMIF(CPUAUX4!M:M,B17,CPUAUX4!O:O)+SUMIF(CPUAUX5!M:M,B17,CPUAUX5!O:O)</f>
        <v>48</v>
      </c>
      <c r="G17" s="5">
        <f>VLOOKUP(B17,I!$A:$G,5,FALSE)</f>
        <v>659</v>
      </c>
      <c r="H17" s="5">
        <f t="shared" si="0"/>
        <v>31632</v>
      </c>
      <c r="I17" s="25">
        <f t="shared" si="1"/>
        <v>2.3991792071793177E-2</v>
      </c>
    </row>
    <row r="18" spans="1:9" ht="28.8" x14ac:dyDescent="0.3">
      <c r="A18" s="23">
        <v>12</v>
      </c>
      <c r="B18" s="23" t="s">
        <v>1016</v>
      </c>
      <c r="C18" s="23" t="str">
        <f>VLOOKUP(B18,I!$A:$G,2,FALSE)</f>
        <v>ORSE</v>
      </c>
      <c r="D18" s="24" t="str">
        <f>VLOOKUP(B18,I!$A:$G,3,FALSE)</f>
        <v>PERFURAÇÃO ROCHA CALCÁRIA - CALCÁRIO / CAMADAS ALTERADAS DN 10" (POÇO 150M)</v>
      </c>
      <c r="E18" s="23" t="str">
        <f>VLOOKUP(B18,I!$A:$G,4,FALSE)</f>
        <v>M</v>
      </c>
      <c r="F18" s="23">
        <f>SUMIF(CPU!M:M,B18,CPU!O:O)+SUMIF(CPUAUX1!M:M,B18,CPUAUX1!O:O)+SUMIF(CPUAUX2!M:M,B18,CPUAUX2!O:O)+SUMIF(CPUAUX3!M:M,B18,CPUAUX3!O:O)+SUMIF(CPUAUX4!M:M,B18,CPUAUX4!O:O)+SUMIF(CPUAUX5!M:M,B18,CPUAUX5!O:O)</f>
        <v>120</v>
      </c>
      <c r="G18" s="5">
        <f>VLOOKUP(B18,I!$A:$G,5,FALSE)</f>
        <v>202.21</v>
      </c>
      <c r="H18" s="5">
        <f t="shared" si="0"/>
        <v>24265.200000000001</v>
      </c>
      <c r="I18" s="25">
        <f t="shared" si="1"/>
        <v>1.8404325777076246E-2</v>
      </c>
    </row>
    <row r="19" spans="1:9" x14ac:dyDescent="0.3">
      <c r="A19" s="23">
        <v>13</v>
      </c>
      <c r="B19" s="23" t="s">
        <v>1014</v>
      </c>
      <c r="C19" s="23" t="str">
        <f>VLOOKUP(B19,I!$A:$G,2,FALSE)</f>
        <v>ORSE</v>
      </c>
      <c r="D19" s="24" t="str">
        <f>VLOOKUP(B19,I!$A:$G,3,FALSE)</f>
        <v>TRANSPORTES DE MÁQUINAS E EQUIPAMENTOS POR CAMINHÃO MUNCK</v>
      </c>
      <c r="E19" s="23" t="str">
        <f>VLOOKUP(B19,I!$A:$G,4,FALSE)</f>
        <v>KM</v>
      </c>
      <c r="F19" s="23">
        <f>SUMIF(CPU!M:M,B19,CPU!O:O)+SUMIF(CPUAUX1!M:M,B19,CPUAUX1!O:O)+SUMIF(CPUAUX2!M:M,B19,CPUAUX2!O:O)+SUMIF(CPUAUX3!M:M,B19,CPUAUX3!O:O)+SUMIF(CPUAUX4!M:M,B19,CPUAUX4!O:O)+SUMIF(CPUAUX5!M:M,B19,CPUAUX5!O:O)</f>
        <v>3309.9999999999995</v>
      </c>
      <c r="G19" s="5">
        <f>VLOOKUP(B19,I!$A:$G,5,FALSE)</f>
        <v>5.5</v>
      </c>
      <c r="H19" s="5">
        <f t="shared" si="0"/>
        <v>18204.999999999996</v>
      </c>
      <c r="I19" s="25">
        <f t="shared" si="1"/>
        <v>1.3807870974550921E-2</v>
      </c>
    </row>
    <row r="20" spans="1:9" x14ac:dyDescent="0.3">
      <c r="A20" s="23">
        <v>14</v>
      </c>
      <c r="B20" s="23">
        <v>37370</v>
      </c>
      <c r="C20" s="23" t="str">
        <f>VLOOKUP(B20,I!$A:$G,2,FALSE)</f>
        <v>SINAPI</v>
      </c>
      <c r="D20" s="24" t="str">
        <f>VLOOKUP(B20,I!$A:$G,3,FALSE)</f>
        <v>ALIMENTACAO - HORISTA (COLETADO CAIXA - ENCARGOS COMPLEMENTARES)</v>
      </c>
      <c r="E20" s="23" t="str">
        <f>VLOOKUP(B20,I!$A:$G,4,FALSE)</f>
        <v>H</v>
      </c>
      <c r="F20" s="23">
        <f>SUMIF(CPU!M:M,B20,CPU!O:O)+SUMIF(CPUAUX1!M:M,B20,CPUAUX1!O:O)+SUMIF(CPUAUX2!M:M,B20,CPUAUX2!O:O)+SUMIF(CPUAUX3!M:M,B20,CPUAUX3!O:O)+SUMIF(CPUAUX4!M:M,B20,CPUAUX4!O:O)+SUMIF(CPUAUX5!M:M,B20,CPUAUX5!O:O)</f>
        <v>7476.4728946853993</v>
      </c>
      <c r="G20" s="5">
        <f>VLOOKUP(B20,I!$A:$G,5,FALSE)</f>
        <v>2.46</v>
      </c>
      <c r="H20" s="5">
        <f t="shared" si="0"/>
        <v>18392.123320926083</v>
      </c>
      <c r="I20" s="25">
        <f t="shared" si="1"/>
        <v>1.3949797625013808E-2</v>
      </c>
    </row>
    <row r="21" spans="1:9" x14ac:dyDescent="0.3">
      <c r="A21" s="23">
        <v>15</v>
      </c>
      <c r="B21" s="23">
        <v>9862</v>
      </c>
      <c r="C21" s="23" t="str">
        <f>VLOOKUP(B21,I!$A:$G,2,FALSE)</f>
        <v>SINAPI</v>
      </c>
      <c r="D21" s="24" t="str">
        <f>VLOOKUP(B21,I!$A:$G,3,FALSE)</f>
        <v>TUBO PVC, ROSCAVEL, 1 1/2", AGUA FRIA PREDIAL</v>
      </c>
      <c r="E21" s="23" t="str">
        <f>VLOOKUP(B21,I!$A:$G,4,FALSE)</f>
        <v>M</v>
      </c>
      <c r="F21" s="23">
        <f>SUMIF(CPU!M:M,B21,CPU!O:O)+SUMIF(CPUAUX1!M:M,B21,CPUAUX1!O:O)+SUMIF(CPUAUX2!M:M,B21,CPUAUX2!O:O)+SUMIF(CPUAUX3!M:M,B21,CPUAUX3!O:O)+SUMIF(CPUAUX4!M:M,B21,CPUAUX4!O:O)+SUMIF(CPUAUX5!M:M,B21,CPUAUX5!O:O)</f>
        <v>580</v>
      </c>
      <c r="G21" s="5">
        <f>VLOOKUP(B21,I!$A:$G,5,FALSE)</f>
        <v>31.31</v>
      </c>
      <c r="H21" s="5">
        <f t="shared" si="0"/>
        <v>18159.8</v>
      </c>
      <c r="I21" s="25">
        <f t="shared" si="1"/>
        <v>1.3773588317695679E-2</v>
      </c>
    </row>
    <row r="22" spans="1:9" x14ac:dyDescent="0.3">
      <c r="A22" s="23">
        <v>16</v>
      </c>
      <c r="B22" s="23">
        <v>4083</v>
      </c>
      <c r="C22" s="23" t="str">
        <f>VLOOKUP(B22,I!$A:$G,2,FALSE)</f>
        <v>SINAPI</v>
      </c>
      <c r="D22" s="24" t="str">
        <f>VLOOKUP(B22,I!$A:$G,3,FALSE)</f>
        <v>ENCARREGADO GERAL DE OBRAS (HORISTA)</v>
      </c>
      <c r="E22" s="23" t="str">
        <f>VLOOKUP(B22,I!$A:$G,4,FALSE)</f>
        <v>H</v>
      </c>
      <c r="F22" s="23">
        <f>SUMIF(CPU!M:M,B22,CPU!O:O)+SUMIF(CPUAUX1!M:M,B22,CPUAUX1!O:O)+SUMIF(CPUAUX2!M:M,B22,CPUAUX2!O:O)+SUMIF(CPUAUX3!M:M,B22,CPUAUX3!O:O)+SUMIF(CPUAUX4!M:M,B22,CPUAUX4!O:O)+SUMIF(CPUAUX5!M:M,B22,CPUAUX5!O:O)</f>
        <v>510.6</v>
      </c>
      <c r="G22" s="5">
        <f>VLOOKUP(B22,I!$A:$G,5,FALSE)</f>
        <v>31.85</v>
      </c>
      <c r="H22" s="5">
        <f t="shared" si="0"/>
        <v>16262.61</v>
      </c>
      <c r="I22" s="25">
        <f t="shared" si="1"/>
        <v>1.2334634473465618E-2</v>
      </c>
    </row>
    <row r="23" spans="1:9" ht="28.8" x14ac:dyDescent="0.3">
      <c r="A23" s="23">
        <v>17</v>
      </c>
      <c r="B23" s="23" t="s">
        <v>1018</v>
      </c>
      <c r="C23" s="23" t="str">
        <f>VLOOKUP(B23,I!$A:$G,2,FALSE)</f>
        <v>PRÓPRIA</v>
      </c>
      <c r="D23" s="24" t="str">
        <f>VLOOKUP(B23,I!$A:$G,3,FALSE)</f>
        <v>EQUIPAMENTOS PARA PERFURAÇÃO PELO ''SISTEMA ROTOPNEUMÁTICO'', COMPOSTO POR MÁQUINA ROTOPNEUMÁTICO, DIESEL</v>
      </c>
      <c r="E23" s="23" t="str">
        <f>VLOOKUP(B23,I!$A:$G,4,FALSE)</f>
        <v>H</v>
      </c>
      <c r="F23" s="23">
        <f>SUMIF(CPU!M:M,B23,CPU!O:O)+SUMIF(CPUAUX1!M:M,B23,CPUAUX1!O:O)+SUMIF(CPUAUX2!M:M,B23,CPUAUX2!O:O)+SUMIF(CPUAUX3!M:M,B23,CPUAUX3!O:O)+SUMIF(CPUAUX4!M:M,B23,CPUAUX4!O:O)+SUMIF(CPUAUX5!M:M,B23,CPUAUX5!O:O)</f>
        <v>36</v>
      </c>
      <c r="G23" s="5">
        <f>VLOOKUP(B23,I!$A:$G,5,FALSE)</f>
        <v>420.5</v>
      </c>
      <c r="H23" s="5">
        <f t="shared" si="0"/>
        <v>15138</v>
      </c>
      <c r="I23" s="25">
        <f t="shared" si="1"/>
        <v>1.1481656183067941E-2</v>
      </c>
    </row>
    <row r="24" spans="1:9" ht="28.8" x14ac:dyDescent="0.3">
      <c r="A24" s="23">
        <v>18</v>
      </c>
      <c r="B24" s="23">
        <v>9854</v>
      </c>
      <c r="C24" s="23" t="str">
        <f>VLOOKUP(B24,I!$A:$G,2,FALSE)</f>
        <v>SINAPI</v>
      </c>
      <c r="D24" s="24" t="str">
        <f>VLOOKUP(B24,I!$A:$G,3,FALSE)</f>
        <v>TUBO PVC DE REVESTIMENTO GEOMECANICO NERVURADO STANDARD, DN = 154 MM, COMPRIMENTO = 2 M</v>
      </c>
      <c r="E24" s="23" t="str">
        <f>VLOOKUP(B24,I!$A:$G,4,FALSE)</f>
        <v>M</v>
      </c>
      <c r="F24" s="23">
        <f>SUMIF(CPU!M:M,B24,CPU!O:O)+SUMIF(CPUAUX1!M:M,B24,CPUAUX1!O:O)+SUMIF(CPUAUX2!M:M,B24,CPUAUX2!O:O)+SUMIF(CPUAUX3!M:M,B24,CPUAUX3!O:O)+SUMIF(CPUAUX4!M:M,B24,CPUAUX4!O:O)+SUMIF(CPUAUX5!M:M,B24,CPUAUX5!O:O)</f>
        <v>127.26</v>
      </c>
      <c r="G24" s="5">
        <f>VLOOKUP(B24,I!$A:$G,5,FALSE)</f>
        <v>115.12</v>
      </c>
      <c r="H24" s="5">
        <f t="shared" si="0"/>
        <v>14650.171200000001</v>
      </c>
      <c r="I24" s="25">
        <f t="shared" si="1"/>
        <v>1.1111654692924024E-2</v>
      </c>
    </row>
    <row r="25" spans="1:9" x14ac:dyDescent="0.3">
      <c r="A25" s="23">
        <v>19</v>
      </c>
      <c r="B25" s="23">
        <v>1379</v>
      </c>
      <c r="C25" s="23" t="str">
        <f>VLOOKUP(B25,I!$A:$G,2,FALSE)</f>
        <v>SINAPI</v>
      </c>
      <c r="D25" s="24" t="str">
        <f>VLOOKUP(B25,I!$A:$G,3,FALSE)</f>
        <v>CIMENTO PORTLAND COMPOSTO CP II-32</v>
      </c>
      <c r="E25" s="23" t="str">
        <f>VLOOKUP(B25,I!$A:$G,4,FALSE)</f>
        <v>KG</v>
      </c>
      <c r="F25" s="23">
        <f>SUMIF(CPU!M:M,B25,CPU!O:O)+SUMIF(CPUAUX1!M:M,B25,CPUAUX1!O:O)+SUMIF(CPUAUX2!M:M,B25,CPUAUX2!O:O)+SUMIF(CPUAUX3!M:M,B25,CPUAUX3!O:O)+SUMIF(CPUAUX4!M:M,B25,CPUAUX4!O:O)+SUMIF(CPUAUX5!M:M,B25,CPUAUX5!O:O)</f>
        <v>14267.1942135912</v>
      </c>
      <c r="G25" s="5">
        <f>VLOOKUP(B25,I!$A:$G,5,FALSE)</f>
        <v>1</v>
      </c>
      <c r="H25" s="5">
        <f t="shared" si="0"/>
        <v>14267.1942135912</v>
      </c>
      <c r="I25" s="25">
        <f t="shared" si="1"/>
        <v>1.0821179723709246E-2</v>
      </c>
    </row>
    <row r="26" spans="1:9" x14ac:dyDescent="0.3">
      <c r="A26" s="23">
        <v>20</v>
      </c>
      <c r="B26" s="23">
        <v>4750</v>
      </c>
      <c r="C26" s="23" t="str">
        <f>VLOOKUP(B26,I!$A:$G,2,FALSE)</f>
        <v>SINAPI</v>
      </c>
      <c r="D26" s="24" t="str">
        <f>VLOOKUP(B26,I!$A:$G,3,FALSE)</f>
        <v>PEDREIRO (HORISTA)</v>
      </c>
      <c r="E26" s="23" t="str">
        <f>VLOOKUP(B26,I!$A:$G,4,FALSE)</f>
        <v>H</v>
      </c>
      <c r="F26" s="23">
        <f>SUMIF(CPU!M:M,B26,CPU!O:O)+SUMIF(CPUAUX1!M:M,B26,CPUAUX1!O:O)+SUMIF(CPUAUX2!M:M,B26,CPUAUX2!O:O)+SUMIF(CPUAUX3!M:M,B26,CPUAUX3!O:O)+SUMIF(CPUAUX4!M:M,B26,CPUAUX4!O:O)+SUMIF(CPUAUX5!M:M,B26,CPUAUX5!O:O)</f>
        <v>672.78132042480001</v>
      </c>
      <c r="G26" s="5">
        <f>VLOOKUP(B26,I!$A:$G,5,FALSE)</f>
        <v>20.329999999999998</v>
      </c>
      <c r="H26" s="5">
        <f t="shared" si="0"/>
        <v>13677.644244236184</v>
      </c>
      <c r="I26" s="25">
        <f t="shared" si="1"/>
        <v>1.0374026199407981E-2</v>
      </c>
    </row>
    <row r="27" spans="1:9" x14ac:dyDescent="0.3">
      <c r="A27" s="23">
        <v>21</v>
      </c>
      <c r="B27" s="23">
        <v>34622</v>
      </c>
      <c r="C27" s="23" t="str">
        <f>VLOOKUP(B27,I!$A:$G,2,FALSE)</f>
        <v>SINAPI</v>
      </c>
      <c r="D27" s="24" t="str">
        <f>VLOOKUP(B27,I!$A:$G,3,FALSE)</f>
        <v>CABO FLEXIVEL PVC 750 V, 3 CONDUTORES DE 6,0 MM2</v>
      </c>
      <c r="E27" s="23" t="str">
        <f>VLOOKUP(B27,I!$A:$G,4,FALSE)</f>
        <v>M</v>
      </c>
      <c r="F27" s="23">
        <f>SUMIF(CPU!M:M,B27,CPU!O:O)+SUMIF(CPUAUX1!M:M,B27,CPUAUX1!O:O)+SUMIF(CPUAUX2!M:M,B27,CPUAUX2!O:O)+SUMIF(CPUAUX3!M:M,B27,CPUAUX3!O:O)+SUMIF(CPUAUX4!M:M,B27,CPUAUX4!O:O)+SUMIF(CPUAUX5!M:M,B27,CPUAUX5!O:O)</f>
        <v>640</v>
      </c>
      <c r="G27" s="5">
        <f>VLOOKUP(B27,I!$A:$G,5,FALSE)</f>
        <v>23.41</v>
      </c>
      <c r="H27" s="5">
        <f t="shared" si="0"/>
        <v>14982.4</v>
      </c>
      <c r="I27" s="25">
        <f t="shared" si="1"/>
        <v>1.1363638895309626E-2</v>
      </c>
    </row>
    <row r="28" spans="1:9" ht="43.2" x14ac:dyDescent="0.3">
      <c r="A28" s="23">
        <v>22</v>
      </c>
      <c r="B28" s="23" t="s">
        <v>1069</v>
      </c>
      <c r="C28" s="23" t="str">
        <f>VLOOKUP(B28,I!$A:$G,2,FALSE)</f>
        <v>PRÓPRIA</v>
      </c>
      <c r="D28" s="24" t="str">
        <f>VLOOKUP(B28,I!$A:$G,3,FALSE)</f>
        <v>FORNECIMENTO E INSTALAÇÃO DE BASE PARA RESERVATÓRIO EM CONCRETO PRÉ-MOLDADO COM H=8,00 M LIVRE, COM 03 PILARES E 01 LAJE, INCLUSO FRETE E FUNDAÇÃO EM CONCRETO SIMPLES FCK = 20 MPA</v>
      </c>
      <c r="E28" s="23" t="str">
        <f>VLOOKUP(B28,I!$A:$G,4,FALSE)</f>
        <v>UN</v>
      </c>
      <c r="F28" s="23">
        <f>SUMIF(CPU!M:M,B28,CPU!O:O)+SUMIF(CPUAUX1!M:M,B28,CPUAUX1!O:O)+SUMIF(CPUAUX2!M:M,B28,CPUAUX2!O:O)+SUMIF(CPUAUX3!M:M,B28,CPUAUX3!O:O)+SUMIF(CPUAUX4!M:M,B28,CPUAUX4!O:O)+SUMIF(CPUAUX5!M:M,B28,CPUAUX5!O:O)</f>
        <v>1</v>
      </c>
      <c r="G28" s="5">
        <f>VLOOKUP(B28,I!$A:$G,5,FALSE)</f>
        <v>13500</v>
      </c>
      <c r="H28" s="5">
        <f t="shared" si="0"/>
        <v>13500</v>
      </c>
      <c r="I28" s="25">
        <f t="shared" si="1"/>
        <v>1.0239289104995192E-2</v>
      </c>
    </row>
    <row r="29" spans="1:9" x14ac:dyDescent="0.3">
      <c r="A29" s="23">
        <v>23</v>
      </c>
      <c r="B29" s="23">
        <v>2696</v>
      </c>
      <c r="C29" s="23" t="str">
        <f>VLOOKUP(B29,I!$A:$G,2,FALSE)</f>
        <v>SINAPI</v>
      </c>
      <c r="D29" s="24" t="str">
        <f>VLOOKUP(B29,I!$A:$G,3,FALSE)</f>
        <v>ENCANADOR OU BOMBEIRO HIDRAULICO (HORISTA)</v>
      </c>
      <c r="E29" s="23" t="str">
        <f>VLOOKUP(B29,I!$A:$G,4,FALSE)</f>
        <v>H</v>
      </c>
      <c r="F29" s="23">
        <f>SUMIF(CPU!M:M,B29,CPU!O:O)+SUMIF(CPUAUX1!M:M,B29,CPUAUX1!O:O)+SUMIF(CPUAUX2!M:M,B29,CPUAUX2!O:O)+SUMIF(CPUAUX3!M:M,B29,CPUAUX3!O:O)+SUMIF(CPUAUX4!M:M,B29,CPUAUX4!O:O)+SUMIF(CPUAUX5!M:M,B29,CPUAUX5!O:O)</f>
        <v>670.51919807599995</v>
      </c>
      <c r="G29" s="5">
        <f>VLOOKUP(B29,I!$A:$G,5,FALSE)</f>
        <v>20.329999999999998</v>
      </c>
      <c r="H29" s="5">
        <f t="shared" si="0"/>
        <v>13631.655296885077</v>
      </c>
      <c r="I29" s="25">
        <f t="shared" si="1"/>
        <v>1.0339145152921879E-2</v>
      </c>
    </row>
    <row r="30" spans="1:9" x14ac:dyDescent="0.3">
      <c r="A30" s="23">
        <v>24</v>
      </c>
      <c r="B30" s="23">
        <v>37372</v>
      </c>
      <c r="C30" s="23" t="str">
        <f>VLOOKUP(B30,I!$A:$G,2,FALSE)</f>
        <v>SINAPI</v>
      </c>
      <c r="D30" s="24" t="str">
        <f>VLOOKUP(B30,I!$A:$G,3,FALSE)</f>
        <v>EXAMES - HORISTA (COLETADO CAIXA - ENCARGOS COMPLEMENTARES)</v>
      </c>
      <c r="E30" s="23" t="str">
        <f>VLOOKUP(B30,I!$A:$G,4,FALSE)</f>
        <v>H</v>
      </c>
      <c r="F30" s="23">
        <f>SUMIF(CPU!M:M,B30,CPU!O:O)+SUMIF(CPUAUX1!M:M,B30,CPUAUX1!O:O)+SUMIF(CPUAUX2!M:M,B30,CPUAUX2!O:O)+SUMIF(CPUAUX3!M:M,B30,CPUAUX3!O:O)+SUMIF(CPUAUX4!M:M,B30,CPUAUX4!O:O)+SUMIF(CPUAUX5!M:M,B30,CPUAUX5!O:O)</f>
        <v>8944.4728946853975</v>
      </c>
      <c r="G30" s="5">
        <f>VLOOKUP(B30,I!$A:$G,5,FALSE)</f>
        <v>1.43</v>
      </c>
      <c r="H30" s="5">
        <f t="shared" si="0"/>
        <v>12790.596239400118</v>
      </c>
      <c r="I30" s="25">
        <f t="shared" si="1"/>
        <v>9.7012305718875633E-3</v>
      </c>
    </row>
    <row r="31" spans="1:9" x14ac:dyDescent="0.3">
      <c r="A31" s="23">
        <v>25</v>
      </c>
      <c r="B31" s="23" t="s">
        <v>1049</v>
      </c>
      <c r="C31" s="23" t="str">
        <f>VLOOKUP(B31,I!$A:$G,2,FALSE)</f>
        <v>PRÓPRIA</v>
      </c>
      <c r="D31" s="24" t="str">
        <f>VLOOKUP(B31,I!$A:$G,3,FALSE)</f>
        <v>BOMBA SUBMERSA 3 CV TRIFÁSICA MODELO 4R5PA-18  LEÃO OU SIMILAR</v>
      </c>
      <c r="E31" s="23" t="str">
        <f>VLOOKUP(B31,I!$A:$G,4,FALSE)</f>
        <v>UND</v>
      </c>
      <c r="F31" s="23">
        <f>SUMIF(CPU!M:M,B31,CPU!O:O)+SUMIF(CPUAUX1!M:M,B31,CPUAUX1!O:O)+SUMIF(CPUAUX2!M:M,B31,CPUAUX2!O:O)+SUMIF(CPUAUX3!M:M,B31,CPUAUX3!O:O)+SUMIF(CPUAUX4!M:M,B31,CPUAUX4!O:O)+SUMIF(CPUAUX5!M:M,B31,CPUAUX5!O:O)</f>
        <v>6</v>
      </c>
      <c r="G31" s="5">
        <f>VLOOKUP(B31,I!$A:$G,5,FALSE)</f>
        <v>2095</v>
      </c>
      <c r="H31" s="5">
        <f t="shared" si="0"/>
        <v>12570</v>
      </c>
      <c r="I31" s="25">
        <f t="shared" si="1"/>
        <v>9.5339158555399674E-3</v>
      </c>
    </row>
    <row r="32" spans="1:9" ht="28.8" x14ac:dyDescent="0.3">
      <c r="A32" s="23">
        <v>26</v>
      </c>
      <c r="B32" s="23" t="s">
        <v>1051</v>
      </c>
      <c r="C32" s="23" t="str">
        <f>VLOOKUP(B32,I!$A:$G,2,FALSE)</f>
        <v>PRÓPRIA</v>
      </c>
      <c r="D32" s="24" t="str">
        <f>VLOOKUP(B32,I!$A:$G,3,FALSE)</f>
        <v>INVERSOR PARA BOMBEAMENTO SOLAR TRIFÁSICO 220V – 2.2KW, COM FREQUÊNCIA DE ENTRADA 50/60 HZ, POWTRAN OU SILIMAR</v>
      </c>
      <c r="E32" s="23" t="str">
        <f>VLOOKUP(B32,I!$A:$G,4,FALSE)</f>
        <v>UND</v>
      </c>
      <c r="F32" s="23">
        <f>SUMIF(CPU!M:M,B32,CPU!O:O)+SUMIF(CPUAUX1!M:M,B32,CPUAUX1!O:O)+SUMIF(CPUAUX2!M:M,B32,CPUAUX2!O:O)+SUMIF(CPUAUX3!M:M,B32,CPUAUX3!O:O)+SUMIF(CPUAUX4!M:M,B32,CPUAUX4!O:O)+SUMIF(CPUAUX5!M:M,B32,CPUAUX5!O:O)</f>
        <v>6</v>
      </c>
      <c r="G32" s="5">
        <f>VLOOKUP(B32,I!$A:$G,5,FALSE)</f>
        <v>1700</v>
      </c>
      <c r="H32" s="5">
        <f t="shared" si="0"/>
        <v>10200</v>
      </c>
      <c r="I32" s="25">
        <f t="shared" si="1"/>
        <v>7.7363517682185893E-3</v>
      </c>
    </row>
    <row r="33" spans="1:9" x14ac:dyDescent="0.3">
      <c r="A33" s="23">
        <v>27</v>
      </c>
      <c r="B33" s="23">
        <v>2350</v>
      </c>
      <c r="C33" s="23" t="str">
        <f>VLOOKUP(B33,I!$A:$G,2,FALSE)</f>
        <v>SINAPI</v>
      </c>
      <c r="D33" s="24" t="str">
        <f>VLOOKUP(B33,I!$A:$G,3,FALSE)</f>
        <v>AUXILIAR DE ESCRITORIO (HORISTA)</v>
      </c>
      <c r="E33" s="23" t="str">
        <f>VLOOKUP(B33,I!$A:$G,4,FALSE)</f>
        <v>H</v>
      </c>
      <c r="F33" s="23">
        <f>SUMIF(CPU!M:M,B33,CPU!O:O)+SUMIF(CPUAUX1!M:M,B33,CPUAUX1!O:O)+SUMIF(CPUAUX2!M:M,B33,CPUAUX2!O:O)+SUMIF(CPUAUX3!M:M,B33,CPUAUX3!O:O)+SUMIF(CPUAUX4!M:M,B33,CPUAUX4!O:O)+SUMIF(CPUAUX5!M:M,B33,CPUAUX5!O:O)</f>
        <v>502.54500000000002</v>
      </c>
      <c r="G33" s="5">
        <f>VLOOKUP(B33,I!$A:$G,5,FALSE)</f>
        <v>19.07</v>
      </c>
      <c r="H33" s="5">
        <f t="shared" si="0"/>
        <v>9583.5331500000011</v>
      </c>
      <c r="I33" s="25">
        <f t="shared" si="1"/>
        <v>7.2687827089003895E-3</v>
      </c>
    </row>
    <row r="34" spans="1:9" x14ac:dyDescent="0.3">
      <c r="A34" s="23">
        <v>28</v>
      </c>
      <c r="B34" s="23">
        <v>325</v>
      </c>
      <c r="C34" s="23" t="str">
        <f>VLOOKUP(B34,I!$A:$G,2,FALSE)</f>
        <v>SINAPI</v>
      </c>
      <c r="D34" s="24" t="str">
        <f>VLOOKUP(B34,I!$A:$G,3,FALSE)</f>
        <v>ANEL BORRACHA, PARA TUBO/CONEXAO PVC PBA, DN 50 MM, PARA REDE AGUA</v>
      </c>
      <c r="E34" s="23" t="str">
        <f>VLOOKUP(B34,I!$A:$G,4,FALSE)</f>
        <v>UN</v>
      </c>
      <c r="F34" s="23">
        <f>SUMIF(CPU!M:M,B34,CPU!O:O)+SUMIF(CPUAUX1!M:M,B34,CPUAUX1!O:O)+SUMIF(CPUAUX2!M:M,B34,CPUAUX2!O:O)+SUMIF(CPUAUX3!M:M,B34,CPUAUX3!O:O)+SUMIF(CPUAUX4!M:M,B34,CPUAUX4!O:O)+SUMIF(CPUAUX5!M:M,B34,CPUAUX5!O:O)</f>
        <v>2757.3830000000007</v>
      </c>
      <c r="G34" s="5">
        <f>VLOOKUP(B34,I!$A:$G,5,FALSE)</f>
        <v>2.96</v>
      </c>
      <c r="H34" s="5">
        <f t="shared" si="0"/>
        <v>8161.853680000002</v>
      </c>
      <c r="I34" s="25">
        <f t="shared" si="1"/>
        <v>6.19048736756955E-3</v>
      </c>
    </row>
    <row r="35" spans="1:9" x14ac:dyDescent="0.3">
      <c r="A35" s="23">
        <v>29</v>
      </c>
      <c r="B35" s="23">
        <v>2708</v>
      </c>
      <c r="C35" s="23" t="str">
        <f>VLOOKUP(B35,I!$A:$G,2,FALSE)</f>
        <v>SINAPI</v>
      </c>
      <c r="D35" s="24" t="str">
        <f>VLOOKUP(B35,I!$A:$G,3,FALSE)</f>
        <v>ENGENHEIRO CIVIL DE OBRA SENIOR (HORISTA)</v>
      </c>
      <c r="E35" s="23" t="str">
        <f>VLOOKUP(B35,I!$A:$G,4,FALSE)</f>
        <v>H</v>
      </c>
      <c r="F35" s="23">
        <f>SUMIF(CPU!M:M,B35,CPU!O:O)+SUMIF(CPUAUX1!M:M,B35,CPUAUX1!O:O)+SUMIF(CPUAUX2!M:M,B35,CPUAUX2!O:O)+SUMIF(CPUAUX3!M:M,B35,CPUAUX3!O:O)+SUMIF(CPUAUX4!M:M,B35,CPUAUX4!O:O)+SUMIF(CPUAUX5!M:M,B35,CPUAUX5!O:O)</f>
        <v>48.708480000000002</v>
      </c>
      <c r="G35" s="5">
        <f>VLOOKUP(B35,I!$A:$G,5,FALSE)</f>
        <v>147.6</v>
      </c>
      <c r="H35" s="5">
        <f t="shared" si="0"/>
        <v>7189.3716480000003</v>
      </c>
      <c r="I35" s="25">
        <f t="shared" si="1"/>
        <v>5.4528929471946465E-3</v>
      </c>
    </row>
    <row r="36" spans="1:9" x14ac:dyDescent="0.3">
      <c r="A36" s="23">
        <v>30</v>
      </c>
      <c r="B36" s="23">
        <v>40331</v>
      </c>
      <c r="C36" s="23" t="str">
        <f>VLOOKUP(B36,I!$A:$G,2,FALSE)</f>
        <v>SINAPI</v>
      </c>
      <c r="D36" s="24" t="str">
        <f>VLOOKUP(B36,I!$A:$G,3,FALSE)</f>
        <v>ASSENTADOR DE MANILHAS (HORISTA)</v>
      </c>
      <c r="E36" s="23" t="str">
        <f>VLOOKUP(B36,I!$A:$G,4,FALSE)</f>
        <v>H</v>
      </c>
      <c r="F36" s="23">
        <f>SUMIF(CPU!M:M,B36,CPU!O:O)+SUMIF(CPUAUX1!M:M,B36,CPUAUX1!O:O)+SUMIF(CPUAUX2!M:M,B36,CPUAUX2!O:O)+SUMIF(CPUAUX3!M:M,B36,CPUAUX3!O:O)+SUMIF(CPUAUX4!M:M,B36,CPUAUX4!O:O)+SUMIF(CPUAUX5!M:M,B36,CPUAUX5!O:O)</f>
        <v>493.77917172000002</v>
      </c>
      <c r="G36" s="5">
        <f>VLOOKUP(B36,I!$A:$G,5,FALSE)</f>
        <v>13.99</v>
      </c>
      <c r="H36" s="5">
        <f t="shared" si="0"/>
        <v>6907.9706123628002</v>
      </c>
      <c r="I36" s="25">
        <f t="shared" si="1"/>
        <v>5.2394598687995099E-3</v>
      </c>
    </row>
    <row r="37" spans="1:9" x14ac:dyDescent="0.3">
      <c r="A37" s="23">
        <v>31</v>
      </c>
      <c r="B37" s="23" t="s">
        <v>1012</v>
      </c>
      <c r="C37" s="23" t="str">
        <f>VLOOKUP(B37,I!$A:$G,2,FALSE)</f>
        <v>PRÓPRIA</v>
      </c>
      <c r="D37" s="24" t="str">
        <f>VLOOKUP(B37,I!$A:$G,3,FALSE)</f>
        <v>GEÓLOGO SÊNIOR COM ENCARGOS COMPLEMENTARES</v>
      </c>
      <c r="E37" s="23" t="str">
        <f>VLOOKUP(B37,I!$A:$G,4,FALSE)</f>
        <v>H</v>
      </c>
      <c r="F37" s="23">
        <f>SUMIF(CPU!M:M,B37,CPU!O:O)+SUMIF(CPUAUX1!M:M,B37,CPUAUX1!O:O)+SUMIF(CPUAUX2!M:M,B37,CPUAUX2!O:O)+SUMIF(CPUAUX3!M:M,B37,CPUAUX3!O:O)+SUMIF(CPUAUX4!M:M,B37,CPUAUX4!O:O)+SUMIF(CPUAUX5!M:M,B37,CPUAUX5!O:O)</f>
        <v>180</v>
      </c>
      <c r="G37" s="5">
        <f>VLOOKUP(B37,I!$A:$G,5,FALSE)</f>
        <v>111.02</v>
      </c>
      <c r="H37" s="5">
        <f t="shared" si="0"/>
        <v>19983.599999999999</v>
      </c>
      <c r="I37" s="25">
        <f t="shared" si="1"/>
        <v>1.5156878352487546E-2</v>
      </c>
    </row>
    <row r="38" spans="1:9" x14ac:dyDescent="0.3">
      <c r="A38" s="23">
        <v>32</v>
      </c>
      <c r="B38" s="23" t="s">
        <v>1015</v>
      </c>
      <c r="C38" s="23" t="str">
        <f>VLOOKUP(B38,I!$A:$G,2,FALSE)</f>
        <v>PRÓPRIA</v>
      </c>
      <c r="D38" s="24" t="str">
        <f>VLOOKUP(B38,I!$A:$G,3,FALSE)</f>
        <v>GEÓLOGO SÊNIOR ENCARGOS COMPLEMENTARES</v>
      </c>
      <c r="E38" s="23" t="str">
        <f>VLOOKUP(B38,I!$A:$G,4,FALSE)</f>
        <v>H</v>
      </c>
      <c r="F38" s="23">
        <f>SUMIF(CPU!M:M,B38,CPU!O:O)+SUMIF(CPUAUX1!M:M,B38,CPUAUX1!O:O)+SUMIF(CPUAUX2!M:M,B38,CPUAUX2!O:O)+SUMIF(CPUAUX3!M:M,B38,CPUAUX3!O:O)+SUMIF(CPUAUX4!M:M,B38,CPUAUX4!O:O)+SUMIF(CPUAUX5!M:M,B38,CPUAUX5!O:O)</f>
        <v>0</v>
      </c>
      <c r="G38" s="5">
        <f>VLOOKUP(B38,I!$A:$G,5,FALSE)</f>
        <v>111.02</v>
      </c>
      <c r="H38" s="5">
        <f t="shared" si="0"/>
        <v>0</v>
      </c>
      <c r="I38" s="25">
        <f t="shared" si="1"/>
        <v>0</v>
      </c>
    </row>
    <row r="39" spans="1:9" x14ac:dyDescent="0.3">
      <c r="A39" s="23">
        <v>33</v>
      </c>
      <c r="B39" s="23" t="s">
        <v>1021</v>
      </c>
      <c r="C39" s="23" t="str">
        <f>VLOOKUP(B39,I!$A:$G,2,FALSE)</f>
        <v>PRÓPRIA</v>
      </c>
      <c r="D39" s="24" t="str">
        <f>VLOOKUP(B39,I!$A:$G,3,FALSE)</f>
        <v>GEÓLOGO SÊNIOR</v>
      </c>
      <c r="E39" s="23" t="str">
        <f>VLOOKUP(B39,I!$A:$G,4,FALSE)</f>
        <v>H</v>
      </c>
      <c r="F39" s="23">
        <f>SUMIF(CPU!M:M,B39,CPU!O:O)+SUMIF(CPUAUX1!M:M,B39,CPUAUX1!O:O)+SUMIF(CPUAUX2!M:M,B39,CPUAUX2!O:O)+SUMIF(CPUAUX3!M:M,B39,CPUAUX3!O:O)+SUMIF(CPUAUX4!M:M,B39,CPUAUX4!O:O)+SUMIF(CPUAUX5!M:M,B39,CPUAUX5!O:O)</f>
        <v>0</v>
      </c>
      <c r="G39" s="5">
        <f>VLOOKUP(B39,I!$A:$G,5,FALSE)</f>
        <v>111.02</v>
      </c>
      <c r="H39" s="5">
        <f t="shared" ref="H39:H70" si="2">F39*G39</f>
        <v>0</v>
      </c>
      <c r="I39" s="25">
        <f t="shared" ref="I39:I70" si="3">H39/$H$202</f>
        <v>0</v>
      </c>
    </row>
    <row r="40" spans="1:9" x14ac:dyDescent="0.3">
      <c r="A40" s="23">
        <v>34</v>
      </c>
      <c r="B40" s="23">
        <v>251</v>
      </c>
      <c r="C40" s="23" t="str">
        <f>VLOOKUP(B40,I!$A:$G,2,FALSE)</f>
        <v>SINAPI</v>
      </c>
      <c r="D40" s="24" t="str">
        <f>VLOOKUP(B40,I!$A:$G,3,FALSE)</f>
        <v>AUXILIAR DE MECANICO (HORISTA)</v>
      </c>
      <c r="E40" s="23" t="str">
        <f>VLOOKUP(B40,I!$A:$G,4,FALSE)</f>
        <v>H</v>
      </c>
      <c r="F40" s="23">
        <f>SUMIF(CPU!M:M,B40,CPU!O:O)+SUMIF(CPUAUX1!M:M,B40,CPUAUX1!O:O)+SUMIF(CPUAUX2!M:M,B40,CPUAUX2!O:O)+SUMIF(CPUAUX3!M:M,B40,CPUAUX3!O:O)+SUMIF(CPUAUX4!M:M,B40,CPUAUX4!O:O)+SUMIF(CPUAUX5!M:M,B40,CPUAUX5!O:O)</f>
        <v>388.43135999999998</v>
      </c>
      <c r="G40" s="5">
        <f>VLOOKUP(B40,I!$A:$G,5,FALSE)</f>
        <v>15.57</v>
      </c>
      <c r="H40" s="5">
        <f t="shared" si="2"/>
        <v>6047.8762752000002</v>
      </c>
      <c r="I40" s="25">
        <f t="shared" si="3"/>
        <v>4.5871076780010563E-3</v>
      </c>
    </row>
    <row r="41" spans="1:9" ht="28.8" x14ac:dyDescent="0.3">
      <c r="A41" s="23">
        <v>35</v>
      </c>
      <c r="B41" s="23">
        <v>4114</v>
      </c>
      <c r="C41" s="23" t="str">
        <f>VLOOKUP(B41,I!$A:$G,2,FALSE)</f>
        <v>SINAPI</v>
      </c>
      <c r="D41" s="24" t="str">
        <f>VLOOKUP(B41,I!$A:$G,3,FALSE)</f>
        <v>MOURAO CONCRETO CURVO, SECAO "T", H = 2,80 M + CURVA COM 0,45 M, COM FUROS PARA FIOS</v>
      </c>
      <c r="E41" s="23" t="str">
        <f>VLOOKUP(B41,I!$A:$G,4,FALSE)</f>
        <v>UN</v>
      </c>
      <c r="F41" s="23">
        <f>SUMIF(CPU!M:M,B41,CPU!O:O)+SUMIF(CPUAUX1!M:M,B41,CPUAUX1!O:O)+SUMIF(CPUAUX2!M:M,B41,CPUAUX2!O:O)+SUMIF(CPUAUX3!M:M,B41,CPUAUX3!O:O)+SUMIF(CPUAUX4!M:M,B41,CPUAUX4!O:O)+SUMIF(CPUAUX5!M:M,B41,CPUAUX5!O:O)</f>
        <v>88.800000000000011</v>
      </c>
      <c r="G41" s="5">
        <f>VLOOKUP(B41,I!$A:$G,5,FALSE)</f>
        <v>64.400000000000006</v>
      </c>
      <c r="H41" s="5">
        <f t="shared" si="2"/>
        <v>5718.7200000000012</v>
      </c>
      <c r="I41" s="25">
        <f t="shared" si="3"/>
        <v>4.3374538807791196E-3</v>
      </c>
    </row>
    <row r="42" spans="1:9" ht="28.8" x14ac:dyDescent="0.3">
      <c r="A42" s="23">
        <v>36</v>
      </c>
      <c r="B42" s="23" t="s">
        <v>1023</v>
      </c>
      <c r="C42" s="23" t="str">
        <f>VLOOKUP(B42,I!$A:$G,2,FALSE)</f>
        <v>PRÓPRIA</v>
      </c>
      <c r="D42" s="24" t="str">
        <f>VLOOKUP(B42,I!$A:$G,3,FALSE)</f>
        <v>EQUIPAMENTOS PARA PERFURAÇÃO PELO "SISTEMA ROTOPNEUMÁTICO", COMPOSTO POR MÁQUINA ROTOPNEUMÁTICO, DIESEL</v>
      </c>
      <c r="E42" s="23" t="str">
        <f>VLOOKUP(B42,I!$A:$G,4,FALSE)</f>
        <v>HPROD</v>
      </c>
      <c r="F42" s="23">
        <f>SUMIF(CPU!M:M,B42,CPU!O:O)+SUMIF(CPUAUX1!M:M,B42,CPUAUX1!O:O)+SUMIF(CPUAUX2!M:M,B42,CPUAUX2!O:O)+SUMIF(CPUAUX3!M:M,B42,CPUAUX3!O:O)+SUMIF(CPUAUX4!M:M,B42,CPUAUX4!O:O)+SUMIF(CPUAUX5!M:M,B42,CPUAUX5!O:O)</f>
        <v>13.393800000000001</v>
      </c>
      <c r="G42" s="5">
        <f>VLOOKUP(B42,I!$A:$G,5,FALSE)</f>
        <v>420.5</v>
      </c>
      <c r="H42" s="5">
        <f t="shared" si="2"/>
        <v>5632.0929000000006</v>
      </c>
      <c r="I42" s="25">
        <f t="shared" si="3"/>
        <v>4.2717501829104276E-3</v>
      </c>
    </row>
    <row r="43" spans="1:9" x14ac:dyDescent="0.3">
      <c r="A43" s="23">
        <v>37</v>
      </c>
      <c r="B43" s="23">
        <v>9867</v>
      </c>
      <c r="C43" s="23" t="str">
        <f>VLOOKUP(B43,I!$A:$G,2,FALSE)</f>
        <v>SINAPI</v>
      </c>
      <c r="D43" s="24" t="str">
        <f>VLOOKUP(B43,I!$A:$G,3,FALSE)</f>
        <v>TUBO PVC, SOLDAVEL, DE 20 MM, AGUA FRIA (NBR-5648)</v>
      </c>
      <c r="E43" s="23" t="str">
        <f>VLOOKUP(B43,I!$A:$G,4,FALSE)</f>
        <v>M</v>
      </c>
      <c r="F43" s="23">
        <f>SUMIF(CPU!M:M,B43,CPU!O:O)+SUMIF(CPUAUX1!M:M,B43,CPUAUX1!O:O)+SUMIF(CPUAUX2!M:M,B43,CPUAUX2!O:O)+SUMIF(CPUAUX3!M:M,B43,CPUAUX3!O:O)+SUMIF(CPUAUX4!M:M,B43,CPUAUX4!O:O)+SUMIF(CPUAUX5!M:M,B43,CPUAUX5!O:O)</f>
        <v>1689.6000000000001</v>
      </c>
      <c r="G43" s="5">
        <f>VLOOKUP(B43,I!$A:$G,5,FALSE)</f>
        <v>3.68</v>
      </c>
      <c r="H43" s="5">
        <f t="shared" si="2"/>
        <v>6217.728000000001</v>
      </c>
      <c r="I43" s="25">
        <f t="shared" si="3"/>
        <v>4.7159344124610035E-3</v>
      </c>
    </row>
    <row r="44" spans="1:9" ht="28.8" x14ac:dyDescent="0.3">
      <c r="A44" s="23">
        <v>38</v>
      </c>
      <c r="B44" s="23">
        <v>3346</v>
      </c>
      <c r="C44" s="23" t="str">
        <f>VLOOKUP(B44,I!$A:$G,2,FALSE)</f>
        <v>SINAPI</v>
      </c>
      <c r="D44" s="24" t="str">
        <f>VLOOKUP(B44,I!$A:$G,3,FALSE)</f>
        <v>LOCACAO DE GRUPO GERADOR *80 A 125* KVA, MOTOR DIESEL, REBOCAVEL, ACIONAMENTO MANUAL</v>
      </c>
      <c r="E44" s="23" t="str">
        <f>VLOOKUP(B44,I!$A:$G,4,FALSE)</f>
        <v>H</v>
      </c>
      <c r="F44" s="23">
        <f>SUMIF(CPU!M:M,B44,CPU!O:O)+SUMIF(CPUAUX1!M:M,B44,CPUAUX1!O:O)+SUMIF(CPUAUX2!M:M,B44,CPUAUX2!O:O)+SUMIF(CPUAUX3!M:M,B44,CPUAUX3!O:O)+SUMIF(CPUAUX4!M:M,B44,CPUAUX4!O:O)+SUMIF(CPUAUX5!M:M,B44,CPUAUX5!O:O)</f>
        <v>204</v>
      </c>
      <c r="G44" s="5">
        <f>VLOOKUP(B44,I!$A:$G,5,FALSE)</f>
        <v>25.68</v>
      </c>
      <c r="H44" s="5">
        <f t="shared" si="2"/>
        <v>5238.72</v>
      </c>
      <c r="I44" s="25">
        <f t="shared" si="3"/>
        <v>3.9733902681570671E-3</v>
      </c>
    </row>
    <row r="45" spans="1:9" x14ac:dyDescent="0.3">
      <c r="A45" s="23">
        <v>39</v>
      </c>
      <c r="B45" s="23">
        <v>4230</v>
      </c>
      <c r="C45" s="23" t="str">
        <f>VLOOKUP(B45,I!$A:$G,2,FALSE)</f>
        <v>SINAPI</v>
      </c>
      <c r="D45" s="24" t="str">
        <f>VLOOKUP(B45,I!$A:$G,3,FALSE)</f>
        <v>OPERADOR DE MAQUINAS E TRATORES DIVERSOS - TERRAPLANAGEM (HORISTA)</v>
      </c>
      <c r="E45" s="23" t="str">
        <f>VLOOKUP(B45,I!$A:$G,4,FALSE)</f>
        <v>H</v>
      </c>
      <c r="F45" s="23">
        <f>SUMIF(CPU!M:M,B45,CPU!O:O)+SUMIF(CPUAUX1!M:M,B45,CPUAUX1!O:O)+SUMIF(CPUAUX2!M:M,B45,CPUAUX2!O:O)+SUMIF(CPUAUX3!M:M,B45,CPUAUX3!O:O)+SUMIF(CPUAUX4!M:M,B45,CPUAUX4!O:O)+SUMIF(CPUAUX5!M:M,B45,CPUAUX5!O:O)</f>
        <v>229.34952915434474</v>
      </c>
      <c r="G45" s="5">
        <f>VLOOKUP(B45,I!$A:$G,5,FALSE)</f>
        <v>21.48</v>
      </c>
      <c r="H45" s="5">
        <f t="shared" si="2"/>
        <v>4926.4278862353249</v>
      </c>
      <c r="I45" s="25">
        <f t="shared" si="3"/>
        <v>3.7365273616351002E-3</v>
      </c>
    </row>
    <row r="46" spans="1:9" x14ac:dyDescent="0.3">
      <c r="A46" s="23">
        <v>40</v>
      </c>
      <c r="B46" s="23" t="s">
        <v>1045</v>
      </c>
      <c r="C46" s="23" t="str">
        <f>VLOOKUP(B46,I!$A:$G,2,FALSE)</f>
        <v>SEINFRA</v>
      </c>
      <c r="D46" s="24" t="str">
        <f>VLOOKUP(B46,I!$A:$G,3,FALSE)</f>
        <v>GRADIL DE FERRO COM BARRA CHATA</v>
      </c>
      <c r="E46" s="23" t="str">
        <f>VLOOKUP(B46,I!$A:$G,4,FALSE)</f>
        <v>M2</v>
      </c>
      <c r="F46" s="23">
        <f>SUMIF(CPU!M:M,B46,CPU!O:O)+SUMIF(CPUAUX1!M:M,B46,CPUAUX1!O:O)+SUMIF(CPUAUX2!M:M,B46,CPUAUX2!O:O)+SUMIF(CPUAUX3!M:M,B46,CPUAUX3!O:O)+SUMIF(CPUAUX4!M:M,B46,CPUAUX4!O:O)+SUMIF(CPUAUX5!M:M,B46,CPUAUX5!O:O)</f>
        <v>36</v>
      </c>
      <c r="G46" s="5">
        <f>VLOOKUP(B46,I!$A:$G,5,FALSE)</f>
        <v>132.02000000000001</v>
      </c>
      <c r="H46" s="5">
        <f t="shared" si="2"/>
        <v>4752.72</v>
      </c>
      <c r="I46" s="25">
        <f t="shared" si="3"/>
        <v>3.6047758603772405E-3</v>
      </c>
    </row>
    <row r="47" spans="1:9" x14ac:dyDescent="0.3">
      <c r="A47" s="23">
        <v>41</v>
      </c>
      <c r="B47" s="23">
        <v>36084</v>
      </c>
      <c r="C47" s="23" t="str">
        <f>VLOOKUP(B47,I!$A:$G,2,FALSE)</f>
        <v>SINAPI</v>
      </c>
      <c r="D47" s="24" t="str">
        <f>VLOOKUP(B47,I!$A:$G,3,FALSE)</f>
        <v>TUBO PVC PBA JEI, CLASSE 12, DN 50 MM, PARA REDE DE AGUA (NBR 5647)</v>
      </c>
      <c r="E47" s="23" t="str">
        <f>VLOOKUP(B47,I!$A:$G,4,FALSE)</f>
        <v>M</v>
      </c>
      <c r="F47" s="23">
        <f>SUMIF(CPU!M:M,B47,CPU!O:O)+SUMIF(CPUAUX1!M:M,B47,CPUAUX1!O:O)+SUMIF(CPUAUX2!M:M,B47,CPUAUX2!O:O)+SUMIF(CPUAUX3!M:M,B47,CPUAUX3!O:O)+SUMIF(CPUAUX4!M:M,B47,CPUAUX4!O:O)+SUMIF(CPUAUX5!M:M,B47,CPUAUX5!O:O)</f>
        <v>96</v>
      </c>
      <c r="G47" s="5">
        <f>VLOOKUP(B47,I!$A:$G,5,FALSE)</f>
        <v>23.34</v>
      </c>
      <c r="H47" s="5">
        <f t="shared" si="2"/>
        <v>2240.64</v>
      </c>
      <c r="I47" s="25">
        <f t="shared" si="3"/>
        <v>1.6994489437197351E-3</v>
      </c>
    </row>
    <row r="48" spans="1:9" x14ac:dyDescent="0.3">
      <c r="A48" s="23">
        <v>42</v>
      </c>
      <c r="B48" s="23">
        <v>37371</v>
      </c>
      <c r="C48" s="23" t="str">
        <f>VLOOKUP(B48,I!$A:$G,2,FALSE)</f>
        <v>SINAPI</v>
      </c>
      <c r="D48" s="24" t="str">
        <f>VLOOKUP(B48,I!$A:$G,3,FALSE)</f>
        <v>TRANSPORTE - HORISTA (COLETADO CAIXA - ENCARGOS COMPLEMENTARES)</v>
      </c>
      <c r="E48" s="23" t="str">
        <f>VLOOKUP(B48,I!$A:$G,4,FALSE)</f>
        <v>H</v>
      </c>
      <c r="F48" s="23">
        <f>SUMIF(CPU!M:M,B48,CPU!O:O)+SUMIF(CPUAUX1!M:M,B48,CPUAUX1!O:O)+SUMIF(CPUAUX2!M:M,B48,CPUAUX2!O:O)+SUMIF(CPUAUX3!M:M,B48,CPUAUX3!O:O)+SUMIF(CPUAUX4!M:M,B48,CPUAUX4!O:O)+SUMIF(CPUAUX5!M:M,B48,CPUAUX5!O:O)</f>
        <v>7476.4728946853993</v>
      </c>
      <c r="G48" s="5">
        <f>VLOOKUP(B48,I!$A:$G,5,FALSE)</f>
        <v>0.56999999999999995</v>
      </c>
      <c r="H48" s="5">
        <f t="shared" si="2"/>
        <v>4261.5895499706776</v>
      </c>
      <c r="I48" s="25">
        <f t="shared" si="3"/>
        <v>3.2322701814056385E-3</v>
      </c>
    </row>
    <row r="49" spans="1:9" x14ac:dyDescent="0.3">
      <c r="A49" s="23">
        <v>43</v>
      </c>
      <c r="B49" s="23">
        <v>43491</v>
      </c>
      <c r="C49" s="23" t="str">
        <f>VLOOKUP(B49,I!$A:$G,2,FALSE)</f>
        <v>SINAPI</v>
      </c>
      <c r="D49" s="24" t="str">
        <f>VLOOKUP(B49,I!$A:$G,3,FALSE)</f>
        <v>EPI - FAMILIA SERVENTE - HORISTA (ENCARGOS COMPLEMENTARES - COLETADO CAIXA)</v>
      </c>
      <c r="E49" s="23" t="str">
        <f>VLOOKUP(B49,I!$A:$G,4,FALSE)</f>
        <v>H</v>
      </c>
      <c r="F49" s="23">
        <f>SUMIF(CPU!M:M,B49,CPU!O:O)+SUMIF(CPUAUX1!M:M,B49,CPUAUX1!O:O)+SUMIF(CPUAUX2!M:M,B49,CPUAUX2!O:O)+SUMIF(CPUAUX3!M:M,B49,CPUAUX3!O:O)+SUMIF(CPUAUX4!M:M,B49,CPUAUX4!O:O)+SUMIF(CPUAUX5!M:M,B49,CPUAUX5!O:O)</f>
        <v>2950.8195882504006</v>
      </c>
      <c r="G49" s="5">
        <f>VLOOKUP(B49,I!$A:$G,5,FALSE)</f>
        <v>1.39</v>
      </c>
      <c r="H49" s="5">
        <f t="shared" si="2"/>
        <v>4101.6392276680563</v>
      </c>
      <c r="I49" s="25">
        <f t="shared" si="3"/>
        <v>3.1109533227024013E-3</v>
      </c>
    </row>
    <row r="50" spans="1:9" x14ac:dyDescent="0.3">
      <c r="A50" s="23">
        <v>44</v>
      </c>
      <c r="B50" s="23">
        <v>370</v>
      </c>
      <c r="C50" s="23" t="str">
        <f>VLOOKUP(B50,I!$A:$G,2,FALSE)</f>
        <v>SINAPI</v>
      </c>
      <c r="D50" s="24" t="str">
        <f>VLOOKUP(B50,I!$A:$G,3,FALSE)</f>
        <v>AREIA MEDIA - POSTO JAZIDA/FORNECEDOR (RETIRADO NA JAZIDA, SEM TRANSPORTE)</v>
      </c>
      <c r="E50" s="23" t="str">
        <f>VLOOKUP(B50,I!$A:$G,4,FALSE)</f>
        <v>M3</v>
      </c>
      <c r="F50" s="23">
        <f>SUMIF(CPU!M:M,B50,CPU!O:O)+SUMIF(CPUAUX1!M:M,B50,CPUAUX1!O:O)+SUMIF(CPUAUX2!M:M,B50,CPUAUX2!O:O)+SUMIF(CPUAUX3!M:M,B50,CPUAUX3!O:O)+SUMIF(CPUAUX4!M:M,B50,CPUAUX4!O:O)+SUMIF(CPUAUX5!M:M,B50,CPUAUX5!O:O)</f>
        <v>44.808093119999995</v>
      </c>
      <c r="G50" s="5">
        <f>VLOOKUP(B50,I!$A:$G,5,FALSE)</f>
        <v>90</v>
      </c>
      <c r="H50" s="5">
        <f t="shared" si="2"/>
        <v>4032.7283807999997</v>
      </c>
      <c r="I50" s="25">
        <f t="shared" si="3"/>
        <v>3.0586867979948396E-3</v>
      </c>
    </row>
    <row r="51" spans="1:9" ht="28.8" x14ac:dyDescent="0.3">
      <c r="A51" s="23">
        <v>45</v>
      </c>
      <c r="B51" s="23">
        <v>4930</v>
      </c>
      <c r="C51" s="23" t="str">
        <f>VLOOKUP(B51,I!$A:$G,2,FALSE)</f>
        <v>SINAPI</v>
      </c>
      <c r="D51" s="24" t="str">
        <f>VLOOKUP(B51,I!$A:$G,3,FALSE)</f>
        <v>PORTA DE ABRIR / GIRO, EM GRADIL FERRO, COM BARRA CHATA 3 CM X 1/4", COM REQUADRO E GUARNICAO - COMPLETO - ACABAMENTO NATURAL</v>
      </c>
      <c r="E51" s="23" t="str">
        <f>VLOOKUP(B51,I!$A:$G,4,FALSE)</f>
        <v>M2</v>
      </c>
      <c r="F51" s="23">
        <f>SUMIF(CPU!M:M,B51,CPU!O:O)+SUMIF(CPUAUX1!M:M,B51,CPUAUX1!O:O)+SUMIF(CPUAUX2!M:M,B51,CPUAUX2!O:O)+SUMIF(CPUAUX3!M:M,B51,CPUAUX3!O:O)+SUMIF(CPUAUX4!M:M,B51,CPUAUX4!O:O)+SUMIF(CPUAUX5!M:M,B51,CPUAUX5!O:O)</f>
        <v>10.08</v>
      </c>
      <c r="G51" s="5">
        <f>VLOOKUP(B51,I!$A:$G,5,FALSE)</f>
        <v>389.05</v>
      </c>
      <c r="H51" s="5">
        <f t="shared" si="2"/>
        <v>3921.6240000000003</v>
      </c>
      <c r="I51" s="25">
        <f t="shared" si="3"/>
        <v>2.9744179183027897E-3</v>
      </c>
    </row>
    <row r="52" spans="1:9" x14ac:dyDescent="0.3">
      <c r="A52" s="23">
        <v>46</v>
      </c>
      <c r="B52" s="23" t="s">
        <v>1028</v>
      </c>
      <c r="C52" s="23" t="str">
        <f>VLOOKUP(B52,I!$A:$G,2,FALSE)</f>
        <v>ORSE</v>
      </c>
      <c r="D52" s="24" t="str">
        <f>VLOOKUP(B52,I!$A:$G,3,FALSE)</f>
        <v>HIPOCLORADOR OU DOSADOR DE SOLUÇÕES, COM REGULADOR P/ 6,12 OU 24 L/H</v>
      </c>
      <c r="E52" s="23" t="str">
        <f>VLOOKUP(B52,I!$A:$G,4,FALSE)</f>
        <v>UN</v>
      </c>
      <c r="F52" s="23">
        <f>SUMIF(CPU!M:M,B52,CPU!O:O)+SUMIF(CPUAUX1!M:M,B52,CPUAUX1!O:O)+SUMIF(CPUAUX2!M:M,B52,CPUAUX2!O:O)+SUMIF(CPUAUX3!M:M,B52,CPUAUX3!O:O)+SUMIF(CPUAUX4!M:M,B52,CPUAUX4!O:O)+SUMIF(CPUAUX5!M:M,B52,CPUAUX5!O:O)</f>
        <v>6</v>
      </c>
      <c r="G52" s="5">
        <f>VLOOKUP(B52,I!$A:$G,5,FALSE)</f>
        <v>647.55999999999995</v>
      </c>
      <c r="H52" s="5">
        <f t="shared" si="2"/>
        <v>3885.3599999999997</v>
      </c>
      <c r="I52" s="25">
        <f t="shared" si="3"/>
        <v>2.9469129123691935E-3</v>
      </c>
    </row>
    <row r="53" spans="1:9" x14ac:dyDescent="0.3">
      <c r="A53" s="23">
        <v>47</v>
      </c>
      <c r="B53" s="23" t="s">
        <v>1013</v>
      </c>
      <c r="C53" s="23" t="str">
        <f>VLOOKUP(B53,I!$A:$G,2,FALSE)</f>
        <v>ORSE</v>
      </c>
      <c r="D53" s="24" t="str">
        <f>VLOOKUP(B53,I!$A:$G,3,FALSE)</f>
        <v>VEÍCULO LEVE - PICK UP (97KW)</v>
      </c>
      <c r="E53" s="23" t="str">
        <f>VLOOKUP(B53,I!$A:$G,4,FALSE)</f>
        <v>H</v>
      </c>
      <c r="F53" s="23">
        <f>SUMIF(CPU!M:M,B53,CPU!O:O)+SUMIF(CPUAUX1!M:M,B53,CPUAUX1!O:O)+SUMIF(CPUAUX2!M:M,B53,CPUAUX2!O:O)+SUMIF(CPUAUX3!M:M,B53,CPUAUX3!O:O)+SUMIF(CPUAUX4!M:M,B53,CPUAUX4!O:O)+SUMIF(CPUAUX5!M:M,B53,CPUAUX5!O:O)</f>
        <v>360</v>
      </c>
      <c r="G53" s="5">
        <f>VLOOKUP(B53,I!$A:$G,5,FALSE)</f>
        <v>10.56</v>
      </c>
      <c r="H53" s="5">
        <f t="shared" si="2"/>
        <v>3801.6000000000004</v>
      </c>
      <c r="I53" s="25">
        <f t="shared" si="3"/>
        <v>2.883383811966646E-3</v>
      </c>
    </row>
    <row r="54" spans="1:9" x14ac:dyDescent="0.3">
      <c r="A54" s="23">
        <v>48</v>
      </c>
      <c r="B54" s="23">
        <v>4721</v>
      </c>
      <c r="C54" s="23" t="str">
        <f>VLOOKUP(B54,I!$A:$G,2,FALSE)</f>
        <v>SINAPI</v>
      </c>
      <c r="D54" s="24" t="str">
        <f>VLOOKUP(B54,I!$A:$G,3,FALSE)</f>
        <v>PEDRA BRITADA N. 1 (9,5 A 19 MM) POSTO PEDREIRA/FORNECEDOR, SEM FRETE</v>
      </c>
      <c r="E54" s="23" t="str">
        <f>VLOOKUP(B54,I!$A:$G,4,FALSE)</f>
        <v>M3</v>
      </c>
      <c r="F54" s="23">
        <f>SUMIF(CPU!M:M,B54,CPU!O:O)+SUMIF(CPUAUX1!M:M,B54,CPUAUX1!O:O)+SUMIF(CPUAUX2!M:M,B54,CPUAUX2!O:O)+SUMIF(CPUAUX3!M:M,B54,CPUAUX3!O:O)+SUMIF(CPUAUX4!M:M,B54,CPUAUX4!O:O)+SUMIF(CPUAUX5!M:M,B54,CPUAUX5!O:O)</f>
        <v>15.835203109200002</v>
      </c>
      <c r="G54" s="5">
        <f>VLOOKUP(B54,I!$A:$G,5,FALSE)</f>
        <v>234.56</v>
      </c>
      <c r="H54" s="5">
        <f t="shared" si="2"/>
        <v>3714.3052412939523</v>
      </c>
      <c r="I54" s="25">
        <f t="shared" si="3"/>
        <v>2.8171737177635336E-3</v>
      </c>
    </row>
    <row r="55" spans="1:9" x14ac:dyDescent="0.3">
      <c r="A55" s="23">
        <v>49</v>
      </c>
      <c r="B55" s="23" t="s">
        <v>1075</v>
      </c>
      <c r="C55" s="23" t="str">
        <f>VLOOKUP(B55,I!$A:$G,2,FALSE)</f>
        <v>ORSE</v>
      </c>
      <c r="D55" s="24" t="str">
        <f>VLOOKUP(B55,I!$A:$G,3,FALSE)</f>
        <v>ANÁLISE FÍSICO-QUÍMICA DE ÁGUA</v>
      </c>
      <c r="E55" s="23" t="str">
        <f>VLOOKUP(B55,I!$A:$G,4,FALSE)</f>
        <v>UN</v>
      </c>
      <c r="F55" s="23">
        <f>SUMIF(CPU!M:M,B55,CPU!O:O)+SUMIF(CPUAUX1!M:M,B55,CPUAUX1!O:O)+SUMIF(CPUAUX2!M:M,B55,CPUAUX2!O:O)+SUMIF(CPUAUX3!M:M,B55,CPUAUX3!O:O)+SUMIF(CPUAUX4!M:M,B55,CPUAUX4!O:O)+SUMIF(CPUAUX5!M:M,B55,CPUAUX5!O:O)</f>
        <v>6</v>
      </c>
      <c r="G55" s="5">
        <f>VLOOKUP(B55,I!$A:$G,5,FALSE)</f>
        <v>565.21</v>
      </c>
      <c r="H55" s="5">
        <f t="shared" si="2"/>
        <v>3391.26</v>
      </c>
      <c r="I55" s="25">
        <f t="shared" si="3"/>
        <v>2.5721549311263701E-3</v>
      </c>
    </row>
    <row r="56" spans="1:9" ht="28.8" x14ac:dyDescent="0.3">
      <c r="A56" s="23">
        <v>50</v>
      </c>
      <c r="B56" s="23">
        <v>37105</v>
      </c>
      <c r="C56" s="23" t="str">
        <f>VLOOKUP(B56,I!$A:$G,2,FALSE)</f>
        <v>SINAPI</v>
      </c>
      <c r="D56" s="24" t="str">
        <f>VLOOKUP(B56,I!$A:$G,3,FALSE)</f>
        <v>CAIXA D'AGUA / RESERVATORIO EM POLIESTER REFORCADO COM FIBRA DE VIDRO, 5000 LITROS, COM TAMPA</v>
      </c>
      <c r="E56" s="23" t="str">
        <f>VLOOKUP(B56,I!$A:$G,4,FALSE)</f>
        <v>UN</v>
      </c>
      <c r="F56" s="23">
        <f>SUMIF(CPU!M:M,B56,CPU!O:O)+SUMIF(CPUAUX1!M:M,B56,CPUAUX1!O:O)+SUMIF(CPUAUX2!M:M,B56,CPUAUX2!O:O)+SUMIF(CPUAUX3!M:M,B56,CPUAUX3!O:O)+SUMIF(CPUAUX4!M:M,B56,CPUAUX4!O:O)+SUMIF(CPUAUX5!M:M,B56,CPUAUX5!O:O)</f>
        <v>1</v>
      </c>
      <c r="G56" s="5">
        <f>VLOOKUP(B56,I!$A:$G,5,FALSE)</f>
        <v>3334.75</v>
      </c>
      <c r="H56" s="5">
        <f t="shared" si="2"/>
        <v>3334.75</v>
      </c>
      <c r="I56" s="25">
        <f t="shared" si="3"/>
        <v>2.5292940253987197E-3</v>
      </c>
    </row>
    <row r="57" spans="1:9" x14ac:dyDescent="0.3">
      <c r="A57" s="23">
        <v>51</v>
      </c>
      <c r="B57" s="23">
        <v>339</v>
      </c>
      <c r="C57" s="23" t="str">
        <f>VLOOKUP(B57,I!$A:$G,2,FALSE)</f>
        <v>SINAPI</v>
      </c>
      <c r="D57" s="24" t="str">
        <f>VLOOKUP(B57,I!$A:$G,3,FALSE)</f>
        <v>ARAME FARPADO GALVANIZADO, 14 BWG (2,11 MM), CLASSE 250</v>
      </c>
      <c r="E57" s="23" t="str">
        <f>VLOOKUP(B57,I!$A:$G,4,FALSE)</f>
        <v>M</v>
      </c>
      <c r="F57" s="23">
        <f>SUMIF(CPU!M:M,B57,CPU!O:O)+SUMIF(CPUAUX1!M:M,B57,CPUAUX1!O:O)+SUMIF(CPUAUX2!M:M,B57,CPUAUX2!O:O)+SUMIF(CPUAUX3!M:M,B57,CPUAUX3!O:O)+SUMIF(CPUAUX4!M:M,B57,CPUAUX4!O:O)+SUMIF(CPUAUX5!M:M,B57,CPUAUX5!O:O)</f>
        <v>2442</v>
      </c>
      <c r="G57" s="5">
        <f>VLOOKUP(B57,I!$A:$G,5,FALSE)</f>
        <v>1.35</v>
      </c>
      <c r="H57" s="5">
        <f t="shared" si="2"/>
        <v>3296.7000000000003</v>
      </c>
      <c r="I57" s="25">
        <f t="shared" si="3"/>
        <v>2.500434399439826E-3</v>
      </c>
    </row>
    <row r="58" spans="1:9" x14ac:dyDescent="0.3">
      <c r="A58" s="23">
        <v>52</v>
      </c>
      <c r="B58" s="23">
        <v>2436</v>
      </c>
      <c r="C58" s="23" t="str">
        <f>VLOOKUP(B58,I!$A:$G,2,FALSE)</f>
        <v>SINAPI</v>
      </c>
      <c r="D58" s="24" t="str">
        <f>VLOOKUP(B58,I!$A:$G,3,FALSE)</f>
        <v>ELETRICISTA (HORISTA)</v>
      </c>
      <c r="E58" s="23" t="str">
        <f>VLOOKUP(B58,I!$A:$G,4,FALSE)</f>
        <v>H</v>
      </c>
      <c r="F58" s="23">
        <f>SUMIF(CPU!M:M,B58,CPU!O:O)+SUMIF(CPUAUX1!M:M,B58,CPUAUX1!O:O)+SUMIF(CPUAUX2!M:M,B58,CPUAUX2!O:O)+SUMIF(CPUAUX3!M:M,B58,CPUAUX3!O:O)+SUMIF(CPUAUX4!M:M,B58,CPUAUX4!O:O)+SUMIF(CPUAUX5!M:M,B58,CPUAUX5!O:O)</f>
        <v>164.8094016</v>
      </c>
      <c r="G58" s="5">
        <f>VLOOKUP(B58,I!$A:$G,5,FALSE)</f>
        <v>20.329999999999998</v>
      </c>
      <c r="H58" s="5">
        <f t="shared" si="2"/>
        <v>3350.5751345279996</v>
      </c>
      <c r="I58" s="25">
        <f t="shared" si="3"/>
        <v>2.5412968496622479E-3</v>
      </c>
    </row>
    <row r="59" spans="1:9" x14ac:dyDescent="0.3">
      <c r="A59" s="23">
        <v>53</v>
      </c>
      <c r="B59" s="23">
        <v>11831</v>
      </c>
      <c r="C59" s="23" t="str">
        <f>VLOOKUP(B59,I!$A:$G,2,FALSE)</f>
        <v>SINAPI</v>
      </c>
      <c r="D59" s="24" t="str">
        <f>VLOOKUP(B59,I!$A:$G,3,FALSE)</f>
        <v>TORNEIRA PLASTICA PARA TANQUE 1/2" OU 3/4" COM BICO PARA MANGUEIRA</v>
      </c>
      <c r="E59" s="23" t="str">
        <f>VLOOKUP(B59,I!$A:$G,4,FALSE)</f>
        <v>UN</v>
      </c>
      <c r="F59" s="23">
        <f>SUMIF(CPU!M:M,B59,CPU!O:O)+SUMIF(CPUAUX1!M:M,B59,CPUAUX1!O:O)+SUMIF(CPUAUX2!M:M,B59,CPUAUX2!O:O)+SUMIF(CPUAUX3!M:M,B59,CPUAUX3!O:O)+SUMIF(CPUAUX4!M:M,B59,CPUAUX4!O:O)+SUMIF(CPUAUX5!M:M,B59,CPUAUX5!O:O)</f>
        <v>192</v>
      </c>
      <c r="G59" s="5">
        <f>VLOOKUP(B59,I!$A:$G,5,FALSE)</f>
        <v>15.74</v>
      </c>
      <c r="H59" s="5">
        <f t="shared" si="2"/>
        <v>3022.08</v>
      </c>
      <c r="I59" s="25">
        <f t="shared" si="3"/>
        <v>2.2921445050684344E-3</v>
      </c>
    </row>
    <row r="60" spans="1:9" x14ac:dyDescent="0.3">
      <c r="A60" s="23">
        <v>54</v>
      </c>
      <c r="B60" s="23">
        <v>246</v>
      </c>
      <c r="C60" s="23" t="str">
        <f>VLOOKUP(B60,I!$A:$G,2,FALSE)</f>
        <v>SINAPI</v>
      </c>
      <c r="D60" s="24" t="str">
        <f>VLOOKUP(B60,I!$A:$G,3,FALSE)</f>
        <v>AUXILIAR DE ENCANADOR OU BOMBEIRO HIDRAULICO (HORISTA)</v>
      </c>
      <c r="E60" s="23" t="str">
        <f>VLOOKUP(B60,I!$A:$G,4,FALSE)</f>
        <v>H</v>
      </c>
      <c r="F60" s="23">
        <f>SUMIF(CPU!M:M,B60,CPU!O:O)+SUMIF(CPUAUX1!M:M,B60,CPUAUX1!O:O)+SUMIF(CPUAUX2!M:M,B60,CPUAUX2!O:O)+SUMIF(CPUAUX3!M:M,B60,CPUAUX3!O:O)+SUMIF(CPUAUX4!M:M,B60,CPUAUX4!O:O)+SUMIF(CPUAUX5!M:M,B60,CPUAUX5!O:O)</f>
        <v>210.49403607599999</v>
      </c>
      <c r="G60" s="5">
        <f>VLOOKUP(B60,I!$A:$G,5,FALSE)</f>
        <v>15.57</v>
      </c>
      <c r="H60" s="5">
        <f t="shared" si="2"/>
        <v>3277.3921417033198</v>
      </c>
      <c r="I60" s="25">
        <f t="shared" si="3"/>
        <v>2.4857900480992341E-3</v>
      </c>
    </row>
    <row r="61" spans="1:9" ht="28.8" x14ac:dyDescent="0.3">
      <c r="A61" s="23">
        <v>55</v>
      </c>
      <c r="B61" s="23">
        <v>7271</v>
      </c>
      <c r="C61" s="23" t="str">
        <f>VLOOKUP(B61,I!$A:$G,2,FALSE)</f>
        <v>SINAPI</v>
      </c>
      <c r="D61" s="24" t="str">
        <f>VLOOKUP(B61,I!$A:$G,3,FALSE)</f>
        <v>BLOCO CERAMICO / TIJOLO VAZADO PARA ALVENARIA DE VEDACAO, 8 FUROS NA HORIZONTAL DE 9 X 19 X 19 CM (L X A X C)</v>
      </c>
      <c r="E61" s="23" t="str">
        <f>VLOOKUP(B61,I!$A:$G,4,FALSE)</f>
        <v>UN</v>
      </c>
      <c r="F61" s="23">
        <f>SUMIF(CPU!M:M,B61,CPU!O:O)+SUMIF(CPUAUX1!M:M,B61,CPUAUX1!O:O)+SUMIF(CPUAUX2!M:M,B61,CPUAUX2!O:O)+SUMIF(CPUAUX3!M:M,B61,CPUAUX3!O:O)+SUMIF(CPUAUX4!M:M,B61,CPUAUX4!O:O)+SUMIF(CPUAUX5!M:M,B61,CPUAUX5!O:O)</f>
        <v>3279.9966000000004</v>
      </c>
      <c r="G61" s="5">
        <f>VLOOKUP(B61,I!$A:$G,5,FALSE)</f>
        <v>0.9</v>
      </c>
      <c r="H61" s="5">
        <f t="shared" si="2"/>
        <v>2951.9969400000004</v>
      </c>
      <c r="I61" s="25">
        <f t="shared" si="3"/>
        <v>2.2389888967200848E-3</v>
      </c>
    </row>
    <row r="62" spans="1:9" x14ac:dyDescent="0.3">
      <c r="A62" s="23">
        <v>56</v>
      </c>
      <c r="B62" s="23">
        <v>532</v>
      </c>
      <c r="C62" s="23" t="str">
        <f>VLOOKUP(B62,I!$A:$G,2,FALSE)</f>
        <v>SINAPI</v>
      </c>
      <c r="D62" s="24" t="str">
        <f>VLOOKUP(B62,I!$A:$G,3,FALSE)</f>
        <v>AUXILIAR TECNICO / ASSISTENTE DE ENGENHARIA (HORISTA)</v>
      </c>
      <c r="E62" s="23" t="str">
        <f>VLOOKUP(B62,I!$A:$G,4,FALSE)</f>
        <v>H</v>
      </c>
      <c r="F62" s="23">
        <f>SUMIF(CPU!M:M,B62,CPU!O:O)+SUMIF(CPUAUX1!M:M,B62,CPUAUX1!O:O)+SUMIF(CPUAUX2!M:M,B62,CPUAUX2!O:O)+SUMIF(CPUAUX3!M:M,B62,CPUAUX3!O:O)+SUMIF(CPUAUX4!M:M,B62,CPUAUX4!O:O)+SUMIF(CPUAUX5!M:M,B62,CPUAUX5!O:O)</f>
        <v>120.99720000000001</v>
      </c>
      <c r="G62" s="5">
        <f>VLOOKUP(B62,I!$A:$G,5,FALSE)</f>
        <v>24.06</v>
      </c>
      <c r="H62" s="5">
        <f t="shared" si="2"/>
        <v>2911.1926319999998</v>
      </c>
      <c r="I62" s="25">
        <f t="shared" si="3"/>
        <v>2.208040222176287E-3</v>
      </c>
    </row>
    <row r="63" spans="1:9" x14ac:dyDescent="0.3">
      <c r="A63" s="23">
        <v>57</v>
      </c>
      <c r="B63" s="23">
        <v>6028</v>
      </c>
      <c r="C63" s="23" t="str">
        <f>VLOOKUP(B63,I!$A:$G,2,FALSE)</f>
        <v>SINAPI</v>
      </c>
      <c r="D63" s="24" t="str">
        <f>VLOOKUP(B63,I!$A:$G,3,FALSE)</f>
        <v>REGISTRO GAVETA BRUTO EM LATAO FORJADO, BITOLA 2"</v>
      </c>
      <c r="E63" s="23" t="str">
        <f>VLOOKUP(B63,I!$A:$G,4,FALSE)</f>
        <v>UN</v>
      </c>
      <c r="F63" s="23">
        <f>SUMIF(CPU!M:M,B63,CPU!O:O)+SUMIF(CPUAUX1!M:M,B63,CPUAUX1!O:O)+SUMIF(CPUAUX2!M:M,B63,CPUAUX2!O:O)+SUMIF(CPUAUX3!M:M,B63,CPUAUX3!O:O)+SUMIF(CPUAUX4!M:M,B63,CPUAUX4!O:O)+SUMIF(CPUAUX5!M:M,B63,CPUAUX5!O:O)</f>
        <v>19</v>
      </c>
      <c r="G63" s="5">
        <f>VLOOKUP(B63,I!$A:$G,5,FALSE)</f>
        <v>147.29</v>
      </c>
      <c r="H63" s="5">
        <f t="shared" si="2"/>
        <v>2798.5099999999998</v>
      </c>
      <c r="I63" s="25">
        <f t="shared" si="3"/>
        <v>2.1225742928311178E-3</v>
      </c>
    </row>
    <row r="64" spans="1:9" x14ac:dyDescent="0.3">
      <c r="A64" s="23">
        <v>58</v>
      </c>
      <c r="B64" s="23">
        <v>3939</v>
      </c>
      <c r="C64" s="23" t="str">
        <f>VLOOKUP(B64,I!$A:$G,2,FALSE)</f>
        <v>SINAPI</v>
      </c>
      <c r="D64" s="24" t="str">
        <f>VLOOKUP(B64,I!$A:$G,3,FALSE)</f>
        <v>LUVA DE FERRO GALVANIZADO, COM ROSCA BSP, DE 1 1/2"</v>
      </c>
      <c r="E64" s="23" t="str">
        <f>VLOOKUP(B64,I!$A:$G,4,FALSE)</f>
        <v>UN</v>
      </c>
      <c r="F64" s="23">
        <f>SUMIF(CPU!M:M,B64,CPU!O:O)+SUMIF(CPUAUX1!M:M,B64,CPUAUX1!O:O)+SUMIF(CPUAUX2!M:M,B64,CPUAUX2!O:O)+SUMIF(CPUAUX3!M:M,B64,CPUAUX3!O:O)+SUMIF(CPUAUX4!M:M,B64,CPUAUX4!O:O)+SUMIF(CPUAUX5!M:M,B64,CPUAUX5!O:O)</f>
        <v>151</v>
      </c>
      <c r="G64" s="5">
        <f>VLOOKUP(B64,I!$A:$G,5,FALSE)</f>
        <v>19.670000000000002</v>
      </c>
      <c r="H64" s="5">
        <f t="shared" si="2"/>
        <v>2970.17</v>
      </c>
      <c r="I64" s="25">
        <f t="shared" si="3"/>
        <v>2.2527725422950792E-3</v>
      </c>
    </row>
    <row r="65" spans="1:9" x14ac:dyDescent="0.3">
      <c r="A65" s="23">
        <v>59</v>
      </c>
      <c r="B65" s="23">
        <v>247</v>
      </c>
      <c r="C65" s="23" t="str">
        <f>VLOOKUP(B65,I!$A:$G,2,FALSE)</f>
        <v>SINAPI</v>
      </c>
      <c r="D65" s="24" t="str">
        <f>VLOOKUP(B65,I!$A:$G,3,FALSE)</f>
        <v>AJUDANTE DE ELETRICISTA (HORISTA)</v>
      </c>
      <c r="E65" s="23" t="str">
        <f>VLOOKUP(B65,I!$A:$G,4,FALSE)</f>
        <v>H</v>
      </c>
      <c r="F65" s="23">
        <f>SUMIF(CPU!M:M,B65,CPU!O:O)+SUMIF(CPUAUX1!M:M,B65,CPUAUX1!O:O)+SUMIF(CPUAUX2!M:M,B65,CPUAUX2!O:O)+SUMIF(CPUAUX3!M:M,B65,CPUAUX3!O:O)+SUMIF(CPUAUX4!M:M,B65,CPUAUX4!O:O)+SUMIF(CPUAUX5!M:M,B65,CPUAUX5!O:O)</f>
        <v>164.8094016</v>
      </c>
      <c r="G65" s="5">
        <f>VLOOKUP(B65,I!$A:$G,5,FALSE)</f>
        <v>15.57</v>
      </c>
      <c r="H65" s="5">
        <f t="shared" si="2"/>
        <v>2566.082382912</v>
      </c>
      <c r="I65" s="25">
        <f t="shared" si="3"/>
        <v>1.9462858804348844E-3</v>
      </c>
    </row>
    <row r="66" spans="1:9" x14ac:dyDescent="0.3">
      <c r="A66" s="23">
        <v>60</v>
      </c>
      <c r="B66" s="23">
        <v>1213</v>
      </c>
      <c r="C66" s="23" t="str">
        <f>VLOOKUP(B66,I!$A:$G,2,FALSE)</f>
        <v>SINAPI</v>
      </c>
      <c r="D66" s="24" t="str">
        <f>VLOOKUP(B66,I!$A:$G,3,FALSE)</f>
        <v>CARPINTEIRO DE FORMAS PARA CONCRETO (HORISTA)</v>
      </c>
      <c r="E66" s="23" t="str">
        <f>VLOOKUP(B66,I!$A:$G,4,FALSE)</f>
        <v>H</v>
      </c>
      <c r="F66" s="23">
        <f>SUMIF(CPU!M:M,B66,CPU!O:O)+SUMIF(CPUAUX1!M:M,B66,CPUAUX1!O:O)+SUMIF(CPUAUX2!M:M,B66,CPUAUX2!O:O)+SUMIF(CPUAUX3!M:M,B66,CPUAUX3!O:O)+SUMIF(CPUAUX4!M:M,B66,CPUAUX4!O:O)+SUMIF(CPUAUX5!M:M,B66,CPUAUX5!O:O)</f>
        <v>116.95546918549189</v>
      </c>
      <c r="G66" s="5">
        <f>VLOOKUP(B66,I!$A:$G,5,FALSE)</f>
        <v>20.329999999999998</v>
      </c>
      <c r="H66" s="5">
        <f t="shared" si="2"/>
        <v>2377.70468854105</v>
      </c>
      <c r="I66" s="25">
        <f t="shared" si="3"/>
        <v>1.8034078305388414E-3</v>
      </c>
    </row>
    <row r="67" spans="1:9" x14ac:dyDescent="0.3">
      <c r="A67" s="23">
        <v>61</v>
      </c>
      <c r="B67" s="23">
        <v>4783</v>
      </c>
      <c r="C67" s="23" t="str">
        <f>VLOOKUP(B67,I!$A:$G,2,FALSE)</f>
        <v>SINAPI</v>
      </c>
      <c r="D67" s="24" t="str">
        <f>VLOOKUP(B67,I!$A:$G,3,FALSE)</f>
        <v>PINTOR (HORISTA)</v>
      </c>
      <c r="E67" s="23" t="str">
        <f>VLOOKUP(B67,I!$A:$G,4,FALSE)</f>
        <v>H</v>
      </c>
      <c r="F67" s="23">
        <f>SUMIF(CPU!M:M,B67,CPU!O:O)+SUMIF(CPUAUX1!M:M,B67,CPUAUX1!O:O)+SUMIF(CPUAUX2!M:M,B67,CPUAUX2!O:O)+SUMIF(CPUAUX3!M:M,B67,CPUAUX3!O:O)+SUMIF(CPUAUX4!M:M,B67,CPUAUX4!O:O)+SUMIF(CPUAUX5!M:M,B67,CPUAUX5!O:O)</f>
        <v>112.48710393344</v>
      </c>
      <c r="G67" s="5">
        <f>VLOOKUP(B67,I!$A:$G,5,FALSE)</f>
        <v>20.329999999999998</v>
      </c>
      <c r="H67" s="5">
        <f t="shared" si="2"/>
        <v>2286.8628229668348</v>
      </c>
      <c r="I67" s="25">
        <f t="shared" si="3"/>
        <v>1.7345073768757673E-3</v>
      </c>
    </row>
    <row r="68" spans="1:9" x14ac:dyDescent="0.3">
      <c r="A68" s="23">
        <v>62</v>
      </c>
      <c r="B68" s="23" t="s">
        <v>1068</v>
      </c>
      <c r="C68" s="23" t="str">
        <f>VLOOKUP(B68,I!$A:$G,2,FALSE)</f>
        <v>ORSE</v>
      </c>
      <c r="D68" s="24" t="str">
        <f>VLOOKUP(B68,I!$A:$G,3,FALSE)</f>
        <v>COLAR DE TOMADA EM PVC COM TRAVAS E SAÍDA ROSCÁVEL DE = 60MM X 1/2"</v>
      </c>
      <c r="E68" s="23" t="str">
        <f>VLOOKUP(B68,I!$A:$G,4,FALSE)</f>
        <v>UN</v>
      </c>
      <c r="F68" s="23">
        <f>SUMIF(CPU!M:M,B68,CPU!O:O)+SUMIF(CPUAUX1!M:M,B68,CPUAUX1!O:O)+SUMIF(CPUAUX2!M:M,B68,CPUAUX2!O:O)+SUMIF(CPUAUX3!M:M,B68,CPUAUX3!O:O)+SUMIF(CPUAUX4!M:M,B68,CPUAUX4!O:O)+SUMIF(CPUAUX5!M:M,B68,CPUAUX5!O:O)</f>
        <v>192</v>
      </c>
      <c r="G68" s="5">
        <f>VLOOKUP(B68,I!$A:$G,5,FALSE)</f>
        <v>11.08</v>
      </c>
      <c r="H68" s="5">
        <f t="shared" si="2"/>
        <v>2127.36</v>
      </c>
      <c r="I68" s="25">
        <f t="shared" si="3"/>
        <v>1.6135299311409311E-3</v>
      </c>
    </row>
    <row r="69" spans="1:9" ht="28.8" x14ac:dyDescent="0.3">
      <c r="A69" s="23">
        <v>63</v>
      </c>
      <c r="B69" s="23">
        <v>43488</v>
      </c>
      <c r="C69" s="23" t="str">
        <f>VLOOKUP(B69,I!$A:$G,2,FALSE)</f>
        <v>SINAPI</v>
      </c>
      <c r="D69" s="24" t="str">
        <f>VLOOKUP(B69,I!$A:$G,3,FALSE)</f>
        <v>EPI - FAMILIA OPERADOR ESCAVADEIRA - HORISTA (ENCARGOS COMPLEMENTARES - COLETADO CAIXA)</v>
      </c>
      <c r="E69" s="23" t="str">
        <f>VLOOKUP(B69,I!$A:$G,4,FALSE)</f>
        <v>H</v>
      </c>
      <c r="F69" s="23">
        <f>SUMIF(CPU!M:M,B69,CPU!O:O)+SUMIF(CPUAUX1!M:M,B69,CPUAUX1!O:O)+SUMIF(CPUAUX2!M:M,B69,CPUAUX2!O:O)+SUMIF(CPUAUX3!M:M,B69,CPUAUX3!O:O)+SUMIF(CPUAUX4!M:M,B69,CPUAUX4!O:O)+SUMIF(CPUAUX5!M:M,B69,CPUAUX5!O:O)</f>
        <v>2339.4332446192802</v>
      </c>
      <c r="G69" s="5">
        <f>VLOOKUP(B69,I!$A:$G,5,FALSE)</f>
        <v>0.89</v>
      </c>
      <c r="H69" s="5">
        <f t="shared" si="2"/>
        <v>2082.0955877111596</v>
      </c>
      <c r="I69" s="25">
        <f t="shared" si="3"/>
        <v>1.579198419763662E-3</v>
      </c>
    </row>
    <row r="70" spans="1:9" ht="28.8" x14ac:dyDescent="0.3">
      <c r="A70" s="23">
        <v>64</v>
      </c>
      <c r="B70" s="23">
        <v>10409</v>
      </c>
      <c r="C70" s="23" t="str">
        <f>VLOOKUP(B70,I!$A:$G,2,FALSE)</f>
        <v>SINAPI</v>
      </c>
      <c r="D70" s="24" t="str">
        <f>VLOOKUP(B70,I!$A:$G,3,FALSE)</f>
        <v>VALVULA DE RETENCAO HORIZONTAL, DE BRONZE (PN-25), 1 1/2", 400 PSI, TAMPA DE PORCA DE UNIAO, EXTREMIDADES COM ROSCA</v>
      </c>
      <c r="E70" s="23" t="str">
        <f>VLOOKUP(B70,I!$A:$G,4,FALSE)</f>
        <v>UN</v>
      </c>
      <c r="F70" s="23">
        <f>SUMIF(CPU!M:M,B70,CPU!O:O)+SUMIF(CPUAUX1!M:M,B70,CPUAUX1!O:O)+SUMIF(CPUAUX2!M:M,B70,CPUAUX2!O:O)+SUMIF(CPUAUX3!M:M,B70,CPUAUX3!O:O)+SUMIF(CPUAUX4!M:M,B70,CPUAUX4!O:O)+SUMIF(CPUAUX5!M:M,B70,CPUAUX5!O:O)</f>
        <v>6</v>
      </c>
      <c r="G70" s="5">
        <f>VLOOKUP(B70,I!$A:$G,5,FALSE)</f>
        <v>309.76</v>
      </c>
      <c r="H70" s="5">
        <f t="shared" si="2"/>
        <v>1858.56</v>
      </c>
      <c r="I70" s="25">
        <f t="shared" si="3"/>
        <v>1.4096543080725824E-3</v>
      </c>
    </row>
    <row r="71" spans="1:9" ht="28.8" x14ac:dyDescent="0.3">
      <c r="A71" s="23">
        <v>65</v>
      </c>
      <c r="B71" s="23">
        <v>21012</v>
      </c>
      <c r="C71" s="23" t="str">
        <f>VLOOKUP(B71,I!$A:$G,2,FALSE)</f>
        <v>SINAPI</v>
      </c>
      <c r="D71" s="24" t="str">
        <f>VLOOKUP(B71,I!$A:$G,3,FALSE)</f>
        <v>TUBO ACO GALVANIZADO COM COSTURA, CLASSE LEVE, DN 40 MM (1 1/2"), E = 3,00 MM, *3,48* KG/M (NBR 5580)</v>
      </c>
      <c r="E71" s="23" t="str">
        <f>VLOOKUP(B71,I!$A:$G,4,FALSE)</f>
        <v>M</v>
      </c>
      <c r="F71" s="23">
        <f>SUMIF(CPU!M:M,B71,CPU!O:O)+SUMIF(CPUAUX1!M:M,B71,CPUAUX1!O:O)+SUMIF(CPUAUX2!M:M,B71,CPUAUX2!O:O)+SUMIF(CPUAUX3!M:M,B71,CPUAUX3!O:O)+SUMIF(CPUAUX4!M:M,B71,CPUAUX4!O:O)+SUMIF(CPUAUX5!M:M,B71,CPUAUX5!O:O)</f>
        <v>36</v>
      </c>
      <c r="G71" s="5">
        <f>VLOOKUP(B71,I!$A:$G,5,FALSE)</f>
        <v>51.49</v>
      </c>
      <c r="H71" s="5">
        <f t="shared" ref="H71:H102" si="4">F71*G71</f>
        <v>1853.64</v>
      </c>
      <c r="I71" s="25">
        <f t="shared" ref="I71:I102" si="5">H71/$H$202</f>
        <v>1.4059226560432065E-3</v>
      </c>
    </row>
    <row r="72" spans="1:9" x14ac:dyDescent="0.3">
      <c r="A72" s="23">
        <v>66</v>
      </c>
      <c r="B72" s="23">
        <v>1106</v>
      </c>
      <c r="C72" s="23" t="str">
        <f>VLOOKUP(B72,I!$A:$G,2,FALSE)</f>
        <v>SINAPI</v>
      </c>
      <c r="D72" s="24" t="str">
        <f>VLOOKUP(B72,I!$A:$G,3,FALSE)</f>
        <v>CAL HIDRATADA CH-I PARA ARGAMASSAS</v>
      </c>
      <c r="E72" s="23" t="str">
        <f>VLOOKUP(B72,I!$A:$G,4,FALSE)</f>
        <v>KG</v>
      </c>
      <c r="F72" s="23">
        <f>SUMIF(CPU!M:M,B72,CPU!O:O)+SUMIF(CPUAUX1!M:M,B72,CPUAUX1!O:O)+SUMIF(CPUAUX2!M:M,B72,CPUAUX2!O:O)+SUMIF(CPUAUX3!M:M,B72,CPUAUX3!O:O)+SUMIF(CPUAUX4!M:M,B72,CPUAUX4!O:O)+SUMIF(CPUAUX5!M:M,B72,CPUAUX5!O:O)</f>
        <v>1427.3635923000002</v>
      </c>
      <c r="G72" s="5">
        <f>VLOOKUP(B72,I!$A:$G,5,FALSE)</f>
        <v>1.25</v>
      </c>
      <c r="H72" s="5">
        <f t="shared" si="4"/>
        <v>1784.2044903750002</v>
      </c>
      <c r="I72" s="25">
        <f t="shared" si="5"/>
        <v>1.3532581925466843E-3</v>
      </c>
    </row>
    <row r="73" spans="1:9" ht="28.8" x14ac:dyDescent="0.3">
      <c r="A73" s="23">
        <v>67</v>
      </c>
      <c r="B73" s="23">
        <v>43467</v>
      </c>
      <c r="C73" s="23" t="str">
        <f>VLOOKUP(B73,I!$A:$G,2,FALSE)</f>
        <v>SINAPI</v>
      </c>
      <c r="D73" s="24" t="str">
        <f>VLOOKUP(B73,I!$A:$G,3,FALSE)</f>
        <v>FERRAMENTAS - FAMILIA SERVENTE - HORISTA (ENCARGOS COMPLEMENTARES - COLETADO CAIXA)</v>
      </c>
      <c r="E73" s="23" t="str">
        <f>VLOOKUP(B73,I!$A:$G,4,FALSE)</f>
        <v>H</v>
      </c>
      <c r="F73" s="23">
        <f>SUMIF(CPU!M:M,B73,CPU!O:O)+SUMIF(CPUAUX1!M:M,B73,CPUAUX1!O:O)+SUMIF(CPUAUX2!M:M,B73,CPUAUX2!O:O)+SUMIF(CPUAUX3!M:M,B73,CPUAUX3!O:O)+SUMIF(CPUAUX4!M:M,B73,CPUAUX4!O:O)+SUMIF(CPUAUX5!M:M,B73,CPUAUX5!O:O)</f>
        <v>2950.8195882504006</v>
      </c>
      <c r="G73" s="5">
        <f>VLOOKUP(B73,I!$A:$G,5,FALSE)</f>
        <v>0.61</v>
      </c>
      <c r="H73" s="5">
        <f t="shared" si="4"/>
        <v>1799.9999488327444</v>
      </c>
      <c r="I73" s="25">
        <f t="shared" si="5"/>
        <v>1.3652385085240757E-3</v>
      </c>
    </row>
    <row r="74" spans="1:9" ht="28.8" x14ac:dyDescent="0.3">
      <c r="A74" s="23">
        <v>68</v>
      </c>
      <c r="B74" s="23">
        <v>6189</v>
      </c>
      <c r="C74" s="23" t="str">
        <f>VLOOKUP(B74,I!$A:$G,2,FALSE)</f>
        <v>SINAPI</v>
      </c>
      <c r="D74" s="24" t="str">
        <f>VLOOKUP(B74,I!$A:$G,3,FALSE)</f>
        <v>TABUA NAO APARELHADA *2,5 X 30* CM, EM MACARANDUBA/MASSARANDUBA, ANGELIM OU EQUIVALENTE DA REGIAO - BRUTA</v>
      </c>
      <c r="E74" s="23" t="str">
        <f>VLOOKUP(B74,I!$A:$G,4,FALSE)</f>
        <v>M</v>
      </c>
      <c r="F74" s="23">
        <f>SUMIF(CPU!M:M,B74,CPU!O:O)+SUMIF(CPUAUX1!M:M,B74,CPUAUX1!O:O)+SUMIF(CPUAUX2!M:M,B74,CPUAUX2!O:O)+SUMIF(CPUAUX3!M:M,B74,CPUAUX3!O:O)+SUMIF(CPUAUX4!M:M,B74,CPUAUX4!O:O)+SUMIF(CPUAUX5!M:M,B74,CPUAUX5!O:O)</f>
        <v>82.626048000000011</v>
      </c>
      <c r="G74" s="5">
        <f>VLOOKUP(B74,I!$A:$G,5,FALSE)</f>
        <v>20.62</v>
      </c>
      <c r="H74" s="5">
        <f t="shared" si="4"/>
        <v>1703.7491097600002</v>
      </c>
      <c r="I74" s="25">
        <f t="shared" si="5"/>
        <v>1.292235533126728E-3</v>
      </c>
    </row>
    <row r="75" spans="1:9" ht="43.2" x14ac:dyDescent="0.3">
      <c r="A75" s="23">
        <v>69</v>
      </c>
      <c r="B75" s="23">
        <v>7173</v>
      </c>
      <c r="C75" s="23" t="str">
        <f>VLOOKUP(B75,I!$A:$G,2,FALSE)</f>
        <v>SINAPI</v>
      </c>
      <c r="D75" s="24" t="str">
        <f>VLOOKUP(B75,I!$A:$G,3,FALSE)</f>
        <v>TELHA DE BARRO / CERAMICA, NAO ESMALTADA, TIPO COLONIAL, CANAL, PLAN, PAULISTA, COMPRIMENTO DE *44 A 50* CM, RENDIMENTO DE COBERTURA DE *26* TELHAS/M2</v>
      </c>
      <c r="E75" s="23" t="str">
        <f>VLOOKUP(B75,I!$A:$G,4,FALSE)</f>
        <v>MIL</v>
      </c>
      <c r="F75" s="23">
        <f>SUMIF(CPU!M:M,B75,CPU!O:O)+SUMIF(CPUAUX1!M:M,B75,CPUAUX1!O:O)+SUMIF(CPUAUX2!M:M,B75,CPUAUX2!O:O)+SUMIF(CPUAUX3!M:M,B75,CPUAUX3!O:O)+SUMIF(CPUAUX4!M:M,B75,CPUAUX4!O:O)+SUMIF(CPUAUX5!M:M,B75,CPUAUX5!O:O)</f>
        <v>1.6879500000000003</v>
      </c>
      <c r="G75" s="5">
        <f>VLOOKUP(B75,I!$A:$G,5,FALSE)</f>
        <v>925</v>
      </c>
      <c r="H75" s="5">
        <f t="shared" si="4"/>
        <v>1561.3537500000002</v>
      </c>
      <c r="I75" s="25">
        <f t="shared" si="5"/>
        <v>1.1842335141791398E-3</v>
      </c>
    </row>
    <row r="76" spans="1:9" x14ac:dyDescent="0.3">
      <c r="A76" s="23">
        <v>70</v>
      </c>
      <c r="B76" s="23">
        <v>37666</v>
      </c>
      <c r="C76" s="23" t="str">
        <f>VLOOKUP(B76,I!$A:$G,2,FALSE)</f>
        <v>SINAPI</v>
      </c>
      <c r="D76" s="24" t="str">
        <f>VLOOKUP(B76,I!$A:$G,3,FALSE)</f>
        <v>OPERADOR DE BETONEIRA ESTACIONARIA / MISTURADOR (HORISTA)</v>
      </c>
      <c r="E76" s="23" t="str">
        <f>VLOOKUP(B76,I!$A:$G,4,FALSE)</f>
        <v>H</v>
      </c>
      <c r="F76" s="23">
        <f>SUMIF(CPU!M:M,B76,CPU!O:O)+SUMIF(CPUAUX1!M:M,B76,CPUAUX1!O:O)+SUMIF(CPUAUX2!M:M,B76,CPUAUX2!O:O)+SUMIF(CPUAUX3!M:M,B76,CPUAUX3!O:O)+SUMIF(CPUAUX4!M:M,B76,CPUAUX4!O:O)+SUMIF(CPUAUX5!M:M,B76,CPUAUX5!O:O)</f>
        <v>73.363906227870089</v>
      </c>
      <c r="G76" s="5">
        <f>VLOOKUP(B76,I!$A:$G,5,FALSE)</f>
        <v>21.48</v>
      </c>
      <c r="H76" s="5">
        <f t="shared" si="4"/>
        <v>1575.8567057746495</v>
      </c>
      <c r="I76" s="25">
        <f t="shared" si="5"/>
        <v>1.1952335109979245E-3</v>
      </c>
    </row>
    <row r="77" spans="1:9" ht="28.8" x14ac:dyDescent="0.3">
      <c r="A77" s="23">
        <v>71</v>
      </c>
      <c r="B77" s="23">
        <v>4430</v>
      </c>
      <c r="C77" s="23" t="str">
        <f>VLOOKUP(B77,I!$A:$G,2,FALSE)</f>
        <v>SINAPI</v>
      </c>
      <c r="D77" s="24" t="str">
        <f>VLOOKUP(B77,I!$A:$G,3,FALSE)</f>
        <v>CAIBRO NAO APARELHADO *5 X 6* CM, EM MACARANDUBA/MASSARANDUBA, ANGELIM OU EQUIVALENTE DA REGIAO - BRUTA</v>
      </c>
      <c r="E77" s="23" t="str">
        <f>VLOOKUP(B77,I!$A:$G,4,FALSE)</f>
        <v>M</v>
      </c>
      <c r="F77" s="23">
        <f>SUMIF(CPU!M:M,B77,CPU!O:O)+SUMIF(CPUAUX1!M:M,B77,CPUAUX1!O:O)+SUMIF(CPUAUX2!M:M,B77,CPUAUX2!O:O)+SUMIF(CPUAUX3!M:M,B77,CPUAUX3!O:O)+SUMIF(CPUAUX4!M:M,B77,CPUAUX4!O:O)+SUMIF(CPUAUX5!M:M,B77,CPUAUX5!O:O)</f>
        <v>143.38368000000003</v>
      </c>
      <c r="G77" s="5">
        <f>VLOOKUP(B77,I!$A:$G,5,FALSE)</f>
        <v>10</v>
      </c>
      <c r="H77" s="5">
        <f t="shared" si="4"/>
        <v>1433.8368000000003</v>
      </c>
      <c r="I77" s="25">
        <f t="shared" si="5"/>
        <v>1.0875162610800868E-3</v>
      </c>
    </row>
    <row r="78" spans="1:9" x14ac:dyDescent="0.3">
      <c r="A78" s="23">
        <v>72</v>
      </c>
      <c r="B78" s="23">
        <v>6117</v>
      </c>
      <c r="C78" s="23" t="str">
        <f>VLOOKUP(B78,I!$A:$G,2,FALSE)</f>
        <v>SINAPI</v>
      </c>
      <c r="D78" s="24" t="str">
        <f>VLOOKUP(B78,I!$A:$G,3,FALSE)</f>
        <v>CARPINTEIRO AUXILIAR (HORISTA)</v>
      </c>
      <c r="E78" s="23" t="str">
        <f>VLOOKUP(B78,I!$A:$G,4,FALSE)</f>
        <v>H</v>
      </c>
      <c r="F78" s="23">
        <f>SUMIF(CPU!M:M,B78,CPU!O:O)+SUMIF(CPUAUX1!M:M,B78,CPUAUX1!O:O)+SUMIF(CPUAUX2!M:M,B78,CPUAUX2!O:O)+SUMIF(CPUAUX3!M:M,B78,CPUAUX3!O:O)+SUMIF(CPUAUX4!M:M,B78,CPUAUX4!O:O)+SUMIF(CPUAUX5!M:M,B78,CPUAUX5!O:O)</f>
        <v>89.240369159983018</v>
      </c>
      <c r="G78" s="5">
        <f>VLOOKUP(B78,I!$A:$G,5,FALSE)</f>
        <v>15.57</v>
      </c>
      <c r="H78" s="5">
        <f t="shared" si="4"/>
        <v>1389.4725478209357</v>
      </c>
      <c r="I78" s="25">
        <f t="shared" si="5"/>
        <v>1.0538674904142827E-3</v>
      </c>
    </row>
    <row r="79" spans="1:9" ht="28.8" x14ac:dyDescent="0.3">
      <c r="A79" s="23">
        <v>73</v>
      </c>
      <c r="B79" s="23">
        <v>20078</v>
      </c>
      <c r="C79" s="23" t="str">
        <f>VLOOKUP(B79,I!$A:$G,2,FALSE)</f>
        <v>SINAPI</v>
      </c>
      <c r="D79" s="24" t="str">
        <f>VLOOKUP(B79,I!$A:$G,3,FALSE)</f>
        <v>PASTA LUBRIFICANTE PARA TUBOS E CONEXOES COM JUNTA ELASTICA, EMBALAGEM DE *400* GR (USO EM PVC, ACO, POLIETILENO E OUTROS)</v>
      </c>
      <c r="E79" s="23" t="str">
        <f>VLOOKUP(B79,I!$A:$G,4,FALSE)</f>
        <v>UN</v>
      </c>
      <c r="F79" s="23">
        <f>SUMIF(CPU!M:M,B79,CPU!O:O)+SUMIF(CPUAUX1!M:M,B79,CPUAUX1!O:O)+SUMIF(CPUAUX2!M:M,B79,CPUAUX2!O:O)+SUMIF(CPUAUX3!M:M,B79,CPUAUX3!O:O)+SUMIF(CPUAUX4!M:M,B79,CPUAUX4!O:O)+SUMIF(CPUAUX5!M:M,B79,CPUAUX5!O:O)</f>
        <v>48.371700000000004</v>
      </c>
      <c r="G79" s="5">
        <f>VLOOKUP(B79,I!$A:$G,5,FALSE)</f>
        <v>29.05</v>
      </c>
      <c r="H79" s="5">
        <f t="shared" si="4"/>
        <v>1405.197885</v>
      </c>
      <c r="I79" s="25">
        <f t="shared" si="5"/>
        <v>1.0657946217957619E-3</v>
      </c>
    </row>
    <row r="80" spans="1:9" x14ac:dyDescent="0.3">
      <c r="A80" s="23">
        <v>74</v>
      </c>
      <c r="B80" s="23" t="s">
        <v>1054</v>
      </c>
      <c r="C80" s="23" t="str">
        <f>VLOOKUP(B80,I!$A:$G,2,FALSE)</f>
        <v>PRÓPRIA</v>
      </c>
      <c r="D80" s="24" t="str">
        <f>VLOOKUP(B80,I!$A:$G,3,FALSE)</f>
        <v>QUADRO DE COMANDO METÁLICO DE SOBREPOR, COM DIMENSÕES 400 X 300 X 200 MM</v>
      </c>
      <c r="E80" s="23" t="str">
        <f>VLOOKUP(B80,I!$A:$G,4,FALSE)</f>
        <v>UND</v>
      </c>
      <c r="F80" s="23">
        <f>SUMIF(CPU!M:M,B80,CPU!O:O)+SUMIF(CPUAUX1!M:M,B80,CPUAUX1!O:O)+SUMIF(CPUAUX2!M:M,B80,CPUAUX2!O:O)+SUMIF(CPUAUX3!M:M,B80,CPUAUX3!O:O)+SUMIF(CPUAUX4!M:M,B80,CPUAUX4!O:O)+SUMIF(CPUAUX5!M:M,B80,CPUAUX5!O:O)</f>
        <v>6</v>
      </c>
      <c r="G80" s="5">
        <f>VLOOKUP(B80,I!$A:$G,5,FALSE)</f>
        <v>225</v>
      </c>
      <c r="H80" s="5">
        <f t="shared" si="4"/>
        <v>1350</v>
      </c>
      <c r="I80" s="25">
        <f t="shared" si="5"/>
        <v>1.0239289104995192E-3</v>
      </c>
    </row>
    <row r="81" spans="1:9" ht="28.8" x14ac:dyDescent="0.3">
      <c r="A81" s="23">
        <v>75</v>
      </c>
      <c r="B81" s="23" t="s">
        <v>1056</v>
      </c>
      <c r="C81" s="23" t="str">
        <f>VLOOKUP(B81,I!$A:$G,2,FALSE)</f>
        <v>PRÓPRIA</v>
      </c>
      <c r="D81" s="24" t="str">
        <f>VLOOKUP(B81,I!$A:$G,3,FALSE)</f>
        <v>CABO SOLAR FOTOVOLTAICO 6MM, 0,6/ 1 KV CA - 1,8 KV CC, COM CONDUTORES EM COBRE ESTANHADO, ISOLAÇÃO EM XLPE</v>
      </c>
      <c r="E81" s="23" t="str">
        <f>VLOOKUP(B81,I!$A:$G,4,FALSE)</f>
        <v>M</v>
      </c>
      <c r="F81" s="23">
        <f>SUMIF(CPU!M:M,B81,CPU!O:O)+SUMIF(CPUAUX1!M:M,B81,CPUAUX1!O:O)+SUMIF(CPUAUX2!M:M,B81,CPUAUX2!O:O)+SUMIF(CPUAUX3!M:M,B81,CPUAUX3!O:O)+SUMIF(CPUAUX4!M:M,B81,CPUAUX4!O:O)+SUMIF(CPUAUX5!M:M,B81,CPUAUX5!O:O)</f>
        <v>240</v>
      </c>
      <c r="G81" s="5">
        <f>VLOOKUP(B81,I!$A:$G,5,FALSE)</f>
        <v>5.5</v>
      </c>
      <c r="H81" s="5">
        <f t="shared" si="4"/>
        <v>1320</v>
      </c>
      <c r="I81" s="25">
        <f t="shared" si="5"/>
        <v>1.001174934710641E-3</v>
      </c>
    </row>
    <row r="82" spans="1:9" ht="28.8" x14ac:dyDescent="0.3">
      <c r="A82" s="23">
        <v>76</v>
      </c>
      <c r="B82" s="23">
        <v>12898</v>
      </c>
      <c r="C82" s="23" t="str">
        <f>VLOOKUP(B82,I!$A:$G,2,FALSE)</f>
        <v>SINAPI</v>
      </c>
      <c r="D82" s="24" t="str">
        <f>VLOOKUP(B82,I!$A:$G,3,FALSE)</f>
        <v>MANOMETRO COM CAIXA EM ACO PINTADO, ESCALA *10* KGF/CM2 (*10* BAR), DIAMETRO NOMINAL DE 100 MM, CONEXAO DE 1/2"</v>
      </c>
      <c r="E82" s="23" t="str">
        <f>VLOOKUP(B82,I!$A:$G,4,FALSE)</f>
        <v>UN</v>
      </c>
      <c r="F82" s="23">
        <f>SUMIF(CPU!M:M,B82,CPU!O:O)+SUMIF(CPUAUX1!M:M,B82,CPUAUX1!O:O)+SUMIF(CPUAUX2!M:M,B82,CPUAUX2!O:O)+SUMIF(CPUAUX3!M:M,B82,CPUAUX3!O:O)+SUMIF(CPUAUX4!M:M,B82,CPUAUX4!O:O)+SUMIF(CPUAUX5!M:M,B82,CPUAUX5!O:O)</f>
        <v>6</v>
      </c>
      <c r="G82" s="5">
        <f>VLOOKUP(B82,I!$A:$G,5,FALSE)</f>
        <v>210</v>
      </c>
      <c r="H82" s="5">
        <f t="shared" si="4"/>
        <v>1260</v>
      </c>
      <c r="I82" s="25">
        <f t="shared" si="5"/>
        <v>9.5566698313288454E-4</v>
      </c>
    </row>
    <row r="83" spans="1:9" ht="28.8" x14ac:dyDescent="0.3">
      <c r="A83" s="23">
        <v>77</v>
      </c>
      <c r="B83" s="23">
        <v>4730</v>
      </c>
      <c r="C83" s="23" t="str">
        <f>VLOOKUP(B83,I!$A:$G,2,FALSE)</f>
        <v>SINAPI</v>
      </c>
      <c r="D83" s="24" t="str">
        <f>VLOOKUP(B83,I!$A:$G,3,FALSE)</f>
        <v>PEDRA DE MAO OU PEDRA RACHAO PARA ARRIMO/FUNDACAO (POSTO PEDREIRA/FORNECEDOR, SEM FRETE)</v>
      </c>
      <c r="E83" s="23" t="str">
        <f>VLOOKUP(B83,I!$A:$G,4,FALSE)</f>
        <v>M3</v>
      </c>
      <c r="F83" s="23">
        <f>SUMIF(CPU!M:M,B83,CPU!O:O)+SUMIF(CPUAUX1!M:M,B83,CPUAUX1!O:O)+SUMIF(CPUAUX2!M:M,B83,CPUAUX2!O:O)+SUMIF(CPUAUX3!M:M,B83,CPUAUX3!O:O)+SUMIF(CPUAUX4!M:M,B83,CPUAUX4!O:O)+SUMIF(CPUAUX5!M:M,B83,CPUAUX5!O:O)</f>
        <v>6.1848402</v>
      </c>
      <c r="G83" s="5">
        <f>VLOOKUP(B83,I!$A:$G,5,FALSE)</f>
        <v>220.48</v>
      </c>
      <c r="H83" s="5">
        <f t="shared" si="4"/>
        <v>1363.6335672959999</v>
      </c>
      <c r="I83" s="25">
        <f t="shared" si="5"/>
        <v>1.0342695058384933E-3</v>
      </c>
    </row>
    <row r="84" spans="1:9" x14ac:dyDescent="0.3">
      <c r="A84" s="23">
        <v>78</v>
      </c>
      <c r="B84" s="23" t="s">
        <v>1042</v>
      </c>
      <c r="C84" s="23" t="str">
        <f>VLOOKUP(B84,I!$A:$G,2,FALSE)</f>
        <v>SEINFRA</v>
      </c>
      <c r="D84" s="24" t="str">
        <f>VLOOKUP(B84,I!$A:$G,3,FALSE)</f>
        <v>BATENTE DE FERRO</v>
      </c>
      <c r="E84" s="23" t="str">
        <f>VLOOKUP(B84,I!$A:$G,4,FALSE)</f>
        <v>M</v>
      </c>
      <c r="F84" s="23">
        <f>SUMIF(CPU!M:M,B84,CPU!O:O)+SUMIF(CPUAUX1!M:M,B84,CPUAUX1!O:O)+SUMIF(CPUAUX2!M:M,B84,CPUAUX2!O:O)+SUMIF(CPUAUX3!M:M,B84,CPUAUX3!O:O)+SUMIF(CPUAUX4!M:M,B84,CPUAUX4!O:O)+SUMIF(CPUAUX5!M:M,B84,CPUAUX5!O:O)</f>
        <v>46.800000000000004</v>
      </c>
      <c r="G84" s="5">
        <f>VLOOKUP(B84,I!$A:$G,5,FALSE)</f>
        <v>25.17</v>
      </c>
      <c r="H84" s="5">
        <f t="shared" si="4"/>
        <v>1177.9560000000001</v>
      </c>
      <c r="I84" s="25">
        <f t="shared" si="5"/>
        <v>8.9343941014546045E-4</v>
      </c>
    </row>
    <row r="85" spans="1:9" x14ac:dyDescent="0.3">
      <c r="A85" s="23">
        <v>79</v>
      </c>
      <c r="B85" s="23">
        <v>665</v>
      </c>
      <c r="C85" s="23" t="str">
        <f>VLOOKUP(B85,I!$A:$G,2,FALSE)</f>
        <v>SINAPI</v>
      </c>
      <c r="D85" s="24" t="str">
        <f>VLOOKUP(B85,I!$A:$G,3,FALSE)</f>
        <v>ELEMENTO VAZADO DE CONCRETO, QUADRICULADO, 16 FUROS *50 X 50 X 7* CM</v>
      </c>
      <c r="E85" s="23" t="str">
        <f>VLOOKUP(B85,I!$A:$G,4,FALSE)</f>
        <v>UN</v>
      </c>
      <c r="F85" s="23">
        <f>SUMIF(CPU!M:M,B85,CPU!O:O)+SUMIF(CPUAUX1!M:M,B85,CPUAUX1!O:O)+SUMIF(CPUAUX2!M:M,B85,CPUAUX2!O:O)+SUMIF(CPUAUX3!M:M,B85,CPUAUX3!O:O)+SUMIF(CPUAUX4!M:M,B85,CPUAUX4!O:O)+SUMIF(CPUAUX5!M:M,B85,CPUAUX5!O:O)</f>
        <v>35.550000000000004</v>
      </c>
      <c r="G85" s="5">
        <f>VLOOKUP(B85,I!$A:$G,5,FALSE)</f>
        <v>30.15</v>
      </c>
      <c r="H85" s="5">
        <f t="shared" si="4"/>
        <v>1071.8325</v>
      </c>
      <c r="I85" s="25">
        <f t="shared" si="5"/>
        <v>8.1294835849109323E-4</v>
      </c>
    </row>
    <row r="86" spans="1:9" ht="28.8" x14ac:dyDescent="0.3">
      <c r="A86" s="23">
        <v>80</v>
      </c>
      <c r="B86" s="23">
        <v>4425</v>
      </c>
      <c r="C86" s="23" t="str">
        <f>VLOOKUP(B86,I!$A:$G,2,FALSE)</f>
        <v>SINAPI</v>
      </c>
      <c r="D86" s="24" t="str">
        <f>VLOOKUP(B86,I!$A:$G,3,FALSE)</f>
        <v>VIGA NAO APARELHADA *6 X 12* CM, EM MACARANDUBA/MASSARANDUBA, ANGELIM OU EQUIVALENTE DA REGIAO - BRUTA</v>
      </c>
      <c r="E86" s="23" t="str">
        <f>VLOOKUP(B86,I!$A:$G,4,FALSE)</f>
        <v>M</v>
      </c>
      <c r="F86" s="23">
        <f>SUMIF(CPU!M:M,B86,CPU!O:O)+SUMIF(CPUAUX1!M:M,B86,CPUAUX1!O:O)+SUMIF(CPUAUX2!M:M,B86,CPUAUX2!O:O)+SUMIF(CPUAUX3!M:M,B86,CPUAUX3!O:O)+SUMIF(CPUAUX4!M:M,B86,CPUAUX4!O:O)+SUMIF(CPUAUX5!M:M,B86,CPUAUX5!O:O)</f>
        <v>45.114300000000007</v>
      </c>
      <c r="G86" s="5">
        <f>VLOOKUP(B86,I!$A:$G,5,FALSE)</f>
        <v>21.15</v>
      </c>
      <c r="H86" s="5">
        <f t="shared" si="4"/>
        <v>954.16744500000004</v>
      </c>
      <c r="I86" s="25">
        <f t="shared" si="5"/>
        <v>7.2370343140219253E-4</v>
      </c>
    </row>
    <row r="87" spans="1:9" ht="28.8" x14ac:dyDescent="0.3">
      <c r="A87" s="23">
        <v>81</v>
      </c>
      <c r="B87" s="23">
        <v>7156</v>
      </c>
      <c r="C87" s="23" t="str">
        <f>VLOOKUP(B87,I!$A:$G,2,FALSE)</f>
        <v>SINAPI</v>
      </c>
      <c r="D87" s="24" t="str">
        <f>VLOOKUP(B87,I!$A:$G,3,FALSE)</f>
        <v>TELA DE ACO SOLDADA NERVURADA, CA-60, Q-196, (3,11 KG/M2), DIAMETRO DO FIO = 5,0 MM, LARGURA = 2,45 M, ESPACAMENTO DA MALHA = 10 X 10 CM</v>
      </c>
      <c r="E87" s="23" t="str">
        <f>VLOOKUP(B87,I!$A:$G,4,FALSE)</f>
        <v>M2</v>
      </c>
      <c r="F87" s="23">
        <f>SUMIF(CPU!M:M,B87,CPU!O:O)+SUMIF(CPUAUX1!M:M,B87,CPUAUX1!O:O)+SUMIF(CPUAUX2!M:M,B87,CPUAUX2!O:O)+SUMIF(CPUAUX3!M:M,B87,CPUAUX3!O:O)+SUMIF(CPUAUX4!M:M,B87,CPUAUX4!O:O)+SUMIF(CPUAUX5!M:M,B87,CPUAUX5!O:O)</f>
        <v>36.341760000000001</v>
      </c>
      <c r="G87" s="5">
        <f>VLOOKUP(B87,I!$A:$G,5,FALSE)</f>
        <v>26.18</v>
      </c>
      <c r="H87" s="5">
        <f t="shared" si="4"/>
        <v>951.42727679999996</v>
      </c>
      <c r="I87" s="25">
        <f t="shared" si="5"/>
        <v>7.2162510737285067E-4</v>
      </c>
    </row>
    <row r="88" spans="1:9" ht="28.8" x14ac:dyDescent="0.3">
      <c r="A88" s="23">
        <v>82</v>
      </c>
      <c r="B88" s="23">
        <v>43485</v>
      </c>
      <c r="C88" s="23" t="str">
        <f>VLOOKUP(B88,I!$A:$G,2,FALSE)</f>
        <v>SINAPI</v>
      </c>
      <c r="D88" s="24" t="str">
        <f>VLOOKUP(B88,I!$A:$G,3,FALSE)</f>
        <v>EPI - FAMILIA ENCANADOR - HORISTA (ENCARGOS COMPLEMENTARES - COLETADO CAIXA)</v>
      </c>
      <c r="E88" s="23" t="str">
        <f>VLOOKUP(B88,I!$A:$G,4,FALSE)</f>
        <v>H</v>
      </c>
      <c r="F88" s="23">
        <f>SUMIF(CPU!M:M,B88,CPU!O:O)+SUMIF(CPUAUX1!M:M,B88,CPUAUX1!O:O)+SUMIF(CPUAUX2!M:M,B88,CPUAUX2!O:O)+SUMIF(CPUAUX3!M:M,B88,CPUAUX3!O:O)+SUMIF(CPUAUX4!M:M,B88,CPUAUX4!O:O)+SUMIF(CPUAUX5!M:M,B88,CPUAUX5!O:O)</f>
        <v>865.45240000000001</v>
      </c>
      <c r="G88" s="5">
        <f>VLOOKUP(B88,I!$A:$G,5,FALSE)</f>
        <v>1.1299999999999999</v>
      </c>
      <c r="H88" s="5">
        <f t="shared" si="4"/>
        <v>977.96121199999993</v>
      </c>
      <c r="I88" s="25">
        <f t="shared" si="5"/>
        <v>7.4175019134366607E-4</v>
      </c>
    </row>
    <row r="89" spans="1:9" x14ac:dyDescent="0.3">
      <c r="A89" s="23">
        <v>83</v>
      </c>
      <c r="B89" s="23" t="s">
        <v>1007</v>
      </c>
      <c r="C89" s="23" t="str">
        <f>VLOOKUP(B89,I!$A:$G,2,FALSE)</f>
        <v>SEINFRA</v>
      </c>
      <c r="D89" s="24" t="str">
        <f>VLOOKUP(B89,I!$A:$G,3,FALSE)</f>
        <v>PONTALETE / BARROTE DE 3"X3"</v>
      </c>
      <c r="E89" s="23" t="str">
        <f>VLOOKUP(B89,I!$A:$G,4,FALSE)</f>
        <v>M</v>
      </c>
      <c r="F89" s="23">
        <f>SUMIF(CPU!M:M,B89,CPU!O:O)+SUMIF(CPUAUX1!M:M,B89,CPUAUX1!O:O)+SUMIF(CPUAUX2!M:M,B89,CPUAUX2!O:O)+SUMIF(CPUAUX3!M:M,B89,CPUAUX3!O:O)+SUMIF(CPUAUX4!M:M,B89,CPUAUX4!O:O)+SUMIF(CPUAUX5!M:M,B89,CPUAUX5!O:O)</f>
        <v>58.320000000000007</v>
      </c>
      <c r="G89" s="5">
        <f>VLOOKUP(B89,I!$A:$G,5,FALSE)</f>
        <v>16.09</v>
      </c>
      <c r="H89" s="5">
        <f t="shared" si="4"/>
        <v>938.36880000000008</v>
      </c>
      <c r="I89" s="25">
        <f t="shared" si="5"/>
        <v>7.117206985412898E-4</v>
      </c>
    </row>
    <row r="90" spans="1:9" x14ac:dyDescent="0.3">
      <c r="A90" s="23">
        <v>84</v>
      </c>
      <c r="B90" s="23">
        <v>43489</v>
      </c>
      <c r="C90" s="23" t="str">
        <f>VLOOKUP(B90,I!$A:$G,2,FALSE)</f>
        <v>SINAPI</v>
      </c>
      <c r="D90" s="24" t="str">
        <f>VLOOKUP(B90,I!$A:$G,3,FALSE)</f>
        <v>EPI - FAMILIA PEDREIRO - HORISTA (ENCARGOS COMPLEMENTARES - COLETADO CAIXA)</v>
      </c>
      <c r="E90" s="23" t="str">
        <f>VLOOKUP(B90,I!$A:$G,4,FALSE)</f>
        <v>H</v>
      </c>
      <c r="F90" s="23">
        <f>SUMIF(CPU!M:M,B90,CPU!O:O)+SUMIF(CPUAUX1!M:M,B90,CPUAUX1!O:O)+SUMIF(CPUAUX2!M:M,B90,CPUAUX2!O:O)+SUMIF(CPUAUX3!M:M,B90,CPUAUX3!O:O)+SUMIF(CPUAUX4!M:M,B90,CPUAUX4!O:O)+SUMIF(CPUAUX5!M:M,B90,CPUAUX5!O:O)</f>
        <v>680.42963706600005</v>
      </c>
      <c r="G90" s="5">
        <f>VLOOKUP(B90,I!$A:$G,5,FALSE)</f>
        <v>1.31</v>
      </c>
      <c r="H90" s="5">
        <f t="shared" si="4"/>
        <v>891.36282455646005</v>
      </c>
      <c r="I90" s="25">
        <f t="shared" si="5"/>
        <v>6.760682709687927E-4</v>
      </c>
    </row>
    <row r="91" spans="1:9" x14ac:dyDescent="0.3">
      <c r="A91" s="23">
        <v>85</v>
      </c>
      <c r="B91" s="23">
        <v>1789</v>
      </c>
      <c r="C91" s="23" t="str">
        <f>VLOOKUP(B91,I!$A:$G,2,FALSE)</f>
        <v>SINAPI</v>
      </c>
      <c r="D91" s="24" t="str">
        <f>VLOOKUP(B91,I!$A:$G,3,FALSE)</f>
        <v>CURVA 90 GRAUS DE FERRO GALVANIZADO, COM ROSCA BSP FEMEA, DE 1 1/2"</v>
      </c>
      <c r="E91" s="23" t="str">
        <f>VLOOKUP(B91,I!$A:$G,4,FALSE)</f>
        <v>UN</v>
      </c>
      <c r="F91" s="23">
        <f>SUMIF(CPU!M:M,B91,CPU!O:O)+SUMIF(CPUAUX1!M:M,B91,CPUAUX1!O:O)+SUMIF(CPUAUX2!M:M,B91,CPUAUX2!O:O)+SUMIF(CPUAUX3!M:M,B91,CPUAUX3!O:O)+SUMIF(CPUAUX4!M:M,B91,CPUAUX4!O:O)+SUMIF(CPUAUX5!M:M,B91,CPUAUX5!O:O)</f>
        <v>12</v>
      </c>
      <c r="G91" s="5">
        <f>VLOOKUP(B91,I!$A:$G,5,FALSE)</f>
        <v>68.05</v>
      </c>
      <c r="H91" s="5">
        <f t="shared" si="4"/>
        <v>816.59999999999991</v>
      </c>
      <c r="I91" s="25">
        <f t="shared" si="5"/>
        <v>6.1936322097326459E-4</v>
      </c>
    </row>
    <row r="92" spans="1:9" ht="28.8" x14ac:dyDescent="0.3">
      <c r="A92" s="23">
        <v>86</v>
      </c>
      <c r="B92" s="23">
        <v>11675</v>
      </c>
      <c r="C92" s="23" t="str">
        <f>VLOOKUP(B92,I!$A:$G,2,FALSE)</f>
        <v>SINAPI</v>
      </c>
      <c r="D92" s="24" t="str">
        <f>VLOOKUP(B92,I!$A:$G,3,FALSE)</f>
        <v>REGISTRO DE ESFERA, PVC, COM VOLANTE, VS, SOLDAVEL, DN 32 MM, COM CORPO DIVIDIDO</v>
      </c>
      <c r="E92" s="23" t="str">
        <f>VLOOKUP(B92,I!$A:$G,4,FALSE)</f>
        <v>UN</v>
      </c>
      <c r="F92" s="23">
        <f>SUMIF(CPU!M:M,B92,CPU!O:O)+SUMIF(CPUAUX1!M:M,B92,CPUAUX1!O:O)+SUMIF(CPUAUX2!M:M,B92,CPUAUX2!O:O)+SUMIF(CPUAUX3!M:M,B92,CPUAUX3!O:O)+SUMIF(CPUAUX4!M:M,B92,CPUAUX4!O:O)+SUMIF(CPUAUX5!M:M,B92,CPUAUX5!O:O)</f>
        <v>18</v>
      </c>
      <c r="G92" s="5">
        <f>VLOOKUP(B92,I!$A:$G,5,FALSE)</f>
        <v>43.41</v>
      </c>
      <c r="H92" s="5">
        <f t="shared" si="4"/>
        <v>781.37999999999988</v>
      </c>
      <c r="I92" s="25">
        <f t="shared" si="5"/>
        <v>5.9265005339712159E-4</v>
      </c>
    </row>
    <row r="93" spans="1:9" x14ac:dyDescent="0.3">
      <c r="A93" s="23">
        <v>87</v>
      </c>
      <c r="B93" s="23" t="s">
        <v>1052</v>
      </c>
      <c r="C93" s="23" t="str">
        <f>VLOOKUP(B93,I!$A:$G,2,FALSE)</f>
        <v>PRÓPRIA</v>
      </c>
      <c r="D93" s="24" t="str">
        <f>VLOOKUP(B93,I!$A:$G,3,FALSE)</f>
        <v>DISPOSITIVO CONTRA SURTO DE TENSÃO - DPS CORRENTE CONTÍNUA 1000 VDC</v>
      </c>
      <c r="E93" s="23" t="str">
        <f>VLOOKUP(B93,I!$A:$G,4,FALSE)</f>
        <v>UND</v>
      </c>
      <c r="F93" s="23">
        <f>SUMIF(CPU!M:M,B93,CPU!O:O)+SUMIF(CPUAUX1!M:M,B93,CPUAUX1!O:O)+SUMIF(CPUAUX2!M:M,B93,CPUAUX2!O:O)+SUMIF(CPUAUX3!M:M,B93,CPUAUX3!O:O)+SUMIF(CPUAUX4!M:M,B93,CPUAUX4!O:O)+SUMIF(CPUAUX5!M:M,B93,CPUAUX5!O:O)</f>
        <v>6</v>
      </c>
      <c r="G93" s="5">
        <f>VLOOKUP(B93,I!$A:$G,5,FALSE)</f>
        <v>120</v>
      </c>
      <c r="H93" s="5">
        <f t="shared" si="4"/>
        <v>720</v>
      </c>
      <c r="I93" s="25">
        <f t="shared" si="5"/>
        <v>5.4609541893307684E-4</v>
      </c>
    </row>
    <row r="94" spans="1:9" x14ac:dyDescent="0.3">
      <c r="A94" s="23">
        <v>88</v>
      </c>
      <c r="B94" s="23">
        <v>37373</v>
      </c>
      <c r="C94" s="23" t="str">
        <f>VLOOKUP(B94,I!$A:$G,2,FALSE)</f>
        <v>SINAPI</v>
      </c>
      <c r="D94" s="24" t="str">
        <f>VLOOKUP(B94,I!$A:$G,3,FALSE)</f>
        <v>SEGURO - HORISTA (COLETADO CAIXA - ENCARGOS COMPLEMENTARES)</v>
      </c>
      <c r="E94" s="23" t="str">
        <f>VLOOKUP(B94,I!$A:$G,4,FALSE)</f>
        <v>H</v>
      </c>
      <c r="F94" s="23">
        <f>SUMIF(CPU!M:M,B94,CPU!O:O)+SUMIF(CPUAUX1!M:M,B94,CPUAUX1!O:O)+SUMIF(CPUAUX2!M:M,B94,CPUAUX2!O:O)+SUMIF(CPUAUX3!M:M,B94,CPUAUX3!O:O)+SUMIF(CPUAUX4!M:M,B94,CPUAUX4!O:O)+SUMIF(CPUAUX5!M:M,B94,CPUAUX5!O:O)</f>
        <v>8944.4728946853975</v>
      </c>
      <c r="G94" s="5">
        <f>VLOOKUP(B94,I!$A:$G,5,FALSE)</f>
        <v>0.08</v>
      </c>
      <c r="H94" s="5">
        <f t="shared" si="4"/>
        <v>715.55783157483177</v>
      </c>
      <c r="I94" s="25">
        <f t="shared" si="5"/>
        <v>5.4272618583986367E-4</v>
      </c>
    </row>
    <row r="95" spans="1:9" x14ac:dyDescent="0.3">
      <c r="A95" s="23">
        <v>89</v>
      </c>
      <c r="B95" s="23" t="s">
        <v>1024</v>
      </c>
      <c r="C95" s="23" t="str">
        <f>VLOOKUP(B95,I!$A:$G,2,FALSE)</f>
        <v>ORSE</v>
      </c>
      <c r="D95" s="24" t="str">
        <f>VLOOKUP(B95,I!$A:$G,3,FALSE)</f>
        <v>TAMPA DE POÇO GALVANIZADA EM 6"</v>
      </c>
      <c r="E95" s="23" t="str">
        <f>VLOOKUP(B95,I!$A:$G,4,FALSE)</f>
        <v>UN</v>
      </c>
      <c r="F95" s="23">
        <f>SUMIF(CPU!M:M,B95,CPU!O:O)+SUMIF(CPUAUX1!M:M,B95,CPUAUX1!O:O)+SUMIF(CPUAUX2!M:M,B95,CPUAUX2!O:O)+SUMIF(CPUAUX3!M:M,B95,CPUAUX3!O:O)+SUMIF(CPUAUX4!M:M,B95,CPUAUX4!O:O)+SUMIF(CPUAUX5!M:M,B95,CPUAUX5!O:O)</f>
        <v>6</v>
      </c>
      <c r="G95" s="5">
        <f>VLOOKUP(B95,I!$A:$G,5,FALSE)</f>
        <v>107.28</v>
      </c>
      <c r="H95" s="5">
        <f t="shared" si="4"/>
        <v>643.68000000000006</v>
      </c>
      <c r="I95" s="25">
        <f t="shared" si="5"/>
        <v>4.8820930452617075E-4</v>
      </c>
    </row>
    <row r="96" spans="1:9" ht="28.8" x14ac:dyDescent="0.3">
      <c r="A96" s="23">
        <v>90</v>
      </c>
      <c r="B96" s="23">
        <v>43487</v>
      </c>
      <c r="C96" s="23" t="str">
        <f>VLOOKUP(B96,I!$A:$G,2,FALSE)</f>
        <v>SINAPI</v>
      </c>
      <c r="D96" s="24" t="str">
        <f>VLOOKUP(B96,I!$A:$G,3,FALSE)</f>
        <v>EPI - FAMILIA ENCARREGADO GERAL - HORISTA (ENCARGOS COMPLEMENTARES - COLETADO CAIXA)</v>
      </c>
      <c r="E96" s="23" t="str">
        <f>VLOOKUP(B96,I!$A:$G,4,FALSE)</f>
        <v>H</v>
      </c>
      <c r="F96" s="23">
        <f>SUMIF(CPU!M:M,B96,CPU!O:O)+SUMIF(CPUAUX1!M:M,B96,CPUAUX1!O:O)+SUMIF(CPUAUX2!M:M,B96,CPUAUX2!O:O)+SUMIF(CPUAUX3!M:M,B96,CPUAUX3!O:O)+SUMIF(CPUAUX4!M:M,B96,CPUAUX4!O:O)+SUMIF(CPUAUX5!M:M,B96,CPUAUX5!O:O)</f>
        <v>500</v>
      </c>
      <c r="G96" s="5">
        <f>VLOOKUP(B96,I!$A:$G,5,FALSE)</f>
        <v>1.28</v>
      </c>
      <c r="H96" s="5">
        <f t="shared" si="4"/>
        <v>640</v>
      </c>
      <c r="I96" s="25">
        <f t="shared" si="5"/>
        <v>4.85418150162735E-4</v>
      </c>
    </row>
    <row r="97" spans="1:9" x14ac:dyDescent="0.3">
      <c r="A97" s="23">
        <v>91</v>
      </c>
      <c r="B97" s="23">
        <v>6010</v>
      </c>
      <c r="C97" s="23" t="str">
        <f>VLOOKUP(B97,I!$A:$G,2,FALSE)</f>
        <v>SINAPI</v>
      </c>
      <c r="D97" s="24" t="str">
        <f>VLOOKUP(B97,I!$A:$G,3,FALSE)</f>
        <v>REGISTRO GAVETA BRUTO EM LATAO FORJADO, BITOLA 1 1/2"</v>
      </c>
      <c r="E97" s="23" t="str">
        <f>VLOOKUP(B97,I!$A:$G,4,FALSE)</f>
        <v>UN</v>
      </c>
      <c r="F97" s="23">
        <f>SUMIF(CPU!M:M,B97,CPU!O:O)+SUMIF(CPUAUX1!M:M,B97,CPUAUX1!O:O)+SUMIF(CPUAUX2!M:M,B97,CPUAUX2!O:O)+SUMIF(CPUAUX3!M:M,B97,CPUAUX3!O:O)+SUMIF(CPUAUX4!M:M,B97,CPUAUX4!O:O)+SUMIF(CPUAUX5!M:M,B97,CPUAUX5!O:O)</f>
        <v>6</v>
      </c>
      <c r="G97" s="5">
        <f>VLOOKUP(B97,I!$A:$G,5,FALSE)</f>
        <v>105.75</v>
      </c>
      <c r="H97" s="5">
        <f t="shared" si="4"/>
        <v>634.5</v>
      </c>
      <c r="I97" s="25">
        <f t="shared" si="5"/>
        <v>4.8124658793477401E-4</v>
      </c>
    </row>
    <row r="98" spans="1:9" x14ac:dyDescent="0.3">
      <c r="A98" s="23">
        <v>92</v>
      </c>
      <c r="B98" s="23">
        <v>3146</v>
      </c>
      <c r="C98" s="23" t="str">
        <f>VLOOKUP(B98,I!$A:$G,2,FALSE)</f>
        <v>SINAPI</v>
      </c>
      <c r="D98" s="24" t="str">
        <f>VLOOKUP(B98,I!$A:$G,3,FALSE)</f>
        <v>FITA VEDA ROSCA, EM PTFE, ROLO DE 18 MM X 10 M (L X C)</v>
      </c>
      <c r="E98" s="23" t="str">
        <f>VLOOKUP(B98,I!$A:$G,4,FALSE)</f>
        <v>UN</v>
      </c>
      <c r="F98" s="23">
        <f>SUMIF(CPU!M:M,B98,CPU!O:O)+SUMIF(CPUAUX1!M:M,B98,CPUAUX1!O:O)+SUMIF(CPUAUX2!M:M,B98,CPUAUX2!O:O)+SUMIF(CPUAUX3!M:M,B98,CPUAUX3!O:O)+SUMIF(CPUAUX4!M:M,B98,CPUAUX4!O:O)+SUMIF(CPUAUX5!M:M,B98,CPUAUX5!O:O)</f>
        <v>145</v>
      </c>
      <c r="G98" s="5">
        <f>VLOOKUP(B98,I!$A:$G,5,FALSE)</f>
        <v>4.1399999999999997</v>
      </c>
      <c r="H98" s="5">
        <f t="shared" si="4"/>
        <v>600.29999999999995</v>
      </c>
      <c r="I98" s="25">
        <f t="shared" si="5"/>
        <v>4.5530705553545282E-4</v>
      </c>
    </row>
    <row r="99" spans="1:9" ht="28.8" x14ac:dyDescent="0.3">
      <c r="A99" s="23">
        <v>93</v>
      </c>
      <c r="B99" s="23">
        <v>43465</v>
      </c>
      <c r="C99" s="23" t="str">
        <f>VLOOKUP(B99,I!$A:$G,2,FALSE)</f>
        <v>SINAPI</v>
      </c>
      <c r="D99" s="24" t="str">
        <f>VLOOKUP(B99,I!$A:$G,3,FALSE)</f>
        <v>FERRAMENTAS - FAMILIA PEDREIRO - HORISTA (ENCARGOS COMPLEMENTARES - COLETADO CAIXA)</v>
      </c>
      <c r="E99" s="23" t="str">
        <f>VLOOKUP(B99,I!$A:$G,4,FALSE)</f>
        <v>H</v>
      </c>
      <c r="F99" s="23">
        <f>SUMIF(CPU!M:M,B99,CPU!O:O)+SUMIF(CPUAUX1!M:M,B99,CPUAUX1!O:O)+SUMIF(CPUAUX2!M:M,B99,CPUAUX2!O:O)+SUMIF(CPUAUX3!M:M,B99,CPUAUX3!O:O)+SUMIF(CPUAUX4!M:M,B99,CPUAUX4!O:O)+SUMIF(CPUAUX5!M:M,B99,CPUAUX5!O:O)</f>
        <v>680.42963706600005</v>
      </c>
      <c r="G99" s="5">
        <f>VLOOKUP(B99,I!$A:$G,5,FALSE)</f>
        <v>0.78</v>
      </c>
      <c r="H99" s="5">
        <f t="shared" si="4"/>
        <v>530.73511691148008</v>
      </c>
      <c r="I99" s="25">
        <f t="shared" si="5"/>
        <v>4.0254446668370867E-4</v>
      </c>
    </row>
    <row r="100" spans="1:9" x14ac:dyDescent="0.3">
      <c r="A100" s="23">
        <v>94</v>
      </c>
      <c r="B100" s="23" t="s">
        <v>1006</v>
      </c>
      <c r="C100" s="23" t="str">
        <f>VLOOKUP(B100,I!$A:$G,2,FALSE)</f>
        <v>SEINFRA</v>
      </c>
      <c r="D100" s="24" t="str">
        <f>VLOOKUP(B100,I!$A:$G,3,FALSE)</f>
        <v>CHAPA DE AÇO GALVANIZADA ESP. 0.3MM</v>
      </c>
      <c r="E100" s="23" t="str">
        <f>VLOOKUP(B100,I!$A:$G,4,FALSE)</f>
        <v>M2</v>
      </c>
      <c r="F100" s="23">
        <f>SUMIF(CPU!M:M,B100,CPU!O:O)+SUMIF(CPUAUX1!M:M,B100,CPUAUX1!O:O)+SUMIF(CPUAUX2!M:M,B100,CPUAUX2!O:O)+SUMIF(CPUAUX3!M:M,B100,CPUAUX3!O:O)+SUMIF(CPUAUX4!M:M,B100,CPUAUX4!O:O)+SUMIF(CPUAUX5!M:M,B100,CPUAUX5!O:O)</f>
        <v>13.219200000000001</v>
      </c>
      <c r="G100" s="5">
        <f>VLOOKUP(B100,I!$A:$G,5,FALSE)</f>
        <v>39.03</v>
      </c>
      <c r="H100" s="5">
        <f t="shared" si="4"/>
        <v>515.94537600000001</v>
      </c>
      <c r="I100" s="25">
        <f t="shared" si="5"/>
        <v>3.9132695312958871E-4</v>
      </c>
    </row>
    <row r="101" spans="1:9" x14ac:dyDescent="0.3">
      <c r="A101" s="23">
        <v>95</v>
      </c>
      <c r="B101" s="23">
        <v>12424</v>
      </c>
      <c r="C101" s="23" t="str">
        <f>VLOOKUP(B101,I!$A:$G,2,FALSE)</f>
        <v>SINAPI</v>
      </c>
      <c r="D101" s="24" t="str">
        <f>VLOOKUP(B101,I!$A:$G,3,FALSE)</f>
        <v>UNIAO DE FERRO GALVANIZADO, COM ASSENTO CONICO DE BRONZE, DE 1 1/2"</v>
      </c>
      <c r="E101" s="23" t="str">
        <f>VLOOKUP(B101,I!$A:$G,4,FALSE)</f>
        <v>UN</v>
      </c>
      <c r="F101" s="23">
        <f>SUMIF(CPU!M:M,B101,CPU!O:O)+SUMIF(CPUAUX1!M:M,B101,CPUAUX1!O:O)+SUMIF(CPUAUX2!M:M,B101,CPUAUX2!O:O)+SUMIF(CPUAUX3!M:M,B101,CPUAUX3!O:O)+SUMIF(CPUAUX4!M:M,B101,CPUAUX4!O:O)+SUMIF(CPUAUX5!M:M,B101,CPUAUX5!O:O)</f>
        <v>6</v>
      </c>
      <c r="G101" s="5">
        <f>VLOOKUP(B101,I!$A:$G,5,FALSE)</f>
        <v>82.38</v>
      </c>
      <c r="H101" s="5">
        <f t="shared" si="4"/>
        <v>494.28</v>
      </c>
      <c r="I101" s="25">
        <f t="shared" si="5"/>
        <v>3.7489450509755722E-4</v>
      </c>
    </row>
    <row r="102" spans="1:9" ht="28.8" x14ac:dyDescent="0.3">
      <c r="A102" s="23">
        <v>96</v>
      </c>
      <c r="B102" s="23">
        <v>4433</v>
      </c>
      <c r="C102" s="23" t="str">
        <f>VLOOKUP(B102,I!$A:$G,2,FALSE)</f>
        <v>SINAPI</v>
      </c>
      <c r="D102" s="24" t="str">
        <f>VLOOKUP(B102,I!$A:$G,3,FALSE)</f>
        <v>CAIBRO NAO APARELHADO *6 X 6* CM, EM MACARANDUBA/MASSARANDUBA, ANGELIM OU EQUIVALENTE DA REGIAO - BRUTA</v>
      </c>
      <c r="E102" s="23" t="str">
        <f>VLOOKUP(B102,I!$A:$G,4,FALSE)</f>
        <v>M</v>
      </c>
      <c r="F102" s="23">
        <f>SUMIF(CPU!M:M,B102,CPU!O:O)+SUMIF(CPUAUX1!M:M,B102,CPUAUX1!O:O)+SUMIF(CPUAUX2!M:M,B102,CPUAUX2!O:O)+SUMIF(CPUAUX3!M:M,B102,CPUAUX3!O:O)+SUMIF(CPUAUX4!M:M,B102,CPUAUX4!O:O)+SUMIF(CPUAUX5!M:M,B102,CPUAUX5!O:O)</f>
        <v>25.245000000000001</v>
      </c>
      <c r="G102" s="5">
        <f>VLOOKUP(B102,I!$A:$G,5,FALSE)</f>
        <v>19.55</v>
      </c>
      <c r="H102" s="5">
        <f t="shared" si="4"/>
        <v>493.53975000000003</v>
      </c>
      <c r="I102" s="25">
        <f t="shared" si="5"/>
        <v>3.7433305074496674E-4</v>
      </c>
    </row>
    <row r="103" spans="1:9" x14ac:dyDescent="0.3">
      <c r="A103" s="23">
        <v>97</v>
      </c>
      <c r="B103" s="23">
        <v>4209</v>
      </c>
      <c r="C103" s="23" t="str">
        <f>VLOOKUP(B103,I!$A:$G,2,FALSE)</f>
        <v>SINAPI</v>
      </c>
      <c r="D103" s="24" t="str">
        <f>VLOOKUP(B103,I!$A:$G,3,FALSE)</f>
        <v>NIPLE DE FERRO GALVANIZADO, COM ROSCA BSP, DE 1 1/2"</v>
      </c>
      <c r="E103" s="23" t="str">
        <f>VLOOKUP(B103,I!$A:$G,4,FALSE)</f>
        <v>UN</v>
      </c>
      <c r="F103" s="23">
        <f>SUMIF(CPU!M:M,B103,CPU!O:O)+SUMIF(CPUAUX1!M:M,B103,CPUAUX1!O:O)+SUMIF(CPUAUX2!M:M,B103,CPUAUX2!O:O)+SUMIF(CPUAUX3!M:M,B103,CPUAUX3!O:O)+SUMIF(CPUAUX4!M:M,B103,CPUAUX4!O:O)+SUMIF(CPUAUX5!M:M,B103,CPUAUX5!O:O)</f>
        <v>24</v>
      </c>
      <c r="G103" s="5">
        <f>VLOOKUP(B103,I!$A:$G,5,FALSE)</f>
        <v>19.38</v>
      </c>
      <c r="H103" s="5">
        <f t="shared" ref="H103:H134" si="6">F103*G103</f>
        <v>465.12</v>
      </c>
      <c r="I103" s="25">
        <f t="shared" ref="I103:I134" si="7">H103/$H$202</f>
        <v>3.5277764063076765E-4</v>
      </c>
    </row>
    <row r="104" spans="1:9" ht="28.8" x14ac:dyDescent="0.3">
      <c r="A104" s="23">
        <v>98</v>
      </c>
      <c r="B104" s="23" t="s">
        <v>1053</v>
      </c>
      <c r="C104" s="23" t="str">
        <f>VLOOKUP(B104,I!$A:$G,2,FALSE)</f>
        <v>PRÓPRIA</v>
      </c>
      <c r="D104" s="24" t="str">
        <f>VLOOKUP(B104,I!$A:$G,3,FALSE)</f>
        <v>DISJUNTOR BIPOLAR CORRENTE CONTÍNUA, 32A 1000 VDC, PARA SISTEMA FOTOVOLTAICO</v>
      </c>
      <c r="E104" s="23" t="str">
        <f>VLOOKUP(B104,I!$A:$G,4,FALSE)</f>
        <v>UND</v>
      </c>
      <c r="F104" s="23">
        <f>SUMIF(CPU!M:M,B104,CPU!O:O)+SUMIF(CPUAUX1!M:M,B104,CPUAUX1!O:O)+SUMIF(CPUAUX2!M:M,B104,CPUAUX2!O:O)+SUMIF(CPUAUX3!M:M,B104,CPUAUX3!O:O)+SUMIF(CPUAUX4!M:M,B104,CPUAUX4!O:O)+SUMIF(CPUAUX5!M:M,B104,CPUAUX5!O:O)</f>
        <v>6</v>
      </c>
      <c r="G104" s="5">
        <f>VLOOKUP(B104,I!$A:$G,5,FALSE)</f>
        <v>75</v>
      </c>
      <c r="H104" s="5">
        <f t="shared" si="6"/>
        <v>450</v>
      </c>
      <c r="I104" s="25">
        <f t="shared" si="7"/>
        <v>3.4130963683317304E-4</v>
      </c>
    </row>
    <row r="105" spans="1:9" x14ac:dyDescent="0.3">
      <c r="A105" s="23">
        <v>99</v>
      </c>
      <c r="B105" s="23">
        <v>6297</v>
      </c>
      <c r="C105" s="23" t="str">
        <f>VLOOKUP(B105,I!$A:$G,2,FALSE)</f>
        <v>SINAPI</v>
      </c>
      <c r="D105" s="24" t="str">
        <f>VLOOKUP(B105,I!$A:$G,3,FALSE)</f>
        <v>TE DE FERRO GALVANIZADO, DE 1 1/2"</v>
      </c>
      <c r="E105" s="23" t="str">
        <f>VLOOKUP(B105,I!$A:$G,4,FALSE)</f>
        <v>UN</v>
      </c>
      <c r="F105" s="23">
        <f>SUMIF(CPU!M:M,B105,CPU!O:O)+SUMIF(CPUAUX1!M:M,B105,CPUAUX1!O:O)+SUMIF(CPUAUX2!M:M,B105,CPUAUX2!O:O)+SUMIF(CPUAUX3!M:M,B105,CPUAUX3!O:O)+SUMIF(CPUAUX4!M:M,B105,CPUAUX4!O:O)+SUMIF(CPUAUX5!M:M,B105,CPUAUX5!O:O)</f>
        <v>12</v>
      </c>
      <c r="G105" s="5">
        <f>VLOOKUP(B105,I!$A:$G,5,FALSE)</f>
        <v>35.909999999999997</v>
      </c>
      <c r="H105" s="5">
        <f t="shared" si="6"/>
        <v>430.91999999999996</v>
      </c>
      <c r="I105" s="25">
        <f t="shared" si="7"/>
        <v>3.2683810823144646E-4</v>
      </c>
    </row>
    <row r="106" spans="1:9" ht="28.8" x14ac:dyDescent="0.3">
      <c r="A106" s="23">
        <v>100</v>
      </c>
      <c r="B106" s="23">
        <v>7267</v>
      </c>
      <c r="C106" s="23" t="str">
        <f>VLOOKUP(B106,I!$A:$G,2,FALSE)</f>
        <v>SINAPI</v>
      </c>
      <c r="D106" s="24" t="str">
        <f>VLOOKUP(B106,I!$A:$G,3,FALSE)</f>
        <v>BLOCO CERAMICO / TIJOLO VAZADO PARA ALVENARIA DE VEDACAO, 6 FUROS NA HORIZONTAL DE 9 X 14 X 19 CM (L X A X C)</v>
      </c>
      <c r="E106" s="23" t="str">
        <f>VLOOKUP(B106,I!$A:$G,4,FALSE)</f>
        <v>UN</v>
      </c>
      <c r="F106" s="23">
        <f>SUMIF(CPU!M:M,B106,CPU!O:O)+SUMIF(CPUAUX1!M:M,B106,CPUAUX1!O:O)+SUMIF(CPUAUX2!M:M,B106,CPUAUX2!O:O)+SUMIF(CPUAUX3!M:M,B106,CPUAUX3!O:O)+SUMIF(CPUAUX4!M:M,B106,CPUAUX4!O:O)+SUMIF(CPUAUX5!M:M,B106,CPUAUX5!O:O)</f>
        <v>584.31840000000011</v>
      </c>
      <c r="G106" s="5">
        <f>VLOOKUP(B106,I!$A:$G,5,FALSE)</f>
        <v>0.71</v>
      </c>
      <c r="H106" s="5">
        <f t="shared" si="6"/>
        <v>414.86606400000005</v>
      </c>
      <c r="I106" s="25">
        <f t="shared" si="7"/>
        <v>3.1466174586277322E-4</v>
      </c>
    </row>
    <row r="107" spans="1:9" x14ac:dyDescent="0.3">
      <c r="A107" s="23">
        <v>101</v>
      </c>
      <c r="B107" s="23">
        <v>33</v>
      </c>
      <c r="C107" s="23" t="str">
        <f>VLOOKUP(B107,I!$A:$G,2,FALSE)</f>
        <v>SINAPI</v>
      </c>
      <c r="D107" s="24" t="str">
        <f>VLOOKUP(B107,I!$A:$G,3,FALSE)</f>
        <v>ACO CA-50, 8,0 MM, VERGALHAO</v>
      </c>
      <c r="E107" s="23" t="str">
        <f>VLOOKUP(B107,I!$A:$G,4,FALSE)</f>
        <v>KG</v>
      </c>
      <c r="F107" s="23">
        <f>SUMIF(CPU!M:M,B107,CPU!O:O)+SUMIF(CPUAUX1!M:M,B107,CPUAUX1!O:O)+SUMIF(CPUAUX2!M:M,B107,CPUAUX2!O:O)+SUMIF(CPUAUX3!M:M,B107,CPUAUX3!O:O)+SUMIF(CPUAUX4!M:M,B107,CPUAUX4!O:O)+SUMIF(CPUAUX5!M:M,B107,CPUAUX5!O:O)</f>
        <v>47.551534200000013</v>
      </c>
      <c r="G107" s="5">
        <f>VLOOKUP(B107,I!$A:$G,5,FALSE)</f>
        <v>8.7100000000000009</v>
      </c>
      <c r="H107" s="5">
        <f t="shared" si="6"/>
        <v>414.17386288200015</v>
      </c>
      <c r="I107" s="25">
        <f t="shared" si="7"/>
        <v>3.1413673494677305E-4</v>
      </c>
    </row>
    <row r="108" spans="1:9" x14ac:dyDescent="0.3">
      <c r="A108" s="23">
        <v>102</v>
      </c>
      <c r="B108" s="23" t="s">
        <v>1009</v>
      </c>
      <c r="C108" s="23" t="str">
        <f>VLOOKUP(B108,I!$A:$G,2,FALSE)</f>
        <v>SEINFRA</v>
      </c>
      <c r="D108" s="24" t="str">
        <f>VLOOKUP(B108,I!$A:$G,3,FALSE)</f>
        <v>ESMALTE SINTETICO</v>
      </c>
      <c r="E108" s="23" t="str">
        <f>VLOOKUP(B108,I!$A:$G,4,FALSE)</f>
        <v>L</v>
      </c>
      <c r="F108" s="23">
        <f>SUMIF(CPU!M:M,B108,CPU!O:O)+SUMIF(CPUAUX1!M:M,B108,CPUAUX1!O:O)+SUMIF(CPUAUX2!M:M,B108,CPUAUX2!O:O)+SUMIF(CPUAUX3!M:M,B108,CPUAUX3!O:O)+SUMIF(CPUAUX4!M:M,B108,CPUAUX4!O:O)+SUMIF(CPUAUX5!M:M,B108,CPUAUX5!O:O)</f>
        <v>12.96</v>
      </c>
      <c r="G108" s="5">
        <f>VLOOKUP(B108,I!$A:$G,5,FALSE)</f>
        <v>31.88</v>
      </c>
      <c r="H108" s="5">
        <f t="shared" si="6"/>
        <v>413.16480000000001</v>
      </c>
      <c r="I108" s="25">
        <f t="shared" si="7"/>
        <v>3.1337139520055686E-4</v>
      </c>
    </row>
    <row r="109" spans="1:9" ht="57.6" x14ac:dyDescent="0.3">
      <c r="A109" s="23">
        <v>103</v>
      </c>
      <c r="B109" s="23">
        <v>743</v>
      </c>
      <c r="C109" s="23" t="str">
        <f>VLOOKUP(B109,I!$A:$G,2,FALSE)</f>
        <v>SINAPI</v>
      </c>
      <c r="D109" s="24" t="str">
        <f>VLOOKUP(B109,I!$A:$G,3,FALSE)</f>
        <v>LOCACAO DE BOMBA SUBMERSIVEL PARA DRENAGEM E ESGOTAMENTO, MOTOR ELETRICO TRIFASICO, POTENCIA DE 2 CV, DIAMETRO DE RECALQUE DE 2", FAIXA DE OPERACAO Q=35 M3/H (+ OU - 3 M3/H) E AMT=2 M, Q=13 M3/H (+ OU - 3 M3/H) E AMT = 17 M (+ OU - 3 M)</v>
      </c>
      <c r="E109" s="23" t="str">
        <f>VLOOKUP(B109,I!$A:$G,4,FALSE)</f>
        <v>H</v>
      </c>
      <c r="F109" s="23">
        <f>SUMIF(CPU!M:M,B109,CPU!O:O)+SUMIF(CPUAUX1!M:M,B109,CPUAUX1!O:O)+SUMIF(CPUAUX2!M:M,B109,CPUAUX2!O:O)+SUMIF(CPUAUX3!M:M,B109,CPUAUX3!O:O)+SUMIF(CPUAUX4!M:M,B109,CPUAUX4!O:O)+SUMIF(CPUAUX5!M:M,B109,CPUAUX5!O:O)</f>
        <v>168</v>
      </c>
      <c r="G109" s="5">
        <f>VLOOKUP(B109,I!$A:$G,5,FALSE)</f>
        <v>2.4300000000000002</v>
      </c>
      <c r="H109" s="5">
        <f t="shared" si="6"/>
        <v>408.24</v>
      </c>
      <c r="I109" s="25">
        <f t="shared" si="7"/>
        <v>3.0963610253505457E-4</v>
      </c>
    </row>
    <row r="110" spans="1:9" x14ac:dyDescent="0.3">
      <c r="A110" s="23">
        <v>104</v>
      </c>
      <c r="B110" s="23" t="s">
        <v>1058</v>
      </c>
      <c r="C110" s="23" t="str">
        <f>VLOOKUP(B110,I!$A:$G,2,FALSE)</f>
        <v>PRÓPRIA</v>
      </c>
      <c r="D110" s="24" t="str">
        <f>VLOOKUP(B110,I!$A:$G,3,FALSE)</f>
        <v>DISJUNTOR TRIPOLAR 32A CA, TIPO DIN, FORNECIMENTO E INSTALAÇÃO</v>
      </c>
      <c r="E110" s="23" t="str">
        <f>VLOOKUP(B110,I!$A:$G,4,FALSE)</f>
        <v>UND</v>
      </c>
      <c r="F110" s="23">
        <f>SUMIF(CPU!M:M,B110,CPU!O:O)+SUMIF(CPUAUX1!M:M,B110,CPUAUX1!O:O)+SUMIF(CPUAUX2!M:M,B110,CPUAUX2!O:O)+SUMIF(CPUAUX3!M:M,B110,CPUAUX3!O:O)+SUMIF(CPUAUX4!M:M,B110,CPUAUX4!O:O)+SUMIF(CPUAUX5!M:M,B110,CPUAUX5!O:O)</f>
        <v>6</v>
      </c>
      <c r="G110" s="5">
        <f>VLOOKUP(B110,I!$A:$G,5,FALSE)</f>
        <v>68</v>
      </c>
      <c r="H110" s="5">
        <f t="shared" si="6"/>
        <v>408</v>
      </c>
      <c r="I110" s="25">
        <f t="shared" si="7"/>
        <v>3.0945407072874358E-4</v>
      </c>
    </row>
    <row r="111" spans="1:9" ht="28.8" x14ac:dyDescent="0.3">
      <c r="A111" s="23">
        <v>105</v>
      </c>
      <c r="B111" s="23">
        <v>43482</v>
      </c>
      <c r="C111" s="23" t="str">
        <f>VLOOKUP(B111,I!$A:$G,2,FALSE)</f>
        <v>SINAPI</v>
      </c>
      <c r="D111" s="24" t="str">
        <f>VLOOKUP(B111,I!$A:$G,3,FALSE)</f>
        <v>EPI - FAMILIA ALMOXARIFE - HORISTA (ENCARGOS COMPLEMENTARES - COLETADO CAIXA)</v>
      </c>
      <c r="E111" s="23" t="str">
        <f>VLOOKUP(B111,I!$A:$G,4,FALSE)</f>
        <v>H</v>
      </c>
      <c r="F111" s="23">
        <f>SUMIF(CPU!M:M,B111,CPU!O:O)+SUMIF(CPUAUX1!M:M,B111,CPUAUX1!O:O)+SUMIF(CPUAUX2!M:M,B111,CPUAUX2!O:O)+SUMIF(CPUAUX3!M:M,B111,CPUAUX3!O:O)+SUMIF(CPUAUX4!M:M,B111,CPUAUX4!O:O)+SUMIF(CPUAUX5!M:M,B111,CPUAUX5!O:O)</f>
        <v>500</v>
      </c>
      <c r="G111" s="5">
        <f>VLOOKUP(B111,I!$A:$G,5,FALSE)</f>
        <v>0.81</v>
      </c>
      <c r="H111" s="5">
        <f t="shared" si="6"/>
        <v>405</v>
      </c>
      <c r="I111" s="25">
        <f t="shared" si="7"/>
        <v>3.0717867314985575E-4</v>
      </c>
    </row>
    <row r="112" spans="1:9" x14ac:dyDescent="0.3">
      <c r="A112" s="23">
        <v>106</v>
      </c>
      <c r="B112" s="23">
        <v>4517</v>
      </c>
      <c r="C112" s="23" t="str">
        <f>VLOOKUP(B112,I!$A:$G,2,FALSE)</f>
        <v>SINAPI</v>
      </c>
      <c r="D112" s="24" t="str">
        <f>VLOOKUP(B112,I!$A:$G,3,FALSE)</f>
        <v>SARRAFO *2,5 X 7,5* CM EM PINUS, MISTA OU EQUIVALENTE DA REGIAO - BRUTA</v>
      </c>
      <c r="E112" s="23" t="str">
        <f>VLOOKUP(B112,I!$A:$G,4,FALSE)</f>
        <v>M</v>
      </c>
      <c r="F112" s="23">
        <f>SUMIF(CPU!M:M,B112,CPU!O:O)+SUMIF(CPUAUX1!M:M,B112,CPUAUX1!O:O)+SUMIF(CPUAUX2!M:M,B112,CPUAUX2!O:O)+SUMIF(CPUAUX3!M:M,B112,CPUAUX3!O:O)+SUMIF(CPUAUX4!M:M,B112,CPUAUX4!O:O)+SUMIF(CPUAUX5!M:M,B112,CPUAUX5!O:O)</f>
        <v>113.82673101198</v>
      </c>
      <c r="G112" s="5">
        <f>VLOOKUP(B112,I!$A:$G,5,FALSE)</f>
        <v>3.49</v>
      </c>
      <c r="H112" s="5">
        <f t="shared" si="6"/>
        <v>397.25529123181025</v>
      </c>
      <c r="I112" s="25">
        <f t="shared" si="7"/>
        <v>3.013045759564123E-4</v>
      </c>
    </row>
    <row r="113" spans="1:9" ht="28.8" x14ac:dyDescent="0.3">
      <c r="A113" s="23">
        <v>107</v>
      </c>
      <c r="B113" s="23">
        <v>43484</v>
      </c>
      <c r="C113" s="23" t="str">
        <f>VLOOKUP(B113,I!$A:$G,2,FALSE)</f>
        <v>SINAPI</v>
      </c>
      <c r="D113" s="24" t="str">
        <f>VLOOKUP(B113,I!$A:$G,3,FALSE)</f>
        <v>EPI - FAMILIA ELETRICISTA - HORISTA (ENCARGOS COMPLEMENTARES - COLETADO CAIXA)</v>
      </c>
      <c r="E113" s="23" t="str">
        <f>VLOOKUP(B113,I!$A:$G,4,FALSE)</f>
        <v>H</v>
      </c>
      <c r="F113" s="23">
        <f>SUMIF(CPU!M:M,B113,CPU!O:O)+SUMIF(CPUAUX1!M:M,B113,CPUAUX1!O:O)+SUMIF(CPUAUX2!M:M,B113,CPUAUX2!O:O)+SUMIF(CPUAUX3!M:M,B113,CPUAUX3!O:O)+SUMIF(CPUAUX4!M:M,B113,CPUAUX4!O:O)+SUMIF(CPUAUX5!M:M,B113,CPUAUX5!O:O)</f>
        <v>317.76</v>
      </c>
      <c r="G113" s="5">
        <f>VLOOKUP(B113,I!$A:$G,5,FALSE)</f>
        <v>1.26</v>
      </c>
      <c r="H113" s="5">
        <f t="shared" si="6"/>
        <v>400.37759999999997</v>
      </c>
      <c r="I113" s="25">
        <f t="shared" si="7"/>
        <v>3.0367274056030536E-4</v>
      </c>
    </row>
    <row r="114" spans="1:9" ht="28.8" x14ac:dyDescent="0.3">
      <c r="A114" s="23">
        <v>108</v>
      </c>
      <c r="B114" s="23">
        <v>43130</v>
      </c>
      <c r="C114" s="23" t="str">
        <f>VLOOKUP(B114,I!$A:$G,2,FALSE)</f>
        <v>SINAPI</v>
      </c>
      <c r="D114" s="24" t="str">
        <f>VLOOKUP(B114,I!$A:$G,3,FALSE)</f>
        <v>ARAME GALVANIZADO 12 BWG, D = 2,76 MM (0,048 KG/M) OU 14 BWG, D = 2,11 MM (0,026 KG/M)</v>
      </c>
      <c r="E114" s="23" t="str">
        <f>VLOOKUP(B114,I!$A:$G,4,FALSE)</f>
        <v>KG</v>
      </c>
      <c r="F114" s="23">
        <f>SUMIF(CPU!M:M,B114,CPU!O:O)+SUMIF(CPUAUX1!M:M,B114,CPUAUX1!O:O)+SUMIF(CPUAUX2!M:M,B114,CPUAUX2!O:O)+SUMIF(CPUAUX3!M:M,B114,CPUAUX3!O:O)+SUMIF(CPUAUX4!M:M,B114,CPUAUX4!O:O)+SUMIF(CPUAUX5!M:M,B114,CPUAUX5!O:O)</f>
        <v>17.538</v>
      </c>
      <c r="G114" s="5">
        <f>VLOOKUP(B114,I!$A:$G,5,FALSE)</f>
        <v>22.18</v>
      </c>
      <c r="H114" s="5">
        <f t="shared" si="6"/>
        <v>388.99284</v>
      </c>
      <c r="I114" s="25">
        <f t="shared" si="7"/>
        <v>2.9503778878023243E-4</v>
      </c>
    </row>
    <row r="115" spans="1:9" x14ac:dyDescent="0.3">
      <c r="A115" s="23">
        <v>109</v>
      </c>
      <c r="B115" s="23">
        <v>10567</v>
      </c>
      <c r="C115" s="23" t="str">
        <f>VLOOKUP(B115,I!$A:$G,2,FALSE)</f>
        <v>SINAPI</v>
      </c>
      <c r="D115" s="24" t="str">
        <f>VLOOKUP(B115,I!$A:$G,3,FALSE)</f>
        <v>TABUA *2,5 X 23* CM EM PINUS, MISTA OU EQUIVALENTE DA REGIAO - BRUTA</v>
      </c>
      <c r="E115" s="23" t="str">
        <f>VLOOKUP(B115,I!$A:$G,4,FALSE)</f>
        <v>M</v>
      </c>
      <c r="F115" s="23">
        <f>SUMIF(CPU!M:M,B115,CPU!O:O)+SUMIF(CPUAUX1!M:M,B115,CPUAUX1!O:O)+SUMIF(CPUAUX2!M:M,B115,CPUAUX2!O:O)+SUMIF(CPUAUX3!M:M,B115,CPUAUX3!O:O)+SUMIF(CPUAUX4!M:M,B115,CPUAUX4!O:O)+SUMIF(CPUAUX5!M:M,B115,CPUAUX5!O:O)</f>
        <v>33.660000000000004</v>
      </c>
      <c r="G115" s="5">
        <f>VLOOKUP(B115,I!$A:$G,5,FALSE)</f>
        <v>11.28</v>
      </c>
      <c r="H115" s="5">
        <f t="shared" si="6"/>
        <v>379.6848</v>
      </c>
      <c r="I115" s="25">
        <f t="shared" si="7"/>
        <v>2.8797795822016876E-4</v>
      </c>
    </row>
    <row r="116" spans="1:9" x14ac:dyDescent="0.3">
      <c r="A116" s="23">
        <v>110</v>
      </c>
      <c r="B116" s="23">
        <v>34</v>
      </c>
      <c r="C116" s="23" t="str">
        <f>VLOOKUP(B116,I!$A:$G,2,FALSE)</f>
        <v>SINAPI</v>
      </c>
      <c r="D116" s="24" t="str">
        <f>VLOOKUP(B116,I!$A:$G,3,FALSE)</f>
        <v>ACO CA-50, 10,0 MM, VERGALHAO</v>
      </c>
      <c r="E116" s="23" t="str">
        <f>VLOOKUP(B116,I!$A:$G,4,FALSE)</f>
        <v>KG</v>
      </c>
      <c r="F116" s="23">
        <f>SUMIF(CPU!M:M,B116,CPU!O:O)+SUMIF(CPUAUX1!M:M,B116,CPUAUX1!O:O)+SUMIF(CPUAUX2!M:M,B116,CPUAUX2!O:O)+SUMIF(CPUAUX3!M:M,B116,CPUAUX3!O:O)+SUMIF(CPUAUX4!M:M,B116,CPUAUX4!O:O)+SUMIF(CPUAUX5!M:M,B116,CPUAUX5!O:O)</f>
        <v>45.996557400000015</v>
      </c>
      <c r="G116" s="5">
        <f>VLOOKUP(B116,I!$A:$G,5,FALSE)</f>
        <v>8.2100000000000009</v>
      </c>
      <c r="H116" s="5">
        <f t="shared" si="6"/>
        <v>377.63173625400015</v>
      </c>
      <c r="I116" s="25">
        <f t="shared" si="7"/>
        <v>2.8642077946118528E-4</v>
      </c>
    </row>
    <row r="117" spans="1:9" ht="28.8" x14ac:dyDescent="0.3">
      <c r="A117" s="23">
        <v>111</v>
      </c>
      <c r="B117" s="23">
        <v>43486</v>
      </c>
      <c r="C117" s="23" t="str">
        <f>VLOOKUP(B117,I!$A:$G,2,FALSE)</f>
        <v>SINAPI</v>
      </c>
      <c r="D117" s="24" t="str">
        <f>VLOOKUP(B117,I!$A:$G,3,FALSE)</f>
        <v>EPI - FAMILIA ENGENHEIRO CIVIL - HORISTA (ENCARGOS COMPLEMENTARES - COLETADO CAIXA)</v>
      </c>
      <c r="E117" s="23" t="str">
        <f>VLOOKUP(B117,I!$A:$G,4,FALSE)</f>
        <v>H</v>
      </c>
      <c r="F117" s="23">
        <f>SUMIF(CPU!M:M,B117,CPU!O:O)+SUMIF(CPUAUX1!M:M,B117,CPUAUX1!O:O)+SUMIF(CPUAUX2!M:M,B117,CPUAUX2!O:O)+SUMIF(CPUAUX3!M:M,B117,CPUAUX3!O:O)+SUMIF(CPUAUX4!M:M,B117,CPUAUX4!O:O)+SUMIF(CPUAUX5!M:M,B117,CPUAUX5!O:O)</f>
        <v>468</v>
      </c>
      <c r="G117" s="5">
        <f>VLOOKUP(B117,I!$A:$G,5,FALSE)</f>
        <v>0.77</v>
      </c>
      <c r="H117" s="5">
        <f t="shared" si="6"/>
        <v>360.36</v>
      </c>
      <c r="I117" s="25">
        <f t="shared" si="7"/>
        <v>2.7332075717600497E-4</v>
      </c>
    </row>
    <row r="118" spans="1:9" x14ac:dyDescent="0.3">
      <c r="A118" s="23">
        <v>112</v>
      </c>
      <c r="B118" s="23" t="s">
        <v>1044</v>
      </c>
      <c r="C118" s="23" t="str">
        <f>VLOOKUP(B118,I!$A:$G,2,FALSE)</f>
        <v>SEINFRA</v>
      </c>
      <c r="D118" s="24" t="str">
        <f>VLOOKUP(B118,I!$A:$G,3,FALSE)</f>
        <v>FECHO DE ALAVANCA DE FERR0 DE 22CM</v>
      </c>
      <c r="E118" s="23" t="str">
        <f>VLOOKUP(B118,I!$A:$G,4,FALSE)</f>
        <v>UN</v>
      </c>
      <c r="F118" s="23">
        <f>SUMIF(CPU!M:M,B118,CPU!O:O)+SUMIF(CPUAUX1!M:M,B118,CPUAUX1!O:O)+SUMIF(CPUAUX2!M:M,B118,CPUAUX2!O:O)+SUMIF(CPUAUX3!M:M,B118,CPUAUX3!O:O)+SUMIF(CPUAUX4!M:M,B118,CPUAUX4!O:O)+SUMIF(CPUAUX5!M:M,B118,CPUAUX5!O:O)</f>
        <v>11.88</v>
      </c>
      <c r="G118" s="5">
        <f>VLOOKUP(B118,I!$A:$G,5,FALSE)</f>
        <v>28.92</v>
      </c>
      <c r="H118" s="5">
        <f t="shared" si="6"/>
        <v>343.56960000000004</v>
      </c>
      <c r="I118" s="25">
        <f t="shared" si="7"/>
        <v>2.6058581200648562E-4</v>
      </c>
    </row>
    <row r="119" spans="1:9" x14ac:dyDescent="0.3">
      <c r="A119" s="23">
        <v>113</v>
      </c>
      <c r="B119" s="23">
        <v>3542</v>
      </c>
      <c r="C119" s="23" t="str">
        <f>VLOOKUP(B119,I!$A:$G,2,FALSE)</f>
        <v>SINAPI</v>
      </c>
      <c r="D119" s="24" t="str">
        <f>VLOOKUP(B119,I!$A:$G,3,FALSE)</f>
        <v>JOELHO PVC, SOLDAVEL, 90 GRAUS, 20 MM, COR MARROM, PARA AGUA FRIA PREDIAL</v>
      </c>
      <c r="E119" s="23" t="str">
        <f>VLOOKUP(B119,I!$A:$G,4,FALSE)</f>
        <v>UN</v>
      </c>
      <c r="F119" s="23">
        <f>SUMIF(CPU!M:M,B119,CPU!O:O)+SUMIF(CPUAUX1!M:M,B119,CPUAUX1!O:O)+SUMIF(CPUAUX2!M:M,B119,CPUAUX2!O:O)+SUMIF(CPUAUX3!M:M,B119,CPUAUX3!O:O)+SUMIF(CPUAUX4!M:M,B119,CPUAUX4!O:O)+SUMIF(CPUAUX5!M:M,B119,CPUAUX5!O:O)</f>
        <v>576</v>
      </c>
      <c r="G119" s="5">
        <f>VLOOKUP(B119,I!$A:$G,5,FALSE)</f>
        <v>0.59</v>
      </c>
      <c r="H119" s="5">
        <f t="shared" si="6"/>
        <v>339.84</v>
      </c>
      <c r="I119" s="25">
        <f t="shared" si="7"/>
        <v>2.5775703773641225E-4</v>
      </c>
    </row>
    <row r="120" spans="1:9" ht="28.8" x14ac:dyDescent="0.3">
      <c r="A120" s="23">
        <v>114</v>
      </c>
      <c r="B120" s="23" t="s">
        <v>1057</v>
      </c>
      <c r="C120" s="23" t="str">
        <f>VLOOKUP(B120,I!$A:$G,2,FALSE)</f>
        <v>PRÓPRIA</v>
      </c>
      <c r="D120" s="24" t="str">
        <f>VLOOKUP(B120,I!$A:$G,3,FALSE)</f>
        <v>KIT DE ATERRAMENTO (HASTE DE COBRE, CONECTOR E CAIXA DE INSPEÇÃO), FORNECIMENTO E INSTALAÇÃO</v>
      </c>
      <c r="E120" s="23" t="str">
        <f>VLOOKUP(B120,I!$A:$G,4,FALSE)</f>
        <v>UND</v>
      </c>
      <c r="F120" s="23">
        <f>SUMIF(CPU!M:M,B120,CPU!O:O)+SUMIF(CPUAUX1!M:M,B120,CPUAUX1!O:O)+SUMIF(CPUAUX2!M:M,B120,CPUAUX2!O:O)+SUMIF(CPUAUX3!M:M,B120,CPUAUX3!O:O)+SUMIF(CPUAUX4!M:M,B120,CPUAUX4!O:O)+SUMIF(CPUAUX5!M:M,B120,CPUAUX5!O:O)</f>
        <v>6</v>
      </c>
      <c r="G120" s="5">
        <f>VLOOKUP(B120,I!$A:$G,5,FALSE)</f>
        <v>56</v>
      </c>
      <c r="H120" s="5">
        <f t="shared" si="6"/>
        <v>336</v>
      </c>
      <c r="I120" s="25">
        <f t="shared" si="7"/>
        <v>2.5484452883543589E-4</v>
      </c>
    </row>
    <row r="121" spans="1:9" x14ac:dyDescent="0.3">
      <c r="A121" s="23">
        <v>115</v>
      </c>
      <c r="B121" s="23" t="s">
        <v>1025</v>
      </c>
      <c r="C121" s="23" t="str">
        <f>VLOOKUP(B121,I!$A:$G,2,FALSE)</f>
        <v>ORSE</v>
      </c>
      <c r="D121" s="24" t="str">
        <f>VLOOKUP(B121,I!$A:$G,3,FALSE)</f>
        <v>ABRAÇADEIRA EM FERRO GALVANIZADO DN 150MM</v>
      </c>
      <c r="E121" s="23" t="str">
        <f>VLOOKUP(B121,I!$A:$G,4,FALSE)</f>
        <v>UN</v>
      </c>
      <c r="F121" s="23">
        <f>SUMIF(CPU!M:M,B121,CPU!O:O)+SUMIF(CPUAUX1!M:M,B121,CPUAUX1!O:O)+SUMIF(CPUAUX2!M:M,B121,CPUAUX2!O:O)+SUMIF(CPUAUX3!M:M,B121,CPUAUX3!O:O)+SUMIF(CPUAUX4!M:M,B121,CPUAUX4!O:O)+SUMIF(CPUAUX5!M:M,B121,CPUAUX5!O:O)</f>
        <v>6</v>
      </c>
      <c r="G121" s="5">
        <f>VLOOKUP(B121,I!$A:$G,5,FALSE)</f>
        <v>55.96</v>
      </c>
      <c r="H121" s="5">
        <f t="shared" si="6"/>
        <v>335.76</v>
      </c>
      <c r="I121" s="25">
        <f t="shared" si="7"/>
        <v>2.5466249702912484E-4</v>
      </c>
    </row>
    <row r="122" spans="1:9" ht="28.8" x14ac:dyDescent="0.3">
      <c r="A122" s="23">
        <v>116</v>
      </c>
      <c r="B122" s="23">
        <v>43483</v>
      </c>
      <c r="C122" s="23" t="str">
        <f>VLOOKUP(B122,I!$A:$G,2,FALSE)</f>
        <v>SINAPI</v>
      </c>
      <c r="D122" s="24" t="str">
        <f>VLOOKUP(B122,I!$A:$G,3,FALSE)</f>
        <v>EPI - FAMILIA CARPINTEIRO DE FORMAS - HORISTA (ENCARGOS COMPLEMENTARES - COLETADO CAIXA)</v>
      </c>
      <c r="E122" s="23" t="str">
        <f>VLOOKUP(B122,I!$A:$G,4,FALSE)</f>
        <v>H</v>
      </c>
      <c r="F122" s="23">
        <f>SUMIF(CPU!M:M,B122,CPU!O:O)+SUMIF(CPUAUX1!M:M,B122,CPUAUX1!O:O)+SUMIF(CPUAUX2!M:M,B122,CPUAUX2!O:O)+SUMIF(CPUAUX3!M:M,B122,CPUAUX3!O:O)+SUMIF(CPUAUX4!M:M,B122,CPUAUX4!O:O)+SUMIF(CPUAUX5!M:M,B122,CPUAUX5!O:O)</f>
        <v>211.72708074972002</v>
      </c>
      <c r="G122" s="5">
        <f>VLOOKUP(B122,I!$A:$G,5,FALSE)</f>
        <v>1.43</v>
      </c>
      <c r="H122" s="5">
        <f t="shared" si="6"/>
        <v>302.76972547209959</v>
      </c>
      <c r="I122" s="25">
        <f t="shared" si="7"/>
        <v>2.2964050009991515E-4</v>
      </c>
    </row>
    <row r="123" spans="1:9" ht="28.8" x14ac:dyDescent="0.3">
      <c r="A123" s="23">
        <v>117</v>
      </c>
      <c r="B123" s="23">
        <v>72</v>
      </c>
      <c r="C123" s="23" t="str">
        <f>VLOOKUP(B123,I!$A:$G,2,FALSE)</f>
        <v>SINAPI</v>
      </c>
      <c r="D123" s="24" t="str">
        <f>VLOOKUP(B123,I!$A:$G,3,FALSE)</f>
        <v>ADAPTADOR PVC, ROSCAVEL, COM FLANGES E ANEL DE VEDACAO, 1 1/2", PARA CAIXA D'AGUA</v>
      </c>
      <c r="E123" s="23" t="str">
        <f>VLOOKUP(B123,I!$A:$G,4,FALSE)</f>
        <v>UN</v>
      </c>
      <c r="F123" s="23">
        <f>SUMIF(CPU!M:M,B123,CPU!O:O)+SUMIF(CPUAUX1!M:M,B123,CPUAUX1!O:O)+SUMIF(CPUAUX2!M:M,B123,CPUAUX2!O:O)+SUMIF(CPUAUX3!M:M,B123,CPUAUX3!O:O)+SUMIF(CPUAUX4!M:M,B123,CPUAUX4!O:O)+SUMIF(CPUAUX5!M:M,B123,CPUAUX5!O:O)</f>
        <v>6</v>
      </c>
      <c r="G123" s="5">
        <f>VLOOKUP(B123,I!$A:$G,5,FALSE)</f>
        <v>50.26</v>
      </c>
      <c r="H123" s="5">
        <f t="shared" si="6"/>
        <v>301.56</v>
      </c>
      <c r="I123" s="25">
        <f t="shared" si="7"/>
        <v>2.2872296462980368E-4</v>
      </c>
    </row>
    <row r="124" spans="1:9" ht="28.8" x14ac:dyDescent="0.3">
      <c r="A124" s="23">
        <v>118</v>
      </c>
      <c r="B124" s="23">
        <v>4408</v>
      </c>
      <c r="C124" s="23" t="str">
        <f>VLOOKUP(B124,I!$A:$G,2,FALSE)</f>
        <v>SINAPI</v>
      </c>
      <c r="D124" s="24" t="str">
        <f>VLOOKUP(B124,I!$A:$G,3,FALSE)</f>
        <v>RIPA NAO APARELHADA, *1,5 X 5* CM, EM MACARANDUBA/MASSARANDUBA, ANGELIM OU EQUIVALENTE DA REGIAO - BRUTA</v>
      </c>
      <c r="E124" s="23" t="str">
        <f>VLOOKUP(B124,I!$A:$G,4,FALSE)</f>
        <v>M</v>
      </c>
      <c r="F124" s="23">
        <f>SUMIF(CPU!M:M,B124,CPU!O:O)+SUMIF(CPUAUX1!M:M,B124,CPUAUX1!O:O)+SUMIF(CPUAUX2!M:M,B124,CPUAUX2!O:O)+SUMIF(CPUAUX3!M:M,B124,CPUAUX3!O:O)+SUMIF(CPUAUX4!M:M,B124,CPUAUX4!O:O)+SUMIF(CPUAUX5!M:M,B124,CPUAUX5!O:O)</f>
        <v>157.93074000000001</v>
      </c>
      <c r="G124" s="5">
        <f>VLOOKUP(B124,I!$A:$G,5,FALSE)</f>
        <v>1.9</v>
      </c>
      <c r="H124" s="5">
        <f t="shared" si="6"/>
        <v>300.06840600000004</v>
      </c>
      <c r="I124" s="25">
        <f t="shared" si="7"/>
        <v>2.2759164150437585E-4</v>
      </c>
    </row>
    <row r="125" spans="1:9" x14ac:dyDescent="0.3">
      <c r="A125" s="23">
        <v>119</v>
      </c>
      <c r="B125" s="23">
        <v>788</v>
      </c>
      <c r="C125" s="23" t="str">
        <f>VLOOKUP(B125,I!$A:$G,2,FALSE)</f>
        <v>SINAPI</v>
      </c>
      <c r="D125" s="24" t="str">
        <f>VLOOKUP(B125,I!$A:$G,3,FALSE)</f>
        <v>BUCHA DE REDUCAO DE FERRO GALVANIZADO, COM ROSCA BSP, DE 2" X 1 1/2"</v>
      </c>
      <c r="E125" s="23" t="str">
        <f>VLOOKUP(B125,I!$A:$G,4,FALSE)</f>
        <v>UN</v>
      </c>
      <c r="F125" s="23">
        <f>SUMIF(CPU!M:M,B125,CPU!O:O)+SUMIF(CPUAUX1!M:M,B125,CPUAUX1!O:O)+SUMIF(CPUAUX2!M:M,B125,CPUAUX2!O:O)+SUMIF(CPUAUX3!M:M,B125,CPUAUX3!O:O)+SUMIF(CPUAUX4!M:M,B125,CPUAUX4!O:O)+SUMIF(CPUAUX5!M:M,B125,CPUAUX5!O:O)</f>
        <v>12</v>
      </c>
      <c r="G125" s="5">
        <f>VLOOKUP(B125,I!$A:$G,5,FALSE)</f>
        <v>23.82</v>
      </c>
      <c r="H125" s="5">
        <f t="shared" si="6"/>
        <v>285.84000000000003</v>
      </c>
      <c r="I125" s="25">
        <f t="shared" si="7"/>
        <v>2.1679988131643153E-4</v>
      </c>
    </row>
    <row r="126" spans="1:9" x14ac:dyDescent="0.3">
      <c r="A126" s="23">
        <v>120</v>
      </c>
      <c r="B126" s="23" t="s">
        <v>1043</v>
      </c>
      <c r="C126" s="23" t="str">
        <f>VLOOKUP(B126,I!$A:$G,2,FALSE)</f>
        <v>SEINFRA</v>
      </c>
      <c r="D126" s="24" t="str">
        <f>VLOOKUP(B126,I!$A:$G,3,FALSE)</f>
        <v>CIMENTO PORTLAND</v>
      </c>
      <c r="E126" s="23" t="str">
        <f>VLOOKUP(B126,I!$A:$G,4,FALSE)</f>
        <v>KG</v>
      </c>
      <c r="F126" s="23">
        <f>SUMIF(CPU!M:M,B126,CPU!O:O)+SUMIF(CPUAUX1!M:M,B126,CPUAUX1!O:O)+SUMIF(CPUAUX2!M:M,B126,CPUAUX2!O:O)+SUMIF(CPUAUX3!M:M,B126,CPUAUX3!O:O)+SUMIF(CPUAUX4!M:M,B126,CPUAUX4!O:O)+SUMIF(CPUAUX5!M:M,B126,CPUAUX5!O:O)</f>
        <v>401.64</v>
      </c>
      <c r="G126" s="5">
        <f>VLOOKUP(B126,I!$A:$G,5,FALSE)</f>
        <v>0.71</v>
      </c>
      <c r="H126" s="5">
        <f t="shared" si="6"/>
        <v>285.1644</v>
      </c>
      <c r="I126" s="25">
        <f t="shared" si="7"/>
        <v>2.1628746178166598E-4</v>
      </c>
    </row>
    <row r="127" spans="1:9" ht="28.8" x14ac:dyDescent="0.3">
      <c r="A127" s="23">
        <v>121</v>
      </c>
      <c r="B127" s="23">
        <v>1358</v>
      </c>
      <c r="C127" s="23" t="str">
        <f>VLOOKUP(B127,I!$A:$G,2,FALSE)</f>
        <v>SINAPI</v>
      </c>
      <c r="D127" s="24" t="str">
        <f>VLOOKUP(B127,I!$A:$G,3,FALSE)</f>
        <v>CHAPA/PAINEL DE MADEIRA COMPENSADA RESINADA (MADEIRITE RESINADO ROSA) PARA FORMA DE CONCRETO, DE 2200 X 1100 MM, E = 17 MM</v>
      </c>
      <c r="E127" s="23" t="str">
        <f>VLOOKUP(B127,I!$A:$G,4,FALSE)</f>
        <v>M2</v>
      </c>
      <c r="F127" s="23">
        <f>SUMIF(CPU!M:M,B127,CPU!O:O)+SUMIF(CPUAUX1!M:M,B127,CPUAUX1!O:O)+SUMIF(CPUAUX2!M:M,B127,CPUAUX2!O:O)+SUMIF(CPUAUX3!M:M,B127,CPUAUX3!O:O)+SUMIF(CPUAUX4!M:M,B127,CPUAUX4!O:O)+SUMIF(CPUAUX5!M:M,B127,CPUAUX5!O:O)</f>
        <v>4.3114806230400005</v>
      </c>
      <c r="G127" s="5">
        <f>VLOOKUP(B127,I!$A:$G,5,FALSE)</f>
        <v>64.260000000000005</v>
      </c>
      <c r="H127" s="5">
        <f t="shared" si="6"/>
        <v>277.05574483655045</v>
      </c>
      <c r="I127" s="25">
        <f t="shared" si="7"/>
        <v>2.1013732367268286E-4</v>
      </c>
    </row>
    <row r="128" spans="1:9" ht="28.8" x14ac:dyDescent="0.3">
      <c r="A128" s="23">
        <v>122</v>
      </c>
      <c r="B128" s="23">
        <v>43460</v>
      </c>
      <c r="C128" s="23" t="str">
        <f>VLOOKUP(B128,I!$A:$G,2,FALSE)</f>
        <v>SINAPI</v>
      </c>
      <c r="D128" s="24" t="str">
        <f>VLOOKUP(B128,I!$A:$G,3,FALSE)</f>
        <v>FERRAMENTAS - FAMILIA ELETRICISTA - HORISTA (ENCARGOS COMPLEMENTARES - COLETADO CAIXA)</v>
      </c>
      <c r="E128" s="23" t="str">
        <f>VLOOKUP(B128,I!$A:$G,4,FALSE)</f>
        <v>H</v>
      </c>
      <c r="F128" s="23">
        <f>SUMIF(CPU!M:M,B128,CPU!O:O)+SUMIF(CPUAUX1!M:M,B128,CPUAUX1!O:O)+SUMIF(CPUAUX2!M:M,B128,CPUAUX2!O:O)+SUMIF(CPUAUX3!M:M,B128,CPUAUX3!O:O)+SUMIF(CPUAUX4!M:M,B128,CPUAUX4!O:O)+SUMIF(CPUAUX5!M:M,B128,CPUAUX5!O:O)</f>
        <v>317.76</v>
      </c>
      <c r="G128" s="5">
        <f>VLOOKUP(B128,I!$A:$G,5,FALSE)</f>
        <v>0.86</v>
      </c>
      <c r="H128" s="5">
        <f t="shared" si="6"/>
        <v>273.27359999999999</v>
      </c>
      <c r="I128" s="25">
        <f t="shared" si="7"/>
        <v>2.072686959379862E-4</v>
      </c>
    </row>
    <row r="129" spans="1:9" ht="28.8" x14ac:dyDescent="0.3">
      <c r="A129" s="23">
        <v>123</v>
      </c>
      <c r="B129" s="23">
        <v>43461</v>
      </c>
      <c r="C129" s="23" t="str">
        <f>VLOOKUP(B129,I!$A:$G,2,FALSE)</f>
        <v>SINAPI</v>
      </c>
      <c r="D129" s="24" t="str">
        <f>VLOOKUP(B129,I!$A:$G,3,FALSE)</f>
        <v>FERRAMENTAS - FAMILIA ENCANADOR - HORISTA (ENCARGOS COMPLEMENTARES - COLETADO CAIXA)</v>
      </c>
      <c r="E129" s="23" t="str">
        <f>VLOOKUP(B129,I!$A:$G,4,FALSE)</f>
        <v>H</v>
      </c>
      <c r="F129" s="23">
        <f>SUMIF(CPU!M:M,B129,CPU!O:O)+SUMIF(CPUAUX1!M:M,B129,CPUAUX1!O:O)+SUMIF(CPUAUX2!M:M,B129,CPUAUX2!O:O)+SUMIF(CPUAUX3!M:M,B129,CPUAUX3!O:O)+SUMIF(CPUAUX4!M:M,B129,CPUAUX4!O:O)+SUMIF(CPUAUX5!M:M,B129,CPUAUX5!O:O)</f>
        <v>865.45240000000001</v>
      </c>
      <c r="G129" s="5">
        <f>VLOOKUP(B129,I!$A:$G,5,FALSE)</f>
        <v>0.31</v>
      </c>
      <c r="H129" s="5">
        <f t="shared" si="6"/>
        <v>268.29024400000003</v>
      </c>
      <c r="I129" s="25">
        <f t="shared" si="7"/>
        <v>2.0348899054560755E-4</v>
      </c>
    </row>
    <row r="130" spans="1:9" ht="28.8" x14ac:dyDescent="0.3">
      <c r="A130" s="23">
        <v>124</v>
      </c>
      <c r="B130" s="23">
        <v>4417</v>
      </c>
      <c r="C130" s="23" t="str">
        <f>VLOOKUP(B130,I!$A:$G,2,FALSE)</f>
        <v>SINAPI</v>
      </c>
      <c r="D130" s="24" t="str">
        <f>VLOOKUP(B130,I!$A:$G,3,FALSE)</f>
        <v>SARRAFO NAO APARELHADO *2,5 X 7* CM, EM MACARANDUBA/MASSARANDUBA, ANGELIM, PEROBA-ROSA OU EQUIVALENTE DA REGIAO - BRUTA</v>
      </c>
      <c r="E130" s="23" t="str">
        <f>VLOOKUP(B130,I!$A:$G,4,FALSE)</f>
        <v>M</v>
      </c>
      <c r="F130" s="23">
        <f>SUMIF(CPU!M:M,B130,CPU!O:O)+SUMIF(CPUAUX1!M:M,B130,CPUAUX1!O:O)+SUMIF(CPUAUX2!M:M,B130,CPUAUX2!O:O)+SUMIF(CPUAUX3!M:M,B130,CPUAUX3!O:O)+SUMIF(CPUAUX4!M:M,B130,CPUAUX4!O:O)+SUMIF(CPUAUX5!M:M,B130,CPUAUX5!O:O)</f>
        <v>45.563400000000009</v>
      </c>
      <c r="G130" s="5">
        <f>VLOOKUP(B130,I!$A:$G,5,FALSE)</f>
        <v>5.44</v>
      </c>
      <c r="H130" s="5">
        <f t="shared" si="6"/>
        <v>247.86489600000007</v>
      </c>
      <c r="I130" s="25">
        <f t="shared" si="7"/>
        <v>1.879970614165605E-4</v>
      </c>
    </row>
    <row r="131" spans="1:9" x14ac:dyDescent="0.3">
      <c r="A131" s="23">
        <v>125</v>
      </c>
      <c r="B131" s="23">
        <v>1420</v>
      </c>
      <c r="C131" s="23" t="str">
        <f>VLOOKUP(B131,I!$A:$G,2,FALSE)</f>
        <v>SINAPI</v>
      </c>
      <c r="D131" s="24" t="str">
        <f>VLOOKUP(B131,I!$A:$G,3,FALSE)</f>
        <v>COLAR TOMADA PVC, COM TRAVAS, SAIDA COM ROSCA, DE 40 MM X 1/2" OU 40 MM X 3/4", PARA LIGACAO PREDIAL DE AGUA</v>
      </c>
      <c r="E131" s="23" t="str">
        <f>VLOOKUP(B131,I!$A:$G,4,FALSE)</f>
        <v>UND</v>
      </c>
      <c r="F131" s="23">
        <f>SUMIF(CPU!M:M,B131,CPU!O:O)+SUMIF(CPUAUX1!M:M,B131,CPUAUX1!O:O)+SUMIF(CPUAUX2!M:M,B131,CPUAUX2!O:O)+SUMIF(CPUAUX3!M:M,B131,CPUAUX3!O:O)+SUMIF(CPUAUX4!M:M,B131,CPUAUX4!O:O)+SUMIF(CPUAUX5!M:M,B131,CPUAUX5!O:O)</f>
        <v>12</v>
      </c>
      <c r="G131" s="5">
        <f>VLOOKUP(B131,I!$A:$G,5,FALSE)</f>
        <v>11.94</v>
      </c>
      <c r="H131" s="5">
        <f t="shared" si="6"/>
        <v>143.28</v>
      </c>
      <c r="I131" s="25">
        <f t="shared" si="7"/>
        <v>1.086729883676823E-4</v>
      </c>
    </row>
    <row r="132" spans="1:9" x14ac:dyDescent="0.3">
      <c r="A132" s="23">
        <v>126</v>
      </c>
      <c r="B132" s="23">
        <v>6127</v>
      </c>
      <c r="C132" s="23" t="str">
        <f>VLOOKUP(B132,I!$A:$G,2,FALSE)</f>
        <v>SINAPI</v>
      </c>
      <c r="D132" s="24" t="str">
        <f>VLOOKUP(B132,I!$A:$G,3,FALSE)</f>
        <v>AUXILIAR DE PEDREIRO (HORISTA)</v>
      </c>
      <c r="E132" s="23" t="str">
        <f>VLOOKUP(B132,I!$A:$G,4,FALSE)</f>
        <v>H</v>
      </c>
      <c r="F132" s="23">
        <f>SUMIF(CPU!M:M,B132,CPU!O:O)+SUMIF(CPUAUX1!M:M,B132,CPUAUX1!O:O)+SUMIF(CPUAUX2!M:M,B132,CPUAUX2!O:O)+SUMIF(CPUAUX3!M:M,B132,CPUAUX3!O:O)+SUMIF(CPUAUX4!M:M,B132,CPUAUX4!O:O)+SUMIF(CPUAUX5!M:M,B132,CPUAUX5!O:O)</f>
        <v>15.0694295424</v>
      </c>
      <c r="G132" s="5">
        <f>VLOOKUP(B132,I!$A:$G,5,FALSE)</f>
        <v>15.57</v>
      </c>
      <c r="H132" s="5">
        <f t="shared" si="6"/>
        <v>234.63101797516799</v>
      </c>
      <c r="I132" s="25">
        <f t="shared" si="7"/>
        <v>1.779596167442273E-4</v>
      </c>
    </row>
    <row r="133" spans="1:9" x14ac:dyDescent="0.3">
      <c r="A133" s="23">
        <v>127</v>
      </c>
      <c r="B133" s="23">
        <v>4491</v>
      </c>
      <c r="C133" s="23" t="str">
        <f>VLOOKUP(B133,I!$A:$G,2,FALSE)</f>
        <v>SINAPI</v>
      </c>
      <c r="D133" s="24" t="str">
        <f>VLOOKUP(B133,I!$A:$G,3,FALSE)</f>
        <v>PONTALETE *7,5 X 7,5* CM EM PINUS, MISTA OU EQUIVALENTE DA REGIAO - BRUTA</v>
      </c>
      <c r="E133" s="23" t="str">
        <f>VLOOKUP(B133,I!$A:$G,4,FALSE)</f>
        <v>M</v>
      </c>
      <c r="F133" s="23">
        <f>SUMIF(CPU!M:M,B133,CPU!O:O)+SUMIF(CPUAUX1!M:M,B133,CPUAUX1!O:O)+SUMIF(CPUAUX2!M:M,B133,CPUAUX2!O:O)+SUMIF(CPUAUX3!M:M,B133,CPUAUX3!O:O)+SUMIF(CPUAUX4!M:M,B133,CPUAUX4!O:O)+SUMIF(CPUAUX5!M:M,B133,CPUAUX5!O:O)</f>
        <v>23.268763671120002</v>
      </c>
      <c r="G133" s="5">
        <f>VLOOKUP(B133,I!$A:$G,5,FALSE)</f>
        <v>9.98</v>
      </c>
      <c r="H133" s="5">
        <f t="shared" si="6"/>
        <v>232.22226143777763</v>
      </c>
      <c r="I133" s="25">
        <f t="shared" si="7"/>
        <v>1.761326571464579E-4</v>
      </c>
    </row>
    <row r="134" spans="1:9" ht="28.8" x14ac:dyDescent="0.3">
      <c r="A134" s="23">
        <v>128</v>
      </c>
      <c r="B134" s="23">
        <v>43466</v>
      </c>
      <c r="C134" s="23" t="str">
        <f>VLOOKUP(B134,I!$A:$G,2,FALSE)</f>
        <v>SINAPI</v>
      </c>
      <c r="D134" s="24" t="str">
        <f>VLOOKUP(B134,I!$A:$G,3,FALSE)</f>
        <v>FERRAMENTAS - FAMILIA PINTOR - HORISTA (ENCARGOS COMPLEMENTARES - COLETADO CAIXA)</v>
      </c>
      <c r="E134" s="23" t="str">
        <f>VLOOKUP(B134,I!$A:$G,4,FALSE)</f>
        <v>H</v>
      </c>
      <c r="F134" s="23">
        <f>SUMIF(CPU!M:M,B134,CPU!O:O)+SUMIF(CPUAUX1!M:M,B134,CPUAUX1!O:O)+SUMIF(CPUAUX2!M:M,B134,CPUAUX2!O:O)+SUMIF(CPUAUX3!M:M,B134,CPUAUX3!O:O)+SUMIF(CPUAUX4!M:M,B134,CPUAUX4!O:O)+SUMIF(CPUAUX5!M:M,B134,CPUAUX5!O:O)</f>
        <v>110.850944</v>
      </c>
      <c r="G134" s="5">
        <f>VLOOKUP(B134,I!$A:$G,5,FALSE)</f>
        <v>2.0499999999999998</v>
      </c>
      <c r="H134" s="5">
        <f t="shared" si="6"/>
        <v>227.24443519999997</v>
      </c>
      <c r="I134" s="25">
        <f t="shared" si="7"/>
        <v>1.723571458899367E-4</v>
      </c>
    </row>
    <row r="135" spans="1:9" x14ac:dyDescent="0.3">
      <c r="A135" s="23">
        <v>129</v>
      </c>
      <c r="B135" s="23">
        <v>5068</v>
      </c>
      <c r="C135" s="23" t="str">
        <f>VLOOKUP(B135,I!$A:$G,2,FALSE)</f>
        <v>SINAPI</v>
      </c>
      <c r="D135" s="24" t="str">
        <f>VLOOKUP(B135,I!$A:$G,3,FALSE)</f>
        <v>PREGO DE ACO POLIDO COM CABECA 17 X 21 (2 X 11)</v>
      </c>
      <c r="E135" s="23" t="str">
        <f>VLOOKUP(B135,I!$A:$G,4,FALSE)</f>
        <v>KG</v>
      </c>
      <c r="F135" s="23">
        <f>SUMIF(CPU!M:M,B135,CPU!O:O)+SUMIF(CPUAUX1!M:M,B135,CPUAUX1!O:O)+SUMIF(CPUAUX2!M:M,B135,CPUAUX2!O:O)+SUMIF(CPUAUX3!M:M,B135,CPUAUX3!O:O)+SUMIF(CPUAUX4!M:M,B135,CPUAUX4!O:O)+SUMIF(CPUAUX5!M:M,B135,CPUAUX5!O:O)</f>
        <v>11.035355448240001</v>
      </c>
      <c r="G135" s="5">
        <f>VLOOKUP(B135,I!$A:$G,5,FALSE)</f>
        <v>20.34</v>
      </c>
      <c r="H135" s="5">
        <f t="shared" ref="H135:H166" si="8">F135*G135</f>
        <v>224.45912981720161</v>
      </c>
      <c r="I135" s="25">
        <f t="shared" ref="I135:I166" si="9">H135/$H$202</f>
        <v>1.7024458684844251E-4</v>
      </c>
    </row>
    <row r="136" spans="1:9" x14ac:dyDescent="0.3">
      <c r="A136" s="23">
        <v>130</v>
      </c>
      <c r="B136" s="23">
        <v>43490</v>
      </c>
      <c r="C136" s="23" t="str">
        <f>VLOOKUP(B136,I!$A:$G,2,FALSE)</f>
        <v>SINAPI</v>
      </c>
      <c r="D136" s="24" t="str">
        <f>VLOOKUP(B136,I!$A:$G,3,FALSE)</f>
        <v>EPI - FAMILIA PINTOR - HORISTA (ENCARGOS COMPLEMENTARES - COLETADO CAIXA)</v>
      </c>
      <c r="E136" s="23" t="str">
        <f>VLOOKUP(B136,I!$A:$G,4,FALSE)</f>
        <v>H</v>
      </c>
      <c r="F136" s="23">
        <f>SUMIF(CPU!M:M,B136,CPU!O:O)+SUMIF(CPUAUX1!M:M,B136,CPUAUX1!O:O)+SUMIF(CPUAUX2!M:M,B136,CPUAUX2!O:O)+SUMIF(CPUAUX3!M:M,B136,CPUAUX3!O:O)+SUMIF(CPUAUX4!M:M,B136,CPUAUX4!O:O)+SUMIF(CPUAUX5!M:M,B136,CPUAUX5!O:O)</f>
        <v>110.850944</v>
      </c>
      <c r="G136" s="5">
        <f>VLOOKUP(B136,I!$A:$G,5,FALSE)</f>
        <v>1.85</v>
      </c>
      <c r="H136" s="5">
        <f t="shared" si="8"/>
        <v>205.07424639999999</v>
      </c>
      <c r="I136" s="25">
        <f t="shared" si="9"/>
        <v>1.5554181458360143E-4</v>
      </c>
    </row>
    <row r="137" spans="1:9" x14ac:dyDescent="0.3">
      <c r="A137" s="23">
        <v>131</v>
      </c>
      <c r="B137" s="23">
        <v>7311</v>
      </c>
      <c r="C137" s="23" t="str">
        <f>VLOOKUP(B137,I!$A:$G,2,FALSE)</f>
        <v>SINAPI</v>
      </c>
      <c r="D137" s="24" t="str">
        <f>VLOOKUP(B137,I!$A:$G,3,FALSE)</f>
        <v>TINTA ESMALTE SINTETICO PREMIUM ACETINADO</v>
      </c>
      <c r="E137" s="23" t="str">
        <f>VLOOKUP(B137,I!$A:$G,4,FALSE)</f>
        <v>L</v>
      </c>
      <c r="F137" s="23">
        <f>SUMIF(CPU!M:M,B137,CPU!O:O)+SUMIF(CPUAUX1!M:M,B137,CPUAUX1!O:O)+SUMIF(CPUAUX2!M:M,B137,CPUAUX2!O:O)+SUMIF(CPUAUX3!M:M,B137,CPUAUX3!O:O)+SUMIF(CPUAUX4!M:M,B137,CPUAUX4!O:O)+SUMIF(CPUAUX5!M:M,B137,CPUAUX5!O:O)</f>
        <v>5.1387840000000002</v>
      </c>
      <c r="G137" s="5">
        <f>VLOOKUP(B137,I!$A:$G,5,FALSE)</f>
        <v>39.74</v>
      </c>
      <c r="H137" s="5">
        <f t="shared" si="8"/>
        <v>204.21527616000003</v>
      </c>
      <c r="I137" s="25">
        <f t="shared" si="9"/>
        <v>1.5489031498212388E-4</v>
      </c>
    </row>
    <row r="138" spans="1:9" x14ac:dyDescent="0.3">
      <c r="A138" s="23">
        <v>132</v>
      </c>
      <c r="B138" s="23" t="s">
        <v>1055</v>
      </c>
      <c r="C138" s="23" t="str">
        <f>VLOOKUP(B138,I!$A:$G,2,FALSE)</f>
        <v>PRÓPRIA</v>
      </c>
      <c r="D138" s="24" t="str">
        <f>VLOOKUP(B138,I!$A:$G,3,FALSE)</f>
        <v>CONECTOR MC4 (PAR) PARA CABOS DE 6 MM, EM SISTEMA DE ENERGIA SOLAR</v>
      </c>
      <c r="E138" s="23" t="str">
        <f>VLOOKUP(B138,I!$A:$G,4,FALSE)</f>
        <v>UND</v>
      </c>
      <c r="F138" s="23">
        <f>SUMIF(CPU!M:M,B138,CPU!O:O)+SUMIF(CPUAUX1!M:M,B138,CPUAUX1!O:O)+SUMIF(CPUAUX2!M:M,B138,CPUAUX2!O:O)+SUMIF(CPUAUX3!M:M,B138,CPUAUX3!O:O)+SUMIF(CPUAUX4!M:M,B138,CPUAUX4!O:O)+SUMIF(CPUAUX5!M:M,B138,CPUAUX5!O:O)</f>
        <v>18</v>
      </c>
      <c r="G138" s="5">
        <f>VLOOKUP(B138,I!$A:$G,5,FALSE)</f>
        <v>10</v>
      </c>
      <c r="H138" s="5">
        <f t="shared" si="8"/>
        <v>180</v>
      </c>
      <c r="I138" s="25">
        <f t="shared" si="9"/>
        <v>1.3652385473326921E-4</v>
      </c>
    </row>
    <row r="139" spans="1:9" x14ac:dyDescent="0.3">
      <c r="A139" s="23">
        <v>133</v>
      </c>
      <c r="B139" s="23">
        <v>43055</v>
      </c>
      <c r="C139" s="23" t="str">
        <f>VLOOKUP(B139,I!$A:$G,2,FALSE)</f>
        <v>SINAPI</v>
      </c>
      <c r="D139" s="24" t="str">
        <f>VLOOKUP(B139,I!$A:$G,3,FALSE)</f>
        <v>ACO CA-50, 12,5 MM OU 16,0 MM, VERGALHAO</v>
      </c>
      <c r="E139" s="23" t="str">
        <f>VLOOKUP(B139,I!$A:$G,4,FALSE)</f>
        <v>KG</v>
      </c>
      <c r="F139" s="23">
        <f>SUMIF(CPU!M:M,B139,CPU!O:O)+SUMIF(CPUAUX1!M:M,B139,CPUAUX1!O:O)+SUMIF(CPUAUX2!M:M,B139,CPUAUX2!O:O)+SUMIF(CPUAUX3!M:M,B139,CPUAUX3!O:O)+SUMIF(CPUAUX4!M:M,B139,CPUAUX4!O:O)+SUMIF(CPUAUX5!M:M,B139,CPUAUX5!O:O)</f>
        <v>23.702473800000007</v>
      </c>
      <c r="G139" s="5">
        <f>VLOOKUP(B139,I!$A:$G,5,FALSE)</f>
        <v>7.11</v>
      </c>
      <c r="H139" s="5">
        <f t="shared" si="8"/>
        <v>168.52458871800005</v>
      </c>
      <c r="I139" s="25">
        <f t="shared" si="9"/>
        <v>1.2782014705066766E-4</v>
      </c>
    </row>
    <row r="140" spans="1:9" x14ac:dyDescent="0.3">
      <c r="A140" s="23">
        <v>134</v>
      </c>
      <c r="B140" s="23">
        <v>12869</v>
      </c>
      <c r="C140" s="23" t="str">
        <f>VLOOKUP(B140,I!$A:$G,2,FALSE)</f>
        <v>SINAPI</v>
      </c>
      <c r="D140" s="24" t="str">
        <f>VLOOKUP(B140,I!$A:$G,3,FALSE)</f>
        <v>TELHADOR / TELHADISTA (HORISTA)</v>
      </c>
      <c r="E140" s="23" t="str">
        <f>VLOOKUP(B140,I!$A:$G,4,FALSE)</f>
        <v>H</v>
      </c>
      <c r="F140" s="23">
        <f>SUMIF(CPU!M:M,B140,CPU!O:O)+SUMIF(CPUAUX1!M:M,B140,CPUAUX1!O:O)+SUMIF(CPUAUX2!M:M,B140,CPUAUX2!O:O)+SUMIF(CPUAUX3!M:M,B140,CPUAUX3!O:O)+SUMIF(CPUAUX4!M:M,B140,CPUAUX4!O:O)+SUMIF(CPUAUX5!M:M,B140,CPUAUX5!O:O)</f>
        <v>8.2577472516000014</v>
      </c>
      <c r="G140" s="5">
        <f>VLOOKUP(B140,I!$A:$G,5,FALSE)</f>
        <v>20.07</v>
      </c>
      <c r="H140" s="5">
        <f t="shared" si="8"/>
        <v>165.73298733961204</v>
      </c>
      <c r="I140" s="25">
        <f t="shared" si="9"/>
        <v>1.2570281271146635E-4</v>
      </c>
    </row>
    <row r="141" spans="1:9" x14ac:dyDescent="0.3">
      <c r="A141" s="23">
        <v>135</v>
      </c>
      <c r="B141" s="23">
        <v>1957</v>
      </c>
      <c r="C141" s="23" t="str">
        <f>VLOOKUP(B141,I!$A:$G,2,FALSE)</f>
        <v>SINAPI</v>
      </c>
      <c r="D141" s="24" t="str">
        <f>VLOOKUP(B141,I!$A:$G,3,FALSE)</f>
        <v>CURVA DE PVC 90 GRAUS, SOLDAVEL, 32 MM, COR MARROM, PARA AGUA FRIA PREDIAL</v>
      </c>
      <c r="E141" s="23" t="str">
        <f>VLOOKUP(B141,I!$A:$G,4,FALSE)</f>
        <v>UN</v>
      </c>
      <c r="F141" s="23">
        <f>SUMIF(CPU!M:M,B141,CPU!O:O)+SUMIF(CPUAUX1!M:M,B141,CPUAUX1!O:O)+SUMIF(CPUAUX2!M:M,B141,CPUAUX2!O:O)+SUMIF(CPUAUX3!M:M,B141,CPUAUX3!O:O)+SUMIF(CPUAUX4!M:M,B141,CPUAUX4!O:O)+SUMIF(CPUAUX5!M:M,B141,CPUAUX5!O:O)</f>
        <v>24</v>
      </c>
      <c r="G141" s="5">
        <f>VLOOKUP(B141,I!$A:$G,5,FALSE)</f>
        <v>6.45</v>
      </c>
      <c r="H141" s="5">
        <f t="shared" si="8"/>
        <v>154.80000000000001</v>
      </c>
      <c r="I141" s="25">
        <f t="shared" si="9"/>
        <v>1.1741051507061153E-4</v>
      </c>
    </row>
    <row r="142" spans="1:9" x14ac:dyDescent="0.3">
      <c r="A142" s="23">
        <v>136</v>
      </c>
      <c r="B142" s="23" t="s">
        <v>1046</v>
      </c>
      <c r="C142" s="23" t="str">
        <f>VLOOKUP(B142,I!$A:$G,2,FALSE)</f>
        <v>SEINFRA</v>
      </c>
      <c r="D142" s="24" t="str">
        <f>VLOOKUP(B142,I!$A:$G,3,FALSE)</f>
        <v>SUPERCAL</v>
      </c>
      <c r="E142" s="23" t="str">
        <f>VLOOKUP(B142,I!$A:$G,4,FALSE)</f>
        <v>KG</v>
      </c>
      <c r="F142" s="23">
        <f>SUMIF(CPU!M:M,B142,CPU!O:O)+SUMIF(CPUAUX1!M:M,B142,CPUAUX1!O:O)+SUMIF(CPUAUX2!M:M,B142,CPUAUX2!O:O)+SUMIF(CPUAUX3!M:M,B142,CPUAUX3!O:O)+SUMIF(CPUAUX4!M:M,B142,CPUAUX4!O:O)+SUMIF(CPUAUX5!M:M,B142,CPUAUX5!O:O)</f>
        <v>104.274</v>
      </c>
      <c r="G142" s="5">
        <f>VLOOKUP(B142,I!$A:$G,5,FALSE)</f>
        <v>1.47</v>
      </c>
      <c r="H142" s="5">
        <f t="shared" si="8"/>
        <v>153.28278</v>
      </c>
      <c r="I142" s="25">
        <f t="shared" si="9"/>
        <v>1.162597554990648E-4</v>
      </c>
    </row>
    <row r="143" spans="1:9" ht="43.2" x14ac:dyDescent="0.3">
      <c r="A143" s="23">
        <v>137</v>
      </c>
      <c r="B143" s="23">
        <v>1527</v>
      </c>
      <c r="C143" s="23" t="str">
        <f>VLOOKUP(B143,I!$A:$G,2,FALSE)</f>
        <v>SINAPI</v>
      </c>
      <c r="D143" s="24" t="str">
        <f>VLOOKUP(B143,I!$A:$G,3,FALSE)</f>
        <v>CONCRETO USINADO BOMBEAVEL, CLASSE DE RESISTENCIA C25, BRITA 0 E 1, SLUMP = 100 +/- 20 MM, COM BOMBEAMENTO (DISPONIBILIZACAO DE BOMBA), SEM O LANCAMENTO (NBR 8953)</v>
      </c>
      <c r="E143" s="23" t="str">
        <f>VLOOKUP(B143,I!$A:$G,4,FALSE)</f>
        <v>M3</v>
      </c>
      <c r="F143" s="23">
        <f>SUMIF(CPU!M:M,B143,CPU!O:O)+SUMIF(CPUAUX1!M:M,B143,CPUAUX1!O:O)+SUMIF(CPUAUX2!M:M,B143,CPUAUX2!O:O)+SUMIF(CPUAUX3!M:M,B143,CPUAUX3!O:O)+SUMIF(CPUAUX4!M:M,B143,CPUAUX4!O:O)+SUMIF(CPUAUX5!M:M,B143,CPUAUX5!O:O)</f>
        <v>0.24519690000000002</v>
      </c>
      <c r="G143" s="5">
        <f>VLOOKUP(B143,I!$A:$G,5,FALSE)</f>
        <v>590.35</v>
      </c>
      <c r="H143" s="5">
        <f t="shared" si="8"/>
        <v>144.75198991500002</v>
      </c>
      <c r="I143" s="25">
        <f t="shared" si="9"/>
        <v>1.0978944246392841E-4</v>
      </c>
    </row>
    <row r="144" spans="1:9" x14ac:dyDescent="0.3">
      <c r="A144" s="23">
        <v>138</v>
      </c>
      <c r="B144" s="23" t="s">
        <v>1089</v>
      </c>
      <c r="C144" s="23" t="str">
        <f>VLOOKUP(B144,I!$A:$G,2,FALSE)</f>
        <v>SEINFRA</v>
      </c>
      <c r="D144" s="24" t="str">
        <f>VLOOKUP(B144,I!$A:$G,3,FALSE)</f>
        <v>PEDRISCO</v>
      </c>
      <c r="E144" s="23" t="str">
        <f>VLOOKUP(B144,I!$A:$G,4,FALSE)</f>
        <v>M3</v>
      </c>
      <c r="F144" s="23">
        <f>SUMIF(CPU!M:M,B144,CPU!O:O)+SUMIF(CPUAUX1!M:M,B144,CPUAUX1!O:O)+SUMIF(CPUAUX2!M:M,B144,CPUAUX2!O:O)+SUMIF(CPUAUX3!M:M,B144,CPUAUX3!O:O)+SUMIF(CPUAUX4!M:M,B144,CPUAUX4!O:O)+SUMIF(CPUAUX5!M:M,B144,CPUAUX5!O:O)</f>
        <v>1.30416</v>
      </c>
      <c r="G144" s="5">
        <f>VLOOKUP(B144,I!$A:$G,5,FALSE)</f>
        <v>100.5</v>
      </c>
      <c r="H144" s="5">
        <f t="shared" si="8"/>
        <v>131.06808000000001</v>
      </c>
      <c r="I144" s="25">
        <f t="shared" si="9"/>
        <v>9.9410663967158379E-5</v>
      </c>
    </row>
    <row r="145" spans="1:9" ht="28.8" x14ac:dyDescent="0.3">
      <c r="A145" s="23">
        <v>139</v>
      </c>
      <c r="B145" s="23">
        <v>3671</v>
      </c>
      <c r="C145" s="23" t="str">
        <f>VLOOKUP(B145,I!$A:$G,2,FALSE)</f>
        <v>SINAPI</v>
      </c>
      <c r="D145" s="24" t="str">
        <f>VLOOKUP(B145,I!$A:$G,3,FALSE)</f>
        <v>JUNTA PLASTICA DE DILATACAO PARA PISOS, COR CINZA, 17 X 3 MM (ALTURA X ESPESSURA)</v>
      </c>
      <c r="E145" s="23" t="str">
        <f>VLOOKUP(B145,I!$A:$G,4,FALSE)</f>
        <v>M</v>
      </c>
      <c r="F145" s="23">
        <f>SUMIF(CPU!M:M,B145,CPU!O:O)+SUMIF(CPUAUX1!M:M,B145,CPUAUX1!O:O)+SUMIF(CPUAUX2!M:M,B145,CPUAUX2!O:O)+SUMIF(CPUAUX3!M:M,B145,CPUAUX3!O:O)+SUMIF(CPUAUX4!M:M,B145,CPUAUX4!O:O)+SUMIF(CPUAUX5!M:M,B145,CPUAUX5!O:O)</f>
        <v>40.08</v>
      </c>
      <c r="G145" s="5">
        <f>VLOOKUP(B145,I!$A:$G,5,FALSE)</f>
        <v>3.15</v>
      </c>
      <c r="H145" s="5">
        <f t="shared" si="8"/>
        <v>126.252</v>
      </c>
      <c r="I145" s="25">
        <f t="shared" si="9"/>
        <v>9.5757831709915021E-5</v>
      </c>
    </row>
    <row r="146" spans="1:9" ht="28.8" x14ac:dyDescent="0.3">
      <c r="A146" s="23">
        <v>140</v>
      </c>
      <c r="B146" s="23">
        <v>1345</v>
      </c>
      <c r="C146" s="23" t="str">
        <f>VLOOKUP(B146,I!$A:$G,2,FALSE)</f>
        <v>SINAPI</v>
      </c>
      <c r="D146" s="24" t="str">
        <f>VLOOKUP(B146,I!$A:$G,3,FALSE)</f>
        <v>CHAPA/PAINEL DE MADEIRA COMPENSADA PLASTIFICADA (MADEIRITE PLASTIFICADO) PARA FORMA DE CONCRETO, DE 2200 X 1100 MM, E = *17* MM</v>
      </c>
      <c r="E146" s="23" t="str">
        <f>VLOOKUP(B146,I!$A:$G,4,FALSE)</f>
        <v>M2</v>
      </c>
      <c r="F146" s="23">
        <f>SUMIF(CPU!M:M,B146,CPU!O:O)+SUMIF(CPUAUX1!M:M,B146,CPUAUX1!O:O)+SUMIF(CPUAUX2!M:M,B146,CPUAUX2!O:O)+SUMIF(CPUAUX3!M:M,B146,CPUAUX3!O:O)+SUMIF(CPUAUX4!M:M,B146,CPUAUX4!O:O)+SUMIF(CPUAUX5!M:M,B146,CPUAUX5!O:O)</f>
        <v>1.14775674624</v>
      </c>
      <c r="G146" s="5">
        <f>VLOOKUP(B146,I!$A:$G,5,FALSE)</f>
        <v>108.83</v>
      </c>
      <c r="H146" s="5">
        <f t="shared" si="8"/>
        <v>124.9103666932992</v>
      </c>
      <c r="I146" s="25">
        <f t="shared" si="9"/>
        <v>9.4740248650640934E-5</v>
      </c>
    </row>
    <row r="147" spans="1:9" x14ac:dyDescent="0.3">
      <c r="A147" s="23">
        <v>141</v>
      </c>
      <c r="B147" s="23" t="s">
        <v>1088</v>
      </c>
      <c r="C147" s="23" t="str">
        <f>VLOOKUP(B147,I!$A:$G,2,FALSE)</f>
        <v>SEINFRA</v>
      </c>
      <c r="D147" s="24" t="str">
        <f>VLOOKUP(B147,I!$A:$G,3,FALSE)</f>
        <v>AREIA MEDIA</v>
      </c>
      <c r="E147" s="23" t="str">
        <f>VLOOKUP(B147,I!$A:$G,4,FALSE)</f>
        <v>M3</v>
      </c>
      <c r="F147" s="23">
        <f>SUMIF(CPU!M:M,B147,CPU!O:O)+SUMIF(CPUAUX1!M:M,B147,CPUAUX1!O:O)+SUMIF(CPUAUX2!M:M,B147,CPUAUX2!O:O)+SUMIF(CPUAUX3!M:M,B147,CPUAUX3!O:O)+SUMIF(CPUAUX4!M:M,B147,CPUAUX4!O:O)+SUMIF(CPUAUX5!M:M,B147,CPUAUX5!O:O)</f>
        <v>1.4347319999999999</v>
      </c>
      <c r="G147" s="5">
        <f>VLOOKUP(B147,I!$A:$G,5,FALSE)</f>
        <v>83.58</v>
      </c>
      <c r="H147" s="5">
        <f t="shared" si="8"/>
        <v>119.91490055999999</v>
      </c>
      <c r="I147" s="25">
        <f t="shared" si="9"/>
        <v>9.0951358135599238E-5</v>
      </c>
    </row>
    <row r="148" spans="1:9" x14ac:dyDescent="0.3">
      <c r="A148" s="23">
        <v>142</v>
      </c>
      <c r="B148" s="23">
        <v>378</v>
      </c>
      <c r="C148" s="23" t="str">
        <f>VLOOKUP(B148,I!$A:$G,2,FALSE)</f>
        <v>SINAPI</v>
      </c>
      <c r="D148" s="24" t="str">
        <f>VLOOKUP(B148,I!$A:$G,3,FALSE)</f>
        <v>ARMADOR (HORISTA)</v>
      </c>
      <c r="E148" s="23" t="str">
        <f>VLOOKUP(B148,I!$A:$G,4,FALSE)</f>
        <v>H</v>
      </c>
      <c r="F148" s="23">
        <f>SUMIF(CPU!M:M,B148,CPU!O:O)+SUMIF(CPUAUX1!M:M,B148,CPUAUX1!O:O)+SUMIF(CPUAUX2!M:M,B148,CPUAUX2!O:O)+SUMIF(CPUAUX3!M:M,B148,CPUAUX3!O:O)+SUMIF(CPUAUX4!M:M,B148,CPUAUX4!O:O)+SUMIF(CPUAUX5!M:M,B148,CPUAUX5!O:O)</f>
        <v>5.7015958841078413</v>
      </c>
      <c r="G148" s="5">
        <f>VLOOKUP(B148,I!$A:$G,5,FALSE)</f>
        <v>20.329999999999998</v>
      </c>
      <c r="H148" s="5">
        <f t="shared" si="8"/>
        <v>115.9134443239124</v>
      </c>
      <c r="I148" s="25">
        <f t="shared" si="9"/>
        <v>8.7916390191726141E-5</v>
      </c>
    </row>
    <row r="149" spans="1:9" ht="28.8" x14ac:dyDescent="0.3">
      <c r="A149" s="23">
        <v>143</v>
      </c>
      <c r="B149" s="23">
        <v>34557</v>
      </c>
      <c r="C149" s="23" t="str">
        <f>VLOOKUP(B149,I!$A:$G,2,FALSE)</f>
        <v>SINAPI</v>
      </c>
      <c r="D149" s="24" t="str">
        <f>VLOOKUP(B149,I!$A:$G,3,FALSE)</f>
        <v>TELA DE ACO SOLDADA GALVANIZADA/ZINCADA PARA ALVENARIA, FIO D = *1,20 A 1,70* MM, MALHA 15 X 15 MM, (C X L) *50 X 7,5* CM</v>
      </c>
      <c r="E149" s="23" t="str">
        <f>VLOOKUP(B149,I!$A:$G,4,FALSE)</f>
        <v>M</v>
      </c>
      <c r="F149" s="23">
        <f>SUMIF(CPU!M:M,B149,CPU!O:O)+SUMIF(CPUAUX1!M:M,B149,CPUAUX1!O:O)+SUMIF(CPUAUX2!M:M,B149,CPUAUX2!O:O)+SUMIF(CPUAUX3!M:M,B149,CPUAUX3!O:O)+SUMIF(CPUAUX4!M:M,B149,CPUAUX4!O:O)+SUMIF(CPUAUX5!M:M,B149,CPUAUX5!O:O)</f>
        <v>48.661200000000001</v>
      </c>
      <c r="G149" s="5">
        <f>VLOOKUP(B149,I!$A:$G,5,FALSE)</f>
        <v>2.3199999999999998</v>
      </c>
      <c r="H149" s="5">
        <f t="shared" si="8"/>
        <v>112.89398399999999</v>
      </c>
      <c r="I149" s="25">
        <f t="shared" si="9"/>
        <v>8.5626232621533428E-5</v>
      </c>
    </row>
    <row r="150" spans="1:9" x14ac:dyDescent="0.3">
      <c r="A150" s="23">
        <v>144</v>
      </c>
      <c r="B150" s="23">
        <v>9869</v>
      </c>
      <c r="C150" s="23" t="str">
        <f>VLOOKUP(B150,I!$A:$G,2,FALSE)</f>
        <v>SINAPI</v>
      </c>
      <c r="D150" s="24" t="str">
        <f>VLOOKUP(B150,I!$A:$G,3,FALSE)</f>
        <v>TUBO PVC, SOLDAVEL, DE 32 MM, AGUA FRIA (NBR-5648)</v>
      </c>
      <c r="E150" s="23" t="str">
        <f>VLOOKUP(B150,I!$A:$G,4,FALSE)</f>
        <v>M</v>
      </c>
      <c r="F150" s="23">
        <f>SUMIF(CPU!M:M,B150,CPU!O:O)+SUMIF(CPUAUX1!M:M,B150,CPUAUX1!O:O)+SUMIF(CPUAUX2!M:M,B150,CPUAUX2!O:O)+SUMIF(CPUAUX3!M:M,B150,CPUAUX3!O:O)+SUMIF(CPUAUX4!M:M,B150,CPUAUX4!O:O)+SUMIF(CPUAUX5!M:M,B150,CPUAUX5!O:O)</f>
        <v>12</v>
      </c>
      <c r="G150" s="5">
        <f>VLOOKUP(B150,I!$A:$G,5,FALSE)</f>
        <v>8.9499999999999993</v>
      </c>
      <c r="H150" s="5">
        <f t="shared" si="8"/>
        <v>107.39999999999999</v>
      </c>
      <c r="I150" s="25">
        <f t="shared" si="9"/>
        <v>8.1459233324183956E-5</v>
      </c>
    </row>
    <row r="151" spans="1:9" ht="28.8" x14ac:dyDescent="0.3">
      <c r="A151" s="23">
        <v>145</v>
      </c>
      <c r="B151" s="23">
        <v>6193</v>
      </c>
      <c r="C151" s="23" t="str">
        <f>VLOOKUP(B151,I!$A:$G,2,FALSE)</f>
        <v>SINAPI</v>
      </c>
      <c r="D151" s="24" t="str">
        <f>VLOOKUP(B151,I!$A:$G,3,FALSE)</f>
        <v>TABUA NAO APARELHADA *2,5 X 20* CM, EM MACARANDUBA/MASSARANDUBA, ANGELIM OU EQUIVALENTE DA REGIAO - BRUTA</v>
      </c>
      <c r="E151" s="23" t="str">
        <f>VLOOKUP(B151,I!$A:$G,4,FALSE)</f>
        <v>M</v>
      </c>
      <c r="F151" s="23">
        <f>SUMIF(CPU!M:M,B151,CPU!O:O)+SUMIF(CPUAUX1!M:M,B151,CPUAUX1!O:O)+SUMIF(CPUAUX2!M:M,B151,CPUAUX2!O:O)+SUMIF(CPUAUX3!M:M,B151,CPUAUX3!O:O)+SUMIF(CPUAUX4!M:M,B151,CPUAUX4!O:O)+SUMIF(CPUAUX5!M:M,B151,CPUAUX5!O:O)</f>
        <v>7.1707917600000002</v>
      </c>
      <c r="G151" s="5">
        <f>VLOOKUP(B151,I!$A:$G,5,FALSE)</f>
        <v>14.13</v>
      </c>
      <c r="H151" s="5">
        <f t="shared" si="8"/>
        <v>101.32328756880001</v>
      </c>
      <c r="I151" s="25">
        <f t="shared" si="9"/>
        <v>7.6850254406333969E-5</v>
      </c>
    </row>
    <row r="152" spans="1:9" x14ac:dyDescent="0.3">
      <c r="A152" s="23">
        <v>146</v>
      </c>
      <c r="B152" s="23" t="s">
        <v>1020</v>
      </c>
      <c r="C152" s="23" t="str">
        <f>VLOOKUP(B152,I!$A:$G,2,FALSE)</f>
        <v>PRÓPRIA</v>
      </c>
      <c r="D152" s="24" t="str">
        <f>VLOOKUP(B152,I!$A:$G,3,FALSE)</f>
        <v>HIPOCLORITO DE SÓDIO</v>
      </c>
      <c r="E152" s="23" t="str">
        <f>VLOOKUP(B152,I!$A:$G,4,FALSE)</f>
        <v>L</v>
      </c>
      <c r="F152" s="23">
        <f>SUMIF(CPU!M:M,B152,CPU!O:O)+SUMIF(CPUAUX1!M:M,B152,CPUAUX1!O:O)+SUMIF(CPUAUX2!M:M,B152,CPUAUX2!O:O)+SUMIF(CPUAUX3!M:M,B152,CPUAUX3!O:O)+SUMIF(CPUAUX4!M:M,B152,CPUAUX4!O:O)+SUMIF(CPUAUX5!M:M,B152,CPUAUX5!O:O)</f>
        <v>24</v>
      </c>
      <c r="G152" s="5">
        <f>VLOOKUP(B152,I!$A:$G,5,FALSE)</f>
        <v>4.2</v>
      </c>
      <c r="H152" s="5">
        <f t="shared" si="8"/>
        <v>100.80000000000001</v>
      </c>
      <c r="I152" s="25">
        <f t="shared" si="9"/>
        <v>7.6453358650630768E-5</v>
      </c>
    </row>
    <row r="153" spans="1:9" x14ac:dyDescent="0.3">
      <c r="A153" s="23">
        <v>147</v>
      </c>
      <c r="B153" s="23">
        <v>20247</v>
      </c>
      <c r="C153" s="23" t="str">
        <f>VLOOKUP(B153,I!$A:$G,2,FALSE)</f>
        <v>SINAPI</v>
      </c>
      <c r="D153" s="24" t="str">
        <f>VLOOKUP(B153,I!$A:$G,3,FALSE)</f>
        <v>PREGO DE ACO POLIDO COM CABECA 15 X 15 (1 1/4 X 13)</v>
      </c>
      <c r="E153" s="23" t="str">
        <f>VLOOKUP(B153,I!$A:$G,4,FALSE)</f>
        <v>KG</v>
      </c>
      <c r="F153" s="23">
        <f>SUMIF(CPU!M:M,B153,CPU!O:O)+SUMIF(CPUAUX1!M:M,B153,CPUAUX1!O:O)+SUMIF(CPUAUX2!M:M,B153,CPUAUX2!O:O)+SUMIF(CPUAUX3!M:M,B153,CPUAUX3!O:O)+SUMIF(CPUAUX4!M:M,B153,CPUAUX4!O:O)+SUMIF(CPUAUX5!M:M,B153,CPUAUX5!O:O)</f>
        <v>4.2966000000000015</v>
      </c>
      <c r="G153" s="5">
        <f>VLOOKUP(B153,I!$A:$G,5,FALSE)</f>
        <v>22.53</v>
      </c>
      <c r="H153" s="5">
        <f t="shared" si="8"/>
        <v>96.802398000000039</v>
      </c>
      <c r="I153" s="25">
        <f t="shared" si="9"/>
        <v>7.3421314013245094E-5</v>
      </c>
    </row>
    <row r="154" spans="1:9" ht="28.8" x14ac:dyDescent="0.3">
      <c r="A154" s="23">
        <v>148</v>
      </c>
      <c r="B154" s="23">
        <v>43459</v>
      </c>
      <c r="C154" s="23" t="str">
        <f>VLOOKUP(B154,I!$A:$G,2,FALSE)</f>
        <v>SINAPI</v>
      </c>
      <c r="D154" s="24" t="str">
        <f>VLOOKUP(B154,I!$A:$G,3,FALSE)</f>
        <v>FERRAMENTAS - FAMILIA CARPINTEIRO DE FORMAS - HORISTA (ENCARGOS COMPLEMENTARES - COLETADO CAIXA)</v>
      </c>
      <c r="E154" s="23" t="str">
        <f>VLOOKUP(B154,I!$A:$G,4,FALSE)</f>
        <v>H</v>
      </c>
      <c r="F154" s="23">
        <f>SUMIF(CPU!M:M,B154,CPU!O:O)+SUMIF(CPUAUX1!M:M,B154,CPUAUX1!O:O)+SUMIF(CPUAUX2!M:M,B154,CPUAUX2!O:O)+SUMIF(CPUAUX3!M:M,B154,CPUAUX3!O:O)+SUMIF(CPUAUX4!M:M,B154,CPUAUX4!O:O)+SUMIF(CPUAUX5!M:M,B154,CPUAUX5!O:O)</f>
        <v>211.72708074972002</v>
      </c>
      <c r="G154" s="5">
        <f>VLOOKUP(B154,I!$A:$G,5,FALSE)</f>
        <v>0.44</v>
      </c>
      <c r="H154" s="5">
        <f t="shared" si="8"/>
        <v>93.159915529876812</v>
      </c>
      <c r="I154" s="25">
        <f t="shared" si="9"/>
        <v>7.0658615415358512E-5</v>
      </c>
    </row>
    <row r="155" spans="1:9" x14ac:dyDescent="0.3">
      <c r="A155" s="23">
        <v>149</v>
      </c>
      <c r="B155" s="23" t="s">
        <v>1093</v>
      </c>
      <c r="C155" s="23" t="str">
        <f>VLOOKUP(B155,I!$A:$G,2,FALSE)</f>
        <v>SEINFRA</v>
      </c>
      <c r="D155" s="24" t="str">
        <f>VLOOKUP(B155,I!$A:$G,3,FALSE)</f>
        <v>TABUA DE 1" DE 3A. - L = 30CM</v>
      </c>
      <c r="E155" s="23" t="str">
        <f>VLOOKUP(B155,I!$A:$G,4,FALSE)</f>
        <v>M</v>
      </c>
      <c r="F155" s="23">
        <f>SUMIF(CPU!M:M,B155,CPU!O:O)+SUMIF(CPUAUX1!M:M,B155,CPUAUX1!O:O)+SUMIF(CPUAUX2!M:M,B155,CPUAUX2!O:O)+SUMIF(CPUAUX3!M:M,B155,CPUAUX3!O:O)+SUMIF(CPUAUX4!M:M,B155,CPUAUX4!O:O)+SUMIF(CPUAUX5!M:M,B155,CPUAUX5!O:O)</f>
        <v>6.24</v>
      </c>
      <c r="G155" s="5">
        <f>VLOOKUP(B155,I!$A:$G,5,FALSE)</f>
        <v>12.77</v>
      </c>
      <c r="H155" s="5">
        <f t="shared" si="8"/>
        <v>79.684799999999996</v>
      </c>
      <c r="I155" s="25">
        <f t="shared" si="9"/>
        <v>6.0438200331386726E-5</v>
      </c>
    </row>
    <row r="156" spans="1:9" ht="28.8" x14ac:dyDescent="0.3">
      <c r="A156" s="23">
        <v>150</v>
      </c>
      <c r="B156" s="23">
        <v>39017</v>
      </c>
      <c r="C156" s="23" t="str">
        <f>VLOOKUP(B156,I!$A:$G,2,FALSE)</f>
        <v>SINAPI</v>
      </c>
      <c r="D156" s="24" t="str">
        <f>VLOOKUP(B156,I!$A:$G,3,FALSE)</f>
        <v>ESPACADOR / DISTANCIADOR CIRCULAR COM ENTRADA LATERAL, EM PLASTICO, PARA VERGALHAO *4,2 A 12,5* MM, COBRIMENTO 20 MM</v>
      </c>
      <c r="E156" s="23" t="str">
        <f>VLOOKUP(B156,I!$A:$G,4,FALSE)</f>
        <v>UN</v>
      </c>
      <c r="F156" s="23">
        <f>SUMIF(CPU!M:M,B156,CPU!O:O)+SUMIF(CPUAUX1!M:M,B156,CPUAUX1!O:O)+SUMIF(CPUAUX2!M:M,B156,CPUAUX2!O:O)+SUMIF(CPUAUX3!M:M,B156,CPUAUX3!O:O)+SUMIF(CPUAUX4!M:M,B156,CPUAUX4!O:O)+SUMIF(CPUAUX5!M:M,B156,CPUAUX5!O:O)</f>
        <v>352.73715480000004</v>
      </c>
      <c r="G156" s="5">
        <f>VLOOKUP(B156,I!$A:$G,5,FALSE)</f>
        <v>0.22</v>
      </c>
      <c r="H156" s="5">
        <f t="shared" si="8"/>
        <v>77.60217405600001</v>
      </c>
      <c r="I156" s="25">
        <f t="shared" si="9"/>
        <v>5.8858599654484547E-5</v>
      </c>
    </row>
    <row r="157" spans="1:9" x14ac:dyDescent="0.3">
      <c r="A157" s="23">
        <v>151</v>
      </c>
      <c r="B157" s="23">
        <v>367</v>
      </c>
      <c r="C157" s="23" t="str">
        <f>VLOOKUP(B157,I!$A:$G,2,FALSE)</f>
        <v>SINAPI</v>
      </c>
      <c r="D157" s="24" t="str">
        <f>VLOOKUP(B157,I!$A:$G,3,FALSE)</f>
        <v>AREIA GROSSA - POSTO JAZIDA/FORNECEDOR (RETIRADO NA JAZIDA, SEM TRANSPORTE)</v>
      </c>
      <c r="E157" s="23" t="str">
        <f>VLOOKUP(B157,I!$A:$G,4,FALSE)</f>
        <v>M3</v>
      </c>
      <c r="F157" s="23">
        <f>SUMIF(CPU!M:M,B157,CPU!O:O)+SUMIF(CPUAUX1!M:M,B157,CPUAUX1!O:O)+SUMIF(CPUAUX2!M:M,B157,CPUAUX2!O:O)+SUMIF(CPUAUX3!M:M,B157,CPUAUX3!O:O)+SUMIF(CPUAUX4!M:M,B157,CPUAUX4!O:O)+SUMIF(CPUAUX5!M:M,B157,CPUAUX5!O:O)</f>
        <v>0.80592215999999994</v>
      </c>
      <c r="G157" s="5">
        <f>VLOOKUP(B157,I!$A:$G,5,FALSE)</f>
        <v>91.17</v>
      </c>
      <c r="H157" s="5">
        <f t="shared" si="8"/>
        <v>73.475923327199993</v>
      </c>
      <c r="I157" s="25">
        <f t="shared" si="9"/>
        <v>5.5728979348419329E-5</v>
      </c>
    </row>
    <row r="158" spans="1:9" x14ac:dyDescent="0.3">
      <c r="A158" s="23">
        <v>152</v>
      </c>
      <c r="B158" s="23">
        <v>4893</v>
      </c>
      <c r="C158" s="23" t="str">
        <f>VLOOKUP(B158,I!$A:$G,2,FALSE)</f>
        <v>SINAPI</v>
      </c>
      <c r="D158" s="24" t="str">
        <f>VLOOKUP(B158,I!$A:$G,3,FALSE)</f>
        <v>PLUG OU BUJAO DE FERRO GALVANIZADO, DE 1 1/2"</v>
      </c>
      <c r="E158" s="23" t="str">
        <f>VLOOKUP(B158,I!$A:$G,4,FALSE)</f>
        <v>UN</v>
      </c>
      <c r="F158" s="23">
        <f>SUMIF(CPU!M:M,B158,CPU!O:O)+SUMIF(CPUAUX1!M:M,B158,CPUAUX1!O:O)+SUMIF(CPUAUX2!M:M,B158,CPUAUX2!O:O)+SUMIF(CPUAUX3!M:M,B158,CPUAUX3!O:O)+SUMIF(CPUAUX4!M:M,B158,CPUAUX4!O:O)+SUMIF(CPUAUX5!M:M,B158,CPUAUX5!O:O)</f>
        <v>6</v>
      </c>
      <c r="G158" s="5">
        <f>VLOOKUP(B158,I!$A:$G,5,FALSE)</f>
        <v>12.09</v>
      </c>
      <c r="H158" s="5">
        <f t="shared" si="8"/>
        <v>72.539999999999992</v>
      </c>
      <c r="I158" s="25">
        <f t="shared" si="9"/>
        <v>5.5019113457507491E-5</v>
      </c>
    </row>
    <row r="159" spans="1:9" x14ac:dyDescent="0.3">
      <c r="A159" s="23">
        <v>153</v>
      </c>
      <c r="B159" s="23">
        <v>43056</v>
      </c>
      <c r="C159" s="23" t="str">
        <f>VLOOKUP(B159,I!$A:$G,2,FALSE)</f>
        <v>SINAPI</v>
      </c>
      <c r="D159" s="24" t="str">
        <f>VLOOKUP(B159,I!$A:$G,3,FALSE)</f>
        <v>ACO CA-50, 20,0 MM OU 25,0 MM, VERGALHAO</v>
      </c>
      <c r="E159" s="23" t="str">
        <f>VLOOKUP(B159,I!$A:$G,4,FALSE)</f>
        <v>KG</v>
      </c>
      <c r="F159" s="23">
        <f>SUMIF(CPU!M:M,B159,CPU!O:O)+SUMIF(CPUAUX1!M:M,B159,CPUAUX1!O:O)+SUMIF(CPUAUX2!M:M,B159,CPUAUX2!O:O)+SUMIF(CPUAUX3!M:M,B159,CPUAUX3!O:O)+SUMIF(CPUAUX4!M:M,B159,CPUAUX4!O:O)+SUMIF(CPUAUX5!M:M,B159,CPUAUX5!O:O)</f>
        <v>8.7505488000000007</v>
      </c>
      <c r="G159" s="5">
        <f>VLOOKUP(B159,I!$A:$G,5,FALSE)</f>
        <v>8.1999999999999993</v>
      </c>
      <c r="H159" s="5">
        <f t="shared" si="8"/>
        <v>71.754500160000006</v>
      </c>
      <c r="I159" s="25">
        <f t="shared" si="9"/>
        <v>5.4423338646123239E-5</v>
      </c>
    </row>
    <row r="160" spans="1:9" x14ac:dyDescent="0.3">
      <c r="A160" s="23">
        <v>154</v>
      </c>
      <c r="B160" s="23">
        <v>39027</v>
      </c>
      <c r="C160" s="23" t="str">
        <f>VLOOKUP(B160,I!$A:$G,2,FALSE)</f>
        <v>SINAPI</v>
      </c>
      <c r="D160" s="24" t="str">
        <f>VLOOKUP(B160,I!$A:$G,3,FALSE)</f>
        <v>PREGO DE ACO POLIDO COM CABECA 19 X 36 (3 1/4 X 9)</v>
      </c>
      <c r="E160" s="23" t="str">
        <f>VLOOKUP(B160,I!$A:$G,4,FALSE)</f>
        <v>KG</v>
      </c>
      <c r="F160" s="23">
        <f>SUMIF(CPU!M:M,B160,CPU!O:O)+SUMIF(CPUAUX1!M:M,B160,CPUAUX1!O:O)+SUMIF(CPUAUX2!M:M,B160,CPUAUX2!O:O)+SUMIF(CPUAUX3!M:M,B160,CPUAUX3!O:O)+SUMIF(CPUAUX4!M:M,B160,CPUAUX4!O:O)+SUMIF(CPUAUX5!M:M,B160,CPUAUX5!O:O)</f>
        <v>3.0690000000000008</v>
      </c>
      <c r="G160" s="5">
        <f>VLOOKUP(B160,I!$A:$G,5,FALSE)</f>
        <v>20.32</v>
      </c>
      <c r="H160" s="5">
        <f t="shared" si="8"/>
        <v>62.36208000000002</v>
      </c>
      <c r="I160" s="25">
        <f t="shared" si="9"/>
        <v>4.7299508615469534E-5</v>
      </c>
    </row>
    <row r="161" spans="1:9" x14ac:dyDescent="0.3">
      <c r="A161" s="23">
        <v>155</v>
      </c>
      <c r="B161" s="23" t="s">
        <v>1026</v>
      </c>
      <c r="C161" s="23" t="str">
        <f>VLOOKUP(B161,I!$A:$G,2,FALSE)</f>
        <v>ORSE</v>
      </c>
      <c r="D161" s="24" t="str">
        <f>VLOOKUP(B161,I!$A:$G,3,FALSE)</f>
        <v>LUVA PVC RIGIDO ROSCAVEL D=1 "</v>
      </c>
      <c r="E161" s="23" t="str">
        <f>VLOOKUP(B161,I!$A:$G,4,FALSE)</f>
        <v>UN</v>
      </c>
      <c r="F161" s="23">
        <f>SUMIF(CPU!M:M,B161,CPU!O:O)+SUMIF(CPUAUX1!M:M,B161,CPUAUX1!O:O)+SUMIF(CPUAUX2!M:M,B161,CPUAUX2!O:O)+SUMIF(CPUAUX3!M:M,B161,CPUAUX3!O:O)+SUMIF(CPUAUX4!M:M,B161,CPUAUX4!O:O)+SUMIF(CPUAUX5!M:M,B161,CPUAUX5!O:O)</f>
        <v>12</v>
      </c>
      <c r="G161" s="5">
        <f>VLOOKUP(B161,I!$A:$G,5,FALSE)</f>
        <v>4.4800000000000004</v>
      </c>
      <c r="H161" s="5">
        <f t="shared" si="8"/>
        <v>53.760000000000005</v>
      </c>
      <c r="I161" s="25">
        <f t="shared" si="9"/>
        <v>4.077512461366974E-5</v>
      </c>
    </row>
    <row r="162" spans="1:9" x14ac:dyDescent="0.3">
      <c r="A162" s="23">
        <v>156</v>
      </c>
      <c r="B162" s="23">
        <v>32</v>
      </c>
      <c r="C162" s="23" t="str">
        <f>VLOOKUP(B162,I!$A:$G,2,FALSE)</f>
        <v>SINAPI</v>
      </c>
      <c r="D162" s="24" t="str">
        <f>VLOOKUP(B162,I!$A:$G,3,FALSE)</f>
        <v>ACO CA-50, 6,3 MM, VERGALHAO</v>
      </c>
      <c r="E162" s="23" t="str">
        <f>VLOOKUP(B162,I!$A:$G,4,FALSE)</f>
        <v>KG</v>
      </c>
      <c r="F162" s="23">
        <f>SUMIF(CPU!M:M,B162,CPU!O:O)+SUMIF(CPUAUX1!M:M,B162,CPUAUX1!O:O)+SUMIF(CPUAUX2!M:M,B162,CPUAUX2!O:O)+SUMIF(CPUAUX3!M:M,B162,CPUAUX3!O:O)+SUMIF(CPUAUX4!M:M,B162,CPUAUX4!O:O)+SUMIF(CPUAUX5!M:M,B162,CPUAUX5!O:O)</f>
        <v>5.8215276000000005</v>
      </c>
      <c r="G162" s="5">
        <f>VLOOKUP(B162,I!$A:$G,5,FALSE)</f>
        <v>8.66</v>
      </c>
      <c r="H162" s="5">
        <f t="shared" si="8"/>
        <v>50.414429016000007</v>
      </c>
      <c r="I162" s="25">
        <f t="shared" si="9"/>
        <v>3.823762324133943E-5</v>
      </c>
    </row>
    <row r="163" spans="1:9" x14ac:dyDescent="0.3">
      <c r="A163" s="23">
        <v>157</v>
      </c>
      <c r="B163" s="23">
        <v>7356</v>
      </c>
      <c r="C163" s="23" t="str">
        <f>VLOOKUP(B163,I!$A:$G,2,FALSE)</f>
        <v>SINAPI</v>
      </c>
      <c r="D163" s="24" t="str">
        <f>VLOOKUP(B163,I!$A:$G,3,FALSE)</f>
        <v>TINTA LATEX ACRILICA PREMIUM, COR BRANCO FOSCO</v>
      </c>
      <c r="E163" s="23" t="str">
        <f>VLOOKUP(B163,I!$A:$G,4,FALSE)</f>
        <v>L</v>
      </c>
      <c r="F163" s="23">
        <f>SUMIF(CPU!M:M,B163,CPU!O:O)+SUMIF(CPUAUX1!M:M,B163,CPUAUX1!O:O)+SUMIF(CPUAUX2!M:M,B163,CPUAUX2!O:O)+SUMIF(CPUAUX3!M:M,B163,CPUAUX3!O:O)+SUMIF(CPUAUX4!M:M,B163,CPUAUX4!O:O)+SUMIF(CPUAUX5!M:M,B163,CPUAUX5!O:O)</f>
        <v>1.5667200000000001</v>
      </c>
      <c r="G163" s="5">
        <f>VLOOKUP(B163,I!$A:$G,5,FALSE)</f>
        <v>29.79</v>
      </c>
      <c r="H163" s="5">
        <f t="shared" si="8"/>
        <v>46.6725888</v>
      </c>
      <c r="I163" s="25">
        <f t="shared" si="9"/>
        <v>3.5399565185315599E-5</v>
      </c>
    </row>
    <row r="164" spans="1:9" ht="28.8" x14ac:dyDescent="0.3">
      <c r="A164" s="23">
        <v>158</v>
      </c>
      <c r="B164" s="23">
        <v>10535</v>
      </c>
      <c r="C164" s="23" t="str">
        <f>VLOOKUP(B164,I!$A:$G,2,FALSE)</f>
        <v>SINAPI</v>
      </c>
      <c r="D164" s="24" t="str">
        <f>VLOOKUP(B164,I!$A:$G,3,FALSE)</f>
        <v>BETONEIRA CAPACIDADE NOMINAL 400 L, CAPACIDADE DE MISTURA 280 L, MOTOR ELETRICO TRIFASICO 220/380 V POTENCIA 2 CV, SEM CARREGADOR</v>
      </c>
      <c r="E164" s="23" t="str">
        <f>VLOOKUP(B164,I!$A:$G,4,FALSE)</f>
        <v>UN</v>
      </c>
      <c r="F164" s="23">
        <f>SUMIF(CPU!M:M,B164,CPU!O:O)+SUMIF(CPUAUX1!M:M,B164,CPUAUX1!O:O)+SUMIF(CPUAUX2!M:M,B164,CPUAUX2!O:O)+SUMIF(CPUAUX3!M:M,B164,CPUAUX3!O:O)+SUMIF(CPUAUX4!M:M,B164,CPUAUX4!O:O)+SUMIF(CPUAUX5!M:M,B164,CPUAUX5!O:O)</f>
        <v>7.4013148465044004E-3</v>
      </c>
      <c r="G164" s="5">
        <f>VLOOKUP(B164,I!$A:$G,5,FALSE)</f>
        <v>6387.62</v>
      </c>
      <c r="H164" s="5">
        <f t="shared" si="8"/>
        <v>47.276786739828438</v>
      </c>
      <c r="I164" s="25">
        <f t="shared" si="9"/>
        <v>3.5857828695133808E-5</v>
      </c>
    </row>
    <row r="165" spans="1:9" ht="28.8" x14ac:dyDescent="0.3">
      <c r="A165" s="23">
        <v>159</v>
      </c>
      <c r="B165" s="23">
        <v>43132</v>
      </c>
      <c r="C165" s="23" t="str">
        <f>VLOOKUP(B165,I!$A:$G,2,FALSE)</f>
        <v>SINAPI</v>
      </c>
      <c r="D165" s="24" t="str">
        <f>VLOOKUP(B165,I!$A:$G,3,FALSE)</f>
        <v>ARAME RECOZIDO 16 BWG, D = 1,65 MM (0,016 KG/M) OU 18 BWG, D = 1,25 MM (0,01 KG/M)</v>
      </c>
      <c r="E165" s="23" t="str">
        <f>VLOOKUP(B165,I!$A:$G,4,FALSE)</f>
        <v>KG</v>
      </c>
      <c r="F165" s="23">
        <f>SUMIF(CPU!M:M,B165,CPU!O:O)+SUMIF(CPUAUX1!M:M,B165,CPUAUX1!O:O)+SUMIF(CPUAUX2!M:M,B165,CPUAUX2!O:O)+SUMIF(CPUAUX3!M:M,B165,CPUAUX3!O:O)+SUMIF(CPUAUX4!M:M,B165,CPUAUX4!O:O)+SUMIF(CPUAUX5!M:M,B165,CPUAUX5!O:O)</f>
        <v>2.0828340000000005</v>
      </c>
      <c r="G165" s="5">
        <f>VLOOKUP(B165,I!$A:$G,5,FALSE)</f>
        <v>22.18</v>
      </c>
      <c r="H165" s="5">
        <f t="shared" si="8"/>
        <v>46.197258120000008</v>
      </c>
      <c r="I165" s="25">
        <f t="shared" si="9"/>
        <v>3.5039043092501235E-5</v>
      </c>
    </row>
    <row r="166" spans="1:9" x14ac:dyDescent="0.3">
      <c r="A166" s="23">
        <v>160</v>
      </c>
      <c r="B166" s="23">
        <v>43059</v>
      </c>
      <c r="C166" s="23" t="str">
        <f>VLOOKUP(B166,I!$A:$G,2,FALSE)</f>
        <v>SINAPI</v>
      </c>
      <c r="D166" s="24" t="str">
        <f>VLOOKUP(B166,I!$A:$G,3,FALSE)</f>
        <v>ACO CA-60, 4,2 MM, OU 5,0 MM, OU 6,0 MM, OU 7,0 MM, VERGALHAO</v>
      </c>
      <c r="E166" s="23" t="str">
        <f>VLOOKUP(B166,I!$A:$G,4,FALSE)</f>
        <v>KG</v>
      </c>
      <c r="F166" s="23">
        <f>SUMIF(CPU!M:M,B166,CPU!O:O)+SUMIF(CPUAUX1!M:M,B166,CPUAUX1!O:O)+SUMIF(CPUAUX2!M:M,B166,CPUAUX2!O:O)+SUMIF(CPUAUX3!M:M,B166,CPUAUX3!O:O)+SUMIF(CPUAUX4!M:M,B166,CPUAUX4!O:O)+SUMIF(CPUAUX5!M:M,B166,CPUAUX5!O:O)</f>
        <v>5.7026934000000011</v>
      </c>
      <c r="G166" s="5">
        <f>VLOOKUP(B166,I!$A:$G,5,FALSE)</f>
        <v>7.77</v>
      </c>
      <c r="H166" s="5">
        <f t="shared" si="8"/>
        <v>44.309927718000004</v>
      </c>
      <c r="I166" s="25">
        <f t="shared" si="9"/>
        <v>3.3607567416743845E-5</v>
      </c>
    </row>
    <row r="167" spans="1:9" x14ac:dyDescent="0.3">
      <c r="A167" s="23">
        <v>161</v>
      </c>
      <c r="B167" s="23">
        <v>108</v>
      </c>
      <c r="C167" s="23" t="str">
        <f>VLOOKUP(B167,I!$A:$G,2,FALSE)</f>
        <v>SINAPI</v>
      </c>
      <c r="D167" s="24" t="str">
        <f>VLOOKUP(B167,I!$A:$G,3,FALSE)</f>
        <v>ADAPTADOR PVC SOLDAVEL CURTO COM BOLSA E ROSCA, 32 MM X 1", PARA AGUA FRIA</v>
      </c>
      <c r="E167" s="23" t="str">
        <f>VLOOKUP(B167,I!$A:$G,4,FALSE)</f>
        <v>UN</v>
      </c>
      <c r="F167" s="23">
        <f>SUMIF(CPU!M:M,B167,CPU!O:O)+SUMIF(CPUAUX1!M:M,B167,CPUAUX1!O:O)+SUMIF(CPUAUX2!M:M,B167,CPUAUX2!O:O)+SUMIF(CPUAUX3!M:M,B167,CPUAUX3!O:O)+SUMIF(CPUAUX4!M:M,B167,CPUAUX4!O:O)+SUMIF(CPUAUX5!M:M,B167,CPUAUX5!O:O)</f>
        <v>24</v>
      </c>
      <c r="G167" s="5">
        <f>VLOOKUP(B167,I!$A:$G,5,FALSE)</f>
        <v>1.79</v>
      </c>
      <c r="H167" s="5">
        <f t="shared" ref="H167:H198" si="10">F167*G167</f>
        <v>42.96</v>
      </c>
      <c r="I167" s="25">
        <f t="shared" ref="I167:I198" si="11">H167/$H$202</f>
        <v>3.2583693329673584E-5</v>
      </c>
    </row>
    <row r="168" spans="1:9" x14ac:dyDescent="0.3">
      <c r="A168" s="23">
        <v>162</v>
      </c>
      <c r="B168" s="23">
        <v>2705</v>
      </c>
      <c r="C168" s="23" t="str">
        <f>VLOOKUP(B168,I!$A:$G,2,FALSE)</f>
        <v>SINAPI</v>
      </c>
      <c r="D168" s="24" t="str">
        <f>VLOOKUP(B168,I!$A:$G,3,FALSE)</f>
        <v>ENERGIA ELETRICA ATE 2000 KWH INDUSTRIAL, SEM DEMANDA</v>
      </c>
      <c r="E168" s="23" t="str">
        <f>VLOOKUP(B168,I!$A:$G,4,FALSE)</f>
        <v>KWH</v>
      </c>
      <c r="F168" s="23">
        <f>SUMIF(CPU!M:M,B168,CPU!O:O)+SUMIF(CPUAUX1!M:M,B168,CPUAUX1!O:O)+SUMIF(CPUAUX2!M:M,B168,CPUAUX2!O:O)+SUMIF(CPUAUX3!M:M,B168,CPUAUX3!O:O)+SUMIF(CPUAUX4!M:M,B168,CPUAUX4!O:O)+SUMIF(CPUAUX5!M:M,B168,CPUAUX5!O:O)</f>
        <v>39.749033822422803</v>
      </c>
      <c r="G168" s="5">
        <f>VLOOKUP(B168,I!$A:$G,5,FALSE)</f>
        <v>1.1000000000000001</v>
      </c>
      <c r="H168" s="5">
        <f t="shared" si="10"/>
        <v>43.723937204665084</v>
      </c>
      <c r="I168" s="25">
        <f t="shared" si="11"/>
        <v>3.3163113618312676E-5</v>
      </c>
    </row>
    <row r="169" spans="1:9" x14ac:dyDescent="0.3">
      <c r="A169" s="23">
        <v>163</v>
      </c>
      <c r="B169" s="23">
        <v>4509</v>
      </c>
      <c r="C169" s="23" t="str">
        <f>VLOOKUP(B169,I!$A:$G,2,FALSE)</f>
        <v>SINAPI</v>
      </c>
      <c r="D169" s="24" t="str">
        <f>VLOOKUP(B169,I!$A:$G,3,FALSE)</f>
        <v>SARRAFO *2,5 X 10* CM EM PINUS, MISTA OU EQUIVALENTE DA REGIAO - BRUTA</v>
      </c>
      <c r="E169" s="23" t="str">
        <f>VLOOKUP(B169,I!$A:$G,4,FALSE)</f>
        <v>M</v>
      </c>
      <c r="F169" s="23">
        <f>SUMIF(CPU!M:M,B169,CPU!O:O)+SUMIF(CPUAUX1!M:M,B169,CPUAUX1!O:O)+SUMIF(CPUAUX2!M:M,B169,CPUAUX2!O:O)+SUMIF(CPUAUX3!M:M,B169,CPUAUX3!O:O)+SUMIF(CPUAUX4!M:M,B169,CPUAUX4!O:O)+SUMIF(CPUAUX5!M:M,B169,CPUAUX5!O:O)</f>
        <v>8.4</v>
      </c>
      <c r="G169" s="5">
        <f>VLOOKUP(B169,I!$A:$G,5,FALSE)</f>
        <v>5.0599999999999996</v>
      </c>
      <c r="H169" s="5">
        <f t="shared" si="10"/>
        <v>42.503999999999998</v>
      </c>
      <c r="I169" s="25">
        <f t="shared" si="11"/>
        <v>3.2237832897682637E-5</v>
      </c>
    </row>
    <row r="170" spans="1:9" ht="28.8" x14ac:dyDescent="0.3">
      <c r="A170" s="23">
        <v>164</v>
      </c>
      <c r="B170" s="23">
        <v>43463</v>
      </c>
      <c r="C170" s="23" t="str">
        <f>VLOOKUP(B170,I!$A:$G,2,FALSE)</f>
        <v>SINAPI</v>
      </c>
      <c r="D170" s="24" t="str">
        <f>VLOOKUP(B170,I!$A:$G,3,FALSE)</f>
        <v>FERRAMENTAS - FAMILIA ENCARREGADO GERAL - HORISTA (ENCARGOS COMPLEMENTARES - COLETADO CAIXA)</v>
      </c>
      <c r="E170" s="23" t="str">
        <f>VLOOKUP(B170,I!$A:$G,4,FALSE)</f>
        <v>H</v>
      </c>
      <c r="F170" s="23">
        <f>SUMIF(CPU!M:M,B170,CPU!O:O)+SUMIF(CPUAUX1!M:M,B170,CPUAUX1!O:O)+SUMIF(CPUAUX2!M:M,B170,CPUAUX2!O:O)+SUMIF(CPUAUX3!M:M,B170,CPUAUX3!O:O)+SUMIF(CPUAUX4!M:M,B170,CPUAUX4!O:O)+SUMIF(CPUAUX5!M:M,B170,CPUAUX5!O:O)</f>
        <v>500</v>
      </c>
      <c r="G170" s="5">
        <f>VLOOKUP(B170,I!$A:$G,5,FALSE)</f>
        <v>0.08</v>
      </c>
      <c r="H170" s="5">
        <f t="shared" si="10"/>
        <v>40</v>
      </c>
      <c r="I170" s="25">
        <f t="shared" si="11"/>
        <v>3.0338634385170937E-5</v>
      </c>
    </row>
    <row r="171" spans="1:9" x14ac:dyDescent="0.3">
      <c r="A171" s="23">
        <v>165</v>
      </c>
      <c r="B171" s="23">
        <v>40568</v>
      </c>
      <c r="C171" s="23" t="str">
        <f>VLOOKUP(B171,I!$A:$G,2,FALSE)</f>
        <v>SINAPI</v>
      </c>
      <c r="D171" s="24" t="str">
        <f>VLOOKUP(B171,I!$A:$G,3,FALSE)</f>
        <v>PREGO DE ACO POLIDO COM CABECA 22 X 48 (4 1/4 X 5)</v>
      </c>
      <c r="E171" s="23" t="str">
        <f>VLOOKUP(B171,I!$A:$G,4,FALSE)</f>
        <v>KG</v>
      </c>
      <c r="F171" s="23">
        <f>SUMIF(CPU!M:M,B171,CPU!O:O)+SUMIF(CPUAUX1!M:M,B171,CPUAUX1!O:O)+SUMIF(CPUAUX2!M:M,B171,CPUAUX2!O:O)+SUMIF(CPUAUX3!M:M,B171,CPUAUX3!O:O)+SUMIF(CPUAUX4!M:M,B171,CPUAUX4!O:O)+SUMIF(CPUAUX5!M:M,B171,CPUAUX5!O:O)</f>
        <v>1.8414000000000001</v>
      </c>
      <c r="G171" s="5">
        <f>VLOOKUP(B171,I!$A:$G,5,FALSE)</f>
        <v>20.5</v>
      </c>
      <c r="H171" s="5">
        <f t="shared" si="10"/>
        <v>37.748699999999999</v>
      </c>
      <c r="I171" s="25">
        <f t="shared" si="11"/>
        <v>2.8631100195387554E-5</v>
      </c>
    </row>
    <row r="172" spans="1:9" x14ac:dyDescent="0.3">
      <c r="A172" s="23">
        <v>166</v>
      </c>
      <c r="B172" s="23">
        <v>37395</v>
      </c>
      <c r="C172" s="23" t="str">
        <f>VLOOKUP(B172,I!$A:$G,2,FALSE)</f>
        <v>SINAPI</v>
      </c>
      <c r="D172" s="24" t="str">
        <f>VLOOKUP(B172,I!$A:$G,3,FALSE)</f>
        <v>PINO DE ACO COM FURO, HASTE = 27 MM (ACAO DIRETA)</v>
      </c>
      <c r="E172" s="23" t="str">
        <f>VLOOKUP(B172,I!$A:$G,4,FALSE)</f>
        <v>CENTO</v>
      </c>
      <c r="F172" s="23">
        <f>SUMIF(CPU!M:M,B172,CPU!O:O)+SUMIF(CPUAUX1!M:M,B172,CPUAUX1!O:O)+SUMIF(CPUAUX2!M:M,B172,CPUAUX2!O:O)+SUMIF(CPUAUX3!M:M,B172,CPUAUX3!O:O)+SUMIF(CPUAUX4!M:M,B172,CPUAUX4!O:O)+SUMIF(CPUAUX5!M:M,B172,CPUAUX5!O:O)</f>
        <v>0.77847600000000006</v>
      </c>
      <c r="G172" s="5">
        <f>VLOOKUP(B172,I!$A:$G,5,FALSE)</f>
        <v>44.86</v>
      </c>
      <c r="H172" s="5">
        <f t="shared" si="10"/>
        <v>34.922433359999999</v>
      </c>
      <c r="I172" s="25">
        <f t="shared" si="11"/>
        <v>2.6487473438738414E-5</v>
      </c>
    </row>
    <row r="173" spans="1:9" x14ac:dyDescent="0.3">
      <c r="A173" s="23">
        <v>167</v>
      </c>
      <c r="B173" s="23">
        <v>43776</v>
      </c>
      <c r="C173" s="23" t="str">
        <f>VLOOKUP(B173,I!$A:$G,2,FALSE)</f>
        <v>SINAPI</v>
      </c>
      <c r="D173" s="24" t="str">
        <f>VLOOKUP(B173,I!$A:$G,3,FALSE)</f>
        <v>TINTA A OLEO BRILHANTE, PARA MADEIRAS E METAIS</v>
      </c>
      <c r="E173" s="23" t="str">
        <f>VLOOKUP(B173,I!$A:$G,4,FALSE)</f>
        <v>L</v>
      </c>
      <c r="F173" s="23">
        <f>SUMIF(CPU!M:M,B173,CPU!O:O)+SUMIF(CPUAUX1!M:M,B173,CPUAUX1!O:O)+SUMIF(CPUAUX2!M:M,B173,CPUAUX2!O:O)+SUMIF(CPUAUX3!M:M,B173,CPUAUX3!O:O)+SUMIF(CPUAUX4!M:M,B173,CPUAUX4!O:O)+SUMIF(CPUAUX5!M:M,B173,CPUAUX5!O:O)</f>
        <v>1.1900000000000002</v>
      </c>
      <c r="G173" s="5">
        <f>VLOOKUP(B173,I!$A:$G,5,FALSE)</f>
        <v>26.79</v>
      </c>
      <c r="H173" s="5">
        <f t="shared" si="10"/>
        <v>31.880100000000002</v>
      </c>
      <c r="I173" s="25">
        <f t="shared" si="11"/>
        <v>2.4179967451567202E-5</v>
      </c>
    </row>
    <row r="174" spans="1:9" x14ac:dyDescent="0.3">
      <c r="A174" s="23">
        <v>168</v>
      </c>
      <c r="B174" s="23" t="s">
        <v>1008</v>
      </c>
      <c r="C174" s="23" t="str">
        <f>VLOOKUP(B174,I!$A:$G,2,FALSE)</f>
        <v>SEINFRA</v>
      </c>
      <c r="D174" s="24" t="str">
        <f>VLOOKUP(B174,I!$A:$G,3,FALSE)</f>
        <v>PREGO 15X15 (1.1/4" X 13) (APROXIMADAMENTE 672UN/KG)</v>
      </c>
      <c r="E174" s="23" t="str">
        <f>VLOOKUP(B174,I!$A:$G,4,FALSE)</f>
        <v>KG</v>
      </c>
      <c r="F174" s="23">
        <f>SUMIF(CPU!M:M,B174,CPU!O:O)+SUMIF(CPUAUX1!M:M,B174,CPUAUX1!O:O)+SUMIF(CPUAUX2!M:M,B174,CPUAUX2!O:O)+SUMIF(CPUAUX3!M:M,B174,CPUAUX3!O:O)+SUMIF(CPUAUX4!M:M,B174,CPUAUX4!O:O)+SUMIF(CPUAUX5!M:M,B174,CPUAUX5!O:O)</f>
        <v>1.944</v>
      </c>
      <c r="G174" s="5">
        <f>VLOOKUP(B174,I!$A:$G,5,FALSE)</f>
        <v>15.99</v>
      </c>
      <c r="H174" s="5">
        <f t="shared" si="10"/>
        <v>31.08456</v>
      </c>
      <c r="I174" s="25">
        <f t="shared" si="11"/>
        <v>2.3576577521597726E-5</v>
      </c>
    </row>
    <row r="175" spans="1:9" x14ac:dyDescent="0.3">
      <c r="A175" s="23">
        <v>169</v>
      </c>
      <c r="B175" s="23" t="s">
        <v>1087</v>
      </c>
      <c r="C175" s="23" t="str">
        <f>VLOOKUP(B175,I!$A:$G,2,FALSE)</f>
        <v>SEINFRA</v>
      </c>
      <c r="D175" s="24" t="str">
        <f>VLOOKUP(B175,I!$A:$G,3,FALSE)</f>
        <v>BETONEIRA ELÉTRICA 580L (CHP)</v>
      </c>
      <c r="E175" s="23" t="str">
        <f>VLOOKUP(B175,I!$A:$G,4,FALSE)</f>
        <v>H</v>
      </c>
      <c r="F175" s="23">
        <f>SUMIF(CPU!M:M,B175,CPU!O:O)+SUMIF(CPUAUX1!M:M,B175,CPUAUX1!O:O)+SUMIF(CPUAUX2!M:M,B175,CPUAUX2!O:O)+SUMIF(CPUAUX3!M:M,B175,CPUAUX3!O:O)+SUMIF(CPUAUX4!M:M,B175,CPUAUX4!O:O)+SUMIF(CPUAUX5!M:M,B175,CPUAUX5!O:O)</f>
        <v>1.1138399999999999</v>
      </c>
      <c r="G175" s="5">
        <f>VLOOKUP(B175,I!$A:$G,5,FALSE)</f>
        <v>27.6</v>
      </c>
      <c r="H175" s="5">
        <f t="shared" si="10"/>
        <v>30.741983999999999</v>
      </c>
      <c r="I175" s="25">
        <f t="shared" si="11"/>
        <v>2.3316745321269368E-5</v>
      </c>
    </row>
    <row r="176" spans="1:9" ht="28.8" x14ac:dyDescent="0.3">
      <c r="A176" s="23">
        <v>170</v>
      </c>
      <c r="B176" s="23">
        <v>34547</v>
      </c>
      <c r="C176" s="23" t="str">
        <f>VLOOKUP(B176,I!$A:$G,2,FALSE)</f>
        <v>SINAPI</v>
      </c>
      <c r="D176" s="24" t="str">
        <f>VLOOKUP(B176,I!$A:$G,3,FALSE)</f>
        <v>TELA DE ACO SOLDADA GALVANIZADA/ZINCADA PARA ALVENARIA, FIO D = *1,20 A 1,70* MM, MALHA 15 X 15 MM, (C X L) *50 X 12* CM</v>
      </c>
      <c r="E176" s="23" t="str">
        <f>VLOOKUP(B176,I!$A:$G,4,FALSE)</f>
        <v>M</v>
      </c>
      <c r="F176" s="23">
        <f>SUMIF(CPU!M:M,B176,CPU!O:O)+SUMIF(CPUAUX1!M:M,B176,CPUAUX1!O:O)+SUMIF(CPUAUX2!M:M,B176,CPUAUX2!O:O)+SUMIF(CPUAUX3!M:M,B176,CPUAUX3!O:O)+SUMIF(CPUAUX4!M:M,B176,CPUAUX4!O:O)+SUMIF(CPUAUX5!M:M,B176,CPUAUX5!O:O)</f>
        <v>8.3076000000000025</v>
      </c>
      <c r="G176" s="5">
        <f>VLOOKUP(B176,I!$A:$G,5,FALSE)</f>
        <v>3.66</v>
      </c>
      <c r="H176" s="5">
        <f t="shared" si="10"/>
        <v>30.405816000000012</v>
      </c>
      <c r="I176" s="25">
        <f t="shared" si="11"/>
        <v>2.3061773370169525E-5</v>
      </c>
    </row>
    <row r="177" spans="1:9" ht="28.8" x14ac:dyDescent="0.3">
      <c r="A177" s="23">
        <v>171</v>
      </c>
      <c r="B177" s="23">
        <v>43458</v>
      </c>
      <c r="C177" s="23" t="str">
        <f>VLOOKUP(B177,I!$A:$G,2,FALSE)</f>
        <v>SINAPI</v>
      </c>
      <c r="D177" s="24" t="str">
        <f>VLOOKUP(B177,I!$A:$G,3,FALSE)</f>
        <v>FERRAMENTAS - FAMILIA ALMOXARIFE - HORISTA (ENCARGOS COMPLEMENTARES - COLETADO CAIXA)</v>
      </c>
      <c r="E177" s="23" t="str">
        <f>VLOOKUP(B177,I!$A:$G,4,FALSE)</f>
        <v>H</v>
      </c>
      <c r="F177" s="23">
        <f>SUMIF(CPU!M:M,B177,CPU!O:O)+SUMIF(CPUAUX1!M:M,B177,CPUAUX1!O:O)+SUMIF(CPUAUX2!M:M,B177,CPUAUX2!O:O)+SUMIF(CPUAUX3!M:M,B177,CPUAUX3!O:O)+SUMIF(CPUAUX4!M:M,B177,CPUAUX4!O:O)+SUMIF(CPUAUX5!M:M,B177,CPUAUX5!O:O)</f>
        <v>500</v>
      </c>
      <c r="G177" s="5">
        <f>VLOOKUP(B177,I!$A:$G,5,FALSE)</f>
        <v>0.06</v>
      </c>
      <c r="H177" s="5">
        <f t="shared" si="10"/>
        <v>30</v>
      </c>
      <c r="I177" s="25">
        <f t="shared" si="11"/>
        <v>2.2753975788878204E-5</v>
      </c>
    </row>
    <row r="178" spans="1:9" x14ac:dyDescent="0.3">
      <c r="A178" s="23">
        <v>172</v>
      </c>
      <c r="B178" s="23" t="s">
        <v>1019</v>
      </c>
      <c r="C178" s="23" t="str">
        <f>VLOOKUP(B178,I!$A:$G,2,FALSE)</f>
        <v>PRÓPRIA</v>
      </c>
      <c r="D178" s="24" t="str">
        <f>VLOOKUP(B178,I!$A:$G,3,FALSE)</f>
        <v>MEDIDOR DE VAZÃO</v>
      </c>
      <c r="E178" s="23" t="str">
        <f>VLOOKUP(B178,I!$A:$G,4,FALSE)</f>
        <v>H</v>
      </c>
      <c r="F178" s="23">
        <f>SUMIF(CPU!M:M,B178,CPU!O:O)+SUMIF(CPUAUX1!M:M,B178,CPUAUX1!O:O)+SUMIF(CPUAUX2!M:M,B178,CPUAUX2!O:O)+SUMIF(CPUAUX3!M:M,B178,CPUAUX3!O:O)+SUMIF(CPUAUX4!M:M,B178,CPUAUX4!O:O)+SUMIF(CPUAUX5!M:M,B178,CPUAUX5!O:O)</f>
        <v>144</v>
      </c>
      <c r="G178" s="5">
        <f>VLOOKUP(B178,I!$A:$G,5,FALSE)</f>
        <v>0.16</v>
      </c>
      <c r="H178" s="5">
        <f t="shared" si="10"/>
        <v>23.04</v>
      </c>
      <c r="I178" s="25">
        <f t="shared" si="11"/>
        <v>1.7475053405858459E-5</v>
      </c>
    </row>
    <row r="179" spans="1:9" ht="28.8" x14ac:dyDescent="0.3">
      <c r="A179" s="23">
        <v>173</v>
      </c>
      <c r="B179" s="23">
        <v>43464</v>
      </c>
      <c r="C179" s="23" t="str">
        <f>VLOOKUP(B179,I!$A:$G,2,FALSE)</f>
        <v>SINAPI</v>
      </c>
      <c r="D179" s="24" t="str">
        <f>VLOOKUP(B179,I!$A:$G,3,FALSE)</f>
        <v>FERRAMENTAS - FAMILIA OPERADOR ESCAVADEIRA - HORISTA (ENCARGOS COMPLEMENTARES - COLETADO CAIXA)</v>
      </c>
      <c r="E179" s="23" t="str">
        <f>VLOOKUP(B179,I!$A:$G,4,FALSE)</f>
        <v>H</v>
      </c>
      <c r="F179" s="23">
        <f>SUMIF(CPU!M:M,B179,CPU!O:O)+SUMIF(CPUAUX1!M:M,B179,CPUAUX1!O:O)+SUMIF(CPUAUX2!M:M,B179,CPUAUX2!O:O)+SUMIF(CPUAUX3!M:M,B179,CPUAUX3!O:O)+SUMIF(CPUAUX4!M:M,B179,CPUAUX4!O:O)+SUMIF(CPUAUX5!M:M,B179,CPUAUX5!O:O)</f>
        <v>2339.4332446192802</v>
      </c>
      <c r="G179" s="5">
        <f>VLOOKUP(B179,I!$A:$G,5,FALSE)</f>
        <v>0.01</v>
      </c>
      <c r="H179" s="5">
        <f t="shared" si="10"/>
        <v>23.394332446192802</v>
      </c>
      <c r="I179" s="25">
        <f t="shared" si="11"/>
        <v>1.7743802469254626E-5</v>
      </c>
    </row>
    <row r="180" spans="1:9" x14ac:dyDescent="0.3">
      <c r="A180" s="23">
        <v>174</v>
      </c>
      <c r="B180" s="23">
        <v>7140</v>
      </c>
      <c r="C180" s="23" t="str">
        <f>VLOOKUP(B180,I!$A:$G,2,FALSE)</f>
        <v>SINAPI</v>
      </c>
      <c r="D180" s="24" t="str">
        <f>VLOOKUP(B180,I!$A:$G,3,FALSE)</f>
        <v>TE SOLDAVEL, PVC, 90 GRAUS, 32 MM, PARA AGUA FRIA PREDIAL (NBR 5648)</v>
      </c>
      <c r="E180" s="23" t="str">
        <f>VLOOKUP(B180,I!$A:$G,4,FALSE)</f>
        <v>UN</v>
      </c>
      <c r="F180" s="23">
        <f>SUMIF(CPU!M:M,B180,CPU!O:O)+SUMIF(CPUAUX1!M:M,B180,CPUAUX1!O:O)+SUMIF(CPUAUX2!M:M,B180,CPUAUX2!O:O)+SUMIF(CPUAUX3!M:M,B180,CPUAUX3!O:O)+SUMIF(CPUAUX4!M:M,B180,CPUAUX4!O:O)+SUMIF(CPUAUX5!M:M,B180,CPUAUX5!O:O)</f>
        <v>6</v>
      </c>
      <c r="G180" s="5">
        <f>VLOOKUP(B180,I!$A:$G,5,FALSE)</f>
        <v>3.77</v>
      </c>
      <c r="H180" s="5">
        <f t="shared" si="10"/>
        <v>22.62</v>
      </c>
      <c r="I180" s="25">
        <f t="shared" si="11"/>
        <v>1.7156497744814166E-5</v>
      </c>
    </row>
    <row r="181" spans="1:9" x14ac:dyDescent="0.3">
      <c r="A181" s="23">
        <v>175</v>
      </c>
      <c r="B181" s="23" t="s">
        <v>1090</v>
      </c>
      <c r="C181" s="23" t="str">
        <f>VLOOKUP(B181,I!$A:$G,2,FALSE)</f>
        <v>SEINFRA</v>
      </c>
      <c r="D181" s="24" t="str">
        <f>VLOOKUP(B181,I!$A:$G,3,FALSE)</f>
        <v>DESMOLDANTE PARA FORMAS</v>
      </c>
      <c r="E181" s="23" t="str">
        <f>VLOOKUP(B181,I!$A:$G,4,FALSE)</f>
        <v>L</v>
      </c>
      <c r="F181" s="23">
        <f>SUMIF(CPU!M:M,B181,CPU!O:O)+SUMIF(CPUAUX1!M:M,B181,CPUAUX1!O:O)+SUMIF(CPUAUX2!M:M,B181,CPUAUX2!O:O)+SUMIF(CPUAUX3!M:M,B181,CPUAUX3!O:O)+SUMIF(CPUAUX4!M:M,B181,CPUAUX4!O:O)+SUMIF(CPUAUX5!M:M,B181,CPUAUX5!O:O)</f>
        <v>2.4960000000000004</v>
      </c>
      <c r="G181" s="5">
        <f>VLOOKUP(B181,I!$A:$G,5,FALSE)</f>
        <v>8.4499999999999993</v>
      </c>
      <c r="H181" s="5">
        <f t="shared" si="10"/>
        <v>21.091200000000001</v>
      </c>
      <c r="I181" s="25">
        <f t="shared" si="11"/>
        <v>1.5996955138612933E-5</v>
      </c>
    </row>
    <row r="182" spans="1:9" x14ac:dyDescent="0.3">
      <c r="A182" s="23">
        <v>176</v>
      </c>
      <c r="B182" s="23">
        <v>5318</v>
      </c>
      <c r="C182" s="23" t="str">
        <f>VLOOKUP(B182,I!$A:$G,2,FALSE)</f>
        <v>SINAPI</v>
      </c>
      <c r="D182" s="24" t="str">
        <f>VLOOKUP(B182,I!$A:$G,3,FALSE)</f>
        <v>DILUENTE AGUARRAS</v>
      </c>
      <c r="E182" s="23" t="str">
        <f>VLOOKUP(B182,I!$A:$G,4,FALSE)</f>
        <v>L</v>
      </c>
      <c r="F182" s="23">
        <f>SUMIF(CPU!M:M,B182,CPU!O:O)+SUMIF(CPUAUX1!M:M,B182,CPUAUX1!O:O)+SUMIF(CPUAUX2!M:M,B182,CPUAUX2!O:O)+SUMIF(CPUAUX3!M:M,B182,CPUAUX3!O:O)+SUMIF(CPUAUX4!M:M,B182,CPUAUX4!O:O)+SUMIF(CPUAUX5!M:M,B182,CPUAUX5!O:O)</f>
        <v>0.63307999999999998</v>
      </c>
      <c r="G182" s="5">
        <f>VLOOKUP(B182,I!$A:$G,5,FALSE)</f>
        <v>31.92</v>
      </c>
      <c r="H182" s="5">
        <f t="shared" si="10"/>
        <v>20.207913600000001</v>
      </c>
      <c r="I182" s="25">
        <f t="shared" si="11"/>
        <v>1.5327012559938086E-5</v>
      </c>
    </row>
    <row r="183" spans="1:9" x14ac:dyDescent="0.3">
      <c r="A183" s="23">
        <v>177</v>
      </c>
      <c r="B183" s="23" t="s">
        <v>1092</v>
      </c>
      <c r="C183" s="23" t="str">
        <f>VLOOKUP(B183,I!$A:$G,2,FALSE)</f>
        <v>SEINFRA</v>
      </c>
      <c r="D183" s="24" t="str">
        <f>VLOOKUP(B183,I!$A:$G,3,FALSE)</f>
        <v>SARRAFO DE 1"X4"</v>
      </c>
      <c r="E183" s="23" t="str">
        <f>VLOOKUP(B183,I!$A:$G,4,FALSE)</f>
        <v>M</v>
      </c>
      <c r="F183" s="23">
        <f>SUMIF(CPU!M:M,B183,CPU!O:O)+SUMIF(CPUAUX1!M:M,B183,CPUAUX1!O:O)+SUMIF(CPUAUX2!M:M,B183,CPUAUX2!O:O)+SUMIF(CPUAUX3!M:M,B183,CPUAUX3!O:O)+SUMIF(CPUAUX4!M:M,B183,CPUAUX4!O:O)+SUMIF(CPUAUX5!M:M,B183,CPUAUX5!O:O)</f>
        <v>3.12</v>
      </c>
      <c r="G183" s="5">
        <f>VLOOKUP(B183,I!$A:$G,5,FALSE)</f>
        <v>6.05</v>
      </c>
      <c r="H183" s="5">
        <f t="shared" si="10"/>
        <v>18.876000000000001</v>
      </c>
      <c r="I183" s="25">
        <f t="shared" si="11"/>
        <v>1.4316801566362166E-5</v>
      </c>
    </row>
    <row r="184" spans="1:9" x14ac:dyDescent="0.3">
      <c r="A184" s="23">
        <v>178</v>
      </c>
      <c r="B184" s="23">
        <v>6114</v>
      </c>
      <c r="C184" s="23" t="str">
        <f>VLOOKUP(B184,I!$A:$G,2,FALSE)</f>
        <v>SINAPI</v>
      </c>
      <c r="D184" s="24" t="str">
        <f>VLOOKUP(B184,I!$A:$G,3,FALSE)</f>
        <v>AJUDANTE DE ARMADOR (HORISTA)</v>
      </c>
      <c r="E184" s="23" t="str">
        <f>VLOOKUP(B184,I!$A:$G,4,FALSE)</f>
        <v>H</v>
      </c>
      <c r="F184" s="23">
        <f>SUMIF(CPU!M:M,B184,CPU!O:O)+SUMIF(CPUAUX1!M:M,B184,CPUAUX1!O:O)+SUMIF(CPUAUX2!M:M,B184,CPUAUX2!O:O)+SUMIF(CPUAUX3!M:M,B184,CPUAUX3!O:O)+SUMIF(CPUAUX4!M:M,B184,CPUAUX4!O:O)+SUMIF(CPUAUX5!M:M,B184,CPUAUX5!O:O)</f>
        <v>1.1414146248738</v>
      </c>
      <c r="G184" s="5">
        <f>VLOOKUP(B184,I!$A:$G,5,FALSE)</f>
        <v>15.57</v>
      </c>
      <c r="H184" s="5">
        <f t="shared" si="10"/>
        <v>17.771825709285064</v>
      </c>
      <c r="I184" s="25">
        <f t="shared" si="11"/>
        <v>1.3479323063774518E-5</v>
      </c>
    </row>
    <row r="185" spans="1:9" x14ac:dyDescent="0.3">
      <c r="A185" s="23">
        <v>179</v>
      </c>
      <c r="B185" s="23">
        <v>3536</v>
      </c>
      <c r="C185" s="23" t="str">
        <f>VLOOKUP(B185,I!$A:$G,2,FALSE)</f>
        <v>SINAPI</v>
      </c>
      <c r="D185" s="24" t="str">
        <f>VLOOKUP(B185,I!$A:$G,3,FALSE)</f>
        <v>JOELHO PVC, SOLDAVEL, 90 GRAUS, 32 MM, COR MARROM, PARA AGUA FRIA PREDIAL</v>
      </c>
      <c r="E185" s="23" t="str">
        <f>VLOOKUP(B185,I!$A:$G,4,FALSE)</f>
        <v>UN</v>
      </c>
      <c r="F185" s="23">
        <f>SUMIF(CPU!M:M,B185,CPU!O:O)+SUMIF(CPUAUX1!M:M,B185,CPUAUX1!O:O)+SUMIF(CPUAUX2!M:M,B185,CPUAUX2!O:O)+SUMIF(CPUAUX3!M:M,B185,CPUAUX3!O:O)+SUMIF(CPUAUX4!M:M,B185,CPUAUX4!O:O)+SUMIF(CPUAUX5!M:M,B185,CPUAUX5!O:O)</f>
        <v>6</v>
      </c>
      <c r="G185" s="5">
        <f>VLOOKUP(B185,I!$A:$G,5,FALSE)</f>
        <v>2.42</v>
      </c>
      <c r="H185" s="5">
        <f t="shared" si="10"/>
        <v>14.52</v>
      </c>
      <c r="I185" s="25">
        <f t="shared" si="11"/>
        <v>1.101292428181705E-5</v>
      </c>
    </row>
    <row r="186" spans="1:9" x14ac:dyDescent="0.3">
      <c r="A186" s="23">
        <v>180</v>
      </c>
      <c r="B186" s="23" t="s">
        <v>1091</v>
      </c>
      <c r="C186" s="23" t="str">
        <f>VLOOKUP(B186,I!$A:$G,2,FALSE)</f>
        <v>SEINFRA</v>
      </c>
      <c r="D186" s="24" t="str">
        <f>VLOOKUP(B186,I!$A:$G,3,FALSE)</f>
        <v>PREGO 18X27 (2.1/2" X 10) (APROXIMADAMENTE 198UN/KG)</v>
      </c>
      <c r="E186" s="23" t="str">
        <f>VLOOKUP(B186,I!$A:$G,4,FALSE)</f>
        <v>KG</v>
      </c>
      <c r="F186" s="23">
        <f>SUMIF(CPU!M:M,B186,CPU!O:O)+SUMIF(CPUAUX1!M:M,B186,CPUAUX1!O:O)+SUMIF(CPUAUX2!M:M,B186,CPUAUX2!O:O)+SUMIF(CPUAUX3!M:M,B186,CPUAUX3!O:O)+SUMIF(CPUAUX4!M:M,B186,CPUAUX4!O:O)+SUMIF(CPUAUX5!M:M,B186,CPUAUX5!O:O)</f>
        <v>0.93599999999999994</v>
      </c>
      <c r="G186" s="5">
        <f>VLOOKUP(B186,I!$A:$G,5,FALSE)</f>
        <v>14.2</v>
      </c>
      <c r="H186" s="5">
        <f t="shared" si="10"/>
        <v>13.291199999999998</v>
      </c>
      <c r="I186" s="25">
        <f t="shared" si="11"/>
        <v>1.0080921433504597E-5</v>
      </c>
    </row>
    <row r="187" spans="1:9" ht="28.8" x14ac:dyDescent="0.3">
      <c r="A187" s="23">
        <v>181</v>
      </c>
      <c r="B187" s="23">
        <v>40275</v>
      </c>
      <c r="C187" s="23" t="str">
        <f>VLOOKUP(B187,I!$A:$G,2,FALSE)</f>
        <v>SINAPI</v>
      </c>
      <c r="D187" s="24" t="str">
        <f>VLOOKUP(B187,I!$A:$G,3,FALSE)</f>
        <v>LOCACAO DE VIGA SANDUICHE METALICA VAZADA PARA TRAVAMENTO DE PILARES, ALTURA DE *8* CM, LARGURA DE *6* CM E EXTENSAO DE 2 M</v>
      </c>
      <c r="E187" s="23" t="str">
        <f>VLOOKUP(B187,I!$A:$G,4,FALSE)</f>
        <v>UNXMES</v>
      </c>
      <c r="F187" s="23">
        <f>SUMIF(CPU!M:M,B187,CPU!O:O)+SUMIF(CPUAUX1!M:M,B187,CPUAUX1!O:O)+SUMIF(CPUAUX2!M:M,B187,CPUAUX2!O:O)+SUMIF(CPUAUX3!M:M,B187,CPUAUX3!O:O)+SUMIF(CPUAUX4!M:M,B187,CPUAUX4!O:O)+SUMIF(CPUAUX5!M:M,B187,CPUAUX5!O:O)</f>
        <v>0.5477398200000001</v>
      </c>
      <c r="G187" s="5">
        <f>VLOOKUP(B187,I!$A:$G,5,FALSE)</f>
        <v>16</v>
      </c>
      <c r="H187" s="5">
        <f t="shared" si="10"/>
        <v>8.7638371200000016</v>
      </c>
      <c r="I187" s="25">
        <f t="shared" si="11"/>
        <v>6.6470712548717371E-6</v>
      </c>
    </row>
    <row r="188" spans="1:9" ht="28.8" x14ac:dyDescent="0.3">
      <c r="A188" s="23">
        <v>182</v>
      </c>
      <c r="B188" s="23">
        <v>36397</v>
      </c>
      <c r="C188" s="23" t="str">
        <f>VLOOKUP(B188,I!$A:$G,2,FALSE)</f>
        <v>SINAPI</v>
      </c>
      <c r="D188" s="24" t="str">
        <f>VLOOKUP(B188,I!$A:$G,3,FALSE)</f>
        <v>BETONEIRA, CAPACIDADE NOMINAL 600 L, CAPACIDADE DE MISTURA 360L, MOTOR ELETRICO TRIFASICO 220/380V, POTENCIA 4CV, EXCLUSO CARREGADOR</v>
      </c>
      <c r="E188" s="23" t="str">
        <f>VLOOKUP(B188,I!$A:$G,4,FALSE)</f>
        <v>UN</v>
      </c>
      <c r="F188" s="23">
        <f>SUMIF(CPU!M:M,B188,CPU!O:O)+SUMIF(CPUAUX1!M:M,B188,CPUAUX1!O:O)+SUMIF(CPUAUX2!M:M,B188,CPUAUX2!O:O)+SUMIF(CPUAUX3!M:M,B188,CPUAUX3!O:O)+SUMIF(CPUAUX4!M:M,B188,CPUAUX4!O:O)+SUMIF(CPUAUX5!M:M,B188,CPUAUX5!O:O)</f>
        <v>3.140431301088E-4</v>
      </c>
      <c r="G188" s="5">
        <f>VLOOKUP(B188,I!$A:$G,5,FALSE)</f>
        <v>25983.53</v>
      </c>
      <c r="H188" s="5">
        <f t="shared" si="10"/>
        <v>8.1599490924759071</v>
      </c>
      <c r="I188" s="25">
        <f t="shared" si="11"/>
        <v>6.1890428029558483E-6</v>
      </c>
    </row>
    <row r="189" spans="1:9" x14ac:dyDescent="0.3">
      <c r="A189" s="23">
        <v>183</v>
      </c>
      <c r="B189" s="23">
        <v>3148</v>
      </c>
      <c r="C189" s="23" t="str">
        <f>VLOOKUP(B189,I!$A:$G,2,FALSE)</f>
        <v>SINAPI</v>
      </c>
      <c r="D189" s="24" t="str">
        <f>VLOOKUP(B189,I!$A:$G,3,FALSE)</f>
        <v>FITA VEDA ROSCA, EM PTFE, ROLO DE 18 MM X 50 M (L X C)</v>
      </c>
      <c r="E189" s="23" t="str">
        <f>VLOOKUP(B189,I!$A:$G,4,FALSE)</f>
        <v>UN</v>
      </c>
      <c r="F189" s="23">
        <f>SUMIF(CPU!M:M,B189,CPU!O:O)+SUMIF(CPUAUX1!M:M,B189,CPUAUX1!O:O)+SUMIF(CPUAUX2!M:M,B189,CPUAUX2!O:O)+SUMIF(CPUAUX3!M:M,B189,CPUAUX3!O:O)+SUMIF(CPUAUX4!M:M,B189,CPUAUX4!O:O)+SUMIF(CPUAUX5!M:M,B189,CPUAUX5!O:O)</f>
        <v>0.45600000000000002</v>
      </c>
      <c r="G189" s="5">
        <f>VLOOKUP(B189,I!$A:$G,5,FALSE)</f>
        <v>15.26</v>
      </c>
      <c r="H189" s="5">
        <f t="shared" si="10"/>
        <v>6.9585600000000003</v>
      </c>
      <c r="I189" s="25">
        <f t="shared" si="11"/>
        <v>5.2778301921818774E-6</v>
      </c>
    </row>
    <row r="190" spans="1:9" ht="28.8" x14ac:dyDescent="0.3">
      <c r="A190" s="23">
        <v>184</v>
      </c>
      <c r="B190" s="23">
        <v>40287</v>
      </c>
      <c r="C190" s="23" t="str">
        <f>VLOOKUP(B190,I!$A:$G,2,FALSE)</f>
        <v>SINAPI</v>
      </c>
      <c r="D190" s="24" t="str">
        <f>VLOOKUP(B190,I!$A:$G,3,FALSE)</f>
        <v>LOCACAO DE BARRA DE ANCORAGEM DE 0,80 A 1,20 M DE EXTENSAO, COM ROSCA DE 5/8", INCLUINDO PORCA E FLANGE</v>
      </c>
      <c r="E190" s="23" t="str">
        <f>VLOOKUP(B190,I!$A:$G,4,FALSE)</f>
        <v>MES</v>
      </c>
      <c r="F190" s="23">
        <f>SUMIF(CPU!M:M,B190,CPU!O:O)+SUMIF(CPUAUX1!M:M,B190,CPUAUX1!O:O)+SUMIF(CPUAUX2!M:M,B190,CPUAUX2!O:O)+SUMIF(CPUAUX3!M:M,B190,CPUAUX3!O:O)+SUMIF(CPUAUX4!M:M,B190,CPUAUX4!O:O)+SUMIF(CPUAUX5!M:M,B190,CPUAUX5!O:O)</f>
        <v>1.0940859000000003</v>
      </c>
      <c r="G190" s="5">
        <f>VLOOKUP(B190,I!$A:$G,5,FALSE)</f>
        <v>5.89</v>
      </c>
      <c r="H190" s="5">
        <f t="shared" si="10"/>
        <v>6.4441659510000013</v>
      </c>
      <c r="I190" s="25">
        <f t="shared" si="11"/>
        <v>4.8876798676189106E-6</v>
      </c>
    </row>
    <row r="191" spans="1:9" x14ac:dyDescent="0.3">
      <c r="A191" s="23">
        <v>185</v>
      </c>
      <c r="B191" s="23">
        <v>40304</v>
      </c>
      <c r="C191" s="23" t="str">
        <f>VLOOKUP(B191,I!$A:$G,2,FALSE)</f>
        <v>SINAPI</v>
      </c>
      <c r="D191" s="24" t="str">
        <f>VLOOKUP(B191,I!$A:$G,3,FALSE)</f>
        <v>PREGO DE ACO POLIDO COM CABECA DUPLA 17 X 27 (2 1/2 X 11)</v>
      </c>
      <c r="E191" s="23" t="str">
        <f>VLOOKUP(B191,I!$A:$G,4,FALSE)</f>
        <v>KG</v>
      </c>
      <c r="F191" s="23">
        <f>SUMIF(CPU!M:M,B191,CPU!O:O)+SUMIF(CPUAUX1!M:M,B191,CPUAUX1!O:O)+SUMIF(CPUAUX2!M:M,B191,CPUAUX2!O:O)+SUMIF(CPUAUX3!M:M,B191,CPUAUX3!O:O)+SUMIF(CPUAUX4!M:M,B191,CPUAUX4!O:O)+SUMIF(CPUAUX5!M:M,B191,CPUAUX5!O:O)</f>
        <v>0.25419582000000002</v>
      </c>
      <c r="G191" s="5">
        <f>VLOOKUP(B191,I!$A:$G,5,FALSE)</f>
        <v>25.11</v>
      </c>
      <c r="H191" s="5">
        <f t="shared" si="10"/>
        <v>6.3828570402000002</v>
      </c>
      <c r="I191" s="25">
        <f t="shared" si="11"/>
        <v>4.841179151886053E-6</v>
      </c>
    </row>
    <row r="192" spans="1:9" ht="28.8" x14ac:dyDescent="0.3">
      <c r="A192" s="23">
        <v>186</v>
      </c>
      <c r="B192" s="23">
        <v>43462</v>
      </c>
      <c r="C192" s="23" t="str">
        <f>VLOOKUP(B192,I!$A:$G,2,FALSE)</f>
        <v>SINAPI</v>
      </c>
      <c r="D192" s="24" t="str">
        <f>VLOOKUP(B192,I!$A:$G,3,FALSE)</f>
        <v>FERRAMENTAS - FAMILIA ENGENHEIRO CIVIL - HORISTA (ENCARGOS COMPLEMENTARES - COLETADO CAIXA)</v>
      </c>
      <c r="E192" s="23" t="str">
        <f>VLOOKUP(B192,I!$A:$G,4,FALSE)</f>
        <v>H</v>
      </c>
      <c r="F192" s="23">
        <f>SUMIF(CPU!M:M,B192,CPU!O:O)+SUMIF(CPUAUX1!M:M,B192,CPUAUX1!O:O)+SUMIF(CPUAUX2!M:M,B192,CPUAUX2!O:O)+SUMIF(CPUAUX3!M:M,B192,CPUAUX3!O:O)+SUMIF(CPUAUX4!M:M,B192,CPUAUX4!O:O)+SUMIF(CPUAUX5!M:M,B192,CPUAUX5!O:O)</f>
        <v>468</v>
      </c>
      <c r="G192" s="5">
        <f>VLOOKUP(B192,I!$A:$G,5,FALSE)</f>
        <v>0.01</v>
      </c>
      <c r="H192" s="5">
        <f t="shared" si="10"/>
        <v>4.68</v>
      </c>
      <c r="I192" s="25">
        <f t="shared" si="11"/>
        <v>3.5496202230649992E-6</v>
      </c>
    </row>
    <row r="193" spans="1:9" ht="28.8" x14ac:dyDescent="0.3">
      <c r="A193" s="23">
        <v>187</v>
      </c>
      <c r="B193" s="23">
        <v>40271</v>
      </c>
      <c r="C193" s="23" t="str">
        <f>VLOOKUP(B193,I!$A:$G,2,FALSE)</f>
        <v>SINAPI</v>
      </c>
      <c r="D193" s="24" t="str">
        <f>VLOOKUP(B193,I!$A:$G,3,FALSE)</f>
        <v>LOCACAO DE APRUMADOR METALICO DE PILAR, COM ALTURA E ANGULO REGULAVEIS, EXTENSAO DE *1,50* A *2,80* M</v>
      </c>
      <c r="E193" s="23" t="str">
        <f>VLOOKUP(B193,I!$A:$G,4,FALSE)</f>
        <v>UNXMES</v>
      </c>
      <c r="F193" s="23">
        <f>SUMIF(CPU!M:M,B193,CPU!O:O)+SUMIF(CPUAUX1!M:M,B193,CPUAUX1!O:O)+SUMIF(CPUAUX2!M:M,B193,CPUAUX2!O:O)+SUMIF(CPUAUX3!M:M,B193,CPUAUX3!O:O)+SUMIF(CPUAUX4!M:M,B193,CPUAUX4!O:O)+SUMIF(CPUAUX5!M:M,B193,CPUAUX5!O:O)</f>
        <v>0.27317304000000003</v>
      </c>
      <c r="G193" s="5">
        <f>VLOOKUP(B193,I!$A:$G,5,FALSE)</f>
        <v>15.31</v>
      </c>
      <c r="H193" s="5">
        <f t="shared" si="10"/>
        <v>4.1822792424000008</v>
      </c>
      <c r="I193" s="25">
        <f t="shared" si="11"/>
        <v>3.172116020796583E-6</v>
      </c>
    </row>
    <row r="194" spans="1:9" ht="28.8" x14ac:dyDescent="0.3">
      <c r="A194" s="23">
        <v>188</v>
      </c>
      <c r="B194" s="23">
        <v>2692</v>
      </c>
      <c r="C194" s="23" t="str">
        <f>VLOOKUP(B194,I!$A:$G,2,FALSE)</f>
        <v>SINAPI</v>
      </c>
      <c r="D194" s="24" t="str">
        <f>VLOOKUP(B194,I!$A:$G,3,FALSE)</f>
        <v>DESMOLDANTE PROTETOR PARA FORMAS DE MADEIRA, DE BASE OLEOSA EMULSIONADA EM AGUA</v>
      </c>
      <c r="E194" s="23" t="str">
        <f>VLOOKUP(B194,I!$A:$G,4,FALSE)</f>
        <v>L</v>
      </c>
      <c r="F194" s="23">
        <f>SUMIF(CPU!M:M,B194,CPU!O:O)+SUMIF(CPUAUX1!M:M,B194,CPUAUX1!O:O)+SUMIF(CPUAUX2!M:M,B194,CPUAUX2!O:O)+SUMIF(CPUAUX3!M:M,B194,CPUAUX3!O:O)+SUMIF(CPUAUX4!M:M,B194,CPUAUX4!O:O)+SUMIF(CPUAUX5!M:M,B194,CPUAUX5!O:O)</f>
        <v>0.35932980000000003</v>
      </c>
      <c r="G194" s="5">
        <f>VLOOKUP(B194,I!$A:$G,5,FALSE)</f>
        <v>10.72</v>
      </c>
      <c r="H194" s="5">
        <f t="shared" si="10"/>
        <v>3.8520154560000006</v>
      </c>
      <c r="I194" s="25">
        <f t="shared" si="11"/>
        <v>2.9216222141402882E-6</v>
      </c>
    </row>
    <row r="195" spans="1:9" x14ac:dyDescent="0.3">
      <c r="A195" s="23">
        <v>189</v>
      </c>
      <c r="B195" s="23" t="s">
        <v>1041</v>
      </c>
      <c r="C195" s="23" t="str">
        <f>VLOOKUP(B195,I!$A:$G,2,FALSE)</f>
        <v>SEINFRA</v>
      </c>
      <c r="D195" s="24" t="str">
        <f>VLOOKUP(B195,I!$A:$G,3,FALSE)</f>
        <v>AREIA GROSSA</v>
      </c>
      <c r="E195" s="23" t="str">
        <f>VLOOKUP(B195,I!$A:$G,4,FALSE)</f>
        <v>M3</v>
      </c>
      <c r="F195" s="23">
        <f>SUMIF(CPU!M:M,B195,CPU!O:O)+SUMIF(CPUAUX1!M:M,B195,CPUAUX1!O:O)+SUMIF(CPUAUX2!M:M,B195,CPUAUX2!O:O)+SUMIF(CPUAUX3!M:M,B195,CPUAUX3!O:O)+SUMIF(CPUAUX4!M:M,B195,CPUAUX4!O:O)+SUMIF(CPUAUX5!M:M,B195,CPUAUX5!O:O)</f>
        <v>1.8000000000000002E-2</v>
      </c>
      <c r="G195" s="5">
        <f>VLOOKUP(B195,I!$A:$G,5,FALSE)</f>
        <v>119.58</v>
      </c>
      <c r="H195" s="5">
        <f t="shared" si="10"/>
        <v>2.1524400000000004</v>
      </c>
      <c r="I195" s="25">
        <f t="shared" si="11"/>
        <v>1.6325522549004336E-6</v>
      </c>
    </row>
    <row r="196" spans="1:9" ht="28.8" x14ac:dyDescent="0.3">
      <c r="A196" s="23">
        <v>190</v>
      </c>
      <c r="B196" s="23">
        <v>14618</v>
      </c>
      <c r="C196" s="23" t="str">
        <f>VLOOKUP(B196,I!$A:$G,2,FALSE)</f>
        <v>SINAPI</v>
      </c>
      <c r="D196" s="24" t="str">
        <f>VLOOKUP(B196,I!$A:$G,3,FALSE)</f>
        <v>SERRA CIRCULAR DE BANCADA COM MOTOR ELETRICO, POTENCIA DE *1600* W, PARA DISCO DE DIAMETRO DE 10" (250 MM)</v>
      </c>
      <c r="E196" s="23" t="str">
        <f>VLOOKUP(B196,I!$A:$G,4,FALSE)</f>
        <v>UN</v>
      </c>
      <c r="F196" s="23">
        <f>SUMIF(CPU!M:M,B196,CPU!O:O)+SUMIF(CPUAUX1!M:M,B196,CPUAUX1!O:O)+SUMIF(CPUAUX2!M:M,B196,CPUAUX2!O:O)+SUMIF(CPUAUX3!M:M,B196,CPUAUX3!O:O)+SUMIF(CPUAUX4!M:M,B196,CPUAUX4!O:O)+SUMIF(CPUAUX5!M:M,B196,CPUAUX5!O:O)</f>
        <v>9.0293911773170412E-4</v>
      </c>
      <c r="G196" s="5">
        <f>VLOOKUP(B196,I!$A:$G,5,FALSE)</f>
        <v>1759.02</v>
      </c>
      <c r="H196" s="5">
        <f t="shared" si="10"/>
        <v>1.5882879668724221</v>
      </c>
      <c r="I196" s="25">
        <f t="shared" si="11"/>
        <v>1.2046621981327226E-6</v>
      </c>
    </row>
    <row r="197" spans="1:9" ht="28.8" x14ac:dyDescent="0.3">
      <c r="A197" s="23">
        <v>191</v>
      </c>
      <c r="B197" s="23">
        <v>13896</v>
      </c>
      <c r="C197" s="23" t="str">
        <f>VLOOKUP(B197,I!$A:$G,2,FALSE)</f>
        <v>SINAPI</v>
      </c>
      <c r="D197" s="24" t="str">
        <f>VLOOKUP(B197,I!$A:$G,3,FALSE)</f>
        <v>VIBRADOR DE IMERSAO, DIAMETRO DA PONTEIRA DE *45* MM, COM MOTOR ELETRICO TRIFASICO DE 2 HP (2 CV)</v>
      </c>
      <c r="E197" s="23" t="str">
        <f>VLOOKUP(B197,I!$A:$G,4,FALSE)</f>
        <v>UN</v>
      </c>
      <c r="F197" s="23">
        <f>SUMIF(CPU!M:M,B197,CPU!O:O)+SUMIF(CPUAUX1!M:M,B197,CPUAUX1!O:O)+SUMIF(CPUAUX2!M:M,B197,CPUAUX2!O:O)+SUMIF(CPUAUX3!M:M,B197,CPUAUX3!O:O)+SUMIF(CPUAUX4!M:M,B197,CPUAUX4!O:O)+SUMIF(CPUAUX5!M:M,B197,CPUAUX5!O:O)</f>
        <v>1.8811369151999999E-4</v>
      </c>
      <c r="G197" s="5">
        <f>VLOOKUP(B197,I!$A:$G,5,FALSE)</f>
        <v>3120.96</v>
      </c>
      <c r="H197" s="5">
        <f t="shared" si="10"/>
        <v>0.5870953066862592</v>
      </c>
      <c r="I197" s="25">
        <f t="shared" si="11"/>
        <v>4.4529174647010548E-7</v>
      </c>
    </row>
    <row r="198" spans="1:9" x14ac:dyDescent="0.3">
      <c r="A198" s="23">
        <v>192</v>
      </c>
      <c r="B198" s="23" t="s">
        <v>1085</v>
      </c>
      <c r="C198" s="23" t="str">
        <f>VLOOKUP(B198,I!$A:$G,2,FALSE)</f>
        <v>ORSE</v>
      </c>
      <c r="D198" s="24" t="str">
        <f>VLOOKUP(B198,I!$A:$G,3,FALSE)</f>
        <v>PERFIL ALUMÍNIO, TUBO RETANGULAR 76,20MM X 25,40MM X 1,58MM (0,842KG/M)</v>
      </c>
      <c r="E198" s="23" t="str">
        <f>VLOOKUP(B198,I!$A:$G,4,FALSE)</f>
        <v>M</v>
      </c>
      <c r="F198" s="23">
        <f>SUMIF(CPU!M:M,B198,CPU!O:O)+SUMIF(CPUAUX1!M:M,B198,CPUAUX1!O:O)+SUMIF(CPUAUX2!M:M,B198,CPUAUX2!O:O)+SUMIF(CPUAUX3!M:M,B198,CPUAUX3!O:O)+SUMIF(CPUAUX4!M:M,B198,CPUAUX4!O:O)+SUMIF(CPUAUX5!M:M,B198,CPUAUX5!O:O)</f>
        <v>50.400000000000006</v>
      </c>
      <c r="G198" s="5">
        <f>VLOOKUP(B198,I!$A:$G,5,FALSE)</f>
        <v>35.78</v>
      </c>
      <c r="H198" s="5">
        <f t="shared" si="10"/>
        <v>1803.3120000000004</v>
      </c>
      <c r="I198" s="25">
        <f t="shared" si="11"/>
        <v>1.3677505862597847E-3</v>
      </c>
    </row>
    <row r="199" spans="1:9" x14ac:dyDescent="0.3">
      <c r="A199" s="23">
        <v>193</v>
      </c>
      <c r="B199" s="23" t="s">
        <v>1083</v>
      </c>
      <c r="C199" s="23" t="str">
        <f>VLOOKUP(B199,I!$A:$G,2,FALSE)</f>
        <v>ORSE</v>
      </c>
      <c r="D199" s="24" t="str">
        <f>VLOOKUP(B199,I!$A:$G,3,FALSE)</f>
        <v>PERFIL ALUMÍNIO, "U" 25,4MM X 3,2MM X 0,604KG/M</v>
      </c>
      <c r="E199" s="23" t="str">
        <f>VLOOKUP(B199,I!$A:$G,4,FALSE)</f>
        <v>M</v>
      </c>
      <c r="F199" s="23">
        <f>SUMIF(CPU!M:M,B199,CPU!O:O)+SUMIF(CPUAUX1!M:M,B199,CPUAUX1!O:O)+SUMIF(CPUAUX2!M:M,B199,CPUAUX2!O:O)+SUMIF(CPUAUX3!M:M,B199,CPUAUX3!O:O)+SUMIF(CPUAUX4!M:M,B199,CPUAUX4!O:O)+SUMIF(CPUAUX5!M:M,B199,CPUAUX5!O:O)</f>
        <v>139.5</v>
      </c>
      <c r="G199" s="5">
        <f>VLOOKUP(B199,I!$A:$G,5,FALSE)</f>
        <v>25.65</v>
      </c>
      <c r="H199" s="5">
        <f t="shared" ref="H199:H201" si="12">F199*G199</f>
        <v>3578.1749999999997</v>
      </c>
      <c r="I199" s="25">
        <f t="shared" ref="I199:I205" si="13">H199/$H$202</f>
        <v>2.7139235772789751E-3</v>
      </c>
    </row>
    <row r="200" spans="1:9" x14ac:dyDescent="0.3">
      <c r="A200" s="23">
        <v>194</v>
      </c>
      <c r="B200" s="23" t="s">
        <v>1084</v>
      </c>
      <c r="C200" s="23" t="str">
        <f>VLOOKUP(B200,I!$A:$G,2,FALSE)</f>
        <v>ORSE</v>
      </c>
      <c r="D200" s="24" t="str">
        <f>VLOOKUP(B200,I!$A:$G,3,FALSE)</f>
        <v>PERFIL ALUMÍNIO, CANTONEIRA ANODIZADA, 25,40MM X 4,80MM X 0,598KG/M</v>
      </c>
      <c r="E200" s="23" t="str">
        <f>VLOOKUP(B200,I!$A:$G,4,FALSE)</f>
        <v>M</v>
      </c>
      <c r="F200" s="23">
        <f>SUMIF(CPU!M:M,B200,CPU!O:O)+SUMIF(CPUAUX1!M:M,B200,CPUAUX1!O:O)+SUMIF(CPUAUX2!M:M,B200,CPUAUX2!O:O)+SUMIF(CPUAUX3!M:M,B200,CPUAUX3!O:O)+SUMIF(CPUAUX4!M:M,B200,CPUAUX4!O:O)+SUMIF(CPUAUX5!M:M,B200,CPUAUX5!O:O)</f>
        <v>128.10000000000002</v>
      </c>
      <c r="G200" s="5">
        <f>VLOOKUP(B200,I!$A:$G,5,FALSE)</f>
        <v>25.47</v>
      </c>
      <c r="H200" s="5">
        <f t="shared" si="12"/>
        <v>3262.7070000000003</v>
      </c>
      <c r="I200" s="25">
        <f t="shared" si="13"/>
        <v>2.4746518694734481E-3</v>
      </c>
    </row>
    <row r="201" spans="1:9" x14ac:dyDescent="0.3">
      <c r="A201" s="23">
        <v>195</v>
      </c>
      <c r="B201" s="23" t="s">
        <v>1086</v>
      </c>
      <c r="C201" s="23" t="str">
        <f>VLOOKUP(B201,I!$A:$G,2,FALSE)</f>
        <v>ORSE</v>
      </c>
      <c r="D201" s="24" t="str">
        <f>VLOOKUP(B201,I!$A:$G,3,FALSE)</f>
        <v>PARAFUSO C/ PORCA E ARRUELA 3/8"</v>
      </c>
      <c r="E201" s="23" t="str">
        <f>VLOOKUP(B201,I!$A:$G,4,FALSE)</f>
        <v>UN</v>
      </c>
      <c r="F201" s="23">
        <f>SUMIF(CPU!M:M,B201,CPU!O:O)+SUMIF(CPUAUX1!M:M,B201,CPUAUX1!O:O)+SUMIF(CPUAUX2!M:M,B201,CPUAUX2!O:O)+SUMIF(CPUAUX3!M:M,B201,CPUAUX3!O:O)+SUMIF(CPUAUX4!M:M,B201,CPUAUX4!O:O)+SUMIF(CPUAUX5!M:M,B201,CPUAUX5!O:O)</f>
        <v>378</v>
      </c>
      <c r="G201" s="5">
        <f>VLOOKUP(B201,I!$A:$G,5,FALSE)</f>
        <v>2.84</v>
      </c>
      <c r="H201" s="5">
        <f t="shared" si="12"/>
        <v>1073.52</v>
      </c>
      <c r="I201" s="25">
        <f t="shared" si="13"/>
        <v>8.1422826962921756E-4</v>
      </c>
    </row>
    <row r="202" spans="1:9" x14ac:dyDescent="0.3">
      <c r="A202" s="45" t="s">
        <v>1205</v>
      </c>
      <c r="B202" s="47"/>
      <c r="C202" s="47"/>
      <c r="D202" s="47"/>
      <c r="E202" s="47"/>
      <c r="F202" s="47"/>
      <c r="G202" s="46"/>
      <c r="H202" s="18">
        <f>SUM(H7:H201)</f>
        <v>1318450.9062659522</v>
      </c>
      <c r="I202" s="19">
        <f t="shared" si="13"/>
        <v>1</v>
      </c>
    </row>
    <row r="203" spans="1:9" x14ac:dyDescent="0.3">
      <c r="A203" s="45" t="s">
        <v>1206</v>
      </c>
      <c r="B203" s="47"/>
      <c r="C203" s="47"/>
      <c r="D203" s="47"/>
      <c r="E203" s="47"/>
      <c r="F203" s="47"/>
      <c r="G203" s="46"/>
      <c r="H203" s="18">
        <f>SUMIFS(H7:H201,E7:E201,"&lt;&gt;H",E7:E201,"&lt;&gt;CHP",E7:E201,"&lt;&gt;CHI",E7:E201,"&lt;&gt;DIA",E7:E201,"&lt;&gt;MÊS",E7:E201,"&lt;&gt;MESES",E7:E201,"&lt;&gt;DIARIA",E7:E201,"&lt;&gt;DIÁRIA")</f>
        <v>1013632.6128835083</v>
      </c>
      <c r="I203" s="19">
        <f t="shared" si="13"/>
        <v>0.76880573107895667</v>
      </c>
    </row>
    <row r="204" spans="1:9" x14ac:dyDescent="0.3">
      <c r="A204" s="45" t="s">
        <v>1207</v>
      </c>
      <c r="B204" s="47"/>
      <c r="C204" s="47"/>
      <c r="D204" s="47"/>
      <c r="E204" s="47"/>
      <c r="F204" s="47"/>
      <c r="G204" s="46"/>
      <c r="H204" s="18">
        <f>SUMIFS(H7:H201,E7:E201,"H")+SUMIFS(H7:H201,E7:E201,"CHP")+SUMIFS(H7:H201,E7:E201,"CHI")+SUMIFS(H7:H201,E7:E201,"DIA")+SUMIFS(H7:H201,E7:E201,"MÊS")+SUMIFS(H7:H201,E7:E201,"MESES")+SUMIFS(H7:H201,E7:E201,"DIARIA")+SUMIFS(H7:H201,E7:E201,"DIÁRIA")</f>
        <v>304818.29338244413</v>
      </c>
      <c r="I204" s="19">
        <f t="shared" si="13"/>
        <v>0.23119426892104356</v>
      </c>
    </row>
    <row r="205" spans="1:9" x14ac:dyDescent="0.3">
      <c r="A205" s="45" t="s">
        <v>1208</v>
      </c>
      <c r="B205" s="47"/>
      <c r="C205" s="47"/>
      <c r="D205" s="47"/>
      <c r="E205" s="47"/>
      <c r="F205" s="47"/>
      <c r="G205" s="46"/>
      <c r="H205" s="18">
        <f>H206+H207</f>
        <v>1612860.9936351397</v>
      </c>
      <c r="I205" s="19">
        <f t="shared" si="13"/>
        <v>1.2233000000000003</v>
      </c>
    </row>
    <row r="206" spans="1:9" x14ac:dyDescent="0.3">
      <c r="A206" s="45" t="s">
        <v>1209</v>
      </c>
      <c r="B206" s="47"/>
      <c r="C206" s="47"/>
      <c r="D206" s="47"/>
      <c r="E206" s="47"/>
      <c r="F206" s="47"/>
      <c r="G206" s="46"/>
      <c r="H206" s="18">
        <f>H203*(1+(BDI/100))</f>
        <v>1239976.7753403957</v>
      </c>
      <c r="I206" s="19">
        <f>H206/H203</f>
        <v>1.2233000000000001</v>
      </c>
    </row>
    <row r="207" spans="1:9" x14ac:dyDescent="0.3">
      <c r="A207" s="45" t="s">
        <v>1210</v>
      </c>
      <c r="B207" s="47"/>
      <c r="C207" s="47"/>
      <c r="D207" s="47"/>
      <c r="E207" s="47"/>
      <c r="F207" s="47"/>
      <c r="G207" s="46"/>
      <c r="H207" s="18">
        <f>H204*(1+(BDI/100))</f>
        <v>372884.21829474391</v>
      </c>
      <c r="I207" s="19">
        <f>H207/H204</f>
        <v>1.2233000000000001</v>
      </c>
    </row>
  </sheetData>
  <mergeCells count="9">
    <mergeCell ref="A205:G205"/>
    <mergeCell ref="A206:G206"/>
    <mergeCell ref="A207:G207"/>
    <mergeCell ref="A1:I1"/>
    <mergeCell ref="A2:I2"/>
    <mergeCell ref="A3:I3"/>
    <mergeCell ref="A202:G202"/>
    <mergeCell ref="A203:G203"/>
    <mergeCell ref="A204:G204"/>
  </mergeCells>
  <pageMargins left="0.78740157480314965" right="0.39370078740157483" top="1.1811023622047245" bottom="0.78740157480314965" header="0.31496062992125984" footer="0.31496062992125984"/>
  <pageSetup paperSize="9" scale="48" fitToHeight="0" orientation="portrait" r:id="rId1"/>
  <headerFooter>
    <oddHeader>&amp;C&amp;G</oddHead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B63F7-AD11-4B54-8DBE-C32CAAA63389}">
  <sheetPr>
    <tabColor indexed="30"/>
    <pageSetUpPr fitToPage="1"/>
  </sheetPr>
  <dimension ref="A1:F145"/>
  <sheetViews>
    <sheetView showGridLines="0" workbookViewId="0">
      <selection sqref="A1:F1"/>
    </sheetView>
  </sheetViews>
  <sheetFormatPr defaultRowHeight="14.4" x14ac:dyDescent="0.3"/>
  <cols>
    <col min="1" max="1" width="12" bestFit="1" customWidth="1"/>
    <col min="2" max="2" width="74.109375" bestFit="1" customWidth="1"/>
    <col min="3" max="6" width="15.77734375" bestFit="1" customWidth="1"/>
    <col min="7" max="9" width="14.77734375" bestFit="1" customWidth="1"/>
  </cols>
  <sheetData>
    <row r="1" spans="1:6" x14ac:dyDescent="0.3">
      <c r="A1" s="44" t="str">
        <f>CIDADE</f>
        <v>MUNICÍPIOS DE PARNAGUÁ - PI E ANÍSIO DE ABREU-PI</v>
      </c>
      <c r="B1" s="44"/>
      <c r="C1" s="44"/>
      <c r="D1" s="44"/>
      <c r="E1" s="44"/>
      <c r="F1" s="44"/>
    </row>
    <row r="2" spans="1:6" x14ac:dyDescent="0.3">
      <c r="A2" s="44" t="str">
        <f>OBRA</f>
        <v>IMPLANTAÇÃO DE 6 (SEIS) SISTEMAS DE ABASTECIMENTO DE ÁGUA EM COMUNIDADES RURAIS NOS MUNICÍPIOS DE PARNAGUÁ-PI E ANÍSIO DE ABREU-PI (TC 967175/2024)</v>
      </c>
      <c r="B2" s="44"/>
      <c r="C2" s="44"/>
      <c r="D2" s="44"/>
      <c r="E2" s="44"/>
      <c r="F2" s="44"/>
    </row>
    <row r="3" spans="1:6" x14ac:dyDescent="0.3">
      <c r="A3" s="44" t="s">
        <v>1211</v>
      </c>
      <c r="B3" s="44"/>
      <c r="C3" s="44"/>
      <c r="D3" s="44"/>
      <c r="E3" s="44"/>
      <c r="F3" s="44"/>
    </row>
    <row r="5" spans="1:6" x14ac:dyDescent="0.3">
      <c r="A5" s="4" t="s">
        <v>1212</v>
      </c>
      <c r="B5" s="96" t="str">
        <f>CO!$J$6</f>
        <v>30 DIAS</v>
      </c>
      <c r="C5" s="97"/>
      <c r="D5" s="97"/>
      <c r="E5" s="97"/>
      <c r="F5" s="98"/>
    </row>
    <row r="6" spans="1:6" x14ac:dyDescent="0.3">
      <c r="A6" s="4" t="s">
        <v>170</v>
      </c>
      <c r="B6" s="4" t="s">
        <v>18</v>
      </c>
      <c r="C6" s="4" t="s">
        <v>172</v>
      </c>
      <c r="D6" s="4" t="s">
        <v>998</v>
      </c>
      <c r="E6" s="4" t="s">
        <v>1204</v>
      </c>
      <c r="F6" s="4" t="s">
        <v>12</v>
      </c>
    </row>
    <row r="7" spans="1:6" x14ac:dyDescent="0.3">
      <c r="A7" s="23" t="s">
        <v>1025</v>
      </c>
      <c r="B7" s="24" t="s">
        <v>1213</v>
      </c>
      <c r="C7" s="23" t="s">
        <v>1214</v>
      </c>
      <c r="D7" s="23">
        <f ca="1">SUMIF(CPU!M:M,A7,CPU!R:R)+SUMIF(CPUAUX1!M:M,A7,CPUAUX1!R:R)+SUMIF(CPUAUX2!M:M,A7,CPUAUX2!R:R)+SUMIF(CPUAUX3!M:M,A7,CPUAUX3!R:R)+SUMIF(CPUAUX4!M:M,A7,CPUAUX4!R:R)+SUMIF(CPUAUX5!M:M,A7,CPUAUX5!R:R)</f>
        <v>2</v>
      </c>
      <c r="E7" s="5"/>
      <c r="F7" s="5">
        <f t="shared" ref="F7:F38" ca="1" si="0">ROUND(D7*E7,2)</f>
        <v>0</v>
      </c>
    </row>
    <row r="8" spans="1:6" x14ac:dyDescent="0.3">
      <c r="A8" s="23">
        <v>34</v>
      </c>
      <c r="B8" s="24" t="s">
        <v>1215</v>
      </c>
      <c r="C8" s="23" t="s">
        <v>1216</v>
      </c>
      <c r="D8" s="23">
        <f ca="1">SUMIF(CPU!M:M,A8,CPU!R:R)+SUMIF(CPUAUX1!M:M,A8,CPUAUX1!R:R)+SUMIF(CPUAUX2!M:M,A8,CPUAUX2!R:R)+SUMIF(CPUAUX3!M:M,A8,CPUAUX3!R:R)+SUMIF(CPUAUX4!M:M,A8,CPUAUX4!R:R)+SUMIF(CPUAUX5!M:M,A8,CPUAUX5!R:R)</f>
        <v>15.332185800000003</v>
      </c>
      <c r="E8" s="5"/>
      <c r="F8" s="5">
        <f t="shared" ca="1" si="0"/>
        <v>0</v>
      </c>
    </row>
    <row r="9" spans="1:6" x14ac:dyDescent="0.3">
      <c r="A9" s="23">
        <v>43055</v>
      </c>
      <c r="B9" s="24" t="s">
        <v>1217</v>
      </c>
      <c r="C9" s="23" t="s">
        <v>1216</v>
      </c>
      <c r="D9" s="23">
        <f ca="1">SUMIF(CPU!M:M,A9,CPU!R:R)+SUMIF(CPUAUX1!M:M,A9,CPUAUX1!R:R)+SUMIF(CPUAUX2!M:M,A9,CPUAUX2!R:R)+SUMIF(CPUAUX3!M:M,A9,CPUAUX3!R:R)+SUMIF(CPUAUX4!M:M,A9,CPUAUX4!R:R)+SUMIF(CPUAUX5!M:M,A9,CPUAUX5!R:R)</f>
        <v>7.9008246000000018</v>
      </c>
      <c r="E9" s="5"/>
      <c r="F9" s="5">
        <f t="shared" ca="1" si="0"/>
        <v>0</v>
      </c>
    </row>
    <row r="10" spans="1:6" x14ac:dyDescent="0.3">
      <c r="A10" s="23">
        <v>43056</v>
      </c>
      <c r="B10" s="24" t="s">
        <v>1218</v>
      </c>
      <c r="C10" s="23" t="s">
        <v>1216</v>
      </c>
      <c r="D10" s="23">
        <f ca="1">SUMIF(CPU!M:M,A10,CPU!R:R)+SUMIF(CPUAUX1!M:M,A10,CPUAUX1!R:R)+SUMIF(CPUAUX2!M:M,A10,CPUAUX2!R:R)+SUMIF(CPUAUX3!M:M,A10,CPUAUX3!R:R)+SUMIF(CPUAUX4!M:M,A10,CPUAUX4!R:R)+SUMIF(CPUAUX5!M:M,A10,CPUAUX5!R:R)</f>
        <v>2.9168496000000004</v>
      </c>
      <c r="E10" s="5"/>
      <c r="F10" s="5">
        <f t="shared" ca="1" si="0"/>
        <v>0</v>
      </c>
    </row>
    <row r="11" spans="1:6" x14ac:dyDescent="0.3">
      <c r="A11" s="23">
        <v>32</v>
      </c>
      <c r="B11" s="24" t="s">
        <v>1219</v>
      </c>
      <c r="C11" s="23" t="s">
        <v>1216</v>
      </c>
      <c r="D11" s="23">
        <f ca="1">SUMIF(CPU!M:M,A11,CPU!R:R)+SUMIF(CPUAUX1!M:M,A11,CPUAUX1!R:R)+SUMIF(CPUAUX2!M:M,A11,CPUAUX2!R:R)+SUMIF(CPUAUX3!M:M,A11,CPUAUX3!R:R)+SUMIF(CPUAUX4!M:M,A11,CPUAUX4!R:R)+SUMIF(CPUAUX5!M:M,A11,CPUAUX5!R:R)</f>
        <v>1.9405092000000004</v>
      </c>
      <c r="E11" s="5"/>
      <c r="F11" s="5">
        <f t="shared" ca="1" si="0"/>
        <v>0</v>
      </c>
    </row>
    <row r="12" spans="1:6" x14ac:dyDescent="0.3">
      <c r="A12" s="23">
        <v>33</v>
      </c>
      <c r="B12" s="24" t="s">
        <v>1220</v>
      </c>
      <c r="C12" s="23" t="s">
        <v>1216</v>
      </c>
      <c r="D12" s="23">
        <f ca="1">SUMIF(CPU!M:M,A12,CPU!R:R)+SUMIF(CPUAUX1!M:M,A12,CPUAUX1!R:R)+SUMIF(CPUAUX2!M:M,A12,CPUAUX2!R:R)+SUMIF(CPUAUX3!M:M,A12,CPUAUX3!R:R)+SUMIF(CPUAUX4!M:M,A12,CPUAUX4!R:R)+SUMIF(CPUAUX5!M:M,A12,CPUAUX5!R:R)</f>
        <v>15.8505114</v>
      </c>
      <c r="E12" s="5"/>
      <c r="F12" s="5">
        <f t="shared" ca="1" si="0"/>
        <v>0</v>
      </c>
    </row>
    <row r="13" spans="1:6" x14ac:dyDescent="0.3">
      <c r="A13" s="23">
        <v>43059</v>
      </c>
      <c r="B13" s="24" t="s">
        <v>1221</v>
      </c>
      <c r="C13" s="23" t="s">
        <v>1216</v>
      </c>
      <c r="D13" s="23">
        <f ca="1">SUMIF(CPU!M:M,A13,CPU!R:R)+SUMIF(CPUAUX1!M:M,A13,CPUAUX1!R:R)+SUMIF(CPUAUX2!M:M,A13,CPUAUX2!R:R)+SUMIF(CPUAUX3!M:M,A13,CPUAUX3!R:R)+SUMIF(CPUAUX4!M:M,A13,CPUAUX4!R:R)+SUMIF(CPUAUX5!M:M,A13,CPUAUX5!R:R)</f>
        <v>1.9008978000000005</v>
      </c>
      <c r="E13" s="5"/>
      <c r="F13" s="5">
        <f t="shared" ca="1" si="0"/>
        <v>0</v>
      </c>
    </row>
    <row r="14" spans="1:6" x14ac:dyDescent="0.3">
      <c r="A14" s="23">
        <v>108</v>
      </c>
      <c r="B14" s="24" t="s">
        <v>1222</v>
      </c>
      <c r="C14" s="23" t="s">
        <v>1214</v>
      </c>
      <c r="D14" s="23">
        <f ca="1">SUMIF(CPU!M:M,A14,CPU!R:R)+SUMIF(CPUAUX1!M:M,A14,CPUAUX1!R:R)+SUMIF(CPUAUX2!M:M,A14,CPUAUX2!R:R)+SUMIF(CPUAUX3!M:M,A14,CPUAUX3!R:R)+SUMIF(CPUAUX4!M:M,A14,CPUAUX4!R:R)+SUMIF(CPUAUX5!M:M,A14,CPUAUX5!R:R)</f>
        <v>8</v>
      </c>
      <c r="E14" s="5"/>
      <c r="F14" s="5">
        <f t="shared" ca="1" si="0"/>
        <v>0</v>
      </c>
    </row>
    <row r="15" spans="1:6" ht="28.8" x14ac:dyDescent="0.3">
      <c r="A15" s="23">
        <v>72</v>
      </c>
      <c r="B15" s="24" t="s">
        <v>1223</v>
      </c>
      <c r="C15" s="23" t="s">
        <v>1214</v>
      </c>
      <c r="D15" s="23">
        <f ca="1">SUMIF(CPU!M:M,A15,CPU!R:R)+SUMIF(CPUAUX1!M:M,A15,CPUAUX1!R:R)+SUMIF(CPUAUX2!M:M,A15,CPUAUX2!R:R)+SUMIF(CPUAUX3!M:M,A15,CPUAUX3!R:R)+SUMIF(CPUAUX4!M:M,A15,CPUAUX4!R:R)+SUMIF(CPUAUX5!M:M,A15,CPUAUX5!R:R)</f>
        <v>2</v>
      </c>
      <c r="E15" s="5"/>
      <c r="F15" s="5">
        <f t="shared" ca="1" si="0"/>
        <v>0</v>
      </c>
    </row>
    <row r="16" spans="1:6" x14ac:dyDescent="0.3">
      <c r="A16" s="23">
        <v>325</v>
      </c>
      <c r="B16" s="24" t="s">
        <v>1224</v>
      </c>
      <c r="C16" s="23" t="s">
        <v>1214</v>
      </c>
      <c r="D16" s="23">
        <f ca="1">SUMIF(CPU!M:M,A16,CPU!R:R)+SUMIF(CPUAUX1!M:M,A16,CPUAUX1!R:R)+SUMIF(CPUAUX2!M:M,A16,CPUAUX2!R:R)+SUMIF(CPUAUX3!M:M,A16,CPUAUX3!R:R)+SUMIF(CPUAUX4!M:M,A16,CPUAUX4!R:R)+SUMIF(CPUAUX5!M:M,A16,CPUAUX5!R:R)</f>
        <v>728.45000000000016</v>
      </c>
      <c r="E16" s="5"/>
      <c r="F16" s="5">
        <f t="shared" ca="1" si="0"/>
        <v>0</v>
      </c>
    </row>
    <row r="17" spans="1:6" x14ac:dyDescent="0.3">
      <c r="A17" s="23" t="s">
        <v>1075</v>
      </c>
      <c r="B17" s="24" t="s">
        <v>1225</v>
      </c>
      <c r="C17" s="23" t="s">
        <v>1214</v>
      </c>
      <c r="D17" s="23">
        <f ca="1">SUMIF(CPU!M:M,A17,CPU!R:R)+SUMIF(CPUAUX1!M:M,A17,CPUAUX1!R:R)+SUMIF(CPUAUX2!M:M,A17,CPUAUX2!R:R)+SUMIF(CPUAUX3!M:M,A17,CPUAUX3!R:R)+SUMIF(CPUAUX4!M:M,A17,CPUAUX4!R:R)+SUMIF(CPUAUX5!M:M,A17,CPUAUX5!R:R)</f>
        <v>2</v>
      </c>
      <c r="E17" s="5"/>
      <c r="F17" s="5">
        <f t="shared" ca="1" si="0"/>
        <v>0</v>
      </c>
    </row>
    <row r="18" spans="1:6" x14ac:dyDescent="0.3">
      <c r="A18" s="23">
        <v>339</v>
      </c>
      <c r="B18" s="24" t="s">
        <v>1226</v>
      </c>
      <c r="C18" s="23" t="s">
        <v>1227</v>
      </c>
      <c r="D18" s="23">
        <f ca="1">SUMIF(CPU!M:M,A18,CPU!R:R)+SUMIF(CPUAUX1!M:M,A18,CPUAUX1!R:R)+SUMIF(CPUAUX2!M:M,A18,CPUAUX2!R:R)+SUMIF(CPUAUX3!M:M,A18,CPUAUX3!R:R)+SUMIF(CPUAUX4!M:M,A18,CPUAUX4!R:R)+SUMIF(CPUAUX5!M:M,A18,CPUAUX5!R:R)</f>
        <v>814</v>
      </c>
      <c r="E18" s="5"/>
      <c r="F18" s="5">
        <f t="shared" ca="1" si="0"/>
        <v>0</v>
      </c>
    </row>
    <row r="19" spans="1:6" ht="28.8" x14ac:dyDescent="0.3">
      <c r="A19" s="23">
        <v>43130</v>
      </c>
      <c r="B19" s="24" t="s">
        <v>1228</v>
      </c>
      <c r="C19" s="23" t="s">
        <v>1216</v>
      </c>
      <c r="D19" s="23">
        <f ca="1">SUMIF(CPU!M:M,A19,CPU!R:R)+SUMIF(CPUAUX1!M:M,A19,CPUAUX1!R:R)+SUMIF(CPUAUX2!M:M,A19,CPUAUX2!R:R)+SUMIF(CPUAUX3!M:M,A19,CPUAUX3!R:R)+SUMIF(CPUAUX4!M:M,A19,CPUAUX4!R:R)+SUMIF(CPUAUX5!M:M,A19,CPUAUX5!R:R)</f>
        <v>5.8460000000000001</v>
      </c>
      <c r="E19" s="5"/>
      <c r="F19" s="5">
        <f t="shared" ca="1" si="0"/>
        <v>0</v>
      </c>
    </row>
    <row r="20" spans="1:6" ht="28.8" x14ac:dyDescent="0.3">
      <c r="A20" s="23">
        <v>43132</v>
      </c>
      <c r="B20" s="24" t="s">
        <v>1229</v>
      </c>
      <c r="C20" s="23" t="s">
        <v>1216</v>
      </c>
      <c r="D20" s="23">
        <f ca="1">SUMIF(CPU!M:M,A20,CPU!R:R)+SUMIF(CPUAUX1!M:M,A20,CPUAUX1!R:R)+SUMIF(CPUAUX2!M:M,A20,CPUAUX2!R:R)+SUMIF(CPUAUX3!M:M,A20,CPUAUX3!R:R)+SUMIF(CPUAUX4!M:M,A20,CPUAUX4!R:R)+SUMIF(CPUAUX5!M:M,A20,CPUAUX5!R:R)</f>
        <v>0.69427800000000006</v>
      </c>
      <c r="E20" s="5"/>
      <c r="F20" s="5">
        <f t="shared" ca="1" si="0"/>
        <v>0</v>
      </c>
    </row>
    <row r="21" spans="1:6" x14ac:dyDescent="0.3">
      <c r="A21" s="23" t="s">
        <v>1041</v>
      </c>
      <c r="B21" s="24" t="s">
        <v>1230</v>
      </c>
      <c r="C21" s="23" t="s">
        <v>1231</v>
      </c>
      <c r="D21" s="23">
        <f ca="1">SUMIF(CPU!M:M,A21,CPU!R:R)+SUMIF(CPUAUX1!M:M,A21,CPUAUX1!R:R)+SUMIF(CPUAUX2!M:M,A21,CPUAUX2!R:R)+SUMIF(CPUAUX3!M:M,A21,CPUAUX3!R:R)+SUMIF(CPUAUX4!M:M,A21,CPUAUX4!R:R)+SUMIF(CPUAUX5!M:M,A21,CPUAUX5!R:R)</f>
        <v>6.0000000000000001E-3</v>
      </c>
      <c r="E21" s="5"/>
      <c r="F21" s="5">
        <f t="shared" ca="1" si="0"/>
        <v>0</v>
      </c>
    </row>
    <row r="22" spans="1:6" x14ac:dyDescent="0.3">
      <c r="A22" s="23">
        <v>367</v>
      </c>
      <c r="B22" s="24" t="s">
        <v>1232</v>
      </c>
      <c r="C22" s="23" t="s">
        <v>1231</v>
      </c>
      <c r="D22" s="23">
        <f ca="1">SUMIF(CPU!M:M,A22,CPU!R:R)+SUMIF(CPUAUX1!M:M,A22,CPUAUX1!R:R)+SUMIF(CPUAUX2!M:M,A22,CPUAUX2!R:R)+SUMIF(CPUAUX3!M:M,A22,CPUAUX3!R:R)+SUMIF(CPUAUX4!M:M,A22,CPUAUX4!R:R)+SUMIF(CPUAUX5!M:M,A22,CPUAUX5!R:R)</f>
        <v>0.26864072</v>
      </c>
      <c r="E22" s="5"/>
      <c r="F22" s="5">
        <f t="shared" ca="1" si="0"/>
        <v>0</v>
      </c>
    </row>
    <row r="23" spans="1:6" x14ac:dyDescent="0.3">
      <c r="A23" s="23" t="s">
        <v>1088</v>
      </c>
      <c r="B23" s="24" t="s">
        <v>1233</v>
      </c>
      <c r="C23" s="23" t="s">
        <v>1231</v>
      </c>
      <c r="D23" s="23">
        <f ca="1">SUMIF(CPU!M:M,A23,CPU!R:R)+SUMIF(CPUAUX1!M:M,A23,CPUAUX1!R:R)+SUMIF(CPUAUX2!M:M,A23,CPUAUX2!R:R)+SUMIF(CPUAUX3!M:M,A23,CPUAUX3!R:R)+SUMIF(CPUAUX4!M:M,A23,CPUAUX4!R:R)+SUMIF(CPUAUX5!M:M,A23,CPUAUX5!R:R)</f>
        <v>0.478244</v>
      </c>
      <c r="E23" s="5"/>
      <c r="F23" s="5">
        <f t="shared" ca="1" si="0"/>
        <v>0</v>
      </c>
    </row>
    <row r="24" spans="1:6" x14ac:dyDescent="0.3">
      <c r="A24" s="23">
        <v>370</v>
      </c>
      <c r="B24" s="24" t="s">
        <v>1234</v>
      </c>
      <c r="C24" s="23" t="s">
        <v>1231</v>
      </c>
      <c r="D24" s="23">
        <f ca="1">SUMIF(CPU!M:M,A24,CPU!R:R)+SUMIF(CPUAUX1!M:M,A24,CPUAUX1!R:R)+SUMIF(CPUAUX2!M:M,A24,CPUAUX2!R:R)+SUMIF(CPUAUX3!M:M,A24,CPUAUX3!R:R)+SUMIF(CPUAUX4!M:M,A24,CPUAUX4!R:R)+SUMIF(CPUAUX5!M:M,A24,CPUAUX5!R:R)</f>
        <v>14.93603104</v>
      </c>
      <c r="E24" s="5"/>
      <c r="F24" s="5">
        <f t="shared" ca="1" si="0"/>
        <v>0</v>
      </c>
    </row>
    <row r="25" spans="1:6" ht="28.8" x14ac:dyDescent="0.3">
      <c r="A25" s="23" t="s">
        <v>1069</v>
      </c>
      <c r="B25" s="24" t="s">
        <v>1235</v>
      </c>
      <c r="C25" s="23" t="s">
        <v>1214</v>
      </c>
      <c r="D25" s="23">
        <f ca="1">SUMIF(CPU!M:M,A25,CPU!R:R)+SUMIF(CPUAUX1!M:M,A25,CPUAUX1!R:R)+SUMIF(CPUAUX2!M:M,A25,CPUAUX2!R:R)+SUMIF(CPUAUX3!M:M,A25,CPUAUX3!R:R)+SUMIF(CPUAUX4!M:M,A25,CPUAUX4!R:R)+SUMIF(CPUAUX5!M:M,A25,CPUAUX5!R:R)</f>
        <v>0</v>
      </c>
      <c r="E25" s="5"/>
      <c r="F25" s="5">
        <f t="shared" ca="1" si="0"/>
        <v>0</v>
      </c>
    </row>
    <row r="26" spans="1:6" ht="28.8" x14ac:dyDescent="0.3">
      <c r="A26" s="23" t="s">
        <v>1065</v>
      </c>
      <c r="B26" s="24" t="s">
        <v>1236</v>
      </c>
      <c r="C26" s="23" t="s">
        <v>1214</v>
      </c>
      <c r="D26" s="23">
        <f ca="1">SUMIF(CPU!M:M,A26,CPU!R:R)+SUMIF(CPUAUX1!M:M,A26,CPUAUX1!R:R)+SUMIF(CPUAUX2!M:M,A26,CPUAUX2!R:R)+SUMIF(CPUAUX3!M:M,A26,CPUAUX3!R:R)+SUMIF(CPUAUX4!M:M,A26,CPUAUX4!R:R)+SUMIF(CPUAUX5!M:M,A26,CPUAUX5!R:R)</f>
        <v>3</v>
      </c>
      <c r="E26" s="5"/>
      <c r="F26" s="5">
        <f t="shared" ca="1" si="0"/>
        <v>0</v>
      </c>
    </row>
    <row r="27" spans="1:6" x14ac:dyDescent="0.3">
      <c r="A27" s="23" t="s">
        <v>1042</v>
      </c>
      <c r="B27" s="24" t="s">
        <v>1237</v>
      </c>
      <c r="C27" s="23" t="s">
        <v>1227</v>
      </c>
      <c r="D27" s="23">
        <f ca="1">SUMIF(CPU!M:M,A27,CPU!R:R)+SUMIF(CPUAUX1!M:M,A27,CPUAUX1!R:R)+SUMIF(CPUAUX2!M:M,A27,CPUAUX2!R:R)+SUMIF(CPUAUX3!M:M,A27,CPUAUX3!R:R)+SUMIF(CPUAUX4!M:M,A27,CPUAUX4!R:R)+SUMIF(CPUAUX5!M:M,A27,CPUAUX5!R:R)</f>
        <v>15.600000000000001</v>
      </c>
      <c r="E27" s="5"/>
      <c r="F27" s="5">
        <f t="shared" ca="1" si="0"/>
        <v>0</v>
      </c>
    </row>
    <row r="28" spans="1:6" ht="28.8" x14ac:dyDescent="0.3">
      <c r="A28" s="23">
        <v>10535</v>
      </c>
      <c r="B28" s="24" t="s">
        <v>1238</v>
      </c>
      <c r="C28" s="23" t="s">
        <v>1214</v>
      </c>
      <c r="D28" s="23">
        <f ca="1">SUMIF(CPU!M:M,A28,CPU!R:R)+SUMIF(CPUAUX1!M:M,A28,CPUAUX1!R:R)+SUMIF(CPUAUX2!M:M,A28,CPUAUX2!R:R)+SUMIF(CPUAUX3!M:M,A28,CPUAUX3!R:R)+SUMIF(CPUAUX4!M:M,A28,CPUAUX4!R:R)+SUMIF(CPUAUX5!M:M,A28,CPUAUX5!R:R)</f>
        <v>2.4671049488348001E-3</v>
      </c>
      <c r="E28" s="5"/>
      <c r="F28" s="5">
        <f t="shared" ca="1" si="0"/>
        <v>0</v>
      </c>
    </row>
    <row r="29" spans="1:6" ht="28.8" x14ac:dyDescent="0.3">
      <c r="A29" s="23">
        <v>36397</v>
      </c>
      <c r="B29" s="24" t="s">
        <v>1239</v>
      </c>
      <c r="C29" s="23" t="s">
        <v>1214</v>
      </c>
      <c r="D29" s="23">
        <f ca="1">SUMIF(CPU!M:M,A29,CPU!R:R)+SUMIF(CPUAUX1!M:M,A29,CPUAUX1!R:R)+SUMIF(CPUAUX2!M:M,A29,CPUAUX2!R:R)+SUMIF(CPUAUX3!M:M,A29,CPUAUX3!R:R)+SUMIF(CPUAUX4!M:M,A29,CPUAUX4!R:R)+SUMIF(CPUAUX5!M:M,A29,CPUAUX5!R:R)</f>
        <v>1.0468104336960001E-4</v>
      </c>
      <c r="E29" s="5"/>
      <c r="F29" s="5">
        <f t="shared" ca="1" si="0"/>
        <v>0</v>
      </c>
    </row>
    <row r="30" spans="1:6" ht="28.8" x14ac:dyDescent="0.3">
      <c r="A30" s="23">
        <v>7267</v>
      </c>
      <c r="B30" s="24" t="s">
        <v>1240</v>
      </c>
      <c r="C30" s="23" t="s">
        <v>1214</v>
      </c>
      <c r="D30" s="23">
        <f ca="1">SUMIF(CPU!M:M,A30,CPU!R:R)+SUMIF(CPUAUX1!M:M,A30,CPUAUX1!R:R)+SUMIF(CPUAUX2!M:M,A30,CPUAUX2!R:R)+SUMIF(CPUAUX3!M:M,A30,CPUAUX3!R:R)+SUMIF(CPUAUX4!M:M,A30,CPUAUX4!R:R)+SUMIF(CPUAUX5!M:M,A30,CPUAUX5!R:R)</f>
        <v>194.77280000000002</v>
      </c>
      <c r="E30" s="5"/>
      <c r="F30" s="5">
        <f t="shared" ca="1" si="0"/>
        <v>0</v>
      </c>
    </row>
    <row r="31" spans="1:6" ht="28.8" x14ac:dyDescent="0.3">
      <c r="A31" s="23">
        <v>7271</v>
      </c>
      <c r="B31" s="24" t="s">
        <v>1241</v>
      </c>
      <c r="C31" s="23" t="s">
        <v>1214</v>
      </c>
      <c r="D31" s="23">
        <f ca="1">SUMIF(CPU!M:M,A31,CPU!R:R)+SUMIF(CPUAUX1!M:M,A31,CPUAUX1!R:R)+SUMIF(CPUAUX2!M:M,A31,CPUAUX2!R:R)+SUMIF(CPUAUX3!M:M,A31,CPUAUX3!R:R)+SUMIF(CPUAUX4!M:M,A31,CPUAUX4!R:R)+SUMIF(CPUAUX5!M:M,A31,CPUAUX5!R:R)</f>
        <v>1093.3322000000001</v>
      </c>
      <c r="E31" s="5"/>
      <c r="F31" s="5">
        <f t="shared" ca="1" si="0"/>
        <v>0</v>
      </c>
    </row>
    <row r="32" spans="1:6" x14ac:dyDescent="0.3">
      <c r="A32" s="23" t="s">
        <v>1049</v>
      </c>
      <c r="B32" s="24" t="s">
        <v>1242</v>
      </c>
      <c r="C32" s="23" t="s">
        <v>1243</v>
      </c>
      <c r="D32" s="23">
        <f ca="1">SUMIF(CPU!M:M,A32,CPU!R:R)+SUMIF(CPUAUX1!M:M,A32,CPUAUX1!R:R)+SUMIF(CPUAUX2!M:M,A32,CPUAUX2!R:R)+SUMIF(CPUAUX3!M:M,A32,CPUAUX3!R:R)+SUMIF(CPUAUX4!M:M,A32,CPUAUX4!R:R)+SUMIF(CPUAUX5!M:M,A32,CPUAUX5!R:R)</f>
        <v>2</v>
      </c>
      <c r="E32" s="5"/>
      <c r="F32" s="5">
        <f t="shared" ca="1" si="0"/>
        <v>0</v>
      </c>
    </row>
    <row r="33" spans="1:6" x14ac:dyDescent="0.3">
      <c r="A33" s="23">
        <v>788</v>
      </c>
      <c r="B33" s="24" t="s">
        <v>1244</v>
      </c>
      <c r="C33" s="23" t="s">
        <v>1214</v>
      </c>
      <c r="D33" s="23">
        <f ca="1">SUMIF(CPU!M:M,A33,CPU!R:R)+SUMIF(CPUAUX1!M:M,A33,CPUAUX1!R:R)+SUMIF(CPUAUX2!M:M,A33,CPUAUX2!R:R)+SUMIF(CPUAUX3!M:M,A33,CPUAUX3!R:R)+SUMIF(CPUAUX4!M:M,A33,CPUAUX4!R:R)+SUMIF(CPUAUX5!M:M,A33,CPUAUX5!R:R)</f>
        <v>4</v>
      </c>
      <c r="E33" s="5"/>
      <c r="F33" s="5">
        <f t="shared" ca="1" si="0"/>
        <v>0</v>
      </c>
    </row>
    <row r="34" spans="1:6" x14ac:dyDescent="0.3">
      <c r="A34" s="23">
        <v>34622</v>
      </c>
      <c r="B34" s="24" t="s">
        <v>1245</v>
      </c>
      <c r="C34" s="23" t="s">
        <v>1227</v>
      </c>
      <c r="D34" s="23">
        <f ca="1">SUMIF(CPU!M:M,A34,CPU!R:R)+SUMIF(CPUAUX1!M:M,A34,CPUAUX1!R:R)+SUMIF(CPUAUX2!M:M,A34,CPUAUX2!R:R)+SUMIF(CPUAUX3!M:M,A34,CPUAUX3!R:R)+SUMIF(CPUAUX4!M:M,A34,CPUAUX4!R:R)+SUMIF(CPUAUX5!M:M,A34,CPUAUX5!R:R)</f>
        <v>240</v>
      </c>
      <c r="E34" s="5"/>
      <c r="F34" s="5">
        <f t="shared" ca="1" si="0"/>
        <v>0</v>
      </c>
    </row>
    <row r="35" spans="1:6" x14ac:dyDescent="0.3">
      <c r="A35" s="23" t="s">
        <v>1056</v>
      </c>
      <c r="B35" s="24" t="s">
        <v>1246</v>
      </c>
      <c r="C35" s="23" t="s">
        <v>1227</v>
      </c>
      <c r="D35" s="23">
        <f ca="1">SUMIF(CPU!M:M,A35,CPU!R:R)+SUMIF(CPUAUX1!M:M,A35,CPUAUX1!R:R)+SUMIF(CPUAUX2!M:M,A35,CPUAUX2!R:R)+SUMIF(CPUAUX3!M:M,A35,CPUAUX3!R:R)+SUMIF(CPUAUX4!M:M,A35,CPUAUX4!R:R)+SUMIF(CPUAUX5!M:M,A35,CPUAUX5!R:R)</f>
        <v>80</v>
      </c>
      <c r="E35" s="5"/>
      <c r="F35" s="5">
        <f t="shared" ca="1" si="0"/>
        <v>0</v>
      </c>
    </row>
    <row r="36" spans="1:6" ht="28.8" x14ac:dyDescent="0.3">
      <c r="A36" s="23">
        <v>4430</v>
      </c>
      <c r="B36" s="24" t="s">
        <v>1247</v>
      </c>
      <c r="C36" s="23" t="s">
        <v>1227</v>
      </c>
      <c r="D36" s="23">
        <f ca="1">SUMIF(CPU!M:M,A36,CPU!R:R)+SUMIF(CPUAUX1!M:M,A36,CPUAUX1!R:R)+SUMIF(CPUAUX2!M:M,A36,CPUAUX2!R:R)+SUMIF(CPUAUX3!M:M,A36,CPUAUX3!R:R)+SUMIF(CPUAUX4!M:M,A36,CPUAUX4!R:R)+SUMIF(CPUAUX5!M:M,A36,CPUAUX5!R:R)</f>
        <v>47.794559999999997</v>
      </c>
      <c r="E36" s="5"/>
      <c r="F36" s="5">
        <f t="shared" ca="1" si="0"/>
        <v>0</v>
      </c>
    </row>
    <row r="37" spans="1:6" ht="28.8" x14ac:dyDescent="0.3">
      <c r="A37" s="23">
        <v>4433</v>
      </c>
      <c r="B37" s="24" t="s">
        <v>1248</v>
      </c>
      <c r="C37" s="23" t="s">
        <v>1227</v>
      </c>
      <c r="D37" s="23">
        <f ca="1">SUMIF(CPU!M:M,A37,CPU!R:R)+SUMIF(CPUAUX1!M:M,A37,CPUAUX1!R:R)+SUMIF(CPUAUX2!M:M,A37,CPUAUX2!R:R)+SUMIF(CPUAUX3!M:M,A37,CPUAUX3!R:R)+SUMIF(CPUAUX4!M:M,A37,CPUAUX4!R:R)+SUMIF(CPUAUX5!M:M,A37,CPUAUX5!R:R)</f>
        <v>8.4149999999999991</v>
      </c>
      <c r="E37" s="5"/>
      <c r="F37" s="5">
        <f t="shared" ca="1" si="0"/>
        <v>0</v>
      </c>
    </row>
    <row r="38" spans="1:6" ht="28.8" x14ac:dyDescent="0.3">
      <c r="A38" s="23">
        <v>37106</v>
      </c>
      <c r="B38" s="24" t="s">
        <v>1249</v>
      </c>
      <c r="C38" s="23" t="s">
        <v>1214</v>
      </c>
      <c r="D38" s="23">
        <f ca="1">SUMIF(CPU!M:M,A38,CPU!R:R)+SUMIF(CPUAUX1!M:M,A38,CPUAUX1!R:R)+SUMIF(CPUAUX2!M:M,A38,CPUAUX2!R:R)+SUMIF(CPUAUX3!M:M,A38,CPUAUX3!R:R)+SUMIF(CPUAUX4!M:M,A38,CPUAUX4!R:R)+SUMIF(CPUAUX5!M:M,A38,CPUAUX5!R:R)</f>
        <v>3</v>
      </c>
      <c r="E38" s="5"/>
      <c r="F38" s="5">
        <f t="shared" ca="1" si="0"/>
        <v>0</v>
      </c>
    </row>
    <row r="39" spans="1:6" ht="28.8" x14ac:dyDescent="0.3">
      <c r="A39" s="23">
        <v>37105</v>
      </c>
      <c r="B39" s="24" t="s">
        <v>1250</v>
      </c>
      <c r="C39" s="23" t="s">
        <v>1214</v>
      </c>
      <c r="D39" s="23">
        <f ca="1">SUMIF(CPU!M:M,A39,CPU!R:R)+SUMIF(CPUAUX1!M:M,A39,CPUAUX1!R:R)+SUMIF(CPUAUX2!M:M,A39,CPUAUX2!R:R)+SUMIF(CPUAUX3!M:M,A39,CPUAUX3!R:R)+SUMIF(CPUAUX4!M:M,A39,CPUAUX4!R:R)+SUMIF(CPUAUX5!M:M,A39,CPUAUX5!R:R)</f>
        <v>0</v>
      </c>
      <c r="E39" s="5"/>
      <c r="F39" s="5">
        <f t="shared" ref="F39:F70" ca="1" si="1">ROUND(D39*E39,2)</f>
        <v>0</v>
      </c>
    </row>
    <row r="40" spans="1:6" x14ac:dyDescent="0.3">
      <c r="A40" s="23">
        <v>1106</v>
      </c>
      <c r="B40" s="24" t="s">
        <v>1251</v>
      </c>
      <c r="C40" s="23" t="s">
        <v>1216</v>
      </c>
      <c r="D40" s="23">
        <f ca="1">SUMIF(CPU!M:M,A40,CPU!R:R)+SUMIF(CPUAUX1!M:M,A40,CPUAUX1!R:R)+SUMIF(CPUAUX2!M:M,A40,CPUAUX2!R:R)+SUMIF(CPUAUX3!M:M,A40,CPUAUX3!R:R)+SUMIF(CPUAUX4!M:M,A40,CPUAUX4!R:R)+SUMIF(CPUAUX5!M:M,A40,CPUAUX5!R:R)</f>
        <v>475.78786409999998</v>
      </c>
      <c r="E40" s="5"/>
      <c r="F40" s="5">
        <f t="shared" ca="1" si="1"/>
        <v>0</v>
      </c>
    </row>
    <row r="41" spans="1:6" x14ac:dyDescent="0.3">
      <c r="A41" s="23" t="s">
        <v>1006</v>
      </c>
      <c r="B41" s="24" t="s">
        <v>1252</v>
      </c>
      <c r="C41" s="23" t="s">
        <v>1253</v>
      </c>
      <c r="D41" s="23">
        <f ca="1">SUMIF(CPU!M:M,A41,CPU!R:R)+SUMIF(CPUAUX1!M:M,A41,CPUAUX1!R:R)+SUMIF(CPUAUX2!M:M,A41,CPUAUX2!R:R)+SUMIF(CPUAUX3!M:M,A41,CPUAUX3!R:R)+SUMIF(CPUAUX4!M:M,A41,CPUAUX4!R:R)+SUMIF(CPUAUX5!M:M,A41,CPUAUX5!R:R)</f>
        <v>13.219200000000001</v>
      </c>
      <c r="E41" s="5"/>
      <c r="F41" s="5">
        <f t="shared" ca="1" si="1"/>
        <v>0</v>
      </c>
    </row>
    <row r="42" spans="1:6" ht="28.8" x14ac:dyDescent="0.3">
      <c r="A42" s="23">
        <v>1345</v>
      </c>
      <c r="B42" s="24" t="s">
        <v>1254</v>
      </c>
      <c r="C42" s="23" t="s">
        <v>1253</v>
      </c>
      <c r="D42" s="23">
        <f ca="1">SUMIF(CPU!M:M,A42,CPU!R:R)+SUMIF(CPUAUX1!M:M,A42,CPUAUX1!R:R)+SUMIF(CPUAUX2!M:M,A42,CPUAUX2!R:R)+SUMIF(CPUAUX3!M:M,A42,CPUAUX3!R:R)+SUMIF(CPUAUX4!M:M,A42,CPUAUX4!R:R)+SUMIF(CPUAUX5!M:M,A42,CPUAUX5!R:R)</f>
        <v>0.3825855820800001</v>
      </c>
      <c r="E42" s="5"/>
      <c r="F42" s="5">
        <f t="shared" ca="1" si="1"/>
        <v>0</v>
      </c>
    </row>
    <row r="43" spans="1:6" ht="28.8" x14ac:dyDescent="0.3">
      <c r="A43" s="23">
        <v>1358</v>
      </c>
      <c r="B43" s="24" t="s">
        <v>1255</v>
      </c>
      <c r="C43" s="23" t="s">
        <v>1253</v>
      </c>
      <c r="D43" s="23">
        <f ca="1">SUMIF(CPU!M:M,A43,CPU!R:R)+SUMIF(CPUAUX1!M:M,A43,CPUAUX1!R:R)+SUMIF(CPUAUX2!M:M,A43,CPUAUX2!R:R)+SUMIF(CPUAUX3!M:M,A43,CPUAUX3!R:R)+SUMIF(CPUAUX4!M:M,A43,CPUAUX4!R:R)+SUMIF(CPUAUX5!M:M,A43,CPUAUX5!R:R)</f>
        <v>1.4371602076800001</v>
      </c>
      <c r="E43" s="5"/>
      <c r="F43" s="5">
        <f t="shared" ca="1" si="1"/>
        <v>0</v>
      </c>
    </row>
    <row r="44" spans="1:6" x14ac:dyDescent="0.3">
      <c r="A44" s="23" t="s">
        <v>1043</v>
      </c>
      <c r="B44" s="24" t="s">
        <v>1256</v>
      </c>
      <c r="C44" s="23" t="s">
        <v>1216</v>
      </c>
      <c r="D44" s="23">
        <f ca="1">SUMIF(CPU!M:M,A44,CPU!R:R)+SUMIF(CPUAUX1!M:M,A44,CPUAUX1!R:R)+SUMIF(CPUAUX2!M:M,A44,CPUAUX2!R:R)+SUMIF(CPUAUX3!M:M,A44,CPUAUX3!R:R)+SUMIF(CPUAUX4!M:M,A44,CPUAUX4!R:R)+SUMIF(CPUAUX5!M:M,A44,CPUAUX5!R:R)</f>
        <v>133.88000000000002</v>
      </c>
      <c r="E44" s="5"/>
      <c r="F44" s="5">
        <f t="shared" ca="1" si="1"/>
        <v>0</v>
      </c>
    </row>
    <row r="45" spans="1:6" x14ac:dyDescent="0.3">
      <c r="A45" s="23">
        <v>1379</v>
      </c>
      <c r="B45" s="24" t="s">
        <v>1257</v>
      </c>
      <c r="C45" s="23" t="s">
        <v>1216</v>
      </c>
      <c r="D45" s="23">
        <f ca="1">SUMIF(CPU!M:M,A45,CPU!R:R)+SUMIF(CPUAUX1!M:M,A45,CPUAUX1!R:R)+SUMIF(CPUAUX2!M:M,A45,CPUAUX2!R:R)+SUMIF(CPUAUX3!M:M,A45,CPUAUX3!R:R)+SUMIF(CPUAUX4!M:M,A45,CPUAUX4!R:R)+SUMIF(CPUAUX5!M:M,A45,CPUAUX5!R:R)</f>
        <v>4755.7314045303992</v>
      </c>
      <c r="E45" s="5"/>
      <c r="F45" s="5">
        <f t="shared" ca="1" si="1"/>
        <v>0</v>
      </c>
    </row>
    <row r="46" spans="1:6" x14ac:dyDescent="0.3">
      <c r="A46" s="23" t="s">
        <v>1068</v>
      </c>
      <c r="B46" s="24" t="s">
        <v>1258</v>
      </c>
      <c r="C46" s="23" t="s">
        <v>1214</v>
      </c>
      <c r="D46" s="23">
        <f ca="1">SUMIF(CPU!M:M,A46,CPU!R:R)+SUMIF(CPUAUX1!M:M,A46,CPUAUX1!R:R)+SUMIF(CPUAUX2!M:M,A46,CPUAUX2!R:R)+SUMIF(CPUAUX3!M:M,A46,CPUAUX3!R:R)+SUMIF(CPUAUX4!M:M,A46,CPUAUX4!R:R)+SUMIF(CPUAUX5!M:M,A46,CPUAUX5!R:R)</f>
        <v>28</v>
      </c>
      <c r="E46" s="5"/>
      <c r="F46" s="5">
        <f t="shared" ca="1" si="1"/>
        <v>0</v>
      </c>
    </row>
    <row r="47" spans="1:6" x14ac:dyDescent="0.3">
      <c r="A47" s="23" t="s">
        <v>1027</v>
      </c>
      <c r="B47" s="24" t="s">
        <v>1259</v>
      </c>
      <c r="C47" s="23" t="s">
        <v>1243</v>
      </c>
      <c r="D47" s="23">
        <f>SUMIF(CPU!M:M,A47,CPU!R:R)+SUMIF(CPUAUX1!M:M,A47,CPUAUX1!R:R)+SUMIF(CPUAUX2!M:M,A47,CPUAUX2!R:R)+SUMIF(CPUAUX3!M:M,A47,CPUAUX3!R:R)+SUMIF(CPUAUX4!M:M,A47,CPUAUX4!R:R)+SUMIF(CPUAUX5!M:M,A47,CPUAUX5!R:R)</f>
        <v>0</v>
      </c>
      <c r="E47" s="5"/>
      <c r="F47" s="5">
        <f t="shared" si="1"/>
        <v>0</v>
      </c>
    </row>
    <row r="48" spans="1:6" ht="43.2" x14ac:dyDescent="0.3">
      <c r="A48" s="23">
        <v>1527</v>
      </c>
      <c r="B48" s="24" t="s">
        <v>1260</v>
      </c>
      <c r="C48" s="23" t="s">
        <v>1231</v>
      </c>
      <c r="D48" s="23">
        <f ca="1">SUMIF(CPU!M:M,A48,CPU!R:R)+SUMIF(CPUAUX1!M:M,A48,CPUAUX1!R:R)+SUMIF(CPUAUX2!M:M,A48,CPUAUX2!R:R)+SUMIF(CPUAUX3!M:M,A48,CPUAUX3!R:R)+SUMIF(CPUAUX4!M:M,A48,CPUAUX4!R:R)+SUMIF(CPUAUX5!M:M,A48,CPUAUX5!R:R)</f>
        <v>8.1732300000000008E-2</v>
      </c>
      <c r="E48" s="5"/>
      <c r="F48" s="5">
        <f t="shared" ca="1" si="1"/>
        <v>0</v>
      </c>
    </row>
    <row r="49" spans="1:6" x14ac:dyDescent="0.3">
      <c r="A49" s="23" t="s">
        <v>1055</v>
      </c>
      <c r="B49" s="24" t="s">
        <v>1261</v>
      </c>
      <c r="C49" s="23" t="s">
        <v>1243</v>
      </c>
      <c r="D49" s="23">
        <f ca="1">SUMIF(CPU!M:M,A49,CPU!R:R)+SUMIF(CPUAUX1!M:M,A49,CPUAUX1!R:R)+SUMIF(CPUAUX2!M:M,A49,CPUAUX2!R:R)+SUMIF(CPUAUX3!M:M,A49,CPUAUX3!R:R)+SUMIF(CPUAUX4!M:M,A49,CPUAUX4!R:R)+SUMIF(CPUAUX5!M:M,A49,CPUAUX5!R:R)</f>
        <v>6</v>
      </c>
      <c r="E49" s="5"/>
      <c r="F49" s="5">
        <f t="shared" ca="1" si="1"/>
        <v>0</v>
      </c>
    </row>
    <row r="50" spans="1:6" x14ac:dyDescent="0.3">
      <c r="A50" s="23">
        <v>1789</v>
      </c>
      <c r="B50" s="24" t="s">
        <v>1262</v>
      </c>
      <c r="C50" s="23" t="s">
        <v>1214</v>
      </c>
      <c r="D50" s="23">
        <f ca="1">SUMIF(CPU!M:M,A50,CPU!R:R)+SUMIF(CPUAUX1!M:M,A50,CPUAUX1!R:R)+SUMIF(CPUAUX2!M:M,A50,CPUAUX2!R:R)+SUMIF(CPUAUX3!M:M,A50,CPUAUX3!R:R)+SUMIF(CPUAUX4!M:M,A50,CPUAUX4!R:R)+SUMIF(CPUAUX5!M:M,A50,CPUAUX5!R:R)</f>
        <v>4</v>
      </c>
      <c r="E50" s="5"/>
      <c r="F50" s="5">
        <f t="shared" ca="1" si="1"/>
        <v>0</v>
      </c>
    </row>
    <row r="51" spans="1:6" x14ac:dyDescent="0.3">
      <c r="A51" s="23">
        <v>1957</v>
      </c>
      <c r="B51" s="24" t="s">
        <v>1263</v>
      </c>
      <c r="C51" s="23" t="s">
        <v>1214</v>
      </c>
      <c r="D51" s="23">
        <f ca="1">SUMIF(CPU!M:M,A51,CPU!R:R)+SUMIF(CPUAUX1!M:M,A51,CPUAUX1!R:R)+SUMIF(CPUAUX2!M:M,A51,CPUAUX2!R:R)+SUMIF(CPUAUX3!M:M,A51,CPUAUX3!R:R)+SUMIF(CPUAUX4!M:M,A51,CPUAUX4!R:R)+SUMIF(CPUAUX5!M:M,A51,CPUAUX5!R:R)</f>
        <v>8</v>
      </c>
      <c r="E51" s="5"/>
      <c r="F51" s="5">
        <f t="shared" ca="1" si="1"/>
        <v>0</v>
      </c>
    </row>
    <row r="52" spans="1:6" x14ac:dyDescent="0.3">
      <c r="A52" s="23" t="s">
        <v>1090</v>
      </c>
      <c r="B52" s="24" t="s">
        <v>1264</v>
      </c>
      <c r="C52" s="23" t="s">
        <v>1114</v>
      </c>
      <c r="D52" s="23">
        <f ca="1">SUMIF(CPU!M:M,A52,CPU!R:R)+SUMIF(CPUAUX1!M:M,A52,CPUAUX1!R:R)+SUMIF(CPUAUX2!M:M,A52,CPUAUX2!R:R)+SUMIF(CPUAUX3!M:M,A52,CPUAUX3!R:R)+SUMIF(CPUAUX4!M:M,A52,CPUAUX4!R:R)+SUMIF(CPUAUX5!M:M,A52,CPUAUX5!R:R)</f>
        <v>0.83200000000000007</v>
      </c>
      <c r="E52" s="5"/>
      <c r="F52" s="5">
        <f t="shared" ca="1" si="1"/>
        <v>0</v>
      </c>
    </row>
    <row r="53" spans="1:6" ht="28.8" x14ac:dyDescent="0.3">
      <c r="A53" s="23">
        <v>2692</v>
      </c>
      <c r="B53" s="24" t="s">
        <v>1265</v>
      </c>
      <c r="C53" s="23" t="s">
        <v>1114</v>
      </c>
      <c r="D53" s="23">
        <f ca="1">SUMIF(CPU!M:M,A53,CPU!R:R)+SUMIF(CPUAUX1!M:M,A53,CPUAUX1!R:R)+SUMIF(CPUAUX2!M:M,A53,CPUAUX2!R:R)+SUMIF(CPUAUX3!M:M,A53,CPUAUX3!R:R)+SUMIF(CPUAUX4!M:M,A53,CPUAUX4!R:R)+SUMIF(CPUAUX5!M:M,A53,CPUAUX5!R:R)</f>
        <v>0.1197766</v>
      </c>
      <c r="E53" s="5"/>
      <c r="F53" s="5">
        <f t="shared" ca="1" si="1"/>
        <v>0</v>
      </c>
    </row>
    <row r="54" spans="1:6" x14ac:dyDescent="0.3">
      <c r="A54" s="23">
        <v>5318</v>
      </c>
      <c r="B54" s="24" t="s">
        <v>1266</v>
      </c>
      <c r="C54" s="23" t="s">
        <v>1114</v>
      </c>
      <c r="D54" s="23">
        <f ca="1">SUMIF(CPU!M:M,A54,CPU!R:R)+SUMIF(CPUAUX1!M:M,A54,CPUAUX1!R:R)+SUMIF(CPUAUX2!M:M,A54,CPUAUX2!R:R)+SUMIF(CPUAUX3!M:M,A54,CPUAUX3!R:R)+SUMIF(CPUAUX4!M:M,A54,CPUAUX4!R:R)+SUMIF(CPUAUX5!M:M,A54,CPUAUX5!R:R)</f>
        <v>0.22236</v>
      </c>
      <c r="E54" s="5"/>
      <c r="F54" s="5">
        <f t="shared" ca="1" si="1"/>
        <v>0</v>
      </c>
    </row>
    <row r="55" spans="1:6" x14ac:dyDescent="0.3">
      <c r="A55" s="23" t="s">
        <v>1058</v>
      </c>
      <c r="B55" s="24" t="s">
        <v>1267</v>
      </c>
      <c r="C55" s="23" t="s">
        <v>1243</v>
      </c>
      <c r="D55" s="23">
        <f ca="1">SUMIF(CPU!M:M,A55,CPU!R:R)+SUMIF(CPUAUX1!M:M,A55,CPUAUX1!R:R)+SUMIF(CPUAUX2!M:M,A55,CPUAUX2!R:R)+SUMIF(CPUAUX3!M:M,A55,CPUAUX3!R:R)+SUMIF(CPUAUX4!M:M,A55,CPUAUX4!R:R)+SUMIF(CPUAUX5!M:M,A55,CPUAUX5!R:R)</f>
        <v>2</v>
      </c>
      <c r="E55" s="5"/>
      <c r="F55" s="5">
        <f t="shared" ca="1" si="1"/>
        <v>0</v>
      </c>
    </row>
    <row r="56" spans="1:6" x14ac:dyDescent="0.3">
      <c r="A56" s="23" t="s">
        <v>1053</v>
      </c>
      <c r="B56" s="24" t="s">
        <v>1268</v>
      </c>
      <c r="C56" s="23" t="s">
        <v>1243</v>
      </c>
      <c r="D56" s="23">
        <f ca="1">SUMIF(CPU!M:M,A56,CPU!R:R)+SUMIF(CPUAUX1!M:M,A56,CPUAUX1!R:R)+SUMIF(CPUAUX2!M:M,A56,CPUAUX2!R:R)+SUMIF(CPUAUX3!M:M,A56,CPUAUX3!R:R)+SUMIF(CPUAUX4!M:M,A56,CPUAUX4!R:R)+SUMIF(CPUAUX5!M:M,A56,CPUAUX5!R:R)</f>
        <v>2</v>
      </c>
      <c r="E56" s="5"/>
      <c r="F56" s="5">
        <f t="shared" ca="1" si="1"/>
        <v>0</v>
      </c>
    </row>
    <row r="57" spans="1:6" x14ac:dyDescent="0.3">
      <c r="A57" s="23" t="s">
        <v>1052</v>
      </c>
      <c r="B57" s="24" t="s">
        <v>1269</v>
      </c>
      <c r="C57" s="23" t="s">
        <v>1243</v>
      </c>
      <c r="D57" s="23">
        <f ca="1">SUMIF(CPU!M:M,A57,CPU!R:R)+SUMIF(CPUAUX1!M:M,A57,CPUAUX1!R:R)+SUMIF(CPUAUX2!M:M,A57,CPUAUX2!R:R)+SUMIF(CPUAUX3!M:M,A57,CPUAUX3!R:R)+SUMIF(CPUAUX4!M:M,A57,CPUAUX4!R:R)+SUMIF(CPUAUX5!M:M,A57,CPUAUX5!R:R)</f>
        <v>2</v>
      </c>
      <c r="E57" s="5"/>
      <c r="F57" s="5">
        <f t="shared" ca="1" si="1"/>
        <v>0</v>
      </c>
    </row>
    <row r="58" spans="1:6" x14ac:dyDescent="0.3">
      <c r="A58" s="23">
        <v>665</v>
      </c>
      <c r="B58" s="24" t="s">
        <v>1270</v>
      </c>
      <c r="C58" s="23" t="s">
        <v>1214</v>
      </c>
      <c r="D58" s="23">
        <f ca="1">SUMIF(CPU!M:M,A58,CPU!R:R)+SUMIF(CPUAUX1!M:M,A58,CPUAUX1!R:R)+SUMIF(CPUAUX2!M:M,A58,CPUAUX2!R:R)+SUMIF(CPUAUX3!M:M,A58,CPUAUX3!R:R)+SUMIF(CPUAUX4!M:M,A58,CPUAUX4!R:R)+SUMIF(CPUAUX5!M:M,A58,CPUAUX5!R:R)</f>
        <v>11.850000000000001</v>
      </c>
      <c r="E58" s="5"/>
      <c r="F58" s="5">
        <f t="shared" ca="1" si="1"/>
        <v>0</v>
      </c>
    </row>
    <row r="59" spans="1:6" x14ac:dyDescent="0.3">
      <c r="A59" s="23">
        <v>2705</v>
      </c>
      <c r="B59" s="24" t="s">
        <v>1271</v>
      </c>
      <c r="C59" s="23" t="s">
        <v>1272</v>
      </c>
      <c r="D59" s="23">
        <f ca="1">SUMIF(CPU!M:M,A59,CPU!R:R)+SUMIF(CPUAUX1!M:M,A59,CPUAUX1!R:R)+SUMIF(CPUAUX2!M:M,A59,CPUAUX2!R:R)+SUMIF(CPUAUX3!M:M,A59,CPUAUX3!R:R)+SUMIF(CPUAUX4!M:M,A59,CPUAUX4!R:R)+SUMIF(CPUAUX5!M:M,A59,CPUAUX5!R:R)</f>
        <v>13.249677940807599</v>
      </c>
      <c r="E59" s="5"/>
      <c r="F59" s="5">
        <f t="shared" ca="1" si="1"/>
        <v>0</v>
      </c>
    </row>
    <row r="60" spans="1:6" ht="28.8" x14ac:dyDescent="0.3">
      <c r="A60" s="23" t="s">
        <v>1023</v>
      </c>
      <c r="B60" s="24" t="s">
        <v>1273</v>
      </c>
      <c r="C60" s="23" t="s">
        <v>1274</v>
      </c>
      <c r="D60" s="23">
        <f ca="1">SUMIF(CPU!M:M,A60,CPU!R:R)+SUMIF(CPUAUX1!M:M,A60,CPUAUX1!R:R)+SUMIF(CPUAUX2!M:M,A60,CPUAUX2!R:R)+SUMIF(CPUAUX3!M:M,A60,CPUAUX3!R:R)+SUMIF(CPUAUX4!M:M,A60,CPUAUX4!R:R)+SUMIF(CPUAUX5!M:M,A60,CPUAUX5!R:R)</f>
        <v>4.4645999999999999</v>
      </c>
      <c r="E60" s="5"/>
      <c r="F60" s="5">
        <f t="shared" ca="1" si="1"/>
        <v>0</v>
      </c>
    </row>
    <row r="61" spans="1:6" ht="28.8" x14ac:dyDescent="0.3">
      <c r="A61" s="23">
        <v>10685</v>
      </c>
      <c r="B61" s="24" t="s">
        <v>1275</v>
      </c>
      <c r="C61" s="23" t="s">
        <v>1214</v>
      </c>
      <c r="D61" s="23">
        <f ca="1">SUMIF(CPU!M:M,A61,CPU!R:R)+SUMIF(CPUAUX1!M:M,A61,CPUAUX1!R:R)+SUMIF(CPUAUX2!M:M,A61,CPUAUX2!R:R)+SUMIF(CPUAUX3!M:M,A61,CPUAUX3!R:R)+SUMIF(CPUAUX4!M:M,A61,CPUAUX4!R:R)+SUMIF(CPUAUX5!M:M,A61,CPUAUX5!R:R)</f>
        <v>8.7819213307007999E-3</v>
      </c>
      <c r="E61" s="5"/>
      <c r="F61" s="5">
        <f t="shared" ca="1" si="1"/>
        <v>0</v>
      </c>
    </row>
    <row r="62" spans="1:6" x14ac:dyDescent="0.3">
      <c r="A62" s="23" t="s">
        <v>1009</v>
      </c>
      <c r="B62" s="24" t="s">
        <v>1276</v>
      </c>
      <c r="C62" s="23" t="s">
        <v>1114</v>
      </c>
      <c r="D62" s="23">
        <f ca="1">SUMIF(CPU!M:M,A62,CPU!R:R)+SUMIF(CPUAUX1!M:M,A62,CPUAUX1!R:R)+SUMIF(CPUAUX2!M:M,A62,CPUAUX2!R:R)+SUMIF(CPUAUX3!M:M,A62,CPUAUX3!R:R)+SUMIF(CPUAUX4!M:M,A62,CPUAUX4!R:R)+SUMIF(CPUAUX5!M:M,A62,CPUAUX5!R:R)</f>
        <v>12.96</v>
      </c>
      <c r="E62" s="5"/>
      <c r="F62" s="5">
        <f t="shared" ca="1" si="1"/>
        <v>0</v>
      </c>
    </row>
    <row r="63" spans="1:6" ht="28.8" x14ac:dyDescent="0.3">
      <c r="A63" s="23">
        <v>39017</v>
      </c>
      <c r="B63" s="24" t="s">
        <v>1277</v>
      </c>
      <c r="C63" s="23" t="s">
        <v>1214</v>
      </c>
      <c r="D63" s="23">
        <f ca="1">SUMIF(CPU!M:M,A63,CPU!R:R)+SUMIF(CPUAUX1!M:M,A63,CPUAUX1!R:R)+SUMIF(CPUAUX2!M:M,A63,CPUAUX2!R:R)+SUMIF(CPUAUX3!M:M,A63,CPUAUX3!R:R)+SUMIF(CPUAUX4!M:M,A63,CPUAUX4!R:R)+SUMIF(CPUAUX5!M:M,A63,CPUAUX5!R:R)</f>
        <v>117.57905159999999</v>
      </c>
      <c r="E63" s="5"/>
      <c r="F63" s="5">
        <f t="shared" ca="1" si="1"/>
        <v>0</v>
      </c>
    </row>
    <row r="64" spans="1:6" x14ac:dyDescent="0.3">
      <c r="A64" s="23" t="s">
        <v>1044</v>
      </c>
      <c r="B64" s="24" t="s">
        <v>1278</v>
      </c>
      <c r="C64" s="23" t="s">
        <v>1214</v>
      </c>
      <c r="D64" s="23">
        <f ca="1">SUMIF(CPU!M:M,A64,CPU!R:R)+SUMIF(CPUAUX1!M:M,A64,CPUAUX1!R:R)+SUMIF(CPUAUX2!M:M,A64,CPUAUX2!R:R)+SUMIF(CPUAUX3!M:M,A64,CPUAUX3!R:R)+SUMIF(CPUAUX4!M:M,A64,CPUAUX4!R:R)+SUMIF(CPUAUX5!M:M,A64,CPUAUX5!R:R)</f>
        <v>3.96</v>
      </c>
      <c r="E64" s="5"/>
      <c r="F64" s="5">
        <f t="shared" ca="1" si="1"/>
        <v>0</v>
      </c>
    </row>
    <row r="65" spans="1:6" x14ac:dyDescent="0.3">
      <c r="A65" s="23">
        <v>3146</v>
      </c>
      <c r="B65" s="24" t="s">
        <v>1279</v>
      </c>
      <c r="C65" s="23" t="s">
        <v>1214</v>
      </c>
      <c r="D65" s="23">
        <f ca="1">SUMIF(CPU!M:M,A65,CPU!R:R)+SUMIF(CPUAUX1!M:M,A65,CPUAUX1!R:R)+SUMIF(CPUAUX2!M:M,A65,CPUAUX2!R:R)+SUMIF(CPUAUX3!M:M,A65,CPUAUX3!R:R)+SUMIF(CPUAUX4!M:M,A65,CPUAUX4!R:R)+SUMIF(CPUAUX5!M:M,A65,CPUAUX5!R:R)</f>
        <v>55</v>
      </c>
      <c r="E65" s="5"/>
      <c r="F65" s="5">
        <f t="shared" ca="1" si="1"/>
        <v>0</v>
      </c>
    </row>
    <row r="66" spans="1:6" x14ac:dyDescent="0.3">
      <c r="A66" s="23">
        <v>3148</v>
      </c>
      <c r="B66" s="24" t="s">
        <v>1280</v>
      </c>
      <c r="C66" s="23" t="s">
        <v>1214</v>
      </c>
      <c r="D66" s="23">
        <f ca="1">SUMIF(CPU!M:M,A66,CPU!R:R)+SUMIF(CPUAUX1!M:M,A66,CPUAUX1!R:R)+SUMIF(CPUAUX2!M:M,A66,CPUAUX2!R:R)+SUMIF(CPUAUX3!M:M,A66,CPUAUX3!R:R)+SUMIF(CPUAUX4!M:M,A66,CPUAUX4!R:R)+SUMIF(CPUAUX5!M:M,A66,CPUAUX5!R:R)</f>
        <v>0.16800000000000001</v>
      </c>
      <c r="E66" s="5"/>
      <c r="F66" s="5">
        <f t="shared" ca="1" si="1"/>
        <v>0</v>
      </c>
    </row>
    <row r="67" spans="1:6" x14ac:dyDescent="0.3">
      <c r="A67" s="23" t="s">
        <v>1045</v>
      </c>
      <c r="B67" s="24" t="s">
        <v>1281</v>
      </c>
      <c r="C67" s="23" t="s">
        <v>1253</v>
      </c>
      <c r="D67" s="23">
        <f ca="1">SUMIF(CPU!M:M,A67,CPU!R:R)+SUMIF(CPUAUX1!M:M,A67,CPUAUX1!R:R)+SUMIF(CPUAUX2!M:M,A67,CPUAUX2!R:R)+SUMIF(CPUAUX3!M:M,A67,CPUAUX3!R:R)+SUMIF(CPUAUX4!M:M,A67,CPUAUX4!R:R)+SUMIF(CPUAUX5!M:M,A67,CPUAUX5!R:R)</f>
        <v>12</v>
      </c>
      <c r="E67" s="5"/>
      <c r="F67" s="5">
        <f t="shared" ca="1" si="1"/>
        <v>0</v>
      </c>
    </row>
    <row r="68" spans="1:6" x14ac:dyDescent="0.3">
      <c r="A68" s="23" t="s">
        <v>1028</v>
      </c>
      <c r="B68" s="24" t="s">
        <v>1282</v>
      </c>
      <c r="C68" s="23" t="s">
        <v>1214</v>
      </c>
      <c r="D68" s="23">
        <f ca="1">SUMIF(CPU!M:M,A68,CPU!R:R)+SUMIF(CPUAUX1!M:M,A68,CPUAUX1!R:R)+SUMIF(CPUAUX2!M:M,A68,CPUAUX2!R:R)+SUMIF(CPUAUX3!M:M,A68,CPUAUX3!R:R)+SUMIF(CPUAUX4!M:M,A68,CPUAUX4!R:R)+SUMIF(CPUAUX5!M:M,A68,CPUAUX5!R:R)</f>
        <v>2</v>
      </c>
      <c r="E68" s="5"/>
      <c r="F68" s="5">
        <f t="shared" ca="1" si="1"/>
        <v>0</v>
      </c>
    </row>
    <row r="69" spans="1:6" x14ac:dyDescent="0.3">
      <c r="A69" s="23" t="s">
        <v>1020</v>
      </c>
      <c r="B69" s="24" t="s">
        <v>1283</v>
      </c>
      <c r="C69" s="23" t="s">
        <v>1114</v>
      </c>
      <c r="D69" s="23">
        <f ca="1">SUMIF(CPU!M:M,A69,CPU!R:R)+SUMIF(CPUAUX1!M:M,A69,CPUAUX1!R:R)+SUMIF(CPUAUX2!M:M,A69,CPUAUX2!R:R)+SUMIF(CPUAUX3!M:M,A69,CPUAUX3!R:R)+SUMIF(CPUAUX4!M:M,A69,CPUAUX4!R:R)+SUMIF(CPUAUX5!M:M,A69,CPUAUX5!R:R)</f>
        <v>8</v>
      </c>
      <c r="E69" s="5"/>
      <c r="F69" s="5">
        <f t="shared" ca="1" si="1"/>
        <v>0</v>
      </c>
    </row>
    <row r="70" spans="1:6" x14ac:dyDescent="0.3">
      <c r="A70" s="23" t="s">
        <v>1051</v>
      </c>
      <c r="B70" s="24" t="s">
        <v>1284</v>
      </c>
      <c r="C70" s="23" t="s">
        <v>1243</v>
      </c>
      <c r="D70" s="23">
        <f ca="1">SUMIF(CPU!M:M,A70,CPU!R:R)+SUMIF(CPUAUX1!M:M,A70,CPUAUX1!R:R)+SUMIF(CPUAUX2!M:M,A70,CPUAUX2!R:R)+SUMIF(CPUAUX3!M:M,A70,CPUAUX3!R:R)+SUMIF(CPUAUX4!M:M,A70,CPUAUX4!R:R)+SUMIF(CPUAUX5!M:M,A70,CPUAUX5!R:R)</f>
        <v>2</v>
      </c>
      <c r="E70" s="5"/>
      <c r="F70" s="5">
        <f t="shared" ca="1" si="1"/>
        <v>0</v>
      </c>
    </row>
    <row r="71" spans="1:6" x14ac:dyDescent="0.3">
      <c r="A71" s="23">
        <v>3542</v>
      </c>
      <c r="B71" s="24" t="s">
        <v>1285</v>
      </c>
      <c r="C71" s="23" t="s">
        <v>1214</v>
      </c>
      <c r="D71" s="23">
        <f ca="1">SUMIF(CPU!M:M,A71,CPU!R:R)+SUMIF(CPUAUX1!M:M,A71,CPUAUX1!R:R)+SUMIF(CPUAUX2!M:M,A71,CPUAUX2!R:R)+SUMIF(CPUAUX3!M:M,A71,CPUAUX3!R:R)+SUMIF(CPUAUX4!M:M,A71,CPUAUX4!R:R)+SUMIF(CPUAUX5!M:M,A71,CPUAUX5!R:R)</f>
        <v>84</v>
      </c>
      <c r="E71" s="5"/>
      <c r="F71" s="5">
        <f t="shared" ref="F71:F102" ca="1" si="2">ROUND(D71*E71,2)</f>
        <v>0</v>
      </c>
    </row>
    <row r="72" spans="1:6" x14ac:dyDescent="0.3">
      <c r="A72" s="23">
        <v>3536</v>
      </c>
      <c r="B72" s="24" t="s">
        <v>1286</v>
      </c>
      <c r="C72" s="23" t="s">
        <v>1214</v>
      </c>
      <c r="D72" s="23">
        <f ca="1">SUMIF(CPU!M:M,A72,CPU!R:R)+SUMIF(CPUAUX1!M:M,A72,CPUAUX1!R:R)+SUMIF(CPUAUX2!M:M,A72,CPUAUX2!R:R)+SUMIF(CPUAUX3!M:M,A72,CPUAUX3!R:R)+SUMIF(CPUAUX4!M:M,A72,CPUAUX4!R:R)+SUMIF(CPUAUX5!M:M,A72,CPUAUX5!R:R)</f>
        <v>2</v>
      </c>
      <c r="E72" s="5"/>
      <c r="F72" s="5">
        <f t="shared" ca="1" si="2"/>
        <v>0</v>
      </c>
    </row>
    <row r="73" spans="1:6" ht="28.8" x14ac:dyDescent="0.3">
      <c r="A73" s="23">
        <v>3671</v>
      </c>
      <c r="B73" s="24" t="s">
        <v>1287</v>
      </c>
      <c r="C73" s="23" t="s">
        <v>1227</v>
      </c>
      <c r="D73" s="23">
        <f ca="1">SUMIF(CPU!M:M,A73,CPU!R:R)+SUMIF(CPUAUX1!M:M,A73,CPUAUX1!R:R)+SUMIF(CPUAUX2!M:M,A73,CPUAUX2!R:R)+SUMIF(CPUAUX3!M:M,A73,CPUAUX3!R:R)+SUMIF(CPUAUX4!M:M,A73,CPUAUX4!R:R)+SUMIF(CPUAUX5!M:M,A73,CPUAUX5!R:R)</f>
        <v>13.36</v>
      </c>
      <c r="E73" s="5"/>
      <c r="F73" s="5">
        <f t="shared" ca="1" si="2"/>
        <v>0</v>
      </c>
    </row>
    <row r="74" spans="1:6" x14ac:dyDescent="0.3">
      <c r="A74" s="23" t="s">
        <v>1057</v>
      </c>
      <c r="B74" s="24" t="s">
        <v>1288</v>
      </c>
      <c r="C74" s="23" t="s">
        <v>1243</v>
      </c>
      <c r="D74" s="23">
        <f ca="1">SUMIF(CPU!M:M,A74,CPU!R:R)+SUMIF(CPUAUX1!M:M,A74,CPUAUX1!R:R)+SUMIF(CPUAUX2!M:M,A74,CPUAUX2!R:R)+SUMIF(CPUAUX3!M:M,A74,CPUAUX3!R:R)+SUMIF(CPUAUX4!M:M,A74,CPUAUX4!R:R)+SUMIF(CPUAUX5!M:M,A74,CPUAUX5!R:R)</f>
        <v>2</v>
      </c>
      <c r="E74" s="5"/>
      <c r="F74" s="5">
        <f t="shared" ca="1" si="2"/>
        <v>0</v>
      </c>
    </row>
    <row r="75" spans="1:6" ht="28.8" x14ac:dyDescent="0.3">
      <c r="A75" s="23">
        <v>40271</v>
      </c>
      <c r="B75" s="24" t="s">
        <v>1289</v>
      </c>
      <c r="C75" s="23" t="s">
        <v>1290</v>
      </c>
      <c r="D75" s="23">
        <f ca="1">SUMIF(CPU!M:M,A75,CPU!R:R)+SUMIF(CPUAUX1!M:M,A75,CPUAUX1!R:R)+SUMIF(CPUAUX2!M:M,A75,CPUAUX2!R:R)+SUMIF(CPUAUX3!M:M,A75,CPUAUX3!R:R)+SUMIF(CPUAUX4!M:M,A75,CPUAUX4!R:R)+SUMIF(CPUAUX5!M:M,A75,CPUAUX5!R:R)</f>
        <v>9.1057680000000016E-2</v>
      </c>
      <c r="E75" s="5"/>
      <c r="F75" s="5">
        <f t="shared" ca="1" si="2"/>
        <v>0</v>
      </c>
    </row>
    <row r="76" spans="1:6" ht="28.8" x14ac:dyDescent="0.3">
      <c r="A76" s="23">
        <v>40275</v>
      </c>
      <c r="B76" s="24" t="s">
        <v>1291</v>
      </c>
      <c r="C76" s="23" t="s">
        <v>1290</v>
      </c>
      <c r="D76" s="23">
        <f ca="1">SUMIF(CPU!M:M,A76,CPU!R:R)+SUMIF(CPUAUX1!M:M,A76,CPUAUX1!R:R)+SUMIF(CPUAUX2!M:M,A76,CPUAUX2!R:R)+SUMIF(CPUAUX3!M:M,A76,CPUAUX3!R:R)+SUMIF(CPUAUX4!M:M,A76,CPUAUX4!R:R)+SUMIF(CPUAUX5!M:M,A76,CPUAUX5!R:R)</f>
        <v>0.18257994000000002</v>
      </c>
      <c r="E76" s="5"/>
      <c r="F76" s="5">
        <f t="shared" ca="1" si="2"/>
        <v>0</v>
      </c>
    </row>
    <row r="77" spans="1:6" x14ac:dyDescent="0.3">
      <c r="A77" s="23">
        <v>3939</v>
      </c>
      <c r="B77" s="24" t="s">
        <v>1292</v>
      </c>
      <c r="C77" s="23" t="s">
        <v>1214</v>
      </c>
      <c r="D77" s="23">
        <f ca="1">SUMIF(CPU!M:M,A77,CPU!R:R)+SUMIF(CPUAUX1!M:M,A77,CPUAUX1!R:R)+SUMIF(CPUAUX2!M:M,A77,CPUAUX2!R:R)+SUMIF(CPUAUX3!M:M,A77,CPUAUX3!R:R)+SUMIF(CPUAUX4!M:M,A77,CPUAUX4!R:R)+SUMIF(CPUAUX5!M:M,A77,CPUAUX5!R:R)</f>
        <v>57</v>
      </c>
      <c r="E77" s="5"/>
      <c r="F77" s="5">
        <f t="shared" ca="1" si="2"/>
        <v>0</v>
      </c>
    </row>
    <row r="78" spans="1:6" x14ac:dyDescent="0.3">
      <c r="A78" s="23" t="s">
        <v>1026</v>
      </c>
      <c r="B78" s="24" t="s">
        <v>1293</v>
      </c>
      <c r="C78" s="23" t="s">
        <v>1214</v>
      </c>
      <c r="D78" s="23">
        <f ca="1">SUMIF(CPU!M:M,A78,CPU!R:R)+SUMIF(CPUAUX1!M:M,A78,CPUAUX1!R:R)+SUMIF(CPUAUX2!M:M,A78,CPUAUX2!R:R)+SUMIF(CPUAUX3!M:M,A78,CPUAUX3!R:R)+SUMIF(CPUAUX4!M:M,A78,CPUAUX4!R:R)+SUMIF(CPUAUX5!M:M,A78,CPUAUX5!R:R)</f>
        <v>4</v>
      </c>
      <c r="E78" s="5"/>
      <c r="F78" s="5">
        <f t="shared" ca="1" si="2"/>
        <v>0</v>
      </c>
    </row>
    <row r="79" spans="1:6" ht="28.8" x14ac:dyDescent="0.3">
      <c r="A79" s="23">
        <v>12898</v>
      </c>
      <c r="B79" s="24" t="s">
        <v>1294</v>
      </c>
      <c r="C79" s="23" t="s">
        <v>1214</v>
      </c>
      <c r="D79" s="23">
        <f ca="1">SUMIF(CPU!M:M,A79,CPU!R:R)+SUMIF(CPUAUX1!M:M,A79,CPUAUX1!R:R)+SUMIF(CPUAUX2!M:M,A79,CPUAUX2!R:R)+SUMIF(CPUAUX3!M:M,A79,CPUAUX3!R:R)+SUMIF(CPUAUX4!M:M,A79,CPUAUX4!R:R)+SUMIF(CPUAUX5!M:M,A79,CPUAUX5!R:R)</f>
        <v>2</v>
      </c>
      <c r="E79" s="5"/>
      <c r="F79" s="5">
        <f t="shared" ca="1" si="2"/>
        <v>0</v>
      </c>
    </row>
    <row r="80" spans="1:6" ht="28.8" x14ac:dyDescent="0.3">
      <c r="A80" s="23">
        <v>4114</v>
      </c>
      <c r="B80" s="24" t="s">
        <v>1295</v>
      </c>
      <c r="C80" s="23" t="s">
        <v>1214</v>
      </c>
      <c r="D80" s="23">
        <f ca="1">SUMIF(CPU!M:M,A80,CPU!R:R)+SUMIF(CPUAUX1!M:M,A80,CPUAUX1!R:R)+SUMIF(CPUAUX2!M:M,A80,CPUAUX2!R:R)+SUMIF(CPUAUX3!M:M,A80,CPUAUX3!R:R)+SUMIF(CPUAUX4!M:M,A80,CPUAUX4!R:R)+SUMIF(CPUAUX5!M:M,A80,CPUAUX5!R:R)</f>
        <v>29.6</v>
      </c>
      <c r="E80" s="5"/>
      <c r="F80" s="5">
        <f t="shared" ca="1" si="2"/>
        <v>0</v>
      </c>
    </row>
    <row r="81" spans="1:6" x14ac:dyDescent="0.3">
      <c r="A81" s="23">
        <v>4209</v>
      </c>
      <c r="B81" s="24" t="s">
        <v>1296</v>
      </c>
      <c r="C81" s="23" t="s">
        <v>1214</v>
      </c>
      <c r="D81" s="23">
        <f ca="1">SUMIF(CPU!M:M,A81,CPU!R:R)+SUMIF(CPUAUX1!M:M,A81,CPUAUX1!R:R)+SUMIF(CPUAUX2!M:M,A81,CPUAUX2!R:R)+SUMIF(CPUAUX3!M:M,A81,CPUAUX3!R:R)+SUMIF(CPUAUX4!M:M,A81,CPUAUX4!R:R)+SUMIF(CPUAUX5!M:M,A81,CPUAUX5!R:R)</f>
        <v>8</v>
      </c>
      <c r="E81" s="5"/>
      <c r="F81" s="5">
        <f t="shared" ca="1" si="2"/>
        <v>0</v>
      </c>
    </row>
    <row r="82" spans="1:6" x14ac:dyDescent="0.3">
      <c r="A82" s="23">
        <v>4221</v>
      </c>
      <c r="B82" s="24" t="s">
        <v>1297</v>
      </c>
      <c r="C82" s="23" t="s">
        <v>1114</v>
      </c>
      <c r="D82" s="23">
        <f ca="1">SUMIF(CPU!M:M,A82,CPU!R:R)+SUMIF(CPUAUX1!M:M,A82,CPUAUX1!R:R)+SUMIF(CPUAUX2!M:M,A82,CPUAUX2!R:R)+SUMIF(CPUAUX3!M:M,A82,CPUAUX3!R:R)+SUMIF(CPUAUX4!M:M,A82,CPUAUX4!R:R)+SUMIF(CPUAUX5!M:M,A82,CPUAUX5!R:R)</f>
        <v>1264.02922879008</v>
      </c>
      <c r="E82" s="5"/>
      <c r="F82" s="5">
        <f t="shared" ca="1" si="2"/>
        <v>0</v>
      </c>
    </row>
    <row r="83" spans="1:6" x14ac:dyDescent="0.3">
      <c r="A83" s="23" t="s">
        <v>1050</v>
      </c>
      <c r="B83" s="24" t="s">
        <v>1298</v>
      </c>
      <c r="C83" s="23" t="s">
        <v>1243</v>
      </c>
      <c r="D83" s="23">
        <f ca="1">SUMIF(CPU!M:M,A83,CPU!R:R)+SUMIF(CPUAUX1!M:M,A83,CPUAUX1!R:R)+SUMIF(CPUAUX2!M:M,A83,CPUAUX2!R:R)+SUMIF(CPUAUX3!M:M,A83,CPUAUX3!R:R)+SUMIF(CPUAUX4!M:M,A83,CPUAUX4!R:R)+SUMIF(CPUAUX5!M:M,A83,CPUAUX5!R:R)</f>
        <v>16</v>
      </c>
      <c r="E83" s="5"/>
      <c r="F83" s="5">
        <f t="shared" ca="1" si="2"/>
        <v>0</v>
      </c>
    </row>
    <row r="84" spans="1:6" x14ac:dyDescent="0.3">
      <c r="A84" s="23" t="s">
        <v>1086</v>
      </c>
      <c r="B84" s="24" t="s">
        <v>1299</v>
      </c>
      <c r="C84" s="23" t="s">
        <v>1214</v>
      </c>
      <c r="D84" s="23">
        <f ca="1">SUMIF(CPU!M:M,A84,CPU!R:R)+SUMIF(CPUAUX1!M:M,A84,CPUAUX1!R:R)+SUMIF(CPUAUX2!M:M,A84,CPUAUX2!R:R)+SUMIF(CPUAUX3!M:M,A84,CPUAUX3!R:R)+SUMIF(CPUAUX4!M:M,A84,CPUAUX4!R:R)+SUMIF(CPUAUX5!M:M,A84,CPUAUX5!R:R)</f>
        <v>126</v>
      </c>
      <c r="E84" s="5"/>
      <c r="F84" s="5">
        <f t="shared" ca="1" si="2"/>
        <v>0</v>
      </c>
    </row>
    <row r="85" spans="1:6" ht="28.8" x14ac:dyDescent="0.3">
      <c r="A85" s="23">
        <v>20078</v>
      </c>
      <c r="B85" s="24" t="s">
        <v>1300</v>
      </c>
      <c r="C85" s="23" t="s">
        <v>1214</v>
      </c>
      <c r="D85" s="23">
        <f ca="1">SUMIF(CPU!M:M,A85,CPU!R:R)+SUMIF(CPUAUX1!M:M,A85,CPUAUX1!R:R)+SUMIF(CPUAUX2!M:M,A85,CPUAUX2!R:R)+SUMIF(CPUAUX3!M:M,A85,CPUAUX3!R:R)+SUMIF(CPUAUX4!M:M,A85,CPUAUX4!R:R)+SUMIF(CPUAUX5!M:M,A85,CPUAUX5!R:R)</f>
        <v>12.759</v>
      </c>
      <c r="E85" s="5"/>
      <c r="F85" s="5">
        <f t="shared" ca="1" si="2"/>
        <v>0</v>
      </c>
    </row>
    <row r="86" spans="1:6" x14ac:dyDescent="0.3">
      <c r="A86" s="23">
        <v>4721</v>
      </c>
      <c r="B86" s="24" t="s">
        <v>1301</v>
      </c>
      <c r="C86" s="23" t="s">
        <v>1231</v>
      </c>
      <c r="D86" s="23">
        <f ca="1">SUMIF(CPU!M:M,A86,CPU!R:R)+SUMIF(CPUAUX1!M:M,A86,CPUAUX1!R:R)+SUMIF(CPUAUX2!M:M,A86,CPUAUX2!R:R)+SUMIF(CPUAUX3!M:M,A86,CPUAUX3!R:R)+SUMIF(CPUAUX4!M:M,A86,CPUAUX4!R:R)+SUMIF(CPUAUX5!M:M,A86,CPUAUX5!R:R)</f>
        <v>5.2784010364</v>
      </c>
      <c r="E86" s="5"/>
      <c r="F86" s="5">
        <f t="shared" ca="1" si="2"/>
        <v>0</v>
      </c>
    </row>
    <row r="87" spans="1:6" ht="28.8" x14ac:dyDescent="0.3">
      <c r="A87" s="23">
        <v>4730</v>
      </c>
      <c r="B87" s="24" t="s">
        <v>1302</v>
      </c>
      <c r="C87" s="23" t="s">
        <v>1231</v>
      </c>
      <c r="D87" s="23">
        <f ca="1">SUMIF(CPU!M:M,A87,CPU!R:R)+SUMIF(CPUAUX1!M:M,A87,CPUAUX1!R:R)+SUMIF(CPUAUX2!M:M,A87,CPUAUX2!R:R)+SUMIF(CPUAUX3!M:M,A87,CPUAUX3!R:R)+SUMIF(CPUAUX4!M:M,A87,CPUAUX4!R:R)+SUMIF(CPUAUX5!M:M,A87,CPUAUX5!R:R)</f>
        <v>2.0616134000000002</v>
      </c>
      <c r="E87" s="5"/>
      <c r="F87" s="5">
        <f t="shared" ca="1" si="2"/>
        <v>0</v>
      </c>
    </row>
    <row r="88" spans="1:6" x14ac:dyDescent="0.3">
      <c r="A88" s="23" t="s">
        <v>1089</v>
      </c>
      <c r="B88" s="24" t="s">
        <v>1303</v>
      </c>
      <c r="C88" s="23" t="s">
        <v>1231</v>
      </c>
      <c r="D88" s="23">
        <f ca="1">SUMIF(CPU!M:M,A88,CPU!R:R)+SUMIF(CPUAUX1!M:M,A88,CPUAUX1!R:R)+SUMIF(CPUAUX2!M:M,A88,CPUAUX2!R:R)+SUMIF(CPUAUX3!M:M,A88,CPUAUX3!R:R)+SUMIF(CPUAUX4!M:M,A88,CPUAUX4!R:R)+SUMIF(CPUAUX5!M:M,A88,CPUAUX5!R:R)</f>
        <v>0.43472</v>
      </c>
      <c r="E88" s="5"/>
      <c r="F88" s="5">
        <f t="shared" ca="1" si="2"/>
        <v>0</v>
      </c>
    </row>
    <row r="89" spans="1:6" x14ac:dyDescent="0.3">
      <c r="A89" s="23" t="s">
        <v>1083</v>
      </c>
      <c r="B89" s="24" t="s">
        <v>1304</v>
      </c>
      <c r="C89" s="23" t="s">
        <v>1227</v>
      </c>
      <c r="D89" s="23">
        <f ca="1">SUMIF(CPU!M:M,A89,CPU!R:R)+SUMIF(CPUAUX1!M:M,A89,CPUAUX1!R:R)+SUMIF(CPUAUX2!M:M,A89,CPUAUX2!R:R)+SUMIF(CPUAUX3!M:M,A89,CPUAUX3!R:R)+SUMIF(CPUAUX4!M:M,A89,CPUAUX4!R:R)+SUMIF(CPUAUX5!M:M,A89,CPUAUX5!R:R)</f>
        <v>46.5</v>
      </c>
      <c r="E89" s="5"/>
      <c r="F89" s="5">
        <f t="shared" ca="1" si="2"/>
        <v>0</v>
      </c>
    </row>
    <row r="90" spans="1:6" x14ac:dyDescent="0.3">
      <c r="A90" s="23" t="s">
        <v>1084</v>
      </c>
      <c r="B90" s="24" t="s">
        <v>1305</v>
      </c>
      <c r="C90" s="23" t="s">
        <v>1227</v>
      </c>
      <c r="D90" s="23">
        <f ca="1">SUMIF(CPU!M:M,A90,CPU!R:R)+SUMIF(CPUAUX1!M:M,A90,CPUAUX1!R:R)+SUMIF(CPUAUX2!M:M,A90,CPUAUX2!R:R)+SUMIF(CPUAUX3!M:M,A90,CPUAUX3!R:R)+SUMIF(CPUAUX4!M:M,A90,CPUAUX4!R:R)+SUMIF(CPUAUX5!M:M,A90,CPUAUX5!R:R)</f>
        <v>42.7</v>
      </c>
      <c r="E90" s="5"/>
      <c r="F90" s="5">
        <f t="shared" ca="1" si="2"/>
        <v>0</v>
      </c>
    </row>
    <row r="91" spans="1:6" x14ac:dyDescent="0.3">
      <c r="A91" s="23" t="s">
        <v>1085</v>
      </c>
      <c r="B91" s="24" t="s">
        <v>1306</v>
      </c>
      <c r="C91" s="23" t="s">
        <v>1227</v>
      </c>
      <c r="D91" s="23">
        <f ca="1">SUMIF(CPU!M:M,A91,CPU!R:R)+SUMIF(CPUAUX1!M:M,A91,CPUAUX1!R:R)+SUMIF(CPUAUX2!M:M,A91,CPUAUX2!R:R)+SUMIF(CPUAUX3!M:M,A91,CPUAUX3!R:R)+SUMIF(CPUAUX4!M:M,A91,CPUAUX4!R:R)+SUMIF(CPUAUX5!M:M,A91,CPUAUX5!R:R)</f>
        <v>16.8</v>
      </c>
      <c r="E91" s="5"/>
      <c r="F91" s="5">
        <f t="shared" ca="1" si="2"/>
        <v>0</v>
      </c>
    </row>
    <row r="92" spans="1:6" ht="28.8" x14ac:dyDescent="0.3">
      <c r="A92" s="23" t="s">
        <v>1017</v>
      </c>
      <c r="B92" s="24" t="s">
        <v>1307</v>
      </c>
      <c r="C92" s="23" t="s">
        <v>1227</v>
      </c>
      <c r="D92" s="23">
        <f ca="1">SUMIF(CPU!M:M,A92,CPU!R:R)+SUMIF(CPUAUX1!M:M,A92,CPUAUX1!R:R)+SUMIF(CPUAUX2!M:M,A92,CPUAUX2!R:R)+SUMIF(CPUAUX3!M:M,A92,CPUAUX3!R:R)+SUMIF(CPUAUX4!M:M,A92,CPUAUX4!R:R)+SUMIF(CPUAUX5!M:M,A92,CPUAUX5!R:R)</f>
        <v>200</v>
      </c>
      <c r="E92" s="5"/>
      <c r="F92" s="5">
        <f t="shared" ca="1" si="2"/>
        <v>0</v>
      </c>
    </row>
    <row r="93" spans="1:6" ht="28.8" x14ac:dyDescent="0.3">
      <c r="A93" s="23" t="s">
        <v>1016</v>
      </c>
      <c r="B93" s="24" t="s">
        <v>1308</v>
      </c>
      <c r="C93" s="23" t="s">
        <v>1227</v>
      </c>
      <c r="D93" s="23">
        <f ca="1">SUMIF(CPU!M:M,A93,CPU!R:R)+SUMIF(CPUAUX1!M:M,A93,CPUAUX1!R:R)+SUMIF(CPUAUX2!M:M,A93,CPUAUX2!R:R)+SUMIF(CPUAUX3!M:M,A93,CPUAUX3!R:R)+SUMIF(CPUAUX4!M:M,A93,CPUAUX4!R:R)+SUMIF(CPUAUX5!M:M,A93,CPUAUX5!R:R)</f>
        <v>40</v>
      </c>
      <c r="E93" s="5"/>
      <c r="F93" s="5">
        <f t="shared" ca="1" si="2"/>
        <v>0</v>
      </c>
    </row>
    <row r="94" spans="1:6" x14ac:dyDescent="0.3">
      <c r="A94" s="23">
        <v>37395</v>
      </c>
      <c r="B94" s="24" t="s">
        <v>1309</v>
      </c>
      <c r="C94" s="23" t="s">
        <v>1310</v>
      </c>
      <c r="D94" s="23">
        <f ca="1">SUMIF(CPU!M:M,A94,CPU!R:R)+SUMIF(CPUAUX1!M:M,A94,CPUAUX1!R:R)+SUMIF(CPUAUX2!M:M,A94,CPUAUX2!R:R)+SUMIF(CPUAUX3!M:M,A94,CPUAUX3!R:R)+SUMIF(CPUAUX4!M:M,A94,CPUAUX4!R:R)+SUMIF(CPUAUX5!M:M,A94,CPUAUX5!R:R)</f>
        <v>0.25949200000000006</v>
      </c>
      <c r="E94" s="5"/>
      <c r="F94" s="5">
        <f t="shared" ca="1" si="2"/>
        <v>0</v>
      </c>
    </row>
    <row r="95" spans="1:6" x14ac:dyDescent="0.3">
      <c r="A95" s="23">
        <v>4893</v>
      </c>
      <c r="B95" s="24" t="s">
        <v>1311</v>
      </c>
      <c r="C95" s="23" t="s">
        <v>1214</v>
      </c>
      <c r="D95" s="23">
        <f ca="1">SUMIF(CPU!M:M,A95,CPU!R:R)+SUMIF(CPUAUX1!M:M,A95,CPUAUX1!R:R)+SUMIF(CPUAUX2!M:M,A95,CPUAUX2!R:R)+SUMIF(CPUAUX3!M:M,A95,CPUAUX3!R:R)+SUMIF(CPUAUX4!M:M,A95,CPUAUX4!R:R)+SUMIF(CPUAUX5!M:M,A95,CPUAUX5!R:R)</f>
        <v>2</v>
      </c>
      <c r="E95" s="5"/>
      <c r="F95" s="5">
        <f t="shared" ca="1" si="2"/>
        <v>0</v>
      </c>
    </row>
    <row r="96" spans="1:6" x14ac:dyDescent="0.3">
      <c r="A96" s="23">
        <v>4491</v>
      </c>
      <c r="B96" s="24" t="s">
        <v>1312</v>
      </c>
      <c r="C96" s="23" t="s">
        <v>1227</v>
      </c>
      <c r="D96" s="23">
        <f ca="1">SUMIF(CPU!M:M,A96,CPU!R:R)+SUMIF(CPUAUX1!M:M,A96,CPUAUX1!R:R)+SUMIF(CPUAUX2!M:M,A96,CPUAUX2!R:R)+SUMIF(CPUAUX3!M:M,A96,CPUAUX3!R:R)+SUMIF(CPUAUX4!M:M,A96,CPUAUX4!R:R)+SUMIF(CPUAUX5!M:M,A96,CPUAUX5!R:R)</f>
        <v>7.7562545570400019</v>
      </c>
      <c r="E96" s="5"/>
      <c r="F96" s="5">
        <f t="shared" ca="1" si="2"/>
        <v>0</v>
      </c>
    </row>
    <row r="97" spans="1:6" x14ac:dyDescent="0.3">
      <c r="A97" s="23" t="s">
        <v>1007</v>
      </c>
      <c r="B97" s="24" t="s">
        <v>1313</v>
      </c>
      <c r="C97" s="23" t="s">
        <v>1227</v>
      </c>
      <c r="D97" s="23">
        <f ca="1">SUMIF(CPU!M:M,A97,CPU!R:R)+SUMIF(CPUAUX1!M:M,A97,CPUAUX1!R:R)+SUMIF(CPUAUX2!M:M,A97,CPUAUX2!R:R)+SUMIF(CPUAUX3!M:M,A97,CPUAUX3!R:R)+SUMIF(CPUAUX4!M:M,A97,CPUAUX4!R:R)+SUMIF(CPUAUX5!M:M,A97,CPUAUX5!R:R)</f>
        <v>58.320000000000007</v>
      </c>
      <c r="E97" s="5"/>
      <c r="F97" s="5">
        <f t="shared" ca="1" si="2"/>
        <v>0</v>
      </c>
    </row>
    <row r="98" spans="1:6" ht="28.8" x14ac:dyDescent="0.3">
      <c r="A98" s="23">
        <v>4930</v>
      </c>
      <c r="B98" s="24" t="s">
        <v>1314</v>
      </c>
      <c r="C98" s="23" t="s">
        <v>1253</v>
      </c>
      <c r="D98" s="23">
        <f ca="1">SUMIF(CPU!M:M,A98,CPU!R:R)+SUMIF(CPUAUX1!M:M,A98,CPUAUX1!R:R)+SUMIF(CPUAUX2!M:M,A98,CPUAUX2!R:R)+SUMIF(CPUAUX3!M:M,A98,CPUAUX3!R:R)+SUMIF(CPUAUX4!M:M,A98,CPUAUX4!R:R)+SUMIF(CPUAUX5!M:M,A98,CPUAUX5!R:R)</f>
        <v>3.36</v>
      </c>
      <c r="E98" s="5"/>
      <c r="F98" s="5">
        <f t="shared" ca="1" si="2"/>
        <v>0</v>
      </c>
    </row>
    <row r="99" spans="1:6" x14ac:dyDescent="0.3">
      <c r="A99" s="23" t="s">
        <v>1008</v>
      </c>
      <c r="B99" s="24" t="s">
        <v>1315</v>
      </c>
      <c r="C99" s="23" t="s">
        <v>1216</v>
      </c>
      <c r="D99" s="23">
        <f ca="1">SUMIF(CPU!M:M,A99,CPU!R:R)+SUMIF(CPUAUX1!M:M,A99,CPUAUX1!R:R)+SUMIF(CPUAUX2!M:M,A99,CPUAUX2!R:R)+SUMIF(CPUAUX3!M:M,A99,CPUAUX3!R:R)+SUMIF(CPUAUX4!M:M,A99,CPUAUX4!R:R)+SUMIF(CPUAUX5!M:M,A99,CPUAUX5!R:R)</f>
        <v>1.944</v>
      </c>
      <c r="E99" s="5"/>
      <c r="F99" s="5">
        <f t="shared" ca="1" si="2"/>
        <v>0</v>
      </c>
    </row>
    <row r="100" spans="1:6" x14ac:dyDescent="0.3">
      <c r="A100" s="23" t="s">
        <v>1091</v>
      </c>
      <c r="B100" s="24" t="s">
        <v>1316</v>
      </c>
      <c r="C100" s="23" t="s">
        <v>1216</v>
      </c>
      <c r="D100" s="23">
        <f ca="1">SUMIF(CPU!M:M,A100,CPU!R:R)+SUMIF(CPUAUX1!M:M,A100,CPUAUX1!R:R)+SUMIF(CPUAUX2!M:M,A100,CPUAUX2!R:R)+SUMIF(CPUAUX3!M:M,A100,CPUAUX3!R:R)+SUMIF(CPUAUX4!M:M,A100,CPUAUX4!R:R)+SUMIF(CPUAUX5!M:M,A100,CPUAUX5!R:R)</f>
        <v>0.312</v>
      </c>
      <c r="E100" s="5"/>
      <c r="F100" s="5">
        <f t="shared" ca="1" si="2"/>
        <v>0</v>
      </c>
    </row>
    <row r="101" spans="1:6" x14ac:dyDescent="0.3">
      <c r="A101" s="23">
        <v>20247</v>
      </c>
      <c r="B101" s="24" t="s">
        <v>1317</v>
      </c>
      <c r="C101" s="23" t="s">
        <v>1216</v>
      </c>
      <c r="D101" s="23">
        <f ca="1">SUMIF(CPU!M:M,A101,CPU!R:R)+SUMIF(CPUAUX1!M:M,A101,CPUAUX1!R:R)+SUMIF(CPUAUX2!M:M,A101,CPUAUX2!R:R)+SUMIF(CPUAUX3!M:M,A101,CPUAUX3!R:R)+SUMIF(CPUAUX4!M:M,A101,CPUAUX4!R:R)+SUMIF(CPUAUX5!M:M,A101,CPUAUX5!R:R)</f>
        <v>1.4322000000000001</v>
      </c>
      <c r="E101" s="5"/>
      <c r="F101" s="5">
        <f t="shared" ca="1" si="2"/>
        <v>0</v>
      </c>
    </row>
    <row r="102" spans="1:6" x14ac:dyDescent="0.3">
      <c r="A102" s="23">
        <v>5068</v>
      </c>
      <c r="B102" s="24" t="s">
        <v>1318</v>
      </c>
      <c r="C102" s="23" t="s">
        <v>1216</v>
      </c>
      <c r="D102" s="23">
        <f ca="1">SUMIF(CPU!M:M,A102,CPU!R:R)+SUMIF(CPUAUX1!M:M,A102,CPUAUX1!R:R)+SUMIF(CPUAUX2!M:M,A102,CPUAUX2!R:R)+SUMIF(CPUAUX3!M:M,A102,CPUAUX3!R:R)+SUMIF(CPUAUX4!M:M,A102,CPUAUX4!R:R)+SUMIF(CPUAUX5!M:M,A102,CPUAUX5!R:R)</f>
        <v>3.6784518160799999</v>
      </c>
      <c r="E102" s="5"/>
      <c r="F102" s="5">
        <f t="shared" ca="1" si="2"/>
        <v>0</v>
      </c>
    </row>
    <row r="103" spans="1:6" x14ac:dyDescent="0.3">
      <c r="A103" s="23">
        <v>39027</v>
      </c>
      <c r="B103" s="24" t="s">
        <v>1319</v>
      </c>
      <c r="C103" s="23" t="s">
        <v>1216</v>
      </c>
      <c r="D103" s="23">
        <f ca="1">SUMIF(CPU!M:M,A103,CPU!R:R)+SUMIF(CPUAUX1!M:M,A103,CPUAUX1!R:R)+SUMIF(CPUAUX2!M:M,A103,CPUAUX2!R:R)+SUMIF(CPUAUX3!M:M,A103,CPUAUX3!R:R)+SUMIF(CPUAUX4!M:M,A103,CPUAUX4!R:R)+SUMIF(CPUAUX5!M:M,A103,CPUAUX5!R:R)</f>
        <v>1.0230000000000001</v>
      </c>
      <c r="E103" s="5"/>
      <c r="F103" s="5">
        <f t="shared" ref="F103:F134" ca="1" si="3">ROUND(D103*E103,2)</f>
        <v>0</v>
      </c>
    </row>
    <row r="104" spans="1:6" x14ac:dyDescent="0.3">
      <c r="A104" s="23">
        <v>40568</v>
      </c>
      <c r="B104" s="24" t="s">
        <v>1320</v>
      </c>
      <c r="C104" s="23" t="s">
        <v>1216</v>
      </c>
      <c r="D104" s="23">
        <f ca="1">SUMIF(CPU!M:M,A104,CPU!R:R)+SUMIF(CPUAUX1!M:M,A104,CPUAUX1!R:R)+SUMIF(CPUAUX2!M:M,A104,CPUAUX2!R:R)+SUMIF(CPUAUX3!M:M,A104,CPUAUX3!R:R)+SUMIF(CPUAUX4!M:M,A104,CPUAUX4!R:R)+SUMIF(CPUAUX5!M:M,A104,CPUAUX5!R:R)</f>
        <v>0.61380000000000001</v>
      </c>
      <c r="E104" s="5"/>
      <c r="F104" s="5">
        <f t="shared" ca="1" si="3"/>
        <v>0</v>
      </c>
    </row>
    <row r="105" spans="1:6" x14ac:dyDescent="0.3">
      <c r="A105" s="23">
        <v>40304</v>
      </c>
      <c r="B105" s="24" t="s">
        <v>1321</v>
      </c>
      <c r="C105" s="23" t="s">
        <v>1216</v>
      </c>
      <c r="D105" s="23">
        <f ca="1">SUMIF(CPU!M:M,A105,CPU!R:R)+SUMIF(CPUAUX1!M:M,A105,CPUAUX1!R:R)+SUMIF(CPUAUX2!M:M,A105,CPUAUX2!R:R)+SUMIF(CPUAUX3!M:M,A105,CPUAUX3!R:R)+SUMIF(CPUAUX4!M:M,A105,CPUAUX4!R:R)+SUMIF(CPUAUX5!M:M,A105,CPUAUX5!R:R)</f>
        <v>8.4731940000000019E-2</v>
      </c>
      <c r="E105" s="5"/>
      <c r="F105" s="5">
        <f t="shared" ca="1" si="3"/>
        <v>0</v>
      </c>
    </row>
    <row r="106" spans="1:6" x14ac:dyDescent="0.3">
      <c r="A106" s="23" t="s">
        <v>1054</v>
      </c>
      <c r="B106" s="24" t="s">
        <v>1322</v>
      </c>
      <c r="C106" s="23" t="s">
        <v>1243</v>
      </c>
      <c r="D106" s="23">
        <f ca="1">SUMIF(CPU!M:M,A106,CPU!R:R)+SUMIF(CPUAUX1!M:M,A106,CPUAUX1!R:R)+SUMIF(CPUAUX2!M:M,A106,CPUAUX2!R:R)+SUMIF(CPUAUX3!M:M,A106,CPUAUX3!R:R)+SUMIF(CPUAUX4!M:M,A106,CPUAUX4!R:R)+SUMIF(CPUAUX5!M:M,A106,CPUAUX5!R:R)</f>
        <v>2</v>
      </c>
      <c r="E106" s="5"/>
      <c r="F106" s="5">
        <f t="shared" ca="1" si="3"/>
        <v>0</v>
      </c>
    </row>
    <row r="107" spans="1:6" ht="28.8" x14ac:dyDescent="0.3">
      <c r="A107" s="23">
        <v>11675</v>
      </c>
      <c r="B107" s="24" t="s">
        <v>1323</v>
      </c>
      <c r="C107" s="23" t="s">
        <v>1214</v>
      </c>
      <c r="D107" s="23">
        <f ca="1">SUMIF(CPU!M:M,A107,CPU!R:R)+SUMIF(CPUAUX1!M:M,A107,CPUAUX1!R:R)+SUMIF(CPUAUX2!M:M,A107,CPUAUX2!R:R)+SUMIF(CPUAUX3!M:M,A107,CPUAUX3!R:R)+SUMIF(CPUAUX4!M:M,A107,CPUAUX4!R:R)+SUMIF(CPUAUX5!M:M,A107,CPUAUX5!R:R)</f>
        <v>6</v>
      </c>
      <c r="E107" s="5"/>
      <c r="F107" s="5">
        <f t="shared" ca="1" si="3"/>
        <v>0</v>
      </c>
    </row>
    <row r="108" spans="1:6" x14ac:dyDescent="0.3">
      <c r="A108" s="23">
        <v>6010</v>
      </c>
      <c r="B108" s="24" t="s">
        <v>1324</v>
      </c>
      <c r="C108" s="23" t="s">
        <v>1214</v>
      </c>
      <c r="D108" s="23">
        <f ca="1">SUMIF(CPU!M:M,A108,CPU!R:R)+SUMIF(CPUAUX1!M:M,A108,CPUAUX1!R:R)+SUMIF(CPUAUX2!M:M,A108,CPUAUX2!R:R)+SUMIF(CPUAUX3!M:M,A108,CPUAUX3!R:R)+SUMIF(CPUAUX4!M:M,A108,CPUAUX4!R:R)+SUMIF(CPUAUX5!M:M,A108,CPUAUX5!R:R)</f>
        <v>2</v>
      </c>
      <c r="E108" s="5"/>
      <c r="F108" s="5">
        <f t="shared" ca="1" si="3"/>
        <v>0</v>
      </c>
    </row>
    <row r="109" spans="1:6" x14ac:dyDescent="0.3">
      <c r="A109" s="23">
        <v>6028</v>
      </c>
      <c r="B109" s="24" t="s">
        <v>1325</v>
      </c>
      <c r="C109" s="23" t="s">
        <v>1214</v>
      </c>
      <c r="D109" s="23">
        <f ca="1">SUMIF(CPU!M:M,A109,CPU!R:R)+SUMIF(CPUAUX1!M:M,A109,CPUAUX1!R:R)+SUMIF(CPUAUX2!M:M,A109,CPUAUX2!R:R)+SUMIF(CPUAUX3!M:M,A109,CPUAUX3!R:R)+SUMIF(CPUAUX4!M:M,A109,CPUAUX4!R:R)+SUMIF(CPUAUX5!M:M,A109,CPUAUX5!R:R)</f>
        <v>7</v>
      </c>
      <c r="E109" s="5"/>
      <c r="F109" s="5">
        <f t="shared" ca="1" si="3"/>
        <v>0</v>
      </c>
    </row>
    <row r="110" spans="1:6" ht="57.6" x14ac:dyDescent="0.3">
      <c r="A110" s="23">
        <v>36531</v>
      </c>
      <c r="B110" s="24" t="s">
        <v>1326</v>
      </c>
      <c r="C110" s="23" t="s">
        <v>1214</v>
      </c>
      <c r="D110" s="23">
        <f ca="1">SUMIF(CPU!M:M,A110,CPU!R:R)+SUMIF(CPUAUX1!M:M,A110,CPUAUX1!R:R)+SUMIF(CPUAUX2!M:M,A110,CPUAUX2!R:R)+SUMIF(CPUAUX3!M:M,A110,CPUAUX3!R:R)+SUMIF(CPUAUX4!M:M,A110,CPUAUX4!R:R)+SUMIF(CPUAUX5!M:M,A110,CPUAUX5!R:R)</f>
        <v>2.2306951104000002E-2</v>
      </c>
      <c r="E110" s="5"/>
      <c r="F110" s="5">
        <f t="shared" ca="1" si="3"/>
        <v>0</v>
      </c>
    </row>
    <row r="111" spans="1:6" ht="28.8" x14ac:dyDescent="0.3">
      <c r="A111" s="23">
        <v>4408</v>
      </c>
      <c r="B111" s="24" t="s">
        <v>1327</v>
      </c>
      <c r="C111" s="23" t="s">
        <v>1227</v>
      </c>
      <c r="D111" s="23">
        <f ca="1">SUMIF(CPU!M:M,A111,CPU!R:R)+SUMIF(CPUAUX1!M:M,A111,CPUAUX1!R:R)+SUMIF(CPUAUX2!M:M,A111,CPUAUX2!R:R)+SUMIF(CPUAUX3!M:M,A111,CPUAUX3!R:R)+SUMIF(CPUAUX4!M:M,A111,CPUAUX4!R:R)+SUMIF(CPUAUX5!M:M,A111,CPUAUX5!R:R)</f>
        <v>52.64358</v>
      </c>
      <c r="E111" s="5"/>
      <c r="F111" s="5">
        <f t="shared" ca="1" si="3"/>
        <v>0</v>
      </c>
    </row>
    <row r="112" spans="1:6" x14ac:dyDescent="0.3">
      <c r="A112" s="23">
        <v>4509</v>
      </c>
      <c r="B112" s="24" t="s">
        <v>1328</v>
      </c>
      <c r="C112" s="23" t="s">
        <v>1227</v>
      </c>
      <c r="D112" s="23">
        <f ca="1">SUMIF(CPU!M:M,A112,CPU!R:R)+SUMIF(CPUAUX1!M:M,A112,CPUAUX1!R:R)+SUMIF(CPUAUX2!M:M,A112,CPUAUX2!R:R)+SUMIF(CPUAUX3!M:M,A112,CPUAUX3!R:R)+SUMIF(CPUAUX4!M:M,A112,CPUAUX4!R:R)+SUMIF(CPUAUX5!M:M,A112,CPUAUX5!R:R)</f>
        <v>2.8</v>
      </c>
      <c r="E112" s="5"/>
      <c r="F112" s="5">
        <f t="shared" ca="1" si="3"/>
        <v>0</v>
      </c>
    </row>
    <row r="113" spans="1:6" x14ac:dyDescent="0.3">
      <c r="A113" s="23">
        <v>4517</v>
      </c>
      <c r="B113" s="24" t="s">
        <v>1329</v>
      </c>
      <c r="C113" s="23" t="s">
        <v>1227</v>
      </c>
      <c r="D113" s="23">
        <f ca="1">SUMIF(CPU!M:M,A113,CPU!R:R)+SUMIF(CPUAUX1!M:M,A113,CPUAUX1!R:R)+SUMIF(CPUAUX2!M:M,A113,CPUAUX2!R:R)+SUMIF(CPUAUX3!M:M,A113,CPUAUX3!R:R)+SUMIF(CPUAUX4!M:M,A113,CPUAUX4!R:R)+SUMIF(CPUAUX5!M:M,A113,CPUAUX5!R:R)</f>
        <v>37.942243670659991</v>
      </c>
      <c r="E113" s="5"/>
      <c r="F113" s="5">
        <f t="shared" ca="1" si="3"/>
        <v>0</v>
      </c>
    </row>
    <row r="114" spans="1:6" x14ac:dyDescent="0.3">
      <c r="A114" s="23" t="s">
        <v>1092</v>
      </c>
      <c r="B114" s="24" t="s">
        <v>1330</v>
      </c>
      <c r="C114" s="23" t="s">
        <v>1227</v>
      </c>
      <c r="D114" s="23">
        <f ca="1">SUMIF(CPU!M:M,A114,CPU!R:R)+SUMIF(CPUAUX1!M:M,A114,CPUAUX1!R:R)+SUMIF(CPUAUX2!M:M,A114,CPUAUX2!R:R)+SUMIF(CPUAUX3!M:M,A114,CPUAUX3!R:R)+SUMIF(CPUAUX4!M:M,A114,CPUAUX4!R:R)+SUMIF(CPUAUX5!M:M,A114,CPUAUX5!R:R)</f>
        <v>1.04</v>
      </c>
      <c r="E114" s="5"/>
      <c r="F114" s="5">
        <f t="shared" ca="1" si="3"/>
        <v>0</v>
      </c>
    </row>
    <row r="115" spans="1:6" ht="28.8" x14ac:dyDescent="0.3">
      <c r="A115" s="23">
        <v>4417</v>
      </c>
      <c r="B115" s="24" t="s">
        <v>1331</v>
      </c>
      <c r="C115" s="23" t="s">
        <v>1227</v>
      </c>
      <c r="D115" s="23">
        <f ca="1">SUMIF(CPU!M:M,A115,CPU!R:R)+SUMIF(CPUAUX1!M:M,A115,CPUAUX1!R:R)+SUMIF(CPUAUX2!M:M,A115,CPUAUX2!R:R)+SUMIF(CPUAUX3!M:M,A115,CPUAUX3!R:R)+SUMIF(CPUAUX4!M:M,A115,CPUAUX4!R:R)+SUMIF(CPUAUX5!M:M,A115,CPUAUX5!R:R)</f>
        <v>15.187799999999999</v>
      </c>
      <c r="E115" s="5"/>
      <c r="F115" s="5">
        <f t="shared" ca="1" si="3"/>
        <v>0</v>
      </c>
    </row>
    <row r="116" spans="1:6" ht="28.8" x14ac:dyDescent="0.3">
      <c r="A116" s="23">
        <v>14618</v>
      </c>
      <c r="B116" s="24" t="s">
        <v>1332</v>
      </c>
      <c r="C116" s="23" t="s">
        <v>1214</v>
      </c>
      <c r="D116" s="23">
        <f ca="1">SUMIF(CPU!M:M,A116,CPU!R:R)+SUMIF(CPUAUX1!M:M,A116,CPUAUX1!R:R)+SUMIF(CPUAUX2!M:M,A116,CPUAUX2!R:R)+SUMIF(CPUAUX3!M:M,A116,CPUAUX3!R:R)+SUMIF(CPUAUX4!M:M,A116,CPUAUX4!R:R)+SUMIF(CPUAUX5!M:M,A116,CPUAUX5!R:R)</f>
        <v>3.0097970591056795E-4</v>
      </c>
      <c r="E116" s="5"/>
      <c r="F116" s="5">
        <f t="shared" ca="1" si="3"/>
        <v>0</v>
      </c>
    </row>
    <row r="117" spans="1:6" x14ac:dyDescent="0.3">
      <c r="A117" s="23" t="s">
        <v>1046</v>
      </c>
      <c r="B117" s="24" t="s">
        <v>1333</v>
      </c>
      <c r="C117" s="23" t="s">
        <v>1216</v>
      </c>
      <c r="D117" s="23">
        <f ca="1">SUMIF(CPU!M:M,A117,CPU!R:R)+SUMIF(CPUAUX1!M:M,A117,CPUAUX1!R:R)+SUMIF(CPUAUX2!M:M,A117,CPUAUX2!R:R)+SUMIF(CPUAUX3!M:M,A117,CPUAUX3!R:R)+SUMIF(CPUAUX4!M:M,A117,CPUAUX4!R:R)+SUMIF(CPUAUX5!M:M,A117,CPUAUX5!R:R)</f>
        <v>34.757999999999996</v>
      </c>
      <c r="E117" s="5"/>
      <c r="F117" s="5">
        <f t="shared" ca="1" si="3"/>
        <v>0</v>
      </c>
    </row>
    <row r="118" spans="1:6" x14ac:dyDescent="0.3">
      <c r="A118" s="23">
        <v>10567</v>
      </c>
      <c r="B118" s="24" t="s">
        <v>1334</v>
      </c>
      <c r="C118" s="23" t="s">
        <v>1227</v>
      </c>
      <c r="D118" s="23">
        <f ca="1">SUMIF(CPU!M:M,A118,CPU!R:R)+SUMIF(CPUAUX1!M:M,A118,CPUAUX1!R:R)+SUMIF(CPUAUX2!M:M,A118,CPUAUX2!R:R)+SUMIF(CPUAUX3!M:M,A118,CPUAUX3!R:R)+SUMIF(CPUAUX4!M:M,A118,CPUAUX4!R:R)+SUMIF(CPUAUX5!M:M,A118,CPUAUX5!R:R)</f>
        <v>11.22</v>
      </c>
      <c r="E118" s="5"/>
      <c r="F118" s="5">
        <f t="shared" ca="1" si="3"/>
        <v>0</v>
      </c>
    </row>
    <row r="119" spans="1:6" x14ac:dyDescent="0.3">
      <c r="A119" s="23" t="s">
        <v>1093</v>
      </c>
      <c r="B119" s="24" t="s">
        <v>1335</v>
      </c>
      <c r="C119" s="23" t="s">
        <v>1227</v>
      </c>
      <c r="D119" s="23">
        <f ca="1">SUMIF(CPU!M:M,A119,CPU!R:R)+SUMIF(CPUAUX1!M:M,A119,CPUAUX1!R:R)+SUMIF(CPUAUX2!M:M,A119,CPUAUX2!R:R)+SUMIF(CPUAUX3!M:M,A119,CPUAUX3!R:R)+SUMIF(CPUAUX4!M:M,A119,CPUAUX4!R:R)+SUMIF(CPUAUX5!M:M,A119,CPUAUX5!R:R)</f>
        <v>2.08</v>
      </c>
      <c r="E119" s="5"/>
      <c r="F119" s="5">
        <f t="shared" ca="1" si="3"/>
        <v>0</v>
      </c>
    </row>
    <row r="120" spans="1:6" ht="28.8" x14ac:dyDescent="0.3">
      <c r="A120" s="23">
        <v>6193</v>
      </c>
      <c r="B120" s="24" t="s">
        <v>1336</v>
      </c>
      <c r="C120" s="23" t="s">
        <v>1227</v>
      </c>
      <c r="D120" s="23">
        <f ca="1">SUMIF(CPU!M:M,A120,CPU!R:R)+SUMIF(CPUAUX1!M:M,A120,CPUAUX1!R:R)+SUMIF(CPUAUX2!M:M,A120,CPUAUX2!R:R)+SUMIF(CPUAUX3!M:M,A120,CPUAUX3!R:R)+SUMIF(CPUAUX4!M:M,A120,CPUAUX4!R:R)+SUMIF(CPUAUX5!M:M,A120,CPUAUX5!R:R)</f>
        <v>2.3902639199999998</v>
      </c>
      <c r="E120" s="5"/>
      <c r="F120" s="5">
        <f t="shared" ca="1" si="3"/>
        <v>0</v>
      </c>
    </row>
    <row r="121" spans="1:6" ht="28.8" x14ac:dyDescent="0.3">
      <c r="A121" s="23">
        <v>6189</v>
      </c>
      <c r="B121" s="24" t="s">
        <v>1337</v>
      </c>
      <c r="C121" s="23" t="s">
        <v>1227</v>
      </c>
      <c r="D121" s="23">
        <f ca="1">SUMIF(CPU!M:M,A121,CPU!R:R)+SUMIF(CPUAUX1!M:M,A121,CPUAUX1!R:R)+SUMIF(CPUAUX2!M:M,A121,CPUAUX2!R:R)+SUMIF(CPUAUX3!M:M,A121,CPUAUX3!R:R)+SUMIF(CPUAUX4!M:M,A121,CPUAUX4!R:R)+SUMIF(CPUAUX5!M:M,A121,CPUAUX5!R:R)</f>
        <v>27.542016</v>
      </c>
      <c r="E121" s="5"/>
      <c r="F121" s="5">
        <f t="shared" ca="1" si="3"/>
        <v>0</v>
      </c>
    </row>
    <row r="122" spans="1:6" x14ac:dyDescent="0.3">
      <c r="A122" s="23" t="s">
        <v>1024</v>
      </c>
      <c r="B122" s="24" t="s">
        <v>1338</v>
      </c>
      <c r="C122" s="23" t="s">
        <v>1214</v>
      </c>
      <c r="D122" s="23">
        <f ca="1">SUMIF(CPU!M:M,A122,CPU!R:R)+SUMIF(CPUAUX1!M:M,A122,CPUAUX1!R:R)+SUMIF(CPUAUX2!M:M,A122,CPUAUX2!R:R)+SUMIF(CPUAUX3!M:M,A122,CPUAUX3!R:R)+SUMIF(CPUAUX4!M:M,A122,CPUAUX4!R:R)+SUMIF(CPUAUX5!M:M,A122,CPUAUX5!R:R)</f>
        <v>2</v>
      </c>
      <c r="E122" s="5"/>
      <c r="F122" s="5">
        <f t="shared" ca="1" si="3"/>
        <v>0</v>
      </c>
    </row>
    <row r="123" spans="1:6" x14ac:dyDescent="0.3">
      <c r="A123" s="23">
        <v>6297</v>
      </c>
      <c r="B123" s="24" t="s">
        <v>1339</v>
      </c>
      <c r="C123" s="23" t="s">
        <v>1214</v>
      </c>
      <c r="D123" s="23">
        <f ca="1">SUMIF(CPU!M:M,A123,CPU!R:R)+SUMIF(CPUAUX1!M:M,A123,CPUAUX1!R:R)+SUMIF(CPUAUX2!M:M,A123,CPUAUX2!R:R)+SUMIF(CPUAUX3!M:M,A123,CPUAUX3!R:R)+SUMIF(CPUAUX4!M:M,A123,CPUAUX4!R:R)+SUMIF(CPUAUX5!M:M,A123,CPUAUX5!R:R)</f>
        <v>4</v>
      </c>
      <c r="E123" s="5"/>
      <c r="F123" s="5">
        <f t="shared" ca="1" si="3"/>
        <v>0</v>
      </c>
    </row>
    <row r="124" spans="1:6" x14ac:dyDescent="0.3">
      <c r="A124" s="23">
        <v>7140</v>
      </c>
      <c r="B124" s="24" t="s">
        <v>1340</v>
      </c>
      <c r="C124" s="23" t="s">
        <v>1214</v>
      </c>
      <c r="D124" s="23">
        <f ca="1">SUMIF(CPU!M:M,A124,CPU!R:R)+SUMIF(CPUAUX1!M:M,A124,CPUAUX1!R:R)+SUMIF(CPUAUX2!M:M,A124,CPUAUX2!R:R)+SUMIF(CPUAUX3!M:M,A124,CPUAUX3!R:R)+SUMIF(CPUAUX4!M:M,A124,CPUAUX4!R:R)+SUMIF(CPUAUX5!M:M,A124,CPUAUX5!R:R)</f>
        <v>2</v>
      </c>
      <c r="E124" s="5"/>
      <c r="F124" s="5">
        <f t="shared" ca="1" si="3"/>
        <v>0</v>
      </c>
    </row>
    <row r="125" spans="1:6" ht="28.8" x14ac:dyDescent="0.3">
      <c r="A125" s="23">
        <v>34547</v>
      </c>
      <c r="B125" s="24" t="s">
        <v>1341</v>
      </c>
      <c r="C125" s="23" t="s">
        <v>1227</v>
      </c>
      <c r="D125" s="23">
        <f ca="1">SUMIF(CPU!M:M,A125,CPU!R:R)+SUMIF(CPUAUX1!M:M,A125,CPUAUX1!R:R)+SUMIF(CPUAUX2!M:M,A125,CPUAUX2!R:R)+SUMIF(CPUAUX3!M:M,A125,CPUAUX3!R:R)+SUMIF(CPUAUX4!M:M,A125,CPUAUX4!R:R)+SUMIF(CPUAUX5!M:M,A125,CPUAUX5!R:R)</f>
        <v>2.7692000000000005</v>
      </c>
      <c r="E125" s="5"/>
      <c r="F125" s="5">
        <f t="shared" ca="1" si="3"/>
        <v>0</v>
      </c>
    </row>
    <row r="126" spans="1:6" ht="28.8" x14ac:dyDescent="0.3">
      <c r="A126" s="23">
        <v>34557</v>
      </c>
      <c r="B126" s="24" t="s">
        <v>1342</v>
      </c>
      <c r="C126" s="23" t="s">
        <v>1227</v>
      </c>
      <c r="D126" s="23">
        <f ca="1">SUMIF(CPU!M:M,A126,CPU!R:R)+SUMIF(CPUAUX1!M:M,A126,CPUAUX1!R:R)+SUMIF(CPUAUX2!M:M,A126,CPUAUX2!R:R)+SUMIF(CPUAUX3!M:M,A126,CPUAUX3!R:R)+SUMIF(CPUAUX4!M:M,A126,CPUAUX4!R:R)+SUMIF(CPUAUX5!M:M,A126,CPUAUX5!R:R)</f>
        <v>16.220400000000001</v>
      </c>
      <c r="E126" s="5"/>
      <c r="F126" s="5">
        <f t="shared" ca="1" si="3"/>
        <v>0</v>
      </c>
    </row>
    <row r="127" spans="1:6" ht="28.8" x14ac:dyDescent="0.3">
      <c r="A127" s="23">
        <v>7156</v>
      </c>
      <c r="B127" s="24" t="s">
        <v>1343</v>
      </c>
      <c r="C127" s="23" t="s">
        <v>1253</v>
      </c>
      <c r="D127" s="23">
        <f ca="1">SUMIF(CPU!M:M,A127,CPU!R:R)+SUMIF(CPUAUX1!M:M,A127,CPUAUX1!R:R)+SUMIF(CPUAUX2!M:M,A127,CPUAUX2!R:R)+SUMIF(CPUAUX3!M:M,A127,CPUAUX3!R:R)+SUMIF(CPUAUX4!M:M,A127,CPUAUX4!R:R)+SUMIF(CPUAUX5!M:M,A127,CPUAUX5!R:R)</f>
        <v>12.113919999999998</v>
      </c>
      <c r="E127" s="5"/>
      <c r="F127" s="5">
        <f t="shared" ca="1" si="3"/>
        <v>0</v>
      </c>
    </row>
    <row r="128" spans="1:6" ht="43.2" x14ac:dyDescent="0.3">
      <c r="A128" s="23">
        <v>7173</v>
      </c>
      <c r="B128" s="24" t="s">
        <v>1344</v>
      </c>
      <c r="C128" s="23" t="s">
        <v>1345</v>
      </c>
      <c r="D128" s="23">
        <f ca="1">SUMIF(CPU!M:M,A128,CPU!R:R)+SUMIF(CPUAUX1!M:M,A128,CPUAUX1!R:R)+SUMIF(CPUAUX2!M:M,A128,CPUAUX2!R:R)+SUMIF(CPUAUX3!M:M,A128,CPUAUX3!R:R)+SUMIF(CPUAUX4!M:M,A128,CPUAUX4!R:R)+SUMIF(CPUAUX5!M:M,A128,CPUAUX5!R:R)</f>
        <v>0.56264999999999998</v>
      </c>
      <c r="E128" s="5"/>
      <c r="F128" s="5">
        <f t="shared" ca="1" si="3"/>
        <v>0</v>
      </c>
    </row>
    <row r="129" spans="1:6" x14ac:dyDescent="0.3">
      <c r="A129" s="23">
        <v>43776</v>
      </c>
      <c r="B129" s="24" t="s">
        <v>1346</v>
      </c>
      <c r="C129" s="23" t="s">
        <v>1114</v>
      </c>
      <c r="D129" s="23">
        <f ca="1">SUMIF(CPU!M:M,A129,CPU!R:R)+SUMIF(CPUAUX1!M:M,A129,CPUAUX1!R:R)+SUMIF(CPUAUX2!M:M,A129,CPUAUX2!R:R)+SUMIF(CPUAUX3!M:M,A129,CPUAUX3!R:R)+SUMIF(CPUAUX4!M:M,A129,CPUAUX4!R:R)+SUMIF(CPUAUX5!M:M,A129,CPUAUX5!R:R)</f>
        <v>0.51</v>
      </c>
      <c r="E129" s="5"/>
      <c r="F129" s="5">
        <f t="shared" ca="1" si="3"/>
        <v>0</v>
      </c>
    </row>
    <row r="130" spans="1:6" x14ac:dyDescent="0.3">
      <c r="A130" s="23">
        <v>7311</v>
      </c>
      <c r="B130" s="24" t="s">
        <v>1347</v>
      </c>
      <c r="C130" s="23" t="s">
        <v>1114</v>
      </c>
      <c r="D130" s="23">
        <f ca="1">SUMIF(CPU!M:M,A130,CPU!R:R)+SUMIF(CPUAUX1!M:M,A130,CPUAUX1!R:R)+SUMIF(CPUAUX2!M:M,A130,CPUAUX2!R:R)+SUMIF(CPUAUX3!M:M,A130,CPUAUX3!R:R)+SUMIF(CPUAUX4!M:M,A130,CPUAUX4!R:R)+SUMIF(CPUAUX5!M:M,A130,CPUAUX5!R:R)</f>
        <v>1.712928</v>
      </c>
      <c r="E130" s="5"/>
      <c r="F130" s="5">
        <f t="shared" ca="1" si="3"/>
        <v>0</v>
      </c>
    </row>
    <row r="131" spans="1:6" x14ac:dyDescent="0.3">
      <c r="A131" s="23">
        <v>7356</v>
      </c>
      <c r="B131" s="24" t="s">
        <v>1348</v>
      </c>
      <c r="C131" s="23" t="s">
        <v>1114</v>
      </c>
      <c r="D131" s="23">
        <f ca="1">SUMIF(CPU!M:M,A131,CPU!R:R)+SUMIF(CPUAUX1!M:M,A131,CPUAUX1!R:R)+SUMIF(CPUAUX2!M:M,A131,CPUAUX2!R:R)+SUMIF(CPUAUX3!M:M,A131,CPUAUX3!R:R)+SUMIF(CPUAUX4!M:M,A131,CPUAUX4!R:R)+SUMIF(CPUAUX5!M:M,A131,CPUAUX5!R:R)</f>
        <v>0.52224000000000004</v>
      </c>
      <c r="E131" s="5"/>
      <c r="F131" s="5">
        <f t="shared" ca="1" si="3"/>
        <v>0</v>
      </c>
    </row>
    <row r="132" spans="1:6" x14ac:dyDescent="0.3">
      <c r="A132" s="23">
        <v>11831</v>
      </c>
      <c r="B132" s="24" t="s">
        <v>1349</v>
      </c>
      <c r="C132" s="23" t="s">
        <v>1214</v>
      </c>
      <c r="D132" s="23">
        <f ca="1">SUMIF(CPU!M:M,A132,CPU!R:R)+SUMIF(CPUAUX1!M:M,A132,CPUAUX1!R:R)+SUMIF(CPUAUX2!M:M,A132,CPUAUX2!R:R)+SUMIF(CPUAUX3!M:M,A132,CPUAUX3!R:R)+SUMIF(CPUAUX4!M:M,A132,CPUAUX4!R:R)+SUMIF(CPUAUX5!M:M,A132,CPUAUX5!R:R)</f>
        <v>28</v>
      </c>
      <c r="E132" s="5"/>
      <c r="F132" s="5">
        <f t="shared" ca="1" si="3"/>
        <v>0</v>
      </c>
    </row>
    <row r="133" spans="1:6" x14ac:dyDescent="0.3">
      <c r="A133" s="23" t="s">
        <v>1014</v>
      </c>
      <c r="B133" s="24" t="s">
        <v>1350</v>
      </c>
      <c r="C133" s="23" t="s">
        <v>1351</v>
      </c>
      <c r="D133" s="23">
        <f ca="1">SUMIF(CPU!M:M,A133,CPU!R:R)+SUMIF(CPUAUX1!M:M,A133,CPUAUX1!R:R)+SUMIF(CPUAUX2!M:M,A133,CPUAUX2!R:R)+SUMIF(CPUAUX3!M:M,A133,CPUAUX3!R:R)+SUMIF(CPUAUX4!M:M,A133,CPUAUX4!R:R)+SUMIF(CPUAUX5!M:M,A133,CPUAUX5!R:R)</f>
        <v>1574.6</v>
      </c>
      <c r="E133" s="5"/>
      <c r="F133" s="5">
        <f t="shared" ca="1" si="3"/>
        <v>0</v>
      </c>
    </row>
    <row r="134" spans="1:6" ht="28.8" x14ac:dyDescent="0.3">
      <c r="A134" s="23">
        <v>21012</v>
      </c>
      <c r="B134" s="24" t="s">
        <v>1352</v>
      </c>
      <c r="C134" s="23" t="s">
        <v>1227</v>
      </c>
      <c r="D134" s="23">
        <f ca="1">SUMIF(CPU!M:M,A134,CPU!R:R)+SUMIF(CPUAUX1!M:M,A134,CPUAUX1!R:R)+SUMIF(CPUAUX2!M:M,A134,CPUAUX2!R:R)+SUMIF(CPUAUX3!M:M,A134,CPUAUX3!R:R)+SUMIF(CPUAUX4!M:M,A134,CPUAUX4!R:R)+SUMIF(CPUAUX5!M:M,A134,CPUAUX5!R:R)</f>
        <v>12</v>
      </c>
      <c r="E134" s="5"/>
      <c r="F134" s="5">
        <f t="shared" ca="1" si="3"/>
        <v>0</v>
      </c>
    </row>
    <row r="135" spans="1:6" ht="28.8" x14ac:dyDescent="0.3">
      <c r="A135" s="23">
        <v>9854</v>
      </c>
      <c r="B135" s="24" t="s">
        <v>1353</v>
      </c>
      <c r="C135" s="23" t="s">
        <v>1227</v>
      </c>
      <c r="D135" s="23">
        <f ca="1">SUMIF(CPU!M:M,A135,CPU!R:R)+SUMIF(CPUAUX1!M:M,A135,CPUAUX1!R:R)+SUMIF(CPUAUX2!M:M,A135,CPUAUX2!R:R)+SUMIF(CPUAUX3!M:M,A135,CPUAUX3!R:R)+SUMIF(CPUAUX4!M:M,A135,CPUAUX4!R:R)+SUMIF(CPUAUX5!M:M,A135,CPUAUX5!R:R)</f>
        <v>42.42</v>
      </c>
      <c r="E135" s="5"/>
      <c r="F135" s="5">
        <f t="shared" ref="F135:F144" ca="1" si="4">ROUND(D135*E135,2)</f>
        <v>0</v>
      </c>
    </row>
    <row r="136" spans="1:6" x14ac:dyDescent="0.3">
      <c r="A136" s="23">
        <v>36084</v>
      </c>
      <c r="B136" s="24" t="s">
        <v>1354</v>
      </c>
      <c r="C136" s="23" t="s">
        <v>1227</v>
      </c>
      <c r="D136" s="23">
        <f ca="1">SUMIF(CPU!M:M,A136,CPU!R:R)+SUMIF(CPUAUX1!M:M,A136,CPUAUX1!R:R)+SUMIF(CPUAUX2!M:M,A136,CPUAUX2!R:R)+SUMIF(CPUAUX3!M:M,A136,CPUAUX3!R:R)+SUMIF(CPUAUX4!M:M,A136,CPUAUX4!R:R)+SUMIF(CPUAUX5!M:M,A136,CPUAUX5!R:R)</f>
        <v>32</v>
      </c>
      <c r="E136" s="5"/>
      <c r="F136" s="5">
        <f t="shared" ca="1" si="4"/>
        <v>0</v>
      </c>
    </row>
    <row r="137" spans="1:6" x14ac:dyDescent="0.3">
      <c r="A137" s="23">
        <v>9862</v>
      </c>
      <c r="B137" s="24" t="s">
        <v>1355</v>
      </c>
      <c r="C137" s="23" t="s">
        <v>1227</v>
      </c>
      <c r="D137" s="23">
        <f ca="1">SUMIF(CPU!M:M,A137,CPU!R:R)+SUMIF(CPUAUX1!M:M,A137,CPUAUX1!R:R)+SUMIF(CPUAUX2!M:M,A137,CPUAUX2!R:R)+SUMIF(CPUAUX3!M:M,A137,CPUAUX3!R:R)+SUMIF(CPUAUX4!M:M,A137,CPUAUX4!R:R)+SUMIF(CPUAUX5!M:M,A137,CPUAUX5!R:R)</f>
        <v>220</v>
      </c>
      <c r="E137" s="5"/>
      <c r="F137" s="5">
        <f t="shared" ca="1" si="4"/>
        <v>0</v>
      </c>
    </row>
    <row r="138" spans="1:6" x14ac:dyDescent="0.3">
      <c r="A138" s="23">
        <v>9867</v>
      </c>
      <c r="B138" s="24" t="s">
        <v>1356</v>
      </c>
      <c r="C138" s="23" t="s">
        <v>1227</v>
      </c>
      <c r="D138" s="23">
        <f ca="1">SUMIF(CPU!M:M,A138,CPU!R:R)+SUMIF(CPUAUX1!M:M,A138,CPUAUX1!R:R)+SUMIF(CPUAUX2!M:M,A138,CPUAUX2!R:R)+SUMIF(CPUAUX3!M:M,A138,CPUAUX3!R:R)+SUMIF(CPUAUX4!M:M,A138,CPUAUX4!R:R)+SUMIF(CPUAUX5!M:M,A138,CPUAUX5!R:R)</f>
        <v>246.40000000000003</v>
      </c>
      <c r="E138" s="5"/>
      <c r="F138" s="5">
        <f t="shared" ca="1" si="4"/>
        <v>0</v>
      </c>
    </row>
    <row r="139" spans="1:6" x14ac:dyDescent="0.3">
      <c r="A139" s="23">
        <v>9869</v>
      </c>
      <c r="B139" s="24" t="s">
        <v>1357</v>
      </c>
      <c r="C139" s="23" t="s">
        <v>1227</v>
      </c>
      <c r="D139" s="23">
        <f ca="1">SUMIF(CPU!M:M,A139,CPU!R:R)+SUMIF(CPUAUX1!M:M,A139,CPUAUX1!R:R)+SUMIF(CPUAUX2!M:M,A139,CPUAUX2!R:R)+SUMIF(CPUAUX3!M:M,A139,CPUAUX3!R:R)+SUMIF(CPUAUX4!M:M,A139,CPUAUX4!R:R)+SUMIF(CPUAUX5!M:M,A139,CPUAUX5!R:R)</f>
        <v>4</v>
      </c>
      <c r="E139" s="5"/>
      <c r="F139" s="5">
        <f t="shared" ca="1" si="4"/>
        <v>0</v>
      </c>
    </row>
    <row r="140" spans="1:6" x14ac:dyDescent="0.3">
      <c r="A140" s="23">
        <v>9873</v>
      </c>
      <c r="B140" s="24" t="s">
        <v>1358</v>
      </c>
      <c r="C140" s="23" t="s">
        <v>1227</v>
      </c>
      <c r="D140" s="23">
        <f ca="1">SUMIF(CPU!M:M,A140,CPU!R:R)+SUMIF(CPUAUX1!M:M,A140,CPUAUX1!R:R)+SUMIF(CPUAUX2!M:M,A140,CPUAUX2!R:R)+SUMIF(CPUAUX3!M:M,A140,CPUAUX3!R:R)+SUMIF(CPUAUX4!M:M,A140,CPUAUX4!R:R)+SUMIF(CPUAUX5!M:M,A140,CPUAUX5!R:R)</f>
        <v>4253</v>
      </c>
      <c r="E140" s="5"/>
      <c r="F140" s="5">
        <f t="shared" ca="1" si="4"/>
        <v>0</v>
      </c>
    </row>
    <row r="141" spans="1:6" x14ac:dyDescent="0.3">
      <c r="A141" s="23">
        <v>12424</v>
      </c>
      <c r="B141" s="24" t="s">
        <v>1359</v>
      </c>
      <c r="C141" s="23" t="s">
        <v>1214</v>
      </c>
      <c r="D141" s="23">
        <f ca="1">SUMIF(CPU!M:M,A141,CPU!R:R)+SUMIF(CPUAUX1!M:M,A141,CPUAUX1!R:R)+SUMIF(CPUAUX2!M:M,A141,CPUAUX2!R:R)+SUMIF(CPUAUX3!M:M,A141,CPUAUX3!R:R)+SUMIF(CPUAUX4!M:M,A141,CPUAUX4!R:R)+SUMIF(CPUAUX5!M:M,A141,CPUAUX5!R:R)</f>
        <v>2</v>
      </c>
      <c r="E141" s="5"/>
      <c r="F141" s="5">
        <f t="shared" ca="1" si="4"/>
        <v>0</v>
      </c>
    </row>
    <row r="142" spans="1:6" ht="28.8" x14ac:dyDescent="0.3">
      <c r="A142" s="23">
        <v>10409</v>
      </c>
      <c r="B142" s="24" t="s">
        <v>1360</v>
      </c>
      <c r="C142" s="23" t="s">
        <v>1214</v>
      </c>
      <c r="D142" s="23">
        <f ca="1">SUMIF(CPU!M:M,A142,CPU!R:R)+SUMIF(CPUAUX1!M:M,A142,CPUAUX1!R:R)+SUMIF(CPUAUX2!M:M,A142,CPUAUX2!R:R)+SUMIF(CPUAUX3!M:M,A142,CPUAUX3!R:R)+SUMIF(CPUAUX4!M:M,A142,CPUAUX4!R:R)+SUMIF(CPUAUX5!M:M,A142,CPUAUX5!R:R)</f>
        <v>2</v>
      </c>
      <c r="E142" s="5"/>
      <c r="F142" s="5">
        <f t="shared" ca="1" si="4"/>
        <v>0</v>
      </c>
    </row>
    <row r="143" spans="1:6" ht="28.8" x14ac:dyDescent="0.3">
      <c r="A143" s="23">
        <v>13896</v>
      </c>
      <c r="B143" s="24" t="s">
        <v>1361</v>
      </c>
      <c r="C143" s="23" t="s">
        <v>1214</v>
      </c>
      <c r="D143" s="23">
        <f ca="1">SUMIF(CPU!M:M,A143,CPU!R:R)+SUMIF(CPUAUX1!M:M,A143,CPUAUX1!R:R)+SUMIF(CPUAUX2!M:M,A143,CPUAUX2!R:R)+SUMIF(CPUAUX3!M:M,A143,CPUAUX3!R:R)+SUMIF(CPUAUX4!M:M,A143,CPUAUX4!R:R)+SUMIF(CPUAUX5!M:M,A143,CPUAUX5!R:R)</f>
        <v>6.2704563840000014E-5</v>
      </c>
      <c r="E143" s="5"/>
      <c r="F143" s="5">
        <f t="shared" ca="1" si="4"/>
        <v>0</v>
      </c>
    </row>
    <row r="144" spans="1:6" ht="28.8" x14ac:dyDescent="0.3">
      <c r="A144" s="23">
        <v>4425</v>
      </c>
      <c r="B144" s="24" t="s">
        <v>1362</v>
      </c>
      <c r="C144" s="23" t="s">
        <v>1227</v>
      </c>
      <c r="D144" s="23">
        <f ca="1">SUMIF(CPU!M:M,A144,CPU!R:R)+SUMIF(CPUAUX1!M:M,A144,CPUAUX1!R:R)+SUMIF(CPUAUX2!M:M,A144,CPUAUX2!R:R)+SUMIF(CPUAUX3!M:M,A144,CPUAUX3!R:R)+SUMIF(CPUAUX4!M:M,A144,CPUAUX4!R:R)+SUMIF(CPUAUX5!M:M,A144,CPUAUX5!R:R)</f>
        <v>15.0381</v>
      </c>
      <c r="E144" s="5"/>
      <c r="F144" s="5">
        <f t="shared" ca="1" si="4"/>
        <v>0</v>
      </c>
    </row>
    <row r="145" spans="1:6" x14ac:dyDescent="0.3">
      <c r="A145" s="45" t="s">
        <v>158</v>
      </c>
      <c r="B145" s="47"/>
      <c r="C145" s="47"/>
      <c r="D145" s="47"/>
      <c r="E145" s="46"/>
      <c r="F145" s="18">
        <f ca="1">SUBTOTAL(9,F7:F144)</f>
        <v>0</v>
      </c>
    </row>
  </sheetData>
  <autoFilter ref="A6:F144" xr:uid="{B7A45C7E-6A33-434D-8254-2B18E6C32464}"/>
  <mergeCells count="5">
    <mergeCell ref="A1:F1"/>
    <mergeCell ref="A2:F2"/>
    <mergeCell ref="A3:F3"/>
    <mergeCell ref="B5:F5"/>
    <mergeCell ref="A145:E145"/>
  </mergeCells>
  <pageMargins left="0.78740157480314965" right="0.39370078740157483" top="1.1811023622047243" bottom="0.78740157480314965" header="0.31496062992125984" footer="0.31496062992125984"/>
  <pageSetup paperSize="9" fitToHeight="0"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E786946A-7C49-4A76-84AE-2CFC7618C3F0}">
          <x14:formula1>
            <xm:f>CO!$J$6:$V$6</xm:f>
          </x14:formula1>
          <xm:sqref>B5:F5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67FC0-628B-42D4-8D0C-51DBC33416CB}">
  <sheetPr>
    <tabColor indexed="30"/>
    <pageSetUpPr fitToPage="1"/>
  </sheetPr>
  <dimension ref="A1:G64"/>
  <sheetViews>
    <sheetView showGridLines="0" workbookViewId="0">
      <selection sqref="A1:F1"/>
    </sheetView>
  </sheetViews>
  <sheetFormatPr defaultRowHeight="14.4" x14ac:dyDescent="0.3"/>
  <cols>
    <col min="1" max="1" width="12" bestFit="1" customWidth="1"/>
    <col min="2" max="2" width="74.109375" bestFit="1" customWidth="1"/>
    <col min="3" max="6" width="15.77734375" bestFit="1" customWidth="1"/>
    <col min="7" max="9" width="14.77734375" bestFit="1" customWidth="1"/>
  </cols>
  <sheetData>
    <row r="1" spans="1:7" x14ac:dyDescent="0.3">
      <c r="A1" s="44" t="str">
        <f>CIDADE</f>
        <v>MUNICÍPIOS DE PARNAGUÁ - PI E ANÍSIO DE ABREU-PI</v>
      </c>
      <c r="B1" s="44"/>
      <c r="C1" s="44"/>
      <c r="D1" s="44"/>
      <c r="E1" s="44"/>
      <c r="F1" s="44"/>
    </row>
    <row r="2" spans="1:7" x14ac:dyDescent="0.3">
      <c r="A2" s="44" t="str">
        <f>OBRA</f>
        <v>IMPLANTAÇÃO DE 6 (SEIS) SISTEMAS DE ABASTECIMENTO DE ÁGUA EM COMUNIDADES RURAIS NOS MUNICÍPIOS DE PARNAGUÁ-PI E ANÍSIO DE ABREU-PI (TC 967175/2024)</v>
      </c>
      <c r="B2" s="44"/>
      <c r="C2" s="44"/>
      <c r="D2" s="44"/>
      <c r="E2" s="44"/>
      <c r="F2" s="44"/>
    </row>
    <row r="3" spans="1:7" x14ac:dyDescent="0.3">
      <c r="A3" s="44" t="s">
        <v>1363</v>
      </c>
      <c r="B3" s="44"/>
      <c r="C3" s="44"/>
      <c r="D3" s="44"/>
      <c r="E3" s="44"/>
      <c r="F3" s="44"/>
    </row>
    <row r="5" spans="1:7" x14ac:dyDescent="0.3">
      <c r="A5" s="4" t="s">
        <v>1212</v>
      </c>
      <c r="B5" s="96" t="str">
        <f>ETAPA</f>
        <v>30 DIAS</v>
      </c>
      <c r="C5" s="97"/>
      <c r="D5" s="97"/>
      <c r="E5" s="97"/>
      <c r="F5" s="98"/>
      <c r="G5" s="6" t="s">
        <v>1364</v>
      </c>
    </row>
    <row r="6" spans="1:7" x14ac:dyDescent="0.3">
      <c r="A6" s="4" t="s">
        <v>170</v>
      </c>
      <c r="B6" s="4" t="s">
        <v>18</v>
      </c>
      <c r="C6" s="4" t="s">
        <v>172</v>
      </c>
      <c r="D6" s="4" t="s">
        <v>998</v>
      </c>
      <c r="E6" s="4" t="s">
        <v>1204</v>
      </c>
      <c r="F6" s="4" t="s">
        <v>12</v>
      </c>
    </row>
    <row r="7" spans="1:7" x14ac:dyDescent="0.3">
      <c r="A7" s="23">
        <v>6114</v>
      </c>
      <c r="B7" s="24" t="s">
        <v>1365</v>
      </c>
      <c r="C7" s="23" t="s">
        <v>1366</v>
      </c>
      <c r="D7" s="23">
        <f ca="1">SUMIF(CPU!M:M,A7,CPU!R:R)+SUMIF(CPUAUX1!M:M,A7,CPUAUX1!R:R)+SUMIF(CPUAUX2!M:M,A7,CPUAUX2!R:R)+SUMIF(CPUAUX3!M:M,A7,CPUAUX3!R:R)+SUMIF(CPUAUX4!M:M,A7,CPUAUX4!R:R)+SUMIF(CPUAUX5!M:M,A7,CPUAUX5!R:R)</f>
        <v>0.38047154162460006</v>
      </c>
      <c r="E7" s="5"/>
      <c r="F7" s="5">
        <f t="shared" ref="F7:F38" ca="1" si="0">ROUND(D7*E7,2)</f>
        <v>0</v>
      </c>
    </row>
    <row r="8" spans="1:7" x14ac:dyDescent="0.3">
      <c r="A8" s="23">
        <v>247</v>
      </c>
      <c r="B8" s="24" t="s">
        <v>1367</v>
      </c>
      <c r="C8" s="23" t="s">
        <v>1366</v>
      </c>
      <c r="D8" s="23">
        <f ca="1">SUMIF(CPU!M:M,A8,CPU!R:R)+SUMIF(CPUAUX1!M:M,A8,CPUAUX1!R:R)+SUMIF(CPUAUX2!M:M,A8,CPUAUX2!R:R)+SUMIF(CPUAUX3!M:M,A8,CPUAUX3!R:R)+SUMIF(CPUAUX4!M:M,A8,CPUAUX4!R:R)+SUMIF(CPUAUX5!M:M,A8,CPUAUX5!R:R)</f>
        <v>56.347222399999993</v>
      </c>
      <c r="E8" s="5"/>
      <c r="F8" s="5">
        <f t="shared" ca="1" si="0"/>
        <v>0</v>
      </c>
    </row>
    <row r="9" spans="1:7" x14ac:dyDescent="0.3">
      <c r="A9" s="23">
        <v>37370</v>
      </c>
      <c r="B9" s="24" t="s">
        <v>1368</v>
      </c>
      <c r="C9" s="23" t="s">
        <v>1366</v>
      </c>
      <c r="D9" s="23">
        <f ca="1">SUMIF(CPU!M:M,A9,CPU!R:R)+SUMIF(CPUAUX1!M:M,A9,CPUAUX1!R:R)+SUMIF(CPUAUX2!M:M,A9,CPUAUX2!R:R)+SUMIF(CPUAUX3!M:M,A9,CPUAUX3!R:R)+SUMIF(CPUAUX4!M:M,A9,CPUAUX4!R:R)+SUMIF(CPUAUX5!M:M,A9,CPUAUX5!R:R)</f>
        <v>2096.1618989857998</v>
      </c>
      <c r="E9" s="5"/>
      <c r="F9" s="5">
        <f t="shared" ca="1" si="0"/>
        <v>0</v>
      </c>
    </row>
    <row r="10" spans="1:7" x14ac:dyDescent="0.3">
      <c r="A10" s="23">
        <v>378</v>
      </c>
      <c r="B10" s="24" t="s">
        <v>1369</v>
      </c>
      <c r="C10" s="23" t="s">
        <v>1366</v>
      </c>
      <c r="D10" s="23">
        <f ca="1">SUMIF(CPU!M:M,A10,CPU!R:R)+SUMIF(CPUAUX1!M:M,A10,CPUAUX1!R:R)+SUMIF(CPUAUX2!M:M,A10,CPUAUX2!R:R)+SUMIF(CPUAUX3!M:M,A10,CPUAUX3!R:R)+SUMIF(CPUAUX4!M:M,A10,CPUAUX4!R:R)+SUMIF(CPUAUX5!M:M,A10,CPUAUX5!R:R)</f>
        <v>1.9005319613692799</v>
      </c>
      <c r="E10" s="5"/>
      <c r="F10" s="5">
        <f t="shared" ca="1" si="0"/>
        <v>0</v>
      </c>
    </row>
    <row r="11" spans="1:7" x14ac:dyDescent="0.3">
      <c r="A11" s="23">
        <v>40331</v>
      </c>
      <c r="B11" s="24" t="s">
        <v>1370</v>
      </c>
      <c r="C11" s="23" t="s">
        <v>1366</v>
      </c>
      <c r="D11" s="23">
        <f ca="1">SUMIF(CPU!M:M,A11,CPU!R:R)+SUMIF(CPUAUX1!M:M,A11,CPUAUX1!R:R)+SUMIF(CPUAUX2!M:M,A11,CPUAUX2!R:R)+SUMIF(CPUAUX3!M:M,A11,CPUAUX3!R:R)+SUMIF(CPUAUX4!M:M,A11,CPUAUX4!R:R)+SUMIF(CPUAUX5!M:M,A11,CPUAUX5!R:R)</f>
        <v>130.44739799999999</v>
      </c>
      <c r="E11" s="5"/>
      <c r="F11" s="5">
        <f t="shared" ca="1" si="0"/>
        <v>0</v>
      </c>
    </row>
    <row r="12" spans="1:7" x14ac:dyDescent="0.3">
      <c r="A12" s="23">
        <v>246</v>
      </c>
      <c r="B12" s="24" t="s">
        <v>1371</v>
      </c>
      <c r="C12" s="23" t="s">
        <v>1366</v>
      </c>
      <c r="D12" s="23">
        <f ca="1">SUMIF(CPU!M:M,A12,CPU!R:R)+SUMIF(CPUAUX1!M:M,A12,CPUAUX1!R:R)+SUMIF(CPUAUX2!M:M,A12,CPUAUX2!R:R)+SUMIF(CPUAUX3!M:M,A12,CPUAUX3!R:R)+SUMIF(CPUAUX4!M:M,A12,CPUAUX4!R:R)+SUMIF(CPUAUX5!M:M,A12,CPUAUX5!R:R)</f>
        <v>78.647709628000001</v>
      </c>
      <c r="E12" s="5"/>
      <c r="F12" s="5">
        <f t="shared" ca="1" si="0"/>
        <v>0</v>
      </c>
    </row>
    <row r="13" spans="1:7" x14ac:dyDescent="0.3">
      <c r="A13" s="23">
        <v>2350</v>
      </c>
      <c r="B13" s="24" t="s">
        <v>1372</v>
      </c>
      <c r="C13" s="23" t="s">
        <v>1366</v>
      </c>
      <c r="D13" s="23">
        <f ca="1">SUMIF(CPU!M:M,A13,CPU!R:R)+SUMIF(CPUAUX1!M:M,A13,CPUAUX1!R:R)+SUMIF(CPUAUX2!M:M,A13,CPUAUX2!R:R)+SUMIF(CPUAUX3!M:M,A13,CPUAUX3!R:R)+SUMIF(CPUAUX4!M:M,A13,CPUAUX4!R:R)+SUMIF(CPUAUX5!M:M,A13,CPUAUX5!R:R)</f>
        <v>159.80931000000001</v>
      </c>
      <c r="E13" s="5"/>
      <c r="F13" s="5">
        <f t="shared" ca="1" si="0"/>
        <v>0</v>
      </c>
    </row>
    <row r="14" spans="1:7" x14ac:dyDescent="0.3">
      <c r="A14" s="23">
        <v>251</v>
      </c>
      <c r="B14" s="24" t="s">
        <v>1373</v>
      </c>
      <c r="C14" s="23" t="s">
        <v>1366</v>
      </c>
      <c r="D14" s="23">
        <f ca="1">SUMIF(CPU!M:M,A14,CPU!R:R)+SUMIF(CPUAUX1!M:M,A14,CPUAUX1!R:R)+SUMIF(CPUAUX2!M:M,A14,CPUAUX2!R:R)+SUMIF(CPUAUX3!M:M,A14,CPUAUX3!R:R)+SUMIF(CPUAUX4!M:M,A14,CPUAUX4!R:R)+SUMIF(CPUAUX5!M:M,A14,CPUAUX5!R:R)</f>
        <v>129.47712000000001</v>
      </c>
      <c r="E14" s="5"/>
      <c r="F14" s="5">
        <f t="shared" ca="1" si="0"/>
        <v>0</v>
      </c>
    </row>
    <row r="15" spans="1:7" x14ac:dyDescent="0.3">
      <c r="A15" s="23">
        <v>6127</v>
      </c>
      <c r="B15" s="24" t="s">
        <v>1374</v>
      </c>
      <c r="C15" s="23" t="s">
        <v>1366</v>
      </c>
      <c r="D15" s="23">
        <f ca="1">SUMIF(CPU!M:M,A15,CPU!R:R)+SUMIF(CPUAUX1!M:M,A15,CPUAUX1!R:R)+SUMIF(CPUAUX2!M:M,A15,CPUAUX2!R:R)+SUMIF(CPUAUX3!M:M,A15,CPUAUX3!R:R)+SUMIF(CPUAUX4!M:M,A15,CPUAUX4!R:R)+SUMIF(CPUAUX5!M:M,A15,CPUAUX5!R:R)</f>
        <v>5.0231431808</v>
      </c>
      <c r="E15" s="5"/>
      <c r="F15" s="5">
        <f t="shared" ca="1" si="0"/>
        <v>0</v>
      </c>
    </row>
    <row r="16" spans="1:7" x14ac:dyDescent="0.3">
      <c r="A16" s="23">
        <v>532</v>
      </c>
      <c r="B16" s="24" t="s">
        <v>1375</v>
      </c>
      <c r="C16" s="23" t="s">
        <v>1366</v>
      </c>
      <c r="D16" s="23">
        <f ca="1">SUMIF(CPU!M:M,A16,CPU!R:R)+SUMIF(CPUAUX1!M:M,A16,CPUAUX1!R:R)+SUMIF(CPUAUX2!M:M,A16,CPUAUX2!R:R)+SUMIF(CPUAUX3!M:M,A16,CPUAUX3!R:R)+SUMIF(CPUAUX4!M:M,A16,CPUAUX4!R:R)+SUMIF(CPUAUX5!M:M,A16,CPUAUX5!R:R)</f>
        <v>40.3324</v>
      </c>
      <c r="E16" s="5"/>
      <c r="F16" s="5">
        <f t="shared" ca="1" si="0"/>
        <v>0</v>
      </c>
    </row>
    <row r="17" spans="1:6" x14ac:dyDescent="0.3">
      <c r="A17" s="23" t="s">
        <v>1087</v>
      </c>
      <c r="B17" s="24" t="s">
        <v>1376</v>
      </c>
      <c r="C17" s="23" t="s">
        <v>1366</v>
      </c>
      <c r="D17" s="23">
        <f ca="1">SUMIF(CPU!M:M,A17,CPU!R:R)+SUMIF(CPUAUX1!M:M,A17,CPUAUX1!R:R)+SUMIF(CPUAUX2!M:M,A17,CPUAUX2!R:R)+SUMIF(CPUAUX3!M:M,A17,CPUAUX3!R:R)+SUMIF(CPUAUX4!M:M,A17,CPUAUX4!R:R)+SUMIF(CPUAUX5!M:M,A17,CPUAUX5!R:R)</f>
        <v>0.37128</v>
      </c>
      <c r="E17" s="5"/>
      <c r="F17" s="5">
        <f t="shared" ca="1" si="0"/>
        <v>0</v>
      </c>
    </row>
    <row r="18" spans="1:6" x14ac:dyDescent="0.3">
      <c r="A18" s="23">
        <v>6117</v>
      </c>
      <c r="B18" s="24" t="s">
        <v>1377</v>
      </c>
      <c r="C18" s="23" t="s">
        <v>1366</v>
      </c>
      <c r="D18" s="23">
        <f ca="1">SUMIF(CPU!M:M,A18,CPU!R:R)+SUMIF(CPUAUX1!M:M,A18,CPUAUX1!R:R)+SUMIF(CPUAUX2!M:M,A18,CPUAUX2!R:R)+SUMIF(CPUAUX3!M:M,A18,CPUAUX3!R:R)+SUMIF(CPUAUX4!M:M,A18,CPUAUX4!R:R)+SUMIF(CPUAUX5!M:M,A18,CPUAUX5!R:R)</f>
        <v>29.746789719994332</v>
      </c>
      <c r="E18" s="5"/>
      <c r="F18" s="5">
        <f t="shared" ca="1" si="0"/>
        <v>0</v>
      </c>
    </row>
    <row r="19" spans="1:6" x14ac:dyDescent="0.3">
      <c r="A19" s="23">
        <v>1213</v>
      </c>
      <c r="B19" s="24" t="s">
        <v>1378</v>
      </c>
      <c r="C19" s="23" t="s">
        <v>1366</v>
      </c>
      <c r="D19" s="23">
        <f ca="1">SUMIF(CPU!M:M,A19,CPU!R:R)+SUMIF(CPUAUX1!M:M,A19,CPUAUX1!R:R)+SUMIF(CPUAUX2!M:M,A19,CPUAUX2!R:R)+SUMIF(CPUAUX3!M:M,A19,CPUAUX3!R:R)+SUMIF(CPUAUX4!M:M,A19,CPUAUX4!R:R)+SUMIF(CPUAUX5!M:M,A19,CPUAUX5!R:R)</f>
        <v>38.985156395163962</v>
      </c>
      <c r="E19" s="5"/>
      <c r="F19" s="5">
        <f t="shared" ca="1" si="0"/>
        <v>0</v>
      </c>
    </row>
    <row r="20" spans="1:6" x14ac:dyDescent="0.3">
      <c r="A20" s="23">
        <v>2436</v>
      </c>
      <c r="B20" s="24" t="s">
        <v>1379</v>
      </c>
      <c r="C20" s="23" t="s">
        <v>1366</v>
      </c>
      <c r="D20" s="23">
        <f ca="1">SUMIF(CPU!M:M,A20,CPU!R:R)+SUMIF(CPUAUX1!M:M,A20,CPUAUX1!R:R)+SUMIF(CPUAUX2!M:M,A20,CPUAUX2!R:R)+SUMIF(CPUAUX3!M:M,A20,CPUAUX3!R:R)+SUMIF(CPUAUX4!M:M,A20,CPUAUX4!R:R)+SUMIF(CPUAUX5!M:M,A20,CPUAUX5!R:R)</f>
        <v>56.347222399999993</v>
      </c>
      <c r="E20" s="5"/>
      <c r="F20" s="5">
        <f t="shared" ca="1" si="0"/>
        <v>0</v>
      </c>
    </row>
    <row r="21" spans="1:6" x14ac:dyDescent="0.3">
      <c r="A21" s="23">
        <v>2696</v>
      </c>
      <c r="B21" s="24" t="s">
        <v>1380</v>
      </c>
      <c r="C21" s="23" t="s">
        <v>1366</v>
      </c>
      <c r="D21" s="23">
        <f ca="1">SUMIF(CPU!M:M,A21,CPU!R:R)+SUMIF(CPUAUX1!M:M,A21,CPUAUX1!R:R)+SUMIF(CPUAUX2!M:M,A21,CPUAUX2!R:R)+SUMIF(CPUAUX3!M:M,A21,CPUAUX3!R:R)+SUMIF(CPUAUX4!M:M,A21,CPUAUX4!R:R)+SUMIF(CPUAUX5!M:M,A21,CPUAUX5!R:R)</f>
        <v>116.21117162799999</v>
      </c>
      <c r="E21" s="5"/>
      <c r="F21" s="5">
        <f t="shared" ca="1" si="0"/>
        <v>0</v>
      </c>
    </row>
    <row r="22" spans="1:6" x14ac:dyDescent="0.3">
      <c r="A22" s="23">
        <v>4083</v>
      </c>
      <c r="B22" s="24" t="s">
        <v>1381</v>
      </c>
      <c r="C22" s="23" t="s">
        <v>1366</v>
      </c>
      <c r="D22" s="23">
        <f ca="1">SUMIF(CPU!M:M,A22,CPU!R:R)+SUMIF(CPUAUX1!M:M,A22,CPUAUX1!R:R)+SUMIF(CPUAUX2!M:M,A22,CPUAUX2!R:R)+SUMIF(CPUAUX3!M:M,A22,CPUAUX3!R:R)+SUMIF(CPUAUX4!M:M,A22,CPUAUX4!R:R)+SUMIF(CPUAUX5!M:M,A22,CPUAUX5!R:R)</f>
        <v>162.3708</v>
      </c>
      <c r="E22" s="5"/>
      <c r="F22" s="5">
        <f t="shared" ca="1" si="0"/>
        <v>0</v>
      </c>
    </row>
    <row r="23" spans="1:6" x14ac:dyDescent="0.3">
      <c r="A23" s="23">
        <v>2706</v>
      </c>
      <c r="B23" s="24" t="s">
        <v>1382</v>
      </c>
      <c r="C23" s="23" t="s">
        <v>1366</v>
      </c>
      <c r="D23" s="23">
        <f ca="1">SUMIF(CPU!M:M,A23,CPU!R:R)+SUMIF(CPUAUX1!M:M,A23,CPUAUX1!R:R)+SUMIF(CPUAUX2!M:M,A23,CPUAUX2!R:R)+SUMIF(CPUAUX3!M:M,A23,CPUAUX3!R:R)+SUMIF(CPUAUX4!M:M,A23,CPUAUX4!R:R)+SUMIF(CPUAUX5!M:M,A23,CPUAUX5!R:R)</f>
        <v>96.808104</v>
      </c>
      <c r="E23" s="5"/>
      <c r="F23" s="5">
        <f t="shared" ca="1" si="0"/>
        <v>0</v>
      </c>
    </row>
    <row r="24" spans="1:6" x14ac:dyDescent="0.3">
      <c r="A24" s="23">
        <v>2708</v>
      </c>
      <c r="B24" s="24" t="s">
        <v>1383</v>
      </c>
      <c r="C24" s="23" t="s">
        <v>1366</v>
      </c>
      <c r="D24" s="23">
        <f ca="1">SUMIF(CPU!M:M,A24,CPU!R:R)+SUMIF(CPUAUX1!M:M,A24,CPUAUX1!R:R)+SUMIF(CPUAUX2!M:M,A24,CPUAUX2!R:R)+SUMIF(CPUAUX3!M:M,A24,CPUAUX3!R:R)+SUMIF(CPUAUX4!M:M,A24,CPUAUX4!R:R)+SUMIF(CPUAUX5!M:M,A24,CPUAUX5!R:R)</f>
        <v>16.236160000000002</v>
      </c>
      <c r="E24" s="5"/>
      <c r="F24" s="5">
        <f t="shared" ca="1" si="0"/>
        <v>0</v>
      </c>
    </row>
    <row r="25" spans="1:6" ht="28.8" x14ac:dyDescent="0.3">
      <c r="A25" s="23">
        <v>43482</v>
      </c>
      <c r="B25" s="24" t="s">
        <v>1384</v>
      </c>
      <c r="C25" s="23" t="s">
        <v>1366</v>
      </c>
      <c r="D25" s="23">
        <f ca="1">SUMIF(CPU!M:M,A25,CPU!R:R)+SUMIF(CPUAUX1!M:M,A25,CPUAUX1!R:R)+SUMIF(CPUAUX2!M:M,A25,CPUAUX2!R:R)+SUMIF(CPUAUX3!M:M,A25,CPUAUX3!R:R)+SUMIF(CPUAUX4!M:M,A25,CPUAUX4!R:R)+SUMIF(CPUAUX5!M:M,A25,CPUAUX5!R:R)</f>
        <v>159</v>
      </c>
      <c r="E25" s="5"/>
      <c r="F25" s="5">
        <f t="shared" ca="1" si="0"/>
        <v>0</v>
      </c>
    </row>
    <row r="26" spans="1:6" ht="28.8" x14ac:dyDescent="0.3">
      <c r="A26" s="23">
        <v>43483</v>
      </c>
      <c r="B26" s="24" t="s">
        <v>1385</v>
      </c>
      <c r="C26" s="23" t="s">
        <v>1366</v>
      </c>
      <c r="D26" s="23">
        <f ca="1">SUMIF(CPU!M:M,A26,CPU!R:R)+SUMIF(CPUAUX1!M:M,A26,CPUAUX1!R:R)+SUMIF(CPUAUX2!M:M,A26,CPUAUX2!R:R)+SUMIF(CPUAUX3!M:M,A26,CPUAUX3!R:R)+SUMIF(CPUAUX4!M:M,A26,CPUAUX4!R:R)+SUMIF(CPUAUX5!M:M,A26,CPUAUX5!R:R)</f>
        <v>70.57569358324001</v>
      </c>
      <c r="E26" s="5"/>
      <c r="F26" s="5">
        <f t="shared" ca="1" si="0"/>
        <v>0</v>
      </c>
    </row>
    <row r="27" spans="1:6" ht="28.8" x14ac:dyDescent="0.3">
      <c r="A27" s="23">
        <v>43484</v>
      </c>
      <c r="B27" s="24" t="s">
        <v>1386</v>
      </c>
      <c r="C27" s="23" t="s">
        <v>1366</v>
      </c>
      <c r="D27" s="23">
        <f ca="1">SUMIF(CPU!M:M,A27,CPU!R:R)+SUMIF(CPUAUX1!M:M,A27,CPUAUX1!R:R)+SUMIF(CPUAUX2!M:M,A27,CPUAUX2!R:R)+SUMIF(CPUAUX3!M:M,A27,CPUAUX3!R:R)+SUMIF(CPUAUX4!M:M,A27,CPUAUX4!R:R)+SUMIF(CPUAUX5!M:M,A27,CPUAUX5!R:R)</f>
        <v>108.63999999999999</v>
      </c>
      <c r="E27" s="5"/>
      <c r="F27" s="5">
        <f t="shared" ca="1" si="0"/>
        <v>0</v>
      </c>
    </row>
    <row r="28" spans="1:6" ht="28.8" x14ac:dyDescent="0.3">
      <c r="A28" s="23">
        <v>43485</v>
      </c>
      <c r="B28" s="24" t="s">
        <v>1387</v>
      </c>
      <c r="C28" s="23" t="s">
        <v>1366</v>
      </c>
      <c r="D28" s="23">
        <f ca="1">SUMIF(CPU!M:M,A28,CPU!R:R)+SUMIF(CPUAUX1!M:M,A28,CPUAUX1!R:R)+SUMIF(CPUAUX2!M:M,A28,CPUAUX2!R:R)+SUMIF(CPUAUX3!M:M,A28,CPUAUX3!R:R)+SUMIF(CPUAUX4!M:M,A28,CPUAUX4!R:R)+SUMIF(CPUAUX5!M:M,A28,CPUAUX5!R:R)</f>
        <v>191.41719999999998</v>
      </c>
      <c r="E28" s="5"/>
      <c r="F28" s="5">
        <f t="shared" ca="1" si="0"/>
        <v>0</v>
      </c>
    </row>
    <row r="29" spans="1:6" ht="28.8" x14ac:dyDescent="0.3">
      <c r="A29" s="23">
        <v>43487</v>
      </c>
      <c r="B29" s="24" t="s">
        <v>1388</v>
      </c>
      <c r="C29" s="23" t="s">
        <v>1366</v>
      </c>
      <c r="D29" s="23">
        <f ca="1">SUMIF(CPU!M:M,A29,CPU!R:R)+SUMIF(CPUAUX1!M:M,A29,CPUAUX1!R:R)+SUMIF(CPUAUX2!M:M,A29,CPUAUX2!R:R)+SUMIF(CPUAUX3!M:M,A29,CPUAUX3!R:R)+SUMIF(CPUAUX4!M:M,A29,CPUAUX4!R:R)+SUMIF(CPUAUX5!M:M,A29,CPUAUX5!R:R)</f>
        <v>159</v>
      </c>
      <c r="E29" s="5"/>
      <c r="F29" s="5">
        <f t="shared" ca="1" si="0"/>
        <v>0</v>
      </c>
    </row>
    <row r="30" spans="1:6" ht="28.8" x14ac:dyDescent="0.3">
      <c r="A30" s="23">
        <v>43486</v>
      </c>
      <c r="B30" s="24" t="s">
        <v>1389</v>
      </c>
      <c r="C30" s="23" t="s">
        <v>1366</v>
      </c>
      <c r="D30" s="23">
        <f ca="1">SUMIF(CPU!M:M,A30,CPU!R:R)+SUMIF(CPUAUX1!M:M,A30,CPUAUX1!R:R)+SUMIF(CPUAUX2!M:M,A30,CPUAUX2!R:R)+SUMIF(CPUAUX3!M:M,A30,CPUAUX3!R:R)+SUMIF(CPUAUX4!M:M,A30,CPUAUX4!R:R)+SUMIF(CPUAUX5!M:M,A30,CPUAUX5!R:R)</f>
        <v>151.4</v>
      </c>
      <c r="E30" s="5"/>
      <c r="F30" s="5">
        <f t="shared" ca="1" si="0"/>
        <v>0</v>
      </c>
    </row>
    <row r="31" spans="1:6" ht="28.8" x14ac:dyDescent="0.3">
      <c r="A31" s="23">
        <v>43488</v>
      </c>
      <c r="B31" s="24" t="s">
        <v>1390</v>
      </c>
      <c r="C31" s="23" t="s">
        <v>1366</v>
      </c>
      <c r="D31" s="23">
        <f ca="1">SUMIF(CPU!M:M,A31,CPU!R:R)+SUMIF(CPUAUX1!M:M,A31,CPUAUX1!R:R)+SUMIF(CPUAUX2!M:M,A31,CPUAUX2!R:R)+SUMIF(CPUAUX3!M:M,A31,CPUAUX3!R:R)+SUMIF(CPUAUX4!M:M,A31,CPUAUX4!R:R)+SUMIF(CPUAUX5!M:M,A31,CPUAUX5!R:R)</f>
        <v>660.57667025175999</v>
      </c>
      <c r="E31" s="5"/>
      <c r="F31" s="5">
        <f t="shared" ca="1" si="0"/>
        <v>0</v>
      </c>
    </row>
    <row r="32" spans="1:6" x14ac:dyDescent="0.3">
      <c r="A32" s="23">
        <v>43489</v>
      </c>
      <c r="B32" s="24" t="s">
        <v>1391</v>
      </c>
      <c r="C32" s="23" t="s">
        <v>1366</v>
      </c>
      <c r="D32" s="23">
        <f ca="1">SUMIF(CPU!M:M,A32,CPU!R:R)+SUMIF(CPUAUX1!M:M,A32,CPUAUX1!R:R)+SUMIF(CPUAUX2!M:M,A32,CPUAUX2!R:R)+SUMIF(CPUAUX3!M:M,A32,CPUAUX3!R:R)+SUMIF(CPUAUX4!M:M,A32,CPUAUX4!R:R)+SUMIF(CPUAUX5!M:M,A32,CPUAUX5!R:R)</f>
        <v>226.80987902200002</v>
      </c>
      <c r="E32" s="5"/>
      <c r="F32" s="5">
        <f t="shared" ca="1" si="0"/>
        <v>0</v>
      </c>
    </row>
    <row r="33" spans="1:6" x14ac:dyDescent="0.3">
      <c r="A33" s="23">
        <v>43490</v>
      </c>
      <c r="B33" s="24" t="s">
        <v>1392</v>
      </c>
      <c r="C33" s="23" t="s">
        <v>1366</v>
      </c>
      <c r="D33" s="23">
        <f ca="1">SUMIF(CPU!M:M,A33,CPU!R:R)+SUMIF(CPUAUX1!M:M,A33,CPUAUX1!R:R)+SUMIF(CPUAUX2!M:M,A33,CPUAUX2!R:R)+SUMIF(CPUAUX3!M:M,A33,CPUAUX3!R:R)+SUMIF(CPUAUX4!M:M,A33,CPUAUX4!R:R)+SUMIF(CPUAUX5!M:M,A33,CPUAUX5!R:R)</f>
        <v>38.283647999999999</v>
      </c>
      <c r="E33" s="5"/>
      <c r="F33" s="5">
        <f t="shared" ca="1" si="0"/>
        <v>0</v>
      </c>
    </row>
    <row r="34" spans="1:6" x14ac:dyDescent="0.3">
      <c r="A34" s="23">
        <v>43491</v>
      </c>
      <c r="B34" s="24" t="s">
        <v>1393</v>
      </c>
      <c r="C34" s="23" t="s">
        <v>1366</v>
      </c>
      <c r="D34" s="23">
        <f ca="1">SUMIF(CPU!M:M,A34,CPU!R:R)+SUMIF(CPUAUX1!M:M,A34,CPUAUX1!R:R)+SUMIF(CPUAUX2!M:M,A34,CPUAUX2!R:R)+SUMIF(CPUAUX3!M:M,A34,CPUAUX3!R:R)+SUMIF(CPUAUX4!M:M,A34,CPUAUX4!R:R)+SUMIF(CPUAUX5!M:M,A34,CPUAUX5!R:R)</f>
        <v>799.85880812880009</v>
      </c>
      <c r="E34" s="5"/>
      <c r="F34" s="5">
        <f t="shared" ca="1" si="0"/>
        <v>0</v>
      </c>
    </row>
    <row r="35" spans="1:6" ht="28.8" x14ac:dyDescent="0.3">
      <c r="A35" s="23" t="s">
        <v>1018</v>
      </c>
      <c r="B35" s="24" t="s">
        <v>1394</v>
      </c>
      <c r="C35" s="23" t="s">
        <v>1366</v>
      </c>
      <c r="D35" s="23">
        <f ca="1">SUMIF(CPU!M:M,A35,CPU!R:R)+SUMIF(CPUAUX1!M:M,A35,CPUAUX1!R:R)+SUMIF(CPUAUX2!M:M,A35,CPUAUX2!R:R)+SUMIF(CPUAUX3!M:M,A35,CPUAUX3!R:R)+SUMIF(CPUAUX4!M:M,A35,CPUAUX4!R:R)+SUMIF(CPUAUX5!M:M,A35,CPUAUX5!R:R)</f>
        <v>12</v>
      </c>
      <c r="E35" s="5"/>
      <c r="F35" s="5">
        <f t="shared" ca="1" si="0"/>
        <v>0</v>
      </c>
    </row>
    <row r="36" spans="1:6" x14ac:dyDescent="0.3">
      <c r="A36" s="23">
        <v>37372</v>
      </c>
      <c r="B36" s="24" t="s">
        <v>1395</v>
      </c>
      <c r="C36" s="23" t="s">
        <v>1366</v>
      </c>
      <c r="D36" s="23">
        <f ca="1">SUMIF(CPU!M:M,A36,CPU!R:R)+SUMIF(CPUAUX1!M:M,A36,CPUAUX1!R:R)+SUMIF(CPUAUX2!M:M,A36,CPUAUX2!R:R)+SUMIF(CPUAUX3!M:M,A36,CPUAUX3!R:R)+SUMIF(CPUAUX4!M:M,A36,CPUAUX4!R:R)+SUMIF(CPUAUX5!M:M,A36,CPUAUX5!R:R)</f>
        <v>2565.5618989857999</v>
      </c>
      <c r="E36" s="5"/>
      <c r="F36" s="5">
        <f t="shared" ca="1" si="0"/>
        <v>0</v>
      </c>
    </row>
    <row r="37" spans="1:6" ht="28.8" x14ac:dyDescent="0.3">
      <c r="A37" s="23">
        <v>43458</v>
      </c>
      <c r="B37" s="24" t="s">
        <v>1396</v>
      </c>
      <c r="C37" s="23" t="s">
        <v>1366</v>
      </c>
      <c r="D37" s="23">
        <f ca="1">SUMIF(CPU!M:M,A37,CPU!R:R)+SUMIF(CPUAUX1!M:M,A37,CPUAUX1!R:R)+SUMIF(CPUAUX2!M:M,A37,CPUAUX2!R:R)+SUMIF(CPUAUX3!M:M,A37,CPUAUX3!R:R)+SUMIF(CPUAUX4!M:M,A37,CPUAUX4!R:R)+SUMIF(CPUAUX5!M:M,A37,CPUAUX5!R:R)</f>
        <v>159</v>
      </c>
      <c r="E37" s="5"/>
      <c r="F37" s="5">
        <f t="shared" ca="1" si="0"/>
        <v>0</v>
      </c>
    </row>
    <row r="38" spans="1:6" ht="28.8" x14ac:dyDescent="0.3">
      <c r="A38" s="23">
        <v>43459</v>
      </c>
      <c r="B38" s="24" t="s">
        <v>1397</v>
      </c>
      <c r="C38" s="23" t="s">
        <v>1366</v>
      </c>
      <c r="D38" s="23">
        <f ca="1">SUMIF(CPU!M:M,A38,CPU!R:R)+SUMIF(CPUAUX1!M:M,A38,CPUAUX1!R:R)+SUMIF(CPUAUX2!M:M,A38,CPUAUX2!R:R)+SUMIF(CPUAUX3!M:M,A38,CPUAUX3!R:R)+SUMIF(CPUAUX4!M:M,A38,CPUAUX4!R:R)+SUMIF(CPUAUX5!M:M,A38,CPUAUX5!R:R)</f>
        <v>70.57569358324001</v>
      </c>
      <c r="E38" s="5"/>
      <c r="F38" s="5">
        <f t="shared" ca="1" si="0"/>
        <v>0</v>
      </c>
    </row>
    <row r="39" spans="1:6" ht="28.8" x14ac:dyDescent="0.3">
      <c r="A39" s="23">
        <v>43460</v>
      </c>
      <c r="B39" s="24" t="s">
        <v>1398</v>
      </c>
      <c r="C39" s="23" t="s">
        <v>1366</v>
      </c>
      <c r="D39" s="23">
        <f ca="1">SUMIF(CPU!M:M,A39,CPU!R:R)+SUMIF(CPUAUX1!M:M,A39,CPUAUX1!R:R)+SUMIF(CPUAUX2!M:M,A39,CPUAUX2!R:R)+SUMIF(CPUAUX3!M:M,A39,CPUAUX3!R:R)+SUMIF(CPUAUX4!M:M,A39,CPUAUX4!R:R)+SUMIF(CPUAUX5!M:M,A39,CPUAUX5!R:R)</f>
        <v>108.63999999999999</v>
      </c>
      <c r="E39" s="5"/>
      <c r="F39" s="5">
        <f t="shared" ref="F39:F63" ca="1" si="1">ROUND(D39*E39,2)</f>
        <v>0</v>
      </c>
    </row>
    <row r="40" spans="1:6" ht="28.8" x14ac:dyDescent="0.3">
      <c r="A40" s="23">
        <v>43461</v>
      </c>
      <c r="B40" s="24" t="s">
        <v>1399</v>
      </c>
      <c r="C40" s="23" t="s">
        <v>1366</v>
      </c>
      <c r="D40" s="23">
        <f ca="1">SUMIF(CPU!M:M,A40,CPU!R:R)+SUMIF(CPUAUX1!M:M,A40,CPUAUX1!R:R)+SUMIF(CPUAUX2!M:M,A40,CPUAUX2!R:R)+SUMIF(CPUAUX3!M:M,A40,CPUAUX3!R:R)+SUMIF(CPUAUX4!M:M,A40,CPUAUX4!R:R)+SUMIF(CPUAUX5!M:M,A40,CPUAUX5!R:R)</f>
        <v>191.41719999999998</v>
      </c>
      <c r="E40" s="5"/>
      <c r="F40" s="5">
        <f t="shared" ca="1" si="1"/>
        <v>0</v>
      </c>
    </row>
    <row r="41" spans="1:6" ht="28.8" x14ac:dyDescent="0.3">
      <c r="A41" s="23">
        <v>43463</v>
      </c>
      <c r="B41" s="24" t="s">
        <v>1400</v>
      </c>
      <c r="C41" s="23" t="s">
        <v>1366</v>
      </c>
      <c r="D41" s="23">
        <f ca="1">SUMIF(CPU!M:M,A41,CPU!R:R)+SUMIF(CPUAUX1!M:M,A41,CPUAUX1!R:R)+SUMIF(CPUAUX2!M:M,A41,CPUAUX2!R:R)+SUMIF(CPUAUX3!M:M,A41,CPUAUX3!R:R)+SUMIF(CPUAUX4!M:M,A41,CPUAUX4!R:R)+SUMIF(CPUAUX5!M:M,A41,CPUAUX5!R:R)</f>
        <v>159</v>
      </c>
      <c r="E41" s="5"/>
      <c r="F41" s="5">
        <f t="shared" ca="1" si="1"/>
        <v>0</v>
      </c>
    </row>
    <row r="42" spans="1:6" ht="28.8" x14ac:dyDescent="0.3">
      <c r="A42" s="23">
        <v>43462</v>
      </c>
      <c r="B42" s="24" t="s">
        <v>1401</v>
      </c>
      <c r="C42" s="23" t="s">
        <v>1366</v>
      </c>
      <c r="D42" s="23">
        <f ca="1">SUMIF(CPU!M:M,A42,CPU!R:R)+SUMIF(CPUAUX1!M:M,A42,CPUAUX1!R:R)+SUMIF(CPUAUX2!M:M,A42,CPUAUX2!R:R)+SUMIF(CPUAUX3!M:M,A42,CPUAUX3!R:R)+SUMIF(CPUAUX4!M:M,A42,CPUAUX4!R:R)+SUMIF(CPUAUX5!M:M,A42,CPUAUX5!R:R)</f>
        <v>151.4</v>
      </c>
      <c r="E42" s="5"/>
      <c r="F42" s="5">
        <f t="shared" ca="1" si="1"/>
        <v>0</v>
      </c>
    </row>
    <row r="43" spans="1:6" ht="28.8" x14ac:dyDescent="0.3">
      <c r="A43" s="23">
        <v>43464</v>
      </c>
      <c r="B43" s="24" t="s">
        <v>1402</v>
      </c>
      <c r="C43" s="23" t="s">
        <v>1366</v>
      </c>
      <c r="D43" s="23">
        <f ca="1">SUMIF(CPU!M:M,A43,CPU!R:R)+SUMIF(CPUAUX1!M:M,A43,CPUAUX1!R:R)+SUMIF(CPUAUX2!M:M,A43,CPUAUX2!R:R)+SUMIF(CPUAUX3!M:M,A43,CPUAUX3!R:R)+SUMIF(CPUAUX4!M:M,A43,CPUAUX4!R:R)+SUMIF(CPUAUX5!M:M,A43,CPUAUX5!R:R)</f>
        <v>660.57667025175999</v>
      </c>
      <c r="E43" s="5"/>
      <c r="F43" s="5">
        <f t="shared" ca="1" si="1"/>
        <v>0</v>
      </c>
    </row>
    <row r="44" spans="1:6" ht="28.8" x14ac:dyDescent="0.3">
      <c r="A44" s="23">
        <v>43465</v>
      </c>
      <c r="B44" s="24" t="s">
        <v>1403</v>
      </c>
      <c r="C44" s="23" t="s">
        <v>1366</v>
      </c>
      <c r="D44" s="23">
        <f ca="1">SUMIF(CPU!M:M,A44,CPU!R:R)+SUMIF(CPUAUX1!M:M,A44,CPUAUX1!R:R)+SUMIF(CPUAUX2!M:M,A44,CPUAUX2!R:R)+SUMIF(CPUAUX3!M:M,A44,CPUAUX3!R:R)+SUMIF(CPUAUX4!M:M,A44,CPUAUX4!R:R)+SUMIF(CPUAUX5!M:M,A44,CPUAUX5!R:R)</f>
        <v>226.80987902200002</v>
      </c>
      <c r="E44" s="5"/>
      <c r="F44" s="5">
        <f t="shared" ca="1" si="1"/>
        <v>0</v>
      </c>
    </row>
    <row r="45" spans="1:6" ht="28.8" x14ac:dyDescent="0.3">
      <c r="A45" s="23">
        <v>43466</v>
      </c>
      <c r="B45" s="24" t="s">
        <v>1404</v>
      </c>
      <c r="C45" s="23" t="s">
        <v>1366</v>
      </c>
      <c r="D45" s="23">
        <f ca="1">SUMIF(CPU!M:M,A45,CPU!R:R)+SUMIF(CPUAUX1!M:M,A45,CPUAUX1!R:R)+SUMIF(CPUAUX2!M:M,A45,CPUAUX2!R:R)+SUMIF(CPUAUX3!M:M,A45,CPUAUX3!R:R)+SUMIF(CPUAUX4!M:M,A45,CPUAUX4!R:R)+SUMIF(CPUAUX5!M:M,A45,CPUAUX5!R:R)</f>
        <v>38.283647999999999</v>
      </c>
      <c r="E45" s="5"/>
      <c r="F45" s="5">
        <f t="shared" ca="1" si="1"/>
        <v>0</v>
      </c>
    </row>
    <row r="46" spans="1:6" ht="28.8" x14ac:dyDescent="0.3">
      <c r="A46" s="23">
        <v>43467</v>
      </c>
      <c r="B46" s="24" t="s">
        <v>1405</v>
      </c>
      <c r="C46" s="23" t="s">
        <v>1366</v>
      </c>
      <c r="D46" s="23">
        <f ca="1">SUMIF(CPU!M:M,A46,CPU!R:R)+SUMIF(CPUAUX1!M:M,A46,CPUAUX1!R:R)+SUMIF(CPUAUX2!M:M,A46,CPUAUX2!R:R)+SUMIF(CPUAUX3!M:M,A46,CPUAUX3!R:R)+SUMIF(CPUAUX4!M:M,A46,CPUAUX4!R:R)+SUMIF(CPUAUX5!M:M,A46,CPUAUX5!R:R)</f>
        <v>799.85880812880009</v>
      </c>
      <c r="E46" s="5"/>
      <c r="F46" s="5">
        <f t="shared" ca="1" si="1"/>
        <v>0</v>
      </c>
    </row>
    <row r="47" spans="1:6" x14ac:dyDescent="0.3">
      <c r="A47" s="23" t="s">
        <v>1021</v>
      </c>
      <c r="B47" s="24" t="s">
        <v>1406</v>
      </c>
      <c r="C47" s="23" t="s">
        <v>1366</v>
      </c>
      <c r="D47" s="23">
        <f>SUMIF(CPU!M:M,A47,CPU!R:R)+SUMIF(CPUAUX1!M:M,A47,CPUAUX1!R:R)+SUMIF(CPUAUX2!M:M,A47,CPUAUX2!R:R)+SUMIF(CPUAUX3!M:M,A47,CPUAUX3!R:R)+SUMIF(CPUAUX4!M:M,A47,CPUAUX4!R:R)+SUMIF(CPUAUX5!M:M,A47,CPUAUX5!R:R)</f>
        <v>0</v>
      </c>
      <c r="E47" s="5"/>
      <c r="F47" s="5">
        <f t="shared" si="1"/>
        <v>0</v>
      </c>
    </row>
    <row r="48" spans="1:6" x14ac:dyDescent="0.3">
      <c r="A48" s="23" t="s">
        <v>1012</v>
      </c>
      <c r="B48" s="24" t="s">
        <v>1407</v>
      </c>
      <c r="C48" s="23" t="s">
        <v>1366</v>
      </c>
      <c r="D48" s="23">
        <f ca="1">SUMIF(CPU!M:M,A48,CPU!R:R)+SUMIF(CPUAUX1!M:M,A48,CPUAUX1!R:R)+SUMIF(CPUAUX2!M:M,A48,CPUAUX2!R:R)+SUMIF(CPUAUX3!M:M,A48,CPUAUX3!R:R)+SUMIF(CPUAUX4!M:M,A48,CPUAUX4!R:R)+SUMIF(CPUAUX5!M:M,A48,CPUAUX5!R:R)</f>
        <v>60</v>
      </c>
      <c r="E48" s="5"/>
      <c r="F48" s="5">
        <f t="shared" ca="1" si="1"/>
        <v>0</v>
      </c>
    </row>
    <row r="49" spans="1:6" x14ac:dyDescent="0.3">
      <c r="A49" s="23" t="s">
        <v>1015</v>
      </c>
      <c r="B49" s="24" t="s">
        <v>1408</v>
      </c>
      <c r="C49" s="23" t="s">
        <v>1366</v>
      </c>
      <c r="D49" s="23">
        <f>SUMIF(CPU!M:M,A49,CPU!R:R)+SUMIF(CPUAUX1!M:M,A49,CPUAUX1!R:R)+SUMIF(CPUAUX2!M:M,A49,CPUAUX2!R:R)+SUMIF(CPUAUX3!M:M,A49,CPUAUX3!R:R)+SUMIF(CPUAUX4!M:M,A49,CPUAUX4!R:R)+SUMIF(CPUAUX5!M:M,A49,CPUAUX5!R:R)</f>
        <v>0</v>
      </c>
      <c r="E49" s="5"/>
      <c r="F49" s="5">
        <f t="shared" si="1"/>
        <v>0</v>
      </c>
    </row>
    <row r="50" spans="1:6" ht="28.8" x14ac:dyDescent="0.3">
      <c r="A50" s="23">
        <v>40287</v>
      </c>
      <c r="B50" s="24" t="s">
        <v>1409</v>
      </c>
      <c r="C50" s="23" t="s">
        <v>1410</v>
      </c>
      <c r="D50" s="23">
        <f ca="1">SUMIF(CPU!M:M,A50,CPU!R:R)+SUMIF(CPUAUX1!M:M,A50,CPUAUX1!R:R)+SUMIF(CPUAUX2!M:M,A50,CPUAUX2!R:R)+SUMIF(CPUAUX3!M:M,A50,CPUAUX3!R:R)+SUMIF(CPUAUX4!M:M,A50,CPUAUX4!R:R)+SUMIF(CPUAUX5!M:M,A50,CPUAUX5!R:R)</f>
        <v>0.36469530000000006</v>
      </c>
      <c r="E50" s="5"/>
      <c r="F50" s="5">
        <f t="shared" ca="1" si="1"/>
        <v>0</v>
      </c>
    </row>
    <row r="51" spans="1:6" ht="57.6" x14ac:dyDescent="0.3">
      <c r="A51" s="23">
        <v>743</v>
      </c>
      <c r="B51" s="24" t="s">
        <v>1411</v>
      </c>
      <c r="C51" s="23" t="s">
        <v>1366</v>
      </c>
      <c r="D51" s="23">
        <f ca="1">SUMIF(CPU!M:M,A51,CPU!R:R)+SUMIF(CPUAUX1!M:M,A51,CPUAUX1!R:R)+SUMIF(CPUAUX2!M:M,A51,CPUAUX2!R:R)+SUMIF(CPUAUX3!M:M,A51,CPUAUX3!R:R)+SUMIF(CPUAUX4!M:M,A51,CPUAUX4!R:R)+SUMIF(CPUAUX5!M:M,A51,CPUAUX5!R:R)</f>
        <v>56</v>
      </c>
      <c r="E51" s="5"/>
      <c r="F51" s="5">
        <f t="shared" ca="1" si="1"/>
        <v>0</v>
      </c>
    </row>
    <row r="52" spans="1:6" ht="28.8" x14ac:dyDescent="0.3">
      <c r="A52" s="23">
        <v>3346</v>
      </c>
      <c r="B52" s="24" t="s">
        <v>1412</v>
      </c>
      <c r="C52" s="23" t="s">
        <v>1366</v>
      </c>
      <c r="D52" s="23">
        <f ca="1">SUMIF(CPU!M:M,A52,CPU!R:R)+SUMIF(CPUAUX1!M:M,A52,CPUAUX1!R:R)+SUMIF(CPUAUX2!M:M,A52,CPUAUX2!R:R)+SUMIF(CPUAUX3!M:M,A52,CPUAUX3!R:R)+SUMIF(CPUAUX4!M:M,A52,CPUAUX4!R:R)+SUMIF(CPUAUX5!M:M,A52,CPUAUX5!R:R)</f>
        <v>68</v>
      </c>
      <c r="E52" s="5"/>
      <c r="F52" s="5">
        <f t="shared" ca="1" si="1"/>
        <v>0</v>
      </c>
    </row>
    <row r="53" spans="1:6" x14ac:dyDescent="0.3">
      <c r="A53" s="23" t="s">
        <v>1019</v>
      </c>
      <c r="B53" s="24" t="s">
        <v>1413</v>
      </c>
      <c r="C53" s="23" t="s">
        <v>1366</v>
      </c>
      <c r="D53" s="23">
        <f ca="1">SUMIF(CPU!M:M,A53,CPU!R:R)+SUMIF(CPUAUX1!M:M,A53,CPUAUX1!R:R)+SUMIF(CPUAUX2!M:M,A53,CPUAUX2!R:R)+SUMIF(CPUAUX3!M:M,A53,CPUAUX3!R:R)+SUMIF(CPUAUX4!M:M,A53,CPUAUX4!R:R)+SUMIF(CPUAUX5!M:M,A53,CPUAUX5!R:R)</f>
        <v>48</v>
      </c>
      <c r="E53" s="5"/>
      <c r="F53" s="5">
        <f t="shared" ca="1" si="1"/>
        <v>0</v>
      </c>
    </row>
    <row r="54" spans="1:6" x14ac:dyDescent="0.3">
      <c r="A54" s="23">
        <v>37666</v>
      </c>
      <c r="B54" s="24" t="s">
        <v>1414</v>
      </c>
      <c r="C54" s="23" t="s">
        <v>1366</v>
      </c>
      <c r="D54" s="23">
        <f ca="1">SUMIF(CPU!M:M,A54,CPU!R:R)+SUMIF(CPUAUX1!M:M,A54,CPUAUX1!R:R)+SUMIF(CPUAUX2!M:M,A54,CPUAUX2!R:R)+SUMIF(CPUAUX3!M:M,A54,CPUAUX3!R:R)+SUMIF(CPUAUX4!M:M,A54,CPUAUX4!R:R)+SUMIF(CPUAUX5!M:M,A54,CPUAUX5!R:R)</f>
        <v>24.454635409290031</v>
      </c>
      <c r="E54" s="5"/>
      <c r="F54" s="5">
        <f t="shared" ca="1" si="1"/>
        <v>0</v>
      </c>
    </row>
    <row r="55" spans="1:6" x14ac:dyDescent="0.3">
      <c r="A55" s="23">
        <v>4234</v>
      </c>
      <c r="B55" s="24" t="s">
        <v>1415</v>
      </c>
      <c r="C55" s="23" t="s">
        <v>1366</v>
      </c>
      <c r="D55" s="23">
        <f ca="1">SUMIF(CPU!M:M,A55,CPU!R:R)+SUMIF(CPUAUX1!M:M,A55,CPUAUX1!R:R)+SUMIF(CPUAUX2!M:M,A55,CPUAUX2!R:R)+SUMIF(CPUAUX3!M:M,A55,CPUAUX3!R:R)+SUMIF(CPUAUX4!M:M,A55,CPUAUX4!R:R)+SUMIF(CPUAUX5!M:M,A55,CPUAUX5!R:R)</f>
        <v>307.70632207787907</v>
      </c>
      <c r="E55" s="5"/>
      <c r="F55" s="5">
        <f t="shared" ca="1" si="1"/>
        <v>0</v>
      </c>
    </row>
    <row r="56" spans="1:6" x14ac:dyDescent="0.3">
      <c r="A56" s="23">
        <v>4230</v>
      </c>
      <c r="B56" s="24" t="s">
        <v>1416</v>
      </c>
      <c r="C56" s="23" t="s">
        <v>1366</v>
      </c>
      <c r="D56" s="23">
        <f ca="1">SUMIF(CPU!M:M,A56,CPU!R:R)+SUMIF(CPUAUX1!M:M,A56,CPUAUX1!R:R)+SUMIF(CPUAUX2!M:M,A56,CPUAUX2!R:R)+SUMIF(CPUAUX3!M:M,A56,CPUAUX3!R:R)+SUMIF(CPUAUX4!M:M,A56,CPUAUX4!R:R)+SUMIF(CPUAUX5!M:M,A56,CPUAUX5!R:R)</f>
        <v>76.449843051448255</v>
      </c>
      <c r="E56" s="5"/>
      <c r="F56" s="5">
        <f t="shared" ca="1" si="1"/>
        <v>0</v>
      </c>
    </row>
    <row r="57" spans="1:6" x14ac:dyDescent="0.3">
      <c r="A57" s="23">
        <v>4750</v>
      </c>
      <c r="B57" s="24" t="s">
        <v>1417</v>
      </c>
      <c r="C57" s="23" t="s">
        <v>1366</v>
      </c>
      <c r="D57" s="23">
        <f ca="1">SUMIF(CPU!M:M,A57,CPU!R:R)+SUMIF(CPUAUX1!M:M,A57,CPUAUX1!R:R)+SUMIF(CPUAUX2!M:M,A57,CPUAUX2!R:R)+SUMIF(CPUAUX3!M:M,A57,CPUAUX3!R:R)+SUMIF(CPUAUX4!M:M,A57,CPUAUX4!R:R)+SUMIF(CPUAUX5!M:M,A57,CPUAUX5!R:R)</f>
        <v>224.26044014160001</v>
      </c>
      <c r="E57" s="5"/>
      <c r="F57" s="5">
        <f t="shared" ca="1" si="1"/>
        <v>0</v>
      </c>
    </row>
    <row r="58" spans="1:6" x14ac:dyDescent="0.3">
      <c r="A58" s="23">
        <v>4783</v>
      </c>
      <c r="B58" s="24" t="s">
        <v>1418</v>
      </c>
      <c r="C58" s="23" t="s">
        <v>1366</v>
      </c>
      <c r="D58" s="23">
        <f ca="1">SUMIF(CPU!M:M,A58,CPU!R:R)+SUMIF(CPUAUX1!M:M,A58,CPUAUX1!R:R)+SUMIF(CPUAUX2!M:M,A58,CPUAUX2!R:R)+SUMIF(CPUAUX3!M:M,A58,CPUAUX3!R:R)+SUMIF(CPUAUX4!M:M,A58,CPUAUX4!R:R)+SUMIF(CPUAUX5!M:M,A58,CPUAUX5!R:R)</f>
        <v>38.848714644479998</v>
      </c>
      <c r="E58" s="5"/>
      <c r="F58" s="5">
        <f t="shared" ca="1" si="1"/>
        <v>0</v>
      </c>
    </row>
    <row r="59" spans="1:6" x14ac:dyDescent="0.3">
      <c r="A59" s="23">
        <v>37373</v>
      </c>
      <c r="B59" s="24" t="s">
        <v>1419</v>
      </c>
      <c r="C59" s="23" t="s">
        <v>1366</v>
      </c>
      <c r="D59" s="23">
        <f ca="1">SUMIF(CPU!M:M,A59,CPU!R:R)+SUMIF(CPUAUX1!M:M,A59,CPUAUX1!R:R)+SUMIF(CPUAUX2!M:M,A59,CPUAUX2!R:R)+SUMIF(CPUAUX3!M:M,A59,CPUAUX3!R:R)+SUMIF(CPUAUX4!M:M,A59,CPUAUX4!R:R)+SUMIF(CPUAUX5!M:M,A59,CPUAUX5!R:R)</f>
        <v>2565.5618989857999</v>
      </c>
      <c r="E59" s="5"/>
      <c r="F59" s="5">
        <f t="shared" ca="1" si="1"/>
        <v>0</v>
      </c>
    </row>
    <row r="60" spans="1:6" x14ac:dyDescent="0.3">
      <c r="A60" s="23">
        <v>6111</v>
      </c>
      <c r="B60" s="24" t="s">
        <v>1420</v>
      </c>
      <c r="C60" s="23" t="s">
        <v>1366</v>
      </c>
      <c r="D60" s="23">
        <f ca="1">SUMIF(CPU!M:M,A60,CPU!R:R)+SUMIF(CPUAUX1!M:M,A60,CPUAUX1!R:R)+SUMIF(CPUAUX2!M:M,A60,CPUAUX2!R:R)+SUMIF(CPUAUX3!M:M,A60,CPUAUX3!R:R)+SUMIF(CPUAUX4!M:M,A60,CPUAUX4!R:R)+SUMIF(CPUAUX5!M:M,A60,CPUAUX5!R:R)</f>
        <v>816.81581486113066</v>
      </c>
      <c r="E60" s="5"/>
      <c r="F60" s="5">
        <f t="shared" ca="1" si="1"/>
        <v>0</v>
      </c>
    </row>
    <row r="61" spans="1:6" x14ac:dyDescent="0.3">
      <c r="A61" s="23">
        <v>12869</v>
      </c>
      <c r="B61" s="24" t="s">
        <v>1421</v>
      </c>
      <c r="C61" s="23" t="s">
        <v>1366</v>
      </c>
      <c r="D61" s="23">
        <f ca="1">SUMIF(CPU!M:M,A61,CPU!R:R)+SUMIF(CPUAUX1!M:M,A61,CPUAUX1!R:R)+SUMIF(CPUAUX2!M:M,A61,CPUAUX2!R:R)+SUMIF(CPUAUX3!M:M,A61,CPUAUX3!R:R)+SUMIF(CPUAUX4!M:M,A61,CPUAUX4!R:R)+SUMIF(CPUAUX5!M:M,A61,CPUAUX5!R:R)</f>
        <v>2.7525824172000002</v>
      </c>
      <c r="E61" s="5"/>
      <c r="F61" s="5">
        <f t="shared" ca="1" si="1"/>
        <v>0</v>
      </c>
    </row>
    <row r="62" spans="1:6" x14ac:dyDescent="0.3">
      <c r="A62" s="23">
        <v>37371</v>
      </c>
      <c r="B62" s="24" t="s">
        <v>1422</v>
      </c>
      <c r="C62" s="23" t="s">
        <v>1366</v>
      </c>
      <c r="D62" s="23">
        <f ca="1">SUMIF(CPU!M:M,A62,CPU!R:R)+SUMIF(CPUAUX1!M:M,A62,CPUAUX1!R:R)+SUMIF(CPUAUX2!M:M,A62,CPUAUX2!R:R)+SUMIF(CPUAUX3!M:M,A62,CPUAUX3!R:R)+SUMIF(CPUAUX4!M:M,A62,CPUAUX4!R:R)+SUMIF(CPUAUX5!M:M,A62,CPUAUX5!R:R)</f>
        <v>2096.1618989857998</v>
      </c>
      <c r="E62" s="5"/>
      <c r="F62" s="5">
        <f t="shared" ca="1" si="1"/>
        <v>0</v>
      </c>
    </row>
    <row r="63" spans="1:6" x14ac:dyDescent="0.3">
      <c r="A63" s="23" t="s">
        <v>1013</v>
      </c>
      <c r="B63" s="24" t="s">
        <v>1423</v>
      </c>
      <c r="C63" s="23" t="s">
        <v>1366</v>
      </c>
      <c r="D63" s="23">
        <f ca="1">SUMIF(CPU!M:M,A63,CPU!R:R)+SUMIF(CPUAUX1!M:M,A63,CPUAUX1!R:R)+SUMIF(CPUAUX2!M:M,A63,CPUAUX2!R:R)+SUMIF(CPUAUX3!M:M,A63,CPUAUX3!R:R)+SUMIF(CPUAUX4!M:M,A63,CPUAUX4!R:R)+SUMIF(CPUAUX5!M:M,A63,CPUAUX5!R:R)</f>
        <v>120</v>
      </c>
      <c r="E63" s="5"/>
      <c r="F63" s="5">
        <f t="shared" ca="1" si="1"/>
        <v>0</v>
      </c>
    </row>
    <row r="64" spans="1:6" x14ac:dyDescent="0.3">
      <c r="A64" s="45" t="s">
        <v>158</v>
      </c>
      <c r="B64" s="47"/>
      <c r="C64" s="47"/>
      <c r="D64" s="47"/>
      <c r="E64" s="46"/>
      <c r="F64" s="18">
        <f ca="1">SUBTOTAL(9,F7:F63)</f>
        <v>0</v>
      </c>
    </row>
  </sheetData>
  <autoFilter ref="A6:F63" xr:uid="{D792940C-E2F4-4596-A612-978F5515EF05}"/>
  <mergeCells count="5">
    <mergeCell ref="A1:F1"/>
    <mergeCell ref="A2:F2"/>
    <mergeCell ref="A3:F3"/>
    <mergeCell ref="B5:F5"/>
    <mergeCell ref="A64:E64"/>
  </mergeCells>
  <pageMargins left="0.78740157480314965" right="0.39370078740157483" top="1.1811023622047243" bottom="0.78740157480314965" header="0.31496062992125984" footer="0.31496062992125984"/>
  <pageSetup paperSize="9" fitToHeight="0"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06840-894A-4278-8AD4-A8B03D90AAA8}">
  <sheetPr>
    <tabColor indexed="10"/>
    <pageSetUpPr fitToPage="1"/>
  </sheetPr>
  <dimension ref="A1:G186"/>
  <sheetViews>
    <sheetView showGridLines="0" topLeftCell="A172" workbookViewId="0">
      <selection activeCell="A133" sqref="A133:XFD133"/>
    </sheetView>
  </sheetViews>
  <sheetFormatPr defaultRowHeight="14.4" x14ac:dyDescent="0.3"/>
  <cols>
    <col min="1" max="2" width="12" bestFit="1" customWidth="1"/>
    <col min="3" max="3" width="74.109375" bestFit="1" customWidth="1"/>
    <col min="4" max="7" width="15.77734375" bestFit="1" customWidth="1"/>
    <col min="8" max="10" width="14.77734375" bestFit="1" customWidth="1"/>
  </cols>
  <sheetData>
    <row r="1" spans="1:7" x14ac:dyDescent="0.3">
      <c r="A1" s="44" t="str">
        <f>CIDADE</f>
        <v>MUNICÍPIOS DE PARNAGUÁ - PI E ANÍSIO DE ABREU-PI</v>
      </c>
      <c r="B1" s="44"/>
      <c r="C1" s="44"/>
      <c r="D1" s="44"/>
      <c r="E1" s="44"/>
      <c r="F1" s="44"/>
      <c r="G1" s="44"/>
    </row>
    <row r="2" spans="1:7" x14ac:dyDescent="0.3">
      <c r="A2" s="44" t="str">
        <f>OBRA</f>
        <v>IMPLANTAÇÃO DE 6 (SEIS) SISTEMAS DE ABASTECIMENTO DE ÁGUA EM COMUNIDADES RURAIS NOS MUNICÍPIOS DE PARNAGUÁ-PI E ANÍSIO DE ABREU-PI (TC 967175/2024)</v>
      </c>
      <c r="B2" s="44"/>
      <c r="C2" s="44"/>
      <c r="D2" s="44"/>
      <c r="E2" s="44"/>
      <c r="F2" s="44"/>
      <c r="G2" s="44"/>
    </row>
    <row r="3" spans="1:7" x14ac:dyDescent="0.3">
      <c r="A3" s="44" t="s">
        <v>1424</v>
      </c>
      <c r="B3" s="44"/>
      <c r="C3" s="44"/>
      <c r="D3" s="44"/>
      <c r="E3" s="44"/>
      <c r="F3" s="44"/>
      <c r="G3" s="44"/>
    </row>
    <row r="5" spans="1:7" x14ac:dyDescent="0.3">
      <c r="A5" s="1" t="s">
        <v>1</v>
      </c>
      <c r="B5" s="7" t="str">
        <f>FONTE&amp;FOLHA</f>
        <v>SINAPI PI 07/2025, SEINFRA CE 28, ORSE SE 06/2025, CAESB 10/2024SEM DESONERAÇÃO</v>
      </c>
      <c r="C5" s="3"/>
      <c r="D5" s="1" t="s">
        <v>7</v>
      </c>
      <c r="E5" s="8">
        <f>LEI</f>
        <v>113.33</v>
      </c>
      <c r="F5" s="1" t="s">
        <v>16</v>
      </c>
      <c r="G5" s="8">
        <f>BDI</f>
        <v>22.33</v>
      </c>
    </row>
    <row r="6" spans="1:7" x14ac:dyDescent="0.3">
      <c r="A6" s="4" t="s">
        <v>170</v>
      </c>
      <c r="B6" s="4" t="s">
        <v>171</v>
      </c>
      <c r="C6" s="4" t="s">
        <v>18</v>
      </c>
      <c r="D6" s="4" t="s">
        <v>172</v>
      </c>
      <c r="E6" s="4" t="s">
        <v>1425</v>
      </c>
      <c r="F6" s="4" t="s">
        <v>1426</v>
      </c>
      <c r="G6" s="4" t="s">
        <v>1427</v>
      </c>
    </row>
    <row r="7" spans="1:7" ht="28.8" x14ac:dyDescent="0.3">
      <c r="A7" s="23" t="s">
        <v>577</v>
      </c>
      <c r="B7" s="23" t="s">
        <v>1428</v>
      </c>
      <c r="C7" s="24" t="s">
        <v>1429</v>
      </c>
      <c r="D7" s="23" t="s">
        <v>1430</v>
      </c>
      <c r="E7" s="5">
        <f t="shared" ref="E7:E38" si="0">IF(FOLHA="COM DESONERAÇÃO",F7,G7)</f>
        <v>0</v>
      </c>
      <c r="F7" s="5">
        <v>0</v>
      </c>
      <c r="G7" s="5">
        <v>0</v>
      </c>
    </row>
    <row r="8" spans="1:7" x14ac:dyDescent="0.3">
      <c r="A8" s="23" t="s">
        <v>515</v>
      </c>
      <c r="B8" s="23" t="s">
        <v>1428</v>
      </c>
      <c r="C8" s="24" t="s">
        <v>1431</v>
      </c>
      <c r="D8" s="23" t="s">
        <v>1432</v>
      </c>
      <c r="E8" s="5">
        <f t="shared" si="0"/>
        <v>0</v>
      </c>
      <c r="F8" s="5">
        <v>0</v>
      </c>
      <c r="G8" s="5">
        <v>0</v>
      </c>
    </row>
    <row r="9" spans="1:7" x14ac:dyDescent="0.3">
      <c r="A9" s="23">
        <v>88238</v>
      </c>
      <c r="B9" s="23" t="s">
        <v>1433</v>
      </c>
      <c r="C9" s="24" t="s">
        <v>1434</v>
      </c>
      <c r="D9" s="23" t="s">
        <v>1366</v>
      </c>
      <c r="E9" s="5">
        <f t="shared" si="0"/>
        <v>22.37</v>
      </c>
      <c r="F9" s="5">
        <v>20.7</v>
      </c>
      <c r="G9" s="5">
        <v>22.37</v>
      </c>
    </row>
    <row r="10" spans="1:7" x14ac:dyDescent="0.3">
      <c r="A10" s="23">
        <v>88239</v>
      </c>
      <c r="B10" s="23" t="s">
        <v>1433</v>
      </c>
      <c r="C10" s="24" t="s">
        <v>1435</v>
      </c>
      <c r="D10" s="23" t="s">
        <v>1366</v>
      </c>
      <c r="E10" s="5">
        <f t="shared" si="0"/>
        <v>22.2</v>
      </c>
      <c r="F10" s="5">
        <v>20.52</v>
      </c>
      <c r="G10" s="5">
        <v>22.2</v>
      </c>
    </row>
    <row r="11" spans="1:7" x14ac:dyDescent="0.3">
      <c r="A11" s="23">
        <v>88242</v>
      </c>
      <c r="B11" s="23" t="s">
        <v>1433</v>
      </c>
      <c r="C11" s="24" t="s">
        <v>1436</v>
      </c>
      <c r="D11" s="23" t="s">
        <v>1366</v>
      </c>
      <c r="E11" s="5">
        <f t="shared" si="0"/>
        <v>22.42</v>
      </c>
      <c r="F11" s="5">
        <v>20.74</v>
      </c>
      <c r="G11" s="5">
        <v>22.42</v>
      </c>
    </row>
    <row r="12" spans="1:7" ht="43.2" x14ac:dyDescent="0.3">
      <c r="A12" s="23">
        <v>101161</v>
      </c>
      <c r="B12" s="23" t="s">
        <v>1433</v>
      </c>
      <c r="C12" s="24" t="s">
        <v>1437</v>
      </c>
      <c r="D12" s="23" t="s">
        <v>1253</v>
      </c>
      <c r="E12" s="5">
        <f t="shared" si="0"/>
        <v>204.37</v>
      </c>
      <c r="F12" s="5">
        <v>198.1</v>
      </c>
      <c r="G12" s="5">
        <v>204.37</v>
      </c>
    </row>
    <row r="13" spans="1:7" ht="43.2" x14ac:dyDescent="0.3">
      <c r="A13" s="23">
        <v>103335</v>
      </c>
      <c r="B13" s="23" t="s">
        <v>1433</v>
      </c>
      <c r="C13" s="24" t="s">
        <v>1438</v>
      </c>
      <c r="D13" s="23" t="s">
        <v>1253</v>
      </c>
      <c r="E13" s="5">
        <f t="shared" si="0"/>
        <v>146.44</v>
      </c>
      <c r="F13" s="5">
        <v>139.09</v>
      </c>
      <c r="G13" s="5">
        <v>146.44</v>
      </c>
    </row>
    <row r="14" spans="1:7" ht="43.2" x14ac:dyDescent="0.3">
      <c r="A14" s="23">
        <v>103329</v>
      </c>
      <c r="B14" s="23" t="s">
        <v>1433</v>
      </c>
      <c r="C14" s="24" t="s">
        <v>1439</v>
      </c>
      <c r="D14" s="23" t="s">
        <v>1253</v>
      </c>
      <c r="E14" s="5">
        <f t="shared" si="0"/>
        <v>95.04</v>
      </c>
      <c r="F14" s="5">
        <v>90.02</v>
      </c>
      <c r="G14" s="5">
        <v>95.04</v>
      </c>
    </row>
    <row r="15" spans="1:7" x14ac:dyDescent="0.3">
      <c r="A15" s="23" t="s">
        <v>547</v>
      </c>
      <c r="B15" s="23" t="s">
        <v>1428</v>
      </c>
      <c r="C15" s="24" t="s">
        <v>1440</v>
      </c>
      <c r="D15" s="23" t="s">
        <v>1214</v>
      </c>
      <c r="E15" s="5">
        <f t="shared" si="0"/>
        <v>0</v>
      </c>
      <c r="F15" s="5">
        <v>0</v>
      </c>
      <c r="G15" s="5">
        <v>0</v>
      </c>
    </row>
    <row r="16" spans="1:7" x14ac:dyDescent="0.3">
      <c r="A16" s="23" t="s">
        <v>1022</v>
      </c>
      <c r="B16" s="23" t="s">
        <v>1441</v>
      </c>
      <c r="C16" s="24" t="s">
        <v>1440</v>
      </c>
      <c r="D16" s="23" t="s">
        <v>1214</v>
      </c>
      <c r="E16" s="5">
        <f t="shared" si="0"/>
        <v>565.21</v>
      </c>
      <c r="F16" s="5">
        <v>565.21</v>
      </c>
      <c r="G16" s="5">
        <v>565.21</v>
      </c>
    </row>
    <row r="17" spans="1:7" ht="28.8" x14ac:dyDescent="0.3">
      <c r="A17" s="23" t="s">
        <v>627</v>
      </c>
      <c r="B17" s="23" t="s">
        <v>1428</v>
      </c>
      <c r="C17" s="24" t="s">
        <v>1442</v>
      </c>
      <c r="D17" s="23" t="s">
        <v>1227</v>
      </c>
      <c r="E17" s="5">
        <f t="shared" si="0"/>
        <v>0</v>
      </c>
      <c r="F17" s="5">
        <v>0</v>
      </c>
      <c r="G17" s="5">
        <v>0</v>
      </c>
    </row>
    <row r="18" spans="1:7" ht="28.8" x14ac:dyDescent="0.3">
      <c r="A18" s="23" t="s">
        <v>640</v>
      </c>
      <c r="B18" s="23" t="s">
        <v>1428</v>
      </c>
      <c r="C18" s="24" t="s">
        <v>1443</v>
      </c>
      <c r="D18" s="23" t="s">
        <v>1227</v>
      </c>
      <c r="E18" s="5">
        <f t="shared" si="0"/>
        <v>0</v>
      </c>
      <c r="F18" s="5">
        <v>0</v>
      </c>
      <c r="G18" s="5">
        <v>0</v>
      </c>
    </row>
    <row r="19" spans="1:7" x14ac:dyDescent="0.3">
      <c r="A19" s="23" t="s">
        <v>558</v>
      </c>
      <c r="B19" s="23" t="s">
        <v>1428</v>
      </c>
      <c r="C19" s="24" t="s">
        <v>1444</v>
      </c>
      <c r="D19" s="23" t="s">
        <v>1243</v>
      </c>
      <c r="E19" s="5">
        <f t="shared" si="0"/>
        <v>0</v>
      </c>
      <c r="F19" s="5">
        <v>0</v>
      </c>
      <c r="G19" s="5">
        <v>0</v>
      </c>
    </row>
    <row r="20" spans="1:7" ht="28.8" x14ac:dyDescent="0.3">
      <c r="A20" s="23">
        <v>88627</v>
      </c>
      <c r="B20" s="23" t="s">
        <v>1433</v>
      </c>
      <c r="C20" s="24" t="s">
        <v>1445</v>
      </c>
      <c r="D20" s="23" t="s">
        <v>1231</v>
      </c>
      <c r="E20" s="5">
        <f t="shared" si="0"/>
        <v>726.26</v>
      </c>
      <c r="F20" s="5">
        <v>712.12</v>
      </c>
      <c r="G20" s="5">
        <v>726.26</v>
      </c>
    </row>
    <row r="21" spans="1:7" ht="43.2" x14ac:dyDescent="0.3">
      <c r="A21" s="23">
        <v>87369</v>
      </c>
      <c r="B21" s="23" t="s">
        <v>1433</v>
      </c>
      <c r="C21" s="24" t="s">
        <v>1446</v>
      </c>
      <c r="D21" s="23" t="s">
        <v>1231</v>
      </c>
      <c r="E21" s="5">
        <f t="shared" si="0"/>
        <v>750.01</v>
      </c>
      <c r="F21" s="5">
        <v>732.14</v>
      </c>
      <c r="G21" s="5">
        <v>750.01</v>
      </c>
    </row>
    <row r="22" spans="1:7" ht="28.8" x14ac:dyDescent="0.3">
      <c r="A22" s="23">
        <v>87377</v>
      </c>
      <c r="B22" s="23" t="s">
        <v>1433</v>
      </c>
      <c r="C22" s="24" t="s">
        <v>1447</v>
      </c>
      <c r="D22" s="23" t="s">
        <v>1231</v>
      </c>
      <c r="E22" s="5">
        <f t="shared" si="0"/>
        <v>747.56</v>
      </c>
      <c r="F22" s="5">
        <v>729.82</v>
      </c>
      <c r="G22" s="5">
        <v>747.56</v>
      </c>
    </row>
    <row r="23" spans="1:7" ht="28.8" x14ac:dyDescent="0.3">
      <c r="A23" s="23">
        <v>87298</v>
      </c>
      <c r="B23" s="23" t="s">
        <v>1433</v>
      </c>
      <c r="C23" s="24" t="s">
        <v>1448</v>
      </c>
      <c r="D23" s="23" t="s">
        <v>1231</v>
      </c>
      <c r="E23" s="5">
        <f t="shared" si="0"/>
        <v>811.66</v>
      </c>
      <c r="F23" s="5">
        <v>801.45</v>
      </c>
      <c r="G23" s="5">
        <v>811.66</v>
      </c>
    </row>
    <row r="24" spans="1:7" ht="28.8" x14ac:dyDescent="0.3">
      <c r="A24" s="23">
        <v>88629</v>
      </c>
      <c r="B24" s="23" t="s">
        <v>1433</v>
      </c>
      <c r="C24" s="24" t="s">
        <v>1449</v>
      </c>
      <c r="D24" s="23" t="s">
        <v>1231</v>
      </c>
      <c r="E24" s="5">
        <f t="shared" si="0"/>
        <v>765.31</v>
      </c>
      <c r="F24" s="5">
        <v>751.51</v>
      </c>
      <c r="G24" s="5">
        <v>765.31</v>
      </c>
    </row>
    <row r="25" spans="1:7" ht="28.8" x14ac:dyDescent="0.3">
      <c r="A25" s="23">
        <v>88628</v>
      </c>
      <c r="B25" s="23" t="s">
        <v>1433</v>
      </c>
      <c r="C25" s="24" t="s">
        <v>1450</v>
      </c>
      <c r="D25" s="23" t="s">
        <v>1231</v>
      </c>
      <c r="E25" s="5">
        <f t="shared" si="0"/>
        <v>675.76</v>
      </c>
      <c r="F25" s="5">
        <v>667.86</v>
      </c>
      <c r="G25" s="5">
        <v>675.76</v>
      </c>
    </row>
    <row r="26" spans="1:7" ht="28.8" x14ac:dyDescent="0.3">
      <c r="A26" s="23">
        <v>100489</v>
      </c>
      <c r="B26" s="23" t="s">
        <v>1433</v>
      </c>
      <c r="C26" s="24" t="s">
        <v>1451</v>
      </c>
      <c r="D26" s="23" t="s">
        <v>1231</v>
      </c>
      <c r="E26" s="5">
        <f t="shared" si="0"/>
        <v>669.96</v>
      </c>
      <c r="F26" s="5">
        <v>663.12</v>
      </c>
      <c r="G26" s="5">
        <v>669.96</v>
      </c>
    </row>
    <row r="27" spans="1:7" x14ac:dyDescent="0.3">
      <c r="A27" s="23">
        <v>88245</v>
      </c>
      <c r="B27" s="23" t="s">
        <v>1433</v>
      </c>
      <c r="C27" s="24" t="s">
        <v>1452</v>
      </c>
      <c r="D27" s="23" t="s">
        <v>1366</v>
      </c>
      <c r="E27" s="5">
        <f t="shared" si="0"/>
        <v>27.19</v>
      </c>
      <c r="F27" s="5">
        <v>24.99</v>
      </c>
      <c r="G27" s="5">
        <v>27.19</v>
      </c>
    </row>
    <row r="28" spans="1:7" x14ac:dyDescent="0.3">
      <c r="A28" s="23">
        <v>96546</v>
      </c>
      <c r="B28" s="23" t="s">
        <v>1433</v>
      </c>
      <c r="C28" s="24" t="s">
        <v>1453</v>
      </c>
      <c r="D28" s="23" t="s">
        <v>1216</v>
      </c>
      <c r="E28" s="5">
        <f t="shared" si="0"/>
        <v>14.15</v>
      </c>
      <c r="F28" s="5">
        <v>13.79</v>
      </c>
      <c r="G28" s="5">
        <v>14.15</v>
      </c>
    </row>
    <row r="29" spans="1:7" x14ac:dyDescent="0.3">
      <c r="A29" s="23">
        <v>96544</v>
      </c>
      <c r="B29" s="23" t="s">
        <v>1433</v>
      </c>
      <c r="C29" s="24" t="s">
        <v>1454</v>
      </c>
      <c r="D29" s="23" t="s">
        <v>1216</v>
      </c>
      <c r="E29" s="5">
        <f t="shared" si="0"/>
        <v>17.93</v>
      </c>
      <c r="F29" s="5">
        <v>17.3</v>
      </c>
      <c r="G29" s="5">
        <v>17.93</v>
      </c>
    </row>
    <row r="30" spans="1:7" x14ac:dyDescent="0.3">
      <c r="A30" s="23">
        <v>96545</v>
      </c>
      <c r="B30" s="23" t="s">
        <v>1433</v>
      </c>
      <c r="C30" s="24" t="s">
        <v>1455</v>
      </c>
      <c r="D30" s="23" t="s">
        <v>1216</v>
      </c>
      <c r="E30" s="5">
        <f t="shared" si="0"/>
        <v>16.170000000000002</v>
      </c>
      <c r="F30" s="5">
        <v>15.7</v>
      </c>
      <c r="G30" s="5">
        <v>16.170000000000002</v>
      </c>
    </row>
    <row r="31" spans="1:7" x14ac:dyDescent="0.3">
      <c r="A31" s="23">
        <v>96543</v>
      </c>
      <c r="B31" s="23" t="s">
        <v>1433</v>
      </c>
      <c r="C31" s="24" t="s">
        <v>1456</v>
      </c>
      <c r="D31" s="23" t="s">
        <v>1216</v>
      </c>
      <c r="E31" s="5">
        <f t="shared" si="0"/>
        <v>19.899999999999999</v>
      </c>
      <c r="F31" s="5">
        <v>19.04</v>
      </c>
      <c r="G31" s="5">
        <v>19.899999999999999</v>
      </c>
    </row>
    <row r="32" spans="1:7" ht="28.8" x14ac:dyDescent="0.3">
      <c r="A32" s="23">
        <v>104920</v>
      </c>
      <c r="B32" s="23" t="s">
        <v>1433</v>
      </c>
      <c r="C32" s="24" t="s">
        <v>1457</v>
      </c>
      <c r="D32" s="23" t="s">
        <v>1216</v>
      </c>
      <c r="E32" s="5">
        <f t="shared" si="0"/>
        <v>10.93</v>
      </c>
      <c r="F32" s="5">
        <v>10.72</v>
      </c>
      <c r="G32" s="5">
        <v>10.93</v>
      </c>
    </row>
    <row r="33" spans="1:7" ht="28.8" x14ac:dyDescent="0.3">
      <c r="A33" s="23">
        <v>92762</v>
      </c>
      <c r="B33" s="23" t="s">
        <v>1433</v>
      </c>
      <c r="C33" s="24" t="s">
        <v>1458</v>
      </c>
      <c r="D33" s="23" t="s">
        <v>1216</v>
      </c>
      <c r="E33" s="5">
        <f t="shared" si="0"/>
        <v>11.23</v>
      </c>
      <c r="F33" s="5">
        <v>11.1</v>
      </c>
      <c r="G33" s="5">
        <v>11.23</v>
      </c>
    </row>
    <row r="34" spans="1:7" ht="28.8" x14ac:dyDescent="0.3">
      <c r="A34" s="23">
        <v>92763</v>
      </c>
      <c r="B34" s="23" t="s">
        <v>1433</v>
      </c>
      <c r="C34" s="24" t="s">
        <v>1459</v>
      </c>
      <c r="D34" s="23" t="s">
        <v>1216</v>
      </c>
      <c r="E34" s="5">
        <f t="shared" si="0"/>
        <v>9.44</v>
      </c>
      <c r="F34" s="5">
        <v>9.36</v>
      </c>
      <c r="G34" s="5">
        <v>9.44</v>
      </c>
    </row>
    <row r="35" spans="1:7" ht="28.8" x14ac:dyDescent="0.3">
      <c r="A35" s="23">
        <v>92764</v>
      </c>
      <c r="B35" s="23" t="s">
        <v>1433</v>
      </c>
      <c r="C35" s="24" t="s">
        <v>1460</v>
      </c>
      <c r="D35" s="23" t="s">
        <v>1216</v>
      </c>
      <c r="E35" s="5">
        <f t="shared" si="0"/>
        <v>9.1300000000000008</v>
      </c>
      <c r="F35" s="5">
        <v>9.08</v>
      </c>
      <c r="G35" s="5">
        <v>9.1300000000000008</v>
      </c>
    </row>
    <row r="36" spans="1:7" ht="28.8" x14ac:dyDescent="0.3">
      <c r="A36" s="23">
        <v>92765</v>
      </c>
      <c r="B36" s="23" t="s">
        <v>1433</v>
      </c>
      <c r="C36" s="24" t="s">
        <v>1461</v>
      </c>
      <c r="D36" s="23" t="s">
        <v>1216</v>
      </c>
      <c r="E36" s="5">
        <f t="shared" si="0"/>
        <v>10.4</v>
      </c>
      <c r="F36" s="5">
        <v>10.36</v>
      </c>
      <c r="G36" s="5">
        <v>10.4</v>
      </c>
    </row>
    <row r="37" spans="1:7" ht="28.8" x14ac:dyDescent="0.3">
      <c r="A37" s="23">
        <v>92760</v>
      </c>
      <c r="B37" s="23" t="s">
        <v>1433</v>
      </c>
      <c r="C37" s="24" t="s">
        <v>1462</v>
      </c>
      <c r="D37" s="23" t="s">
        <v>1216</v>
      </c>
      <c r="E37" s="5">
        <f t="shared" si="0"/>
        <v>13.39</v>
      </c>
      <c r="F37" s="5">
        <v>13.12</v>
      </c>
      <c r="G37" s="5">
        <v>13.39</v>
      </c>
    </row>
    <row r="38" spans="1:7" ht="28.8" x14ac:dyDescent="0.3">
      <c r="A38" s="23">
        <v>92761</v>
      </c>
      <c r="B38" s="23" t="s">
        <v>1433</v>
      </c>
      <c r="C38" s="24" t="s">
        <v>1463</v>
      </c>
      <c r="D38" s="23" t="s">
        <v>1216</v>
      </c>
      <c r="E38" s="5">
        <f t="shared" si="0"/>
        <v>12.58</v>
      </c>
      <c r="F38" s="5">
        <v>12.41</v>
      </c>
      <c r="G38" s="5">
        <v>12.58</v>
      </c>
    </row>
    <row r="39" spans="1:7" ht="28.8" x14ac:dyDescent="0.3">
      <c r="A39" s="23">
        <v>92759</v>
      </c>
      <c r="B39" s="23" t="s">
        <v>1433</v>
      </c>
      <c r="C39" s="24" t="s">
        <v>1464</v>
      </c>
      <c r="D39" s="23" t="s">
        <v>1216</v>
      </c>
      <c r="E39" s="5">
        <f t="shared" ref="E39:E70" si="1">IF(FOLHA="COM DESONERAÇÃO",F39,G39)</f>
        <v>14.19</v>
      </c>
      <c r="F39" s="5">
        <v>13.79</v>
      </c>
      <c r="G39" s="5">
        <v>14.19</v>
      </c>
    </row>
    <row r="40" spans="1:7" x14ac:dyDescent="0.3">
      <c r="A40" s="23">
        <v>88246</v>
      </c>
      <c r="B40" s="23" t="s">
        <v>1433</v>
      </c>
      <c r="C40" s="24" t="s">
        <v>1465</v>
      </c>
      <c r="D40" s="23" t="s">
        <v>1366</v>
      </c>
      <c r="E40" s="5">
        <f t="shared" si="1"/>
        <v>19.63</v>
      </c>
      <c r="F40" s="5">
        <v>18.12</v>
      </c>
      <c r="G40" s="5">
        <v>19.63</v>
      </c>
    </row>
    <row r="41" spans="1:7" x14ac:dyDescent="0.3">
      <c r="A41" s="23">
        <v>88247</v>
      </c>
      <c r="B41" s="23" t="s">
        <v>1433</v>
      </c>
      <c r="C41" s="24" t="s">
        <v>1466</v>
      </c>
      <c r="D41" s="23" t="s">
        <v>1366</v>
      </c>
      <c r="E41" s="5">
        <f t="shared" si="1"/>
        <v>22.81</v>
      </c>
      <c r="F41" s="5">
        <v>21.08</v>
      </c>
      <c r="G41" s="5">
        <v>22.81</v>
      </c>
    </row>
    <row r="42" spans="1:7" ht="28.8" x14ac:dyDescent="0.3">
      <c r="A42" s="23">
        <v>88248</v>
      </c>
      <c r="B42" s="23" t="s">
        <v>1433</v>
      </c>
      <c r="C42" s="24" t="s">
        <v>1467</v>
      </c>
      <c r="D42" s="23" t="s">
        <v>1366</v>
      </c>
      <c r="E42" s="5">
        <f t="shared" si="1"/>
        <v>21.82</v>
      </c>
      <c r="F42" s="5">
        <v>20.14</v>
      </c>
      <c r="G42" s="5">
        <v>21.82</v>
      </c>
    </row>
    <row r="43" spans="1:7" x14ac:dyDescent="0.3">
      <c r="A43" s="23">
        <v>90772</v>
      </c>
      <c r="B43" s="23" t="s">
        <v>1433</v>
      </c>
      <c r="C43" s="24" t="s">
        <v>1468</v>
      </c>
      <c r="D43" s="23" t="s">
        <v>1366</v>
      </c>
      <c r="E43" s="5">
        <f t="shared" si="1"/>
        <v>21.54</v>
      </c>
      <c r="F43" s="5">
        <v>19.5</v>
      </c>
      <c r="G43" s="5">
        <v>21.54</v>
      </c>
    </row>
    <row r="44" spans="1:7" x14ac:dyDescent="0.3">
      <c r="A44" s="23">
        <v>88250</v>
      </c>
      <c r="B44" s="23" t="s">
        <v>1433</v>
      </c>
      <c r="C44" s="24" t="s">
        <v>1469</v>
      </c>
      <c r="D44" s="23" t="s">
        <v>1366</v>
      </c>
      <c r="E44" s="5">
        <f t="shared" si="1"/>
        <v>21.18</v>
      </c>
      <c r="F44" s="5">
        <v>19.510000000000002</v>
      </c>
      <c r="G44" s="5">
        <v>21.18</v>
      </c>
    </row>
    <row r="45" spans="1:7" x14ac:dyDescent="0.3">
      <c r="A45" s="23">
        <v>88255</v>
      </c>
      <c r="B45" s="23" t="s">
        <v>1433</v>
      </c>
      <c r="C45" s="24" t="s">
        <v>1470</v>
      </c>
      <c r="D45" s="23" t="s">
        <v>1366</v>
      </c>
      <c r="E45" s="5">
        <f t="shared" si="1"/>
        <v>26.54</v>
      </c>
      <c r="F45" s="5">
        <v>23.96</v>
      </c>
      <c r="G45" s="5">
        <v>26.54</v>
      </c>
    </row>
    <row r="46" spans="1:7" x14ac:dyDescent="0.3">
      <c r="A46" s="23" t="s">
        <v>556</v>
      </c>
      <c r="B46" s="23" t="s">
        <v>1428</v>
      </c>
      <c r="C46" s="24" t="s">
        <v>1471</v>
      </c>
      <c r="D46" s="23" t="s">
        <v>1214</v>
      </c>
      <c r="E46" s="5">
        <f t="shared" si="1"/>
        <v>0</v>
      </c>
      <c r="F46" s="5">
        <v>0</v>
      </c>
      <c r="G46" s="5">
        <v>0</v>
      </c>
    </row>
    <row r="47" spans="1:7" ht="28.8" x14ac:dyDescent="0.3">
      <c r="A47" s="23">
        <v>88831</v>
      </c>
      <c r="B47" s="23" t="s">
        <v>1433</v>
      </c>
      <c r="C47" s="24" t="s">
        <v>1472</v>
      </c>
      <c r="D47" s="23" t="s">
        <v>1473</v>
      </c>
      <c r="E47" s="5">
        <f t="shared" si="1"/>
        <v>0.49</v>
      </c>
      <c r="F47" s="5">
        <v>0.49</v>
      </c>
      <c r="G47" s="5">
        <v>0.49</v>
      </c>
    </row>
    <row r="48" spans="1:7" ht="28.8" x14ac:dyDescent="0.3">
      <c r="A48" s="23">
        <v>88830</v>
      </c>
      <c r="B48" s="23" t="s">
        <v>1433</v>
      </c>
      <c r="C48" s="24" t="s">
        <v>1474</v>
      </c>
      <c r="D48" s="23" t="s">
        <v>1475</v>
      </c>
      <c r="E48" s="5">
        <f t="shared" si="1"/>
        <v>2.2999999999999998</v>
      </c>
      <c r="F48" s="5">
        <v>2.2999999999999998</v>
      </c>
      <c r="G48" s="5">
        <v>2.2999999999999998</v>
      </c>
    </row>
    <row r="49" spans="1:7" ht="43.2" x14ac:dyDescent="0.3">
      <c r="A49" s="23">
        <v>88826</v>
      </c>
      <c r="B49" s="23" t="s">
        <v>1433</v>
      </c>
      <c r="C49" s="24" t="s">
        <v>1476</v>
      </c>
      <c r="D49" s="23" t="s">
        <v>1366</v>
      </c>
      <c r="E49" s="5">
        <f t="shared" si="1"/>
        <v>0.4</v>
      </c>
      <c r="F49" s="5">
        <v>0.4</v>
      </c>
      <c r="G49" s="5">
        <v>0.4</v>
      </c>
    </row>
    <row r="50" spans="1:7" ht="28.8" x14ac:dyDescent="0.3">
      <c r="A50" s="23">
        <v>88827</v>
      </c>
      <c r="B50" s="23" t="s">
        <v>1433</v>
      </c>
      <c r="C50" s="24" t="s">
        <v>1477</v>
      </c>
      <c r="D50" s="23" t="s">
        <v>1366</v>
      </c>
      <c r="E50" s="5">
        <f t="shared" si="1"/>
        <v>0.09</v>
      </c>
      <c r="F50" s="5">
        <v>0.09</v>
      </c>
      <c r="G50" s="5">
        <v>0.09</v>
      </c>
    </row>
    <row r="51" spans="1:7" ht="43.2" x14ac:dyDescent="0.3">
      <c r="A51" s="23">
        <v>88828</v>
      </c>
      <c r="B51" s="23" t="s">
        <v>1433</v>
      </c>
      <c r="C51" s="24" t="s">
        <v>1478</v>
      </c>
      <c r="D51" s="23" t="s">
        <v>1366</v>
      </c>
      <c r="E51" s="5">
        <f t="shared" si="1"/>
        <v>0.44</v>
      </c>
      <c r="F51" s="5">
        <v>0.44</v>
      </c>
      <c r="G51" s="5">
        <v>0.44</v>
      </c>
    </row>
    <row r="52" spans="1:7" ht="43.2" x14ac:dyDescent="0.3">
      <c r="A52" s="23">
        <v>88829</v>
      </c>
      <c r="B52" s="23" t="s">
        <v>1433</v>
      </c>
      <c r="C52" s="24" t="s">
        <v>1479</v>
      </c>
      <c r="D52" s="23" t="s">
        <v>1366</v>
      </c>
      <c r="E52" s="5">
        <f t="shared" si="1"/>
        <v>1.37</v>
      </c>
      <c r="F52" s="5">
        <v>1.37</v>
      </c>
      <c r="G52" s="5">
        <v>1.37</v>
      </c>
    </row>
    <row r="53" spans="1:7" ht="28.8" x14ac:dyDescent="0.3">
      <c r="A53" s="23">
        <v>89226</v>
      </c>
      <c r="B53" s="23" t="s">
        <v>1433</v>
      </c>
      <c r="C53" s="24" t="s">
        <v>1480</v>
      </c>
      <c r="D53" s="23" t="s">
        <v>1473</v>
      </c>
      <c r="E53" s="5">
        <f t="shared" si="1"/>
        <v>2.04</v>
      </c>
      <c r="F53" s="5">
        <v>2.04</v>
      </c>
      <c r="G53" s="5">
        <v>2.04</v>
      </c>
    </row>
    <row r="54" spans="1:7" ht="28.8" x14ac:dyDescent="0.3">
      <c r="A54" s="23">
        <v>89225</v>
      </c>
      <c r="B54" s="23" t="s">
        <v>1433</v>
      </c>
      <c r="C54" s="24" t="s">
        <v>1481</v>
      </c>
      <c r="D54" s="23" t="s">
        <v>1475</v>
      </c>
      <c r="E54" s="5">
        <f t="shared" si="1"/>
        <v>6.6</v>
      </c>
      <c r="F54" s="5">
        <v>6.6</v>
      </c>
      <c r="G54" s="5">
        <v>6.6</v>
      </c>
    </row>
    <row r="55" spans="1:7" ht="43.2" x14ac:dyDescent="0.3">
      <c r="A55" s="23">
        <v>89221</v>
      </c>
      <c r="B55" s="23" t="s">
        <v>1433</v>
      </c>
      <c r="C55" s="24" t="s">
        <v>1482</v>
      </c>
      <c r="D55" s="23" t="s">
        <v>1366</v>
      </c>
      <c r="E55" s="5">
        <f t="shared" si="1"/>
        <v>1.66</v>
      </c>
      <c r="F55" s="5">
        <v>1.66</v>
      </c>
      <c r="G55" s="5">
        <v>1.66</v>
      </c>
    </row>
    <row r="56" spans="1:7" ht="28.8" x14ac:dyDescent="0.3">
      <c r="A56" s="23">
        <v>89222</v>
      </c>
      <c r="B56" s="23" t="s">
        <v>1433</v>
      </c>
      <c r="C56" s="24" t="s">
        <v>1483</v>
      </c>
      <c r="D56" s="23" t="s">
        <v>1366</v>
      </c>
      <c r="E56" s="5">
        <f t="shared" si="1"/>
        <v>0.38</v>
      </c>
      <c r="F56" s="5">
        <v>0.38</v>
      </c>
      <c r="G56" s="5">
        <v>0.38</v>
      </c>
    </row>
    <row r="57" spans="1:7" ht="43.2" x14ac:dyDescent="0.3">
      <c r="A57" s="23">
        <v>89223</v>
      </c>
      <c r="B57" s="23" t="s">
        <v>1433</v>
      </c>
      <c r="C57" s="24" t="s">
        <v>1484</v>
      </c>
      <c r="D57" s="23" t="s">
        <v>1366</v>
      </c>
      <c r="E57" s="5">
        <f t="shared" si="1"/>
        <v>1.81</v>
      </c>
      <c r="F57" s="5">
        <v>1.81</v>
      </c>
      <c r="G57" s="5">
        <v>1.81</v>
      </c>
    </row>
    <row r="58" spans="1:7" ht="43.2" x14ac:dyDescent="0.3">
      <c r="A58" s="23">
        <v>89224</v>
      </c>
      <c r="B58" s="23" t="s">
        <v>1433</v>
      </c>
      <c r="C58" s="24" t="s">
        <v>1485</v>
      </c>
      <c r="D58" s="23" t="s">
        <v>1366</v>
      </c>
      <c r="E58" s="5">
        <f t="shared" si="1"/>
        <v>2.75</v>
      </c>
      <c r="F58" s="5">
        <v>2.75</v>
      </c>
      <c r="G58" s="5">
        <v>2.75</v>
      </c>
    </row>
    <row r="59" spans="1:7" x14ac:dyDescent="0.3">
      <c r="A59" s="23" t="s">
        <v>623</v>
      </c>
      <c r="B59" s="23" t="s">
        <v>1428</v>
      </c>
      <c r="C59" s="24" t="s">
        <v>1486</v>
      </c>
      <c r="D59" s="23" t="s">
        <v>1231</v>
      </c>
      <c r="E59" s="5">
        <f t="shared" si="1"/>
        <v>0</v>
      </c>
      <c r="F59" s="5">
        <v>0</v>
      </c>
      <c r="G59" s="5">
        <v>0</v>
      </c>
    </row>
    <row r="60" spans="1:7" x14ac:dyDescent="0.3">
      <c r="A60" s="23" t="s">
        <v>606</v>
      </c>
      <c r="B60" s="23" t="s">
        <v>1428</v>
      </c>
      <c r="C60" s="24" t="s">
        <v>1487</v>
      </c>
      <c r="D60" s="23" t="s">
        <v>1253</v>
      </c>
      <c r="E60" s="5">
        <f t="shared" si="1"/>
        <v>0</v>
      </c>
      <c r="F60" s="5">
        <v>0</v>
      </c>
      <c r="G60" s="5">
        <v>0</v>
      </c>
    </row>
    <row r="61" spans="1:7" x14ac:dyDescent="0.3">
      <c r="A61" s="23">
        <v>88262</v>
      </c>
      <c r="B61" s="23" t="s">
        <v>1433</v>
      </c>
      <c r="C61" s="24" t="s">
        <v>1488</v>
      </c>
      <c r="D61" s="23" t="s">
        <v>1366</v>
      </c>
      <c r="E61" s="5">
        <f t="shared" si="1"/>
        <v>26.97</v>
      </c>
      <c r="F61" s="5">
        <v>24.77</v>
      </c>
      <c r="G61" s="5">
        <v>26.97</v>
      </c>
    </row>
    <row r="62" spans="1:7" ht="43.2" x14ac:dyDescent="0.3">
      <c r="A62" s="23">
        <v>101197</v>
      </c>
      <c r="B62" s="23" t="s">
        <v>1433</v>
      </c>
      <c r="C62" s="24" t="s">
        <v>1489</v>
      </c>
      <c r="D62" s="23" t="s">
        <v>1227</v>
      </c>
      <c r="E62" s="5">
        <f t="shared" si="1"/>
        <v>130.54</v>
      </c>
      <c r="F62" s="5">
        <v>126.63</v>
      </c>
      <c r="G62" s="5">
        <v>130.54</v>
      </c>
    </row>
    <row r="63" spans="1:7" ht="43.2" x14ac:dyDescent="0.3">
      <c r="A63" s="23">
        <v>87904</v>
      </c>
      <c r="B63" s="23" t="s">
        <v>1433</v>
      </c>
      <c r="C63" s="24" t="s">
        <v>1490</v>
      </c>
      <c r="D63" s="23" t="s">
        <v>1253</v>
      </c>
      <c r="E63" s="5">
        <f t="shared" si="1"/>
        <v>8.7200000000000006</v>
      </c>
      <c r="F63" s="5">
        <v>8.18</v>
      </c>
      <c r="G63" s="5">
        <v>8.7200000000000006</v>
      </c>
    </row>
    <row r="64" spans="1:7" x14ac:dyDescent="0.3">
      <c r="A64" s="23" t="s">
        <v>535</v>
      </c>
      <c r="B64" s="23" t="s">
        <v>1428</v>
      </c>
      <c r="C64" s="24" t="s">
        <v>1491</v>
      </c>
      <c r="D64" s="23" t="s">
        <v>1227</v>
      </c>
      <c r="E64" s="5">
        <f t="shared" si="1"/>
        <v>0</v>
      </c>
      <c r="F64" s="5">
        <v>0</v>
      </c>
      <c r="G64" s="5">
        <v>0</v>
      </c>
    </row>
    <row r="65" spans="1:7" x14ac:dyDescent="0.3">
      <c r="A65" s="23" t="s">
        <v>574</v>
      </c>
      <c r="B65" s="23" t="s">
        <v>1428</v>
      </c>
      <c r="C65" s="24" t="s">
        <v>1492</v>
      </c>
      <c r="D65" s="23" t="s">
        <v>1227</v>
      </c>
      <c r="E65" s="5">
        <f t="shared" si="1"/>
        <v>0</v>
      </c>
      <c r="F65" s="5">
        <v>0</v>
      </c>
      <c r="G65" s="5">
        <v>0</v>
      </c>
    </row>
    <row r="66" spans="1:7" ht="28.8" x14ac:dyDescent="0.3">
      <c r="A66" s="23">
        <v>103672</v>
      </c>
      <c r="B66" s="23" t="s">
        <v>1433</v>
      </c>
      <c r="C66" s="24" t="s">
        <v>1493</v>
      </c>
      <c r="D66" s="23" t="s">
        <v>1231</v>
      </c>
      <c r="E66" s="5">
        <f t="shared" si="1"/>
        <v>692.69</v>
      </c>
      <c r="F66" s="5">
        <v>689.53</v>
      </c>
      <c r="G66" s="5">
        <v>692.69</v>
      </c>
    </row>
    <row r="67" spans="1:7" ht="28.8" x14ac:dyDescent="0.3">
      <c r="A67" s="23">
        <v>102487</v>
      </c>
      <c r="B67" s="23" t="s">
        <v>1433</v>
      </c>
      <c r="C67" s="24" t="s">
        <v>1494</v>
      </c>
      <c r="D67" s="23" t="s">
        <v>1231</v>
      </c>
      <c r="E67" s="5">
        <f t="shared" si="1"/>
        <v>748.75</v>
      </c>
      <c r="F67" s="5">
        <v>728.88</v>
      </c>
      <c r="G67" s="5">
        <v>748.75</v>
      </c>
    </row>
    <row r="68" spans="1:7" ht="28.8" x14ac:dyDescent="0.3">
      <c r="A68" s="23">
        <v>94963</v>
      </c>
      <c r="B68" s="23" t="s">
        <v>1433</v>
      </c>
      <c r="C68" s="24" t="s">
        <v>1495</v>
      </c>
      <c r="D68" s="23" t="s">
        <v>1231</v>
      </c>
      <c r="E68" s="5">
        <f t="shared" si="1"/>
        <v>573.72</v>
      </c>
      <c r="F68" s="5">
        <v>566.58000000000004</v>
      </c>
      <c r="G68" s="5">
        <v>573.72</v>
      </c>
    </row>
    <row r="69" spans="1:7" ht="28.8" x14ac:dyDescent="0.3">
      <c r="A69" s="23">
        <v>94964</v>
      </c>
      <c r="B69" s="23" t="s">
        <v>1433</v>
      </c>
      <c r="C69" s="24" t="s">
        <v>1496</v>
      </c>
      <c r="D69" s="23" t="s">
        <v>1231</v>
      </c>
      <c r="E69" s="5">
        <f t="shared" si="1"/>
        <v>629.44000000000005</v>
      </c>
      <c r="F69" s="5">
        <v>621.66</v>
      </c>
      <c r="G69" s="5">
        <v>629.44000000000005</v>
      </c>
    </row>
    <row r="70" spans="1:7" ht="28.8" x14ac:dyDescent="0.3">
      <c r="A70" s="23">
        <v>94970</v>
      </c>
      <c r="B70" s="23" t="s">
        <v>1433</v>
      </c>
      <c r="C70" s="24" t="s">
        <v>1497</v>
      </c>
      <c r="D70" s="23" t="s">
        <v>1231</v>
      </c>
      <c r="E70" s="5">
        <f t="shared" si="1"/>
        <v>616.46</v>
      </c>
      <c r="F70" s="5">
        <v>610.25</v>
      </c>
      <c r="G70" s="5">
        <v>616.46</v>
      </c>
    </row>
    <row r="71" spans="1:7" ht="28.8" x14ac:dyDescent="0.3">
      <c r="A71" s="23">
        <v>94974</v>
      </c>
      <c r="B71" s="23" t="s">
        <v>1433</v>
      </c>
      <c r="C71" s="24" t="s">
        <v>1498</v>
      </c>
      <c r="D71" s="23" t="s">
        <v>1231</v>
      </c>
      <c r="E71" s="5">
        <f t="shared" ref="E71:E102" si="2">IF(FOLHA="COM DESONERAÇÃO",F71,G71)</f>
        <v>572.28</v>
      </c>
      <c r="F71" s="5">
        <v>562.16</v>
      </c>
      <c r="G71" s="5">
        <v>572.28</v>
      </c>
    </row>
    <row r="72" spans="1:7" ht="28.8" x14ac:dyDescent="0.3">
      <c r="A72" s="23">
        <v>94962</v>
      </c>
      <c r="B72" s="23" t="s">
        <v>1433</v>
      </c>
      <c r="C72" s="24" t="s">
        <v>1499</v>
      </c>
      <c r="D72" s="23" t="s">
        <v>1231</v>
      </c>
      <c r="E72" s="5">
        <f t="shared" si="2"/>
        <v>515.14</v>
      </c>
      <c r="F72" s="5">
        <v>507.95</v>
      </c>
      <c r="G72" s="5">
        <v>515.14</v>
      </c>
    </row>
    <row r="73" spans="1:7" ht="28.8" x14ac:dyDescent="0.3">
      <c r="A73" s="23">
        <v>94968</v>
      </c>
      <c r="B73" s="23" t="s">
        <v>1433</v>
      </c>
      <c r="C73" s="24" t="s">
        <v>1500</v>
      </c>
      <c r="D73" s="23" t="s">
        <v>1231</v>
      </c>
      <c r="E73" s="5">
        <f t="shared" si="2"/>
        <v>512.51</v>
      </c>
      <c r="F73" s="5">
        <v>506.04</v>
      </c>
      <c r="G73" s="5">
        <v>512.51</v>
      </c>
    </row>
    <row r="74" spans="1:7" x14ac:dyDescent="0.3">
      <c r="A74" s="23" t="s">
        <v>1061</v>
      </c>
      <c r="B74" s="23" t="s">
        <v>1428</v>
      </c>
      <c r="C74" s="24" t="s">
        <v>1501</v>
      </c>
      <c r="D74" s="23" t="s">
        <v>1231</v>
      </c>
      <c r="E74" s="5">
        <f t="shared" si="2"/>
        <v>0</v>
      </c>
      <c r="F74" s="5">
        <v>0</v>
      </c>
      <c r="G74" s="5">
        <v>0</v>
      </c>
    </row>
    <row r="75" spans="1:7" x14ac:dyDescent="0.3">
      <c r="A75" s="23">
        <v>92803</v>
      </c>
      <c r="B75" s="23" t="s">
        <v>1433</v>
      </c>
      <c r="C75" s="24" t="s">
        <v>1502</v>
      </c>
      <c r="D75" s="23" t="s">
        <v>1216</v>
      </c>
      <c r="E75" s="5">
        <f t="shared" si="2"/>
        <v>9.3699999999999992</v>
      </c>
      <c r="F75" s="5">
        <v>9.34</v>
      </c>
      <c r="G75" s="5">
        <v>9.3699999999999992</v>
      </c>
    </row>
    <row r="76" spans="1:7" x14ac:dyDescent="0.3">
      <c r="A76" s="23">
        <v>92804</v>
      </c>
      <c r="B76" s="23" t="s">
        <v>1433</v>
      </c>
      <c r="C76" s="24" t="s">
        <v>1503</v>
      </c>
      <c r="D76" s="23" t="s">
        <v>1216</v>
      </c>
      <c r="E76" s="5">
        <f t="shared" si="2"/>
        <v>8.0299999999999994</v>
      </c>
      <c r="F76" s="5">
        <v>8.01</v>
      </c>
      <c r="G76" s="5">
        <v>8.0299999999999994</v>
      </c>
    </row>
    <row r="77" spans="1:7" x14ac:dyDescent="0.3">
      <c r="A77" s="23">
        <v>92805</v>
      </c>
      <c r="B77" s="23" t="s">
        <v>1433</v>
      </c>
      <c r="C77" s="24" t="s">
        <v>1504</v>
      </c>
      <c r="D77" s="23" t="s">
        <v>1216</v>
      </c>
      <c r="E77" s="5">
        <f t="shared" si="2"/>
        <v>7.95</v>
      </c>
      <c r="F77" s="5">
        <v>7.95</v>
      </c>
      <c r="G77" s="5">
        <v>7.95</v>
      </c>
    </row>
    <row r="78" spans="1:7" x14ac:dyDescent="0.3">
      <c r="A78" s="23">
        <v>92806</v>
      </c>
      <c r="B78" s="23" t="s">
        <v>1433</v>
      </c>
      <c r="C78" s="24" t="s">
        <v>1505</v>
      </c>
      <c r="D78" s="23" t="s">
        <v>1216</v>
      </c>
      <c r="E78" s="5">
        <f t="shared" si="2"/>
        <v>9.3699999999999992</v>
      </c>
      <c r="F78" s="5">
        <v>9.3699999999999992</v>
      </c>
      <c r="G78" s="5">
        <v>9.3699999999999992</v>
      </c>
    </row>
    <row r="79" spans="1:7" x14ac:dyDescent="0.3">
      <c r="A79" s="23">
        <v>92801</v>
      </c>
      <c r="B79" s="23" t="s">
        <v>1433</v>
      </c>
      <c r="C79" s="24" t="s">
        <v>1506</v>
      </c>
      <c r="D79" s="23" t="s">
        <v>1216</v>
      </c>
      <c r="E79" s="5">
        <f t="shared" si="2"/>
        <v>10.210000000000001</v>
      </c>
      <c r="F79" s="5">
        <v>10.130000000000001</v>
      </c>
      <c r="G79" s="5">
        <v>10.210000000000001</v>
      </c>
    </row>
    <row r="80" spans="1:7" x14ac:dyDescent="0.3">
      <c r="A80" s="23">
        <v>92802</v>
      </c>
      <c r="B80" s="23" t="s">
        <v>1433</v>
      </c>
      <c r="C80" s="24" t="s">
        <v>1507</v>
      </c>
      <c r="D80" s="23" t="s">
        <v>1216</v>
      </c>
      <c r="E80" s="5">
        <f t="shared" si="2"/>
        <v>10.15</v>
      </c>
      <c r="F80" s="5">
        <v>10.11</v>
      </c>
      <c r="G80" s="5">
        <v>10.15</v>
      </c>
    </row>
    <row r="81" spans="1:7" x14ac:dyDescent="0.3">
      <c r="A81" s="23">
        <v>92800</v>
      </c>
      <c r="B81" s="23" t="s">
        <v>1433</v>
      </c>
      <c r="C81" s="24" t="s">
        <v>1508</v>
      </c>
      <c r="D81" s="23" t="s">
        <v>1216</v>
      </c>
      <c r="E81" s="5">
        <f t="shared" si="2"/>
        <v>10.09</v>
      </c>
      <c r="F81" s="5">
        <v>9.9499999999999993</v>
      </c>
      <c r="G81" s="5">
        <v>10.09</v>
      </c>
    </row>
    <row r="82" spans="1:7" ht="28.8" x14ac:dyDescent="0.3">
      <c r="A82" s="23">
        <v>95308</v>
      </c>
      <c r="B82" s="23" t="s">
        <v>1433</v>
      </c>
      <c r="C82" s="24" t="s">
        <v>1509</v>
      </c>
      <c r="D82" s="23" t="s">
        <v>1366</v>
      </c>
      <c r="E82" s="5">
        <f t="shared" si="2"/>
        <v>0.17</v>
      </c>
      <c r="F82" s="5">
        <v>0.16</v>
      </c>
      <c r="G82" s="5">
        <v>0.17</v>
      </c>
    </row>
    <row r="83" spans="1:7" ht="28.8" x14ac:dyDescent="0.3">
      <c r="A83" s="23">
        <v>95309</v>
      </c>
      <c r="B83" s="23" t="s">
        <v>1433</v>
      </c>
      <c r="C83" s="24" t="s">
        <v>1510</v>
      </c>
      <c r="D83" s="23" t="s">
        <v>1366</v>
      </c>
      <c r="E83" s="5">
        <f t="shared" si="2"/>
        <v>0.22</v>
      </c>
      <c r="F83" s="5">
        <v>0.2</v>
      </c>
      <c r="G83" s="5">
        <v>0.22</v>
      </c>
    </row>
    <row r="84" spans="1:7" ht="28.8" x14ac:dyDescent="0.3">
      <c r="A84" s="23">
        <v>95312</v>
      </c>
      <c r="B84" s="23" t="s">
        <v>1433</v>
      </c>
      <c r="C84" s="24" t="s">
        <v>1511</v>
      </c>
      <c r="D84" s="23" t="s">
        <v>1366</v>
      </c>
      <c r="E84" s="5">
        <f t="shared" si="2"/>
        <v>0.22</v>
      </c>
      <c r="F84" s="5">
        <v>0.2</v>
      </c>
      <c r="G84" s="5">
        <v>0.22</v>
      </c>
    </row>
    <row r="85" spans="1:7" x14ac:dyDescent="0.3">
      <c r="A85" s="23">
        <v>95314</v>
      </c>
      <c r="B85" s="23" t="s">
        <v>1433</v>
      </c>
      <c r="C85" s="24" t="s">
        <v>1512</v>
      </c>
      <c r="D85" s="23" t="s">
        <v>1366</v>
      </c>
      <c r="E85" s="5">
        <f t="shared" si="2"/>
        <v>0.23</v>
      </c>
      <c r="F85" s="5">
        <v>0.2</v>
      </c>
      <c r="G85" s="5">
        <v>0.23</v>
      </c>
    </row>
    <row r="86" spans="1:7" ht="28.8" x14ac:dyDescent="0.3">
      <c r="A86" s="23">
        <v>95315</v>
      </c>
      <c r="B86" s="23" t="s">
        <v>1433</v>
      </c>
      <c r="C86" s="24" t="s">
        <v>1513</v>
      </c>
      <c r="D86" s="23" t="s">
        <v>1366</v>
      </c>
      <c r="E86" s="5">
        <f t="shared" si="2"/>
        <v>0.2</v>
      </c>
      <c r="F86" s="5">
        <v>0.18</v>
      </c>
      <c r="G86" s="5">
        <v>0.2</v>
      </c>
    </row>
    <row r="87" spans="1:7" ht="28.8" x14ac:dyDescent="0.3">
      <c r="A87" s="23">
        <v>95316</v>
      </c>
      <c r="B87" s="23" t="s">
        <v>1433</v>
      </c>
      <c r="C87" s="24" t="s">
        <v>1514</v>
      </c>
      <c r="D87" s="23" t="s">
        <v>1366</v>
      </c>
      <c r="E87" s="5">
        <f t="shared" si="2"/>
        <v>0.57999999999999996</v>
      </c>
      <c r="F87" s="5">
        <v>0.51</v>
      </c>
      <c r="G87" s="5">
        <v>0.57999999999999996</v>
      </c>
    </row>
    <row r="88" spans="1:7" ht="28.8" x14ac:dyDescent="0.3">
      <c r="A88" s="23">
        <v>95317</v>
      </c>
      <c r="B88" s="23" t="s">
        <v>1433</v>
      </c>
      <c r="C88" s="24" t="s">
        <v>1515</v>
      </c>
      <c r="D88" s="23" t="s">
        <v>1366</v>
      </c>
      <c r="E88" s="5">
        <f t="shared" si="2"/>
        <v>0.27</v>
      </c>
      <c r="F88" s="5">
        <v>0.25</v>
      </c>
      <c r="G88" s="5">
        <v>0.27</v>
      </c>
    </row>
    <row r="89" spans="1:7" ht="28.8" x14ac:dyDescent="0.3">
      <c r="A89" s="23">
        <v>95398</v>
      </c>
      <c r="B89" s="23" t="s">
        <v>1433</v>
      </c>
      <c r="C89" s="24" t="s">
        <v>1516</v>
      </c>
      <c r="D89" s="23" t="s">
        <v>1366</v>
      </c>
      <c r="E89" s="5">
        <f t="shared" si="2"/>
        <v>0.09</v>
      </c>
      <c r="F89" s="5">
        <v>0.08</v>
      </c>
      <c r="G89" s="5">
        <v>0.09</v>
      </c>
    </row>
    <row r="90" spans="1:7" ht="28.8" x14ac:dyDescent="0.3">
      <c r="A90" s="23">
        <v>95319</v>
      </c>
      <c r="B90" s="23" t="s">
        <v>1433</v>
      </c>
      <c r="C90" s="24" t="s">
        <v>1517</v>
      </c>
      <c r="D90" s="23" t="s">
        <v>1366</v>
      </c>
      <c r="E90" s="5">
        <f t="shared" si="2"/>
        <v>0.17</v>
      </c>
      <c r="F90" s="5">
        <v>0.16</v>
      </c>
      <c r="G90" s="5">
        <v>0.17</v>
      </c>
    </row>
    <row r="91" spans="1:7" ht="28.8" x14ac:dyDescent="0.3">
      <c r="A91" s="23">
        <v>95323</v>
      </c>
      <c r="B91" s="23" t="s">
        <v>1433</v>
      </c>
      <c r="C91" s="24" t="s">
        <v>1518</v>
      </c>
      <c r="D91" s="23" t="s">
        <v>1366</v>
      </c>
      <c r="E91" s="5">
        <f t="shared" si="2"/>
        <v>0.19</v>
      </c>
      <c r="F91" s="5">
        <v>0.17</v>
      </c>
      <c r="G91" s="5">
        <v>0.19</v>
      </c>
    </row>
    <row r="92" spans="1:7" ht="28.8" x14ac:dyDescent="0.3">
      <c r="A92" s="23">
        <v>95330</v>
      </c>
      <c r="B92" s="23" t="s">
        <v>1433</v>
      </c>
      <c r="C92" s="24" t="s">
        <v>1519</v>
      </c>
      <c r="D92" s="23" t="s">
        <v>1366</v>
      </c>
      <c r="E92" s="5">
        <f t="shared" si="2"/>
        <v>0.23</v>
      </c>
      <c r="F92" s="5">
        <v>0.2</v>
      </c>
      <c r="G92" s="5">
        <v>0.23</v>
      </c>
    </row>
    <row r="93" spans="1:7" x14ac:dyDescent="0.3">
      <c r="A93" s="23">
        <v>95332</v>
      </c>
      <c r="B93" s="23" t="s">
        <v>1433</v>
      </c>
      <c r="C93" s="24" t="s">
        <v>1520</v>
      </c>
      <c r="D93" s="23" t="s">
        <v>1366</v>
      </c>
      <c r="E93" s="5">
        <f t="shared" si="2"/>
        <v>0.75</v>
      </c>
      <c r="F93" s="5">
        <v>0.67</v>
      </c>
      <c r="G93" s="5">
        <v>0.75</v>
      </c>
    </row>
    <row r="94" spans="1:7" ht="28.8" x14ac:dyDescent="0.3">
      <c r="A94" s="23">
        <v>95335</v>
      </c>
      <c r="B94" s="23" t="s">
        <v>1433</v>
      </c>
      <c r="C94" s="24" t="s">
        <v>1521</v>
      </c>
      <c r="D94" s="23" t="s">
        <v>1366</v>
      </c>
      <c r="E94" s="5">
        <f t="shared" si="2"/>
        <v>0.36</v>
      </c>
      <c r="F94" s="5">
        <v>0.32</v>
      </c>
      <c r="G94" s="5">
        <v>0.36</v>
      </c>
    </row>
    <row r="95" spans="1:7" ht="28.8" x14ac:dyDescent="0.3">
      <c r="A95" s="23">
        <v>95401</v>
      </c>
      <c r="B95" s="23" t="s">
        <v>1433</v>
      </c>
      <c r="C95" s="24" t="s">
        <v>1522</v>
      </c>
      <c r="D95" s="23" t="s">
        <v>1366</v>
      </c>
      <c r="E95" s="5">
        <f t="shared" si="2"/>
        <v>0.67</v>
      </c>
      <c r="F95" s="5">
        <v>0.6</v>
      </c>
      <c r="G95" s="5">
        <v>0.67</v>
      </c>
    </row>
    <row r="96" spans="1:7" ht="28.8" x14ac:dyDescent="0.3">
      <c r="A96" s="23">
        <v>95402</v>
      </c>
      <c r="B96" s="23" t="s">
        <v>1433</v>
      </c>
      <c r="C96" s="24" t="s">
        <v>1523</v>
      </c>
      <c r="D96" s="23" t="s">
        <v>1366</v>
      </c>
      <c r="E96" s="5">
        <f t="shared" si="2"/>
        <v>1.84</v>
      </c>
      <c r="F96" s="5">
        <v>1.65</v>
      </c>
      <c r="G96" s="5">
        <v>1.84</v>
      </c>
    </row>
    <row r="97" spans="1:7" ht="28.8" x14ac:dyDescent="0.3">
      <c r="A97" s="23">
        <v>95404</v>
      </c>
      <c r="B97" s="23" t="s">
        <v>1433</v>
      </c>
      <c r="C97" s="24" t="s">
        <v>1524</v>
      </c>
      <c r="D97" s="23" t="s">
        <v>1366</v>
      </c>
      <c r="E97" s="5">
        <f t="shared" si="2"/>
        <v>2.17</v>
      </c>
      <c r="F97" s="5">
        <v>1.94</v>
      </c>
      <c r="G97" s="5">
        <v>2.17</v>
      </c>
    </row>
    <row r="98" spans="1:7" ht="28.8" x14ac:dyDescent="0.3">
      <c r="A98" s="23">
        <v>95389</v>
      </c>
      <c r="B98" s="23" t="s">
        <v>1433</v>
      </c>
      <c r="C98" s="24" t="s">
        <v>1525</v>
      </c>
      <c r="D98" s="23" t="s">
        <v>1366</v>
      </c>
      <c r="E98" s="5">
        <f t="shared" si="2"/>
        <v>0.17</v>
      </c>
      <c r="F98" s="5">
        <v>0.15</v>
      </c>
      <c r="G98" s="5">
        <v>0.17</v>
      </c>
    </row>
    <row r="99" spans="1:7" ht="28.8" x14ac:dyDescent="0.3">
      <c r="A99" s="23">
        <v>95357</v>
      </c>
      <c r="B99" s="23" t="s">
        <v>1433</v>
      </c>
      <c r="C99" s="24" t="s">
        <v>1526</v>
      </c>
      <c r="D99" s="23" t="s">
        <v>1366</v>
      </c>
      <c r="E99" s="5">
        <f t="shared" si="2"/>
        <v>0.28000000000000003</v>
      </c>
      <c r="F99" s="5">
        <v>0.25</v>
      </c>
      <c r="G99" s="5">
        <v>0.28000000000000003</v>
      </c>
    </row>
    <row r="100" spans="1:7" ht="28.8" x14ac:dyDescent="0.3">
      <c r="A100" s="23">
        <v>95360</v>
      </c>
      <c r="B100" s="23" t="s">
        <v>1433</v>
      </c>
      <c r="C100" s="24" t="s">
        <v>1527</v>
      </c>
      <c r="D100" s="23" t="s">
        <v>1366</v>
      </c>
      <c r="E100" s="5">
        <f t="shared" si="2"/>
        <v>0.24</v>
      </c>
      <c r="F100" s="5">
        <v>0.22</v>
      </c>
      <c r="G100" s="5">
        <v>0.24</v>
      </c>
    </row>
    <row r="101" spans="1:7" x14ac:dyDescent="0.3">
      <c r="A101" s="23">
        <v>95371</v>
      </c>
      <c r="B101" s="23" t="s">
        <v>1433</v>
      </c>
      <c r="C101" s="24" t="s">
        <v>1528</v>
      </c>
      <c r="D101" s="23" t="s">
        <v>1366</v>
      </c>
      <c r="E101" s="5">
        <f t="shared" si="2"/>
        <v>0.43</v>
      </c>
      <c r="F101" s="5">
        <v>0.38</v>
      </c>
      <c r="G101" s="5">
        <v>0.43</v>
      </c>
    </row>
    <row r="102" spans="1:7" x14ac:dyDescent="0.3">
      <c r="A102" s="23">
        <v>95372</v>
      </c>
      <c r="B102" s="23" t="s">
        <v>1433</v>
      </c>
      <c r="C102" s="24" t="s">
        <v>1529</v>
      </c>
      <c r="D102" s="23" t="s">
        <v>1366</v>
      </c>
      <c r="E102" s="5">
        <f t="shared" si="2"/>
        <v>0.3</v>
      </c>
      <c r="F102" s="5">
        <v>0.26</v>
      </c>
      <c r="G102" s="5">
        <v>0.3</v>
      </c>
    </row>
    <row r="103" spans="1:7" x14ac:dyDescent="0.3">
      <c r="A103" s="23">
        <v>95378</v>
      </c>
      <c r="B103" s="23" t="s">
        <v>1433</v>
      </c>
      <c r="C103" s="24" t="s">
        <v>1530</v>
      </c>
      <c r="D103" s="23" t="s">
        <v>1366</v>
      </c>
      <c r="E103" s="5">
        <f t="shared" ref="E103:E134" si="3">IF(FOLHA="COM DESONERAÇÃO",F103,G103)</f>
        <v>0.31</v>
      </c>
      <c r="F103" s="5">
        <v>0.28000000000000003</v>
      </c>
      <c r="G103" s="5">
        <v>0.31</v>
      </c>
    </row>
    <row r="104" spans="1:7" x14ac:dyDescent="0.3">
      <c r="A104" s="23">
        <v>95385</v>
      </c>
      <c r="B104" s="23" t="s">
        <v>1433</v>
      </c>
      <c r="C104" s="24" t="s">
        <v>1531</v>
      </c>
      <c r="D104" s="23" t="s">
        <v>1366</v>
      </c>
      <c r="E104" s="5">
        <f t="shared" si="3"/>
        <v>0.23</v>
      </c>
      <c r="F104" s="5">
        <v>0.2</v>
      </c>
      <c r="G104" s="5">
        <v>0.23</v>
      </c>
    </row>
    <row r="105" spans="1:7" x14ac:dyDescent="0.3">
      <c r="A105" s="23" t="s">
        <v>539</v>
      </c>
      <c r="B105" s="23" t="s">
        <v>1428</v>
      </c>
      <c r="C105" s="24" t="s">
        <v>1532</v>
      </c>
      <c r="D105" s="23" t="s">
        <v>1366</v>
      </c>
      <c r="E105" s="5">
        <f t="shared" si="3"/>
        <v>0</v>
      </c>
      <c r="F105" s="5">
        <v>0</v>
      </c>
      <c r="G105" s="5">
        <v>0</v>
      </c>
    </row>
    <row r="106" spans="1:7" x14ac:dyDescent="0.3">
      <c r="A106" s="23" t="s">
        <v>543</v>
      </c>
      <c r="B106" s="23" t="s">
        <v>1428</v>
      </c>
      <c r="C106" s="24" t="s">
        <v>1533</v>
      </c>
      <c r="D106" s="23" t="s">
        <v>1366</v>
      </c>
      <c r="E106" s="5">
        <f t="shared" si="3"/>
        <v>0</v>
      </c>
      <c r="F106" s="5">
        <v>0</v>
      </c>
      <c r="G106" s="5">
        <v>0</v>
      </c>
    </row>
    <row r="107" spans="1:7" x14ac:dyDescent="0.3">
      <c r="A107" s="23">
        <v>88264</v>
      </c>
      <c r="B107" s="23" t="s">
        <v>1433</v>
      </c>
      <c r="C107" s="24" t="s">
        <v>1534</v>
      </c>
      <c r="D107" s="23" t="s">
        <v>1366</v>
      </c>
      <c r="E107" s="5">
        <f t="shared" si="3"/>
        <v>27.74</v>
      </c>
      <c r="F107" s="5">
        <v>25.49</v>
      </c>
      <c r="G107" s="5">
        <v>27.74</v>
      </c>
    </row>
    <row r="108" spans="1:7" x14ac:dyDescent="0.3">
      <c r="A108" s="23">
        <v>88267</v>
      </c>
      <c r="B108" s="23" t="s">
        <v>1433</v>
      </c>
      <c r="C108" s="24" t="s">
        <v>1535</v>
      </c>
      <c r="D108" s="23" t="s">
        <v>1366</v>
      </c>
      <c r="E108" s="5">
        <f t="shared" si="3"/>
        <v>26.67</v>
      </c>
      <c r="F108" s="5">
        <v>24.46</v>
      </c>
      <c r="G108" s="5">
        <v>26.67</v>
      </c>
    </row>
    <row r="109" spans="1:7" x14ac:dyDescent="0.3">
      <c r="A109" s="23">
        <v>90776</v>
      </c>
      <c r="B109" s="23" t="s">
        <v>1433</v>
      </c>
      <c r="C109" s="24" t="s">
        <v>1536</v>
      </c>
      <c r="D109" s="23" t="s">
        <v>1366</v>
      </c>
      <c r="E109" s="5">
        <f t="shared" si="3"/>
        <v>35.39</v>
      </c>
      <c r="F109" s="5">
        <v>31.93</v>
      </c>
      <c r="G109" s="5">
        <v>35.39</v>
      </c>
    </row>
    <row r="110" spans="1:7" x14ac:dyDescent="0.3">
      <c r="A110" s="23">
        <v>90777</v>
      </c>
      <c r="B110" s="23" t="s">
        <v>1433</v>
      </c>
      <c r="C110" s="24" t="s">
        <v>1537</v>
      </c>
      <c r="D110" s="23" t="s">
        <v>1366</v>
      </c>
      <c r="E110" s="5">
        <f t="shared" si="3"/>
        <v>129.24</v>
      </c>
      <c r="F110" s="5">
        <v>115.76</v>
      </c>
      <c r="G110" s="5">
        <v>129.24</v>
      </c>
    </row>
    <row r="111" spans="1:7" x14ac:dyDescent="0.3">
      <c r="A111" s="23">
        <v>90779</v>
      </c>
      <c r="B111" s="23" t="s">
        <v>1433</v>
      </c>
      <c r="C111" s="24" t="s">
        <v>1538</v>
      </c>
      <c r="D111" s="23" t="s">
        <v>1366</v>
      </c>
      <c r="E111" s="5">
        <f t="shared" si="3"/>
        <v>152.06</v>
      </c>
      <c r="F111" s="5">
        <v>136.13999999999999</v>
      </c>
      <c r="G111" s="5">
        <v>152.06</v>
      </c>
    </row>
    <row r="112" spans="1:7" ht="28.8" x14ac:dyDescent="0.3">
      <c r="A112" s="23">
        <v>5632</v>
      </c>
      <c r="B112" s="23" t="s">
        <v>1433</v>
      </c>
      <c r="C112" s="24" t="s">
        <v>1539</v>
      </c>
      <c r="D112" s="23" t="s">
        <v>1473</v>
      </c>
      <c r="E112" s="5">
        <f t="shared" si="3"/>
        <v>91.12</v>
      </c>
      <c r="F112" s="5">
        <v>88.48</v>
      </c>
      <c r="G112" s="5">
        <v>91.12</v>
      </c>
    </row>
    <row r="113" spans="1:7" ht="28.8" x14ac:dyDescent="0.3">
      <c r="A113" s="23">
        <v>5631</v>
      </c>
      <c r="B113" s="23" t="s">
        <v>1433</v>
      </c>
      <c r="C113" s="24" t="s">
        <v>1540</v>
      </c>
      <c r="D113" s="23" t="s">
        <v>1475</v>
      </c>
      <c r="E113" s="5">
        <f t="shared" si="3"/>
        <v>214.63</v>
      </c>
      <c r="F113" s="5">
        <v>211.99</v>
      </c>
      <c r="G113" s="5">
        <v>214.63</v>
      </c>
    </row>
    <row r="114" spans="1:7" ht="28.8" x14ac:dyDescent="0.3">
      <c r="A114" s="23">
        <v>5627</v>
      </c>
      <c r="B114" s="23" t="s">
        <v>1433</v>
      </c>
      <c r="C114" s="24" t="s">
        <v>1541</v>
      </c>
      <c r="D114" s="23" t="s">
        <v>1366</v>
      </c>
      <c r="E114" s="5">
        <f t="shared" si="3"/>
        <v>48.15</v>
      </c>
      <c r="F114" s="5">
        <v>48.15</v>
      </c>
      <c r="G114" s="5">
        <v>48.15</v>
      </c>
    </row>
    <row r="115" spans="1:7" ht="28.8" x14ac:dyDescent="0.3">
      <c r="A115" s="23">
        <v>5628</v>
      </c>
      <c r="B115" s="23" t="s">
        <v>1433</v>
      </c>
      <c r="C115" s="24" t="s">
        <v>1542</v>
      </c>
      <c r="D115" s="23" t="s">
        <v>1366</v>
      </c>
      <c r="E115" s="5">
        <f t="shared" si="3"/>
        <v>12.72</v>
      </c>
      <c r="F115" s="5">
        <v>12.72</v>
      </c>
      <c r="G115" s="5">
        <v>12.72</v>
      </c>
    </row>
    <row r="116" spans="1:7" ht="28.8" x14ac:dyDescent="0.3">
      <c r="A116" s="23">
        <v>5629</v>
      </c>
      <c r="B116" s="23" t="s">
        <v>1433</v>
      </c>
      <c r="C116" s="24" t="s">
        <v>1543</v>
      </c>
      <c r="D116" s="23" t="s">
        <v>1366</v>
      </c>
      <c r="E116" s="5">
        <f t="shared" si="3"/>
        <v>60.19</v>
      </c>
      <c r="F116" s="5">
        <v>60.19</v>
      </c>
      <c r="G116" s="5">
        <v>60.19</v>
      </c>
    </row>
    <row r="117" spans="1:7" ht="28.8" x14ac:dyDescent="0.3">
      <c r="A117" s="23">
        <v>5630</v>
      </c>
      <c r="B117" s="23" t="s">
        <v>1433</v>
      </c>
      <c r="C117" s="24" t="s">
        <v>1544</v>
      </c>
      <c r="D117" s="23" t="s">
        <v>1366</v>
      </c>
      <c r="E117" s="5">
        <f t="shared" si="3"/>
        <v>63.32</v>
      </c>
      <c r="F117" s="5">
        <v>63.32</v>
      </c>
      <c r="G117" s="5">
        <v>63.32</v>
      </c>
    </row>
    <row r="118" spans="1:7" x14ac:dyDescent="0.3">
      <c r="A118" s="23">
        <v>93358</v>
      </c>
      <c r="B118" s="23" t="s">
        <v>1433</v>
      </c>
      <c r="C118" s="24" t="s">
        <v>1545</v>
      </c>
      <c r="D118" s="23" t="s">
        <v>1231</v>
      </c>
      <c r="E118" s="5">
        <f t="shared" si="3"/>
        <v>85.87</v>
      </c>
      <c r="F118" s="5">
        <v>79.510000000000005</v>
      </c>
      <c r="G118" s="5">
        <v>85.87</v>
      </c>
    </row>
    <row r="119" spans="1:7" ht="57.6" x14ac:dyDescent="0.3">
      <c r="A119" s="23">
        <v>102314</v>
      </c>
      <c r="B119" s="23" t="s">
        <v>1433</v>
      </c>
      <c r="C119" s="24" t="s">
        <v>1546</v>
      </c>
      <c r="D119" s="23" t="s">
        <v>1231</v>
      </c>
      <c r="E119" s="5">
        <f t="shared" si="3"/>
        <v>8.5</v>
      </c>
      <c r="F119" s="5">
        <v>8.31</v>
      </c>
      <c r="G119" s="5">
        <v>8.5</v>
      </c>
    </row>
    <row r="120" spans="1:7" ht="28.8" x14ac:dyDescent="0.3">
      <c r="A120" s="23" t="s">
        <v>1082</v>
      </c>
      <c r="B120" s="23" t="s">
        <v>1428</v>
      </c>
      <c r="C120" s="24" t="s">
        <v>1614</v>
      </c>
      <c r="D120" s="23" t="s">
        <v>1243</v>
      </c>
      <c r="E120" s="5">
        <f t="shared" si="3"/>
        <v>0</v>
      </c>
      <c r="F120" s="5">
        <v>0</v>
      </c>
      <c r="G120" s="5">
        <v>0</v>
      </c>
    </row>
    <row r="121" spans="1:7" ht="43.2" x14ac:dyDescent="0.3">
      <c r="A121" s="23">
        <v>94994</v>
      </c>
      <c r="B121" s="23" t="s">
        <v>1433</v>
      </c>
      <c r="C121" s="24" t="s">
        <v>1547</v>
      </c>
      <c r="D121" s="23" t="s">
        <v>1253</v>
      </c>
      <c r="E121" s="5">
        <f t="shared" si="3"/>
        <v>108.3</v>
      </c>
      <c r="F121" s="5">
        <v>106.32</v>
      </c>
      <c r="G121" s="5">
        <v>108.3</v>
      </c>
    </row>
    <row r="122" spans="1:7" x14ac:dyDescent="0.3">
      <c r="A122" s="23">
        <v>92272</v>
      </c>
      <c r="B122" s="23" t="s">
        <v>1433</v>
      </c>
      <c r="C122" s="24" t="s">
        <v>1548</v>
      </c>
      <c r="D122" s="23" t="s">
        <v>1227</v>
      </c>
      <c r="E122" s="5">
        <f t="shared" si="3"/>
        <v>44.38</v>
      </c>
      <c r="F122" s="5">
        <v>43.88</v>
      </c>
      <c r="G122" s="5">
        <v>44.38</v>
      </c>
    </row>
    <row r="123" spans="1:7" ht="28.8" x14ac:dyDescent="0.3">
      <c r="A123" s="23">
        <v>92263</v>
      </c>
      <c r="B123" s="23" t="s">
        <v>1433</v>
      </c>
      <c r="C123" s="24" t="s">
        <v>1549</v>
      </c>
      <c r="D123" s="23" t="s">
        <v>1253</v>
      </c>
      <c r="E123" s="5">
        <f t="shared" si="3"/>
        <v>191.48</v>
      </c>
      <c r="F123" s="5">
        <v>187.73</v>
      </c>
      <c r="G123" s="5">
        <v>191.48</v>
      </c>
    </row>
    <row r="124" spans="1:7" x14ac:dyDescent="0.3">
      <c r="A124" s="23">
        <v>92270</v>
      </c>
      <c r="B124" s="23" t="s">
        <v>1433</v>
      </c>
      <c r="C124" s="24" t="s">
        <v>1550</v>
      </c>
      <c r="D124" s="23" t="s">
        <v>1253</v>
      </c>
      <c r="E124" s="5">
        <f t="shared" si="3"/>
        <v>142.11000000000001</v>
      </c>
      <c r="F124" s="5">
        <v>139.41</v>
      </c>
      <c r="G124" s="5">
        <v>142.11000000000001</v>
      </c>
    </row>
    <row r="125" spans="1:7" ht="28.8" x14ac:dyDescent="0.3">
      <c r="A125" s="23">
        <v>92265</v>
      </c>
      <c r="B125" s="23" t="s">
        <v>1433</v>
      </c>
      <c r="C125" s="24" t="s">
        <v>1551</v>
      </c>
      <c r="D125" s="23" t="s">
        <v>1253</v>
      </c>
      <c r="E125" s="5">
        <f t="shared" si="3"/>
        <v>139.72999999999999</v>
      </c>
      <c r="F125" s="5">
        <v>136.72</v>
      </c>
      <c r="G125" s="5">
        <v>139.72999999999999</v>
      </c>
    </row>
    <row r="126" spans="1:7" ht="28.8" x14ac:dyDescent="0.3">
      <c r="A126" s="23">
        <v>97086</v>
      </c>
      <c r="B126" s="23" t="s">
        <v>1433</v>
      </c>
      <c r="C126" s="24" t="s">
        <v>1552</v>
      </c>
      <c r="D126" s="23" t="s">
        <v>1253</v>
      </c>
      <c r="E126" s="5">
        <f t="shared" si="3"/>
        <v>122.43</v>
      </c>
      <c r="F126" s="5">
        <v>114.83</v>
      </c>
      <c r="G126" s="5">
        <v>122.43</v>
      </c>
    </row>
    <row r="127" spans="1:7" x14ac:dyDescent="0.3">
      <c r="A127" s="23" t="s">
        <v>1062</v>
      </c>
      <c r="B127" s="23" t="s">
        <v>1428</v>
      </c>
      <c r="C127" s="24" t="s">
        <v>1553</v>
      </c>
      <c r="D127" s="23" t="s">
        <v>1253</v>
      </c>
      <c r="E127" s="5">
        <f t="shared" si="3"/>
        <v>0</v>
      </c>
      <c r="F127" s="5">
        <v>0</v>
      </c>
      <c r="G127" s="5">
        <v>0</v>
      </c>
    </row>
    <row r="128" spans="1:7" x14ac:dyDescent="0.3">
      <c r="A128" s="23" t="s">
        <v>617</v>
      </c>
      <c r="B128" s="23" t="s">
        <v>1428</v>
      </c>
      <c r="C128" s="24" t="s">
        <v>1554</v>
      </c>
      <c r="D128" s="23" t="s">
        <v>1227</v>
      </c>
      <c r="E128" s="5">
        <f t="shared" si="3"/>
        <v>0</v>
      </c>
      <c r="F128" s="5">
        <v>0</v>
      </c>
      <c r="G128" s="5">
        <v>0</v>
      </c>
    </row>
    <row r="129" spans="1:7" ht="43.2" x14ac:dyDescent="0.3">
      <c r="A129" s="23" t="s">
        <v>615</v>
      </c>
      <c r="B129" s="23" t="s">
        <v>1428</v>
      </c>
      <c r="C129" s="24" t="s">
        <v>1619</v>
      </c>
      <c r="D129" s="23" t="s">
        <v>1243</v>
      </c>
      <c r="E129" s="5">
        <f t="shared" si="3"/>
        <v>0</v>
      </c>
      <c r="F129" s="5">
        <v>0</v>
      </c>
      <c r="G129" s="5">
        <v>0</v>
      </c>
    </row>
    <row r="130" spans="1:7" x14ac:dyDescent="0.3">
      <c r="A130" s="23" t="s">
        <v>549</v>
      </c>
      <c r="B130" s="23" t="s">
        <v>1428</v>
      </c>
      <c r="C130" s="24" t="s">
        <v>1555</v>
      </c>
      <c r="D130" s="23" t="s">
        <v>1227</v>
      </c>
      <c r="E130" s="5">
        <f t="shared" si="3"/>
        <v>0</v>
      </c>
      <c r="F130" s="5">
        <v>0</v>
      </c>
      <c r="G130" s="5">
        <v>0</v>
      </c>
    </row>
    <row r="131" spans="1:7" x14ac:dyDescent="0.3">
      <c r="A131" s="23" t="s">
        <v>551</v>
      </c>
      <c r="B131" s="23" t="s">
        <v>1428</v>
      </c>
      <c r="C131" s="24" t="s">
        <v>1556</v>
      </c>
      <c r="D131" s="23" t="s">
        <v>1214</v>
      </c>
      <c r="E131" s="5">
        <f t="shared" si="3"/>
        <v>0</v>
      </c>
      <c r="F131" s="5">
        <v>0</v>
      </c>
      <c r="G131" s="5">
        <v>0</v>
      </c>
    </row>
    <row r="132" spans="1:7" x14ac:dyDescent="0.3">
      <c r="A132" s="23" t="s">
        <v>554</v>
      </c>
      <c r="B132" s="23" t="s">
        <v>1428</v>
      </c>
      <c r="C132" s="24" t="s">
        <v>1557</v>
      </c>
      <c r="D132" s="23" t="s">
        <v>1227</v>
      </c>
      <c r="E132" s="5">
        <f t="shared" si="3"/>
        <v>0</v>
      </c>
      <c r="F132" s="5">
        <v>0</v>
      </c>
      <c r="G132" s="5">
        <v>0</v>
      </c>
    </row>
    <row r="133" spans="1:7" x14ac:dyDescent="0.3">
      <c r="A133" s="23" t="s">
        <v>537</v>
      </c>
      <c r="B133" s="23" t="s">
        <v>1428</v>
      </c>
      <c r="C133" s="24" t="s">
        <v>1558</v>
      </c>
      <c r="D133" s="23" t="s">
        <v>1430</v>
      </c>
      <c r="E133" s="5">
        <f t="shared" si="3"/>
        <v>0</v>
      </c>
      <c r="F133" s="5">
        <v>0</v>
      </c>
      <c r="G133" s="5">
        <v>0</v>
      </c>
    </row>
    <row r="134" spans="1:7" ht="28.8" x14ac:dyDescent="0.3">
      <c r="A134" s="23">
        <v>96617</v>
      </c>
      <c r="B134" s="23" t="s">
        <v>1433</v>
      </c>
      <c r="C134" s="24" t="s">
        <v>1559</v>
      </c>
      <c r="D134" s="23" t="s">
        <v>1253</v>
      </c>
      <c r="E134" s="5">
        <f t="shared" si="3"/>
        <v>23.57</v>
      </c>
      <c r="F134" s="5">
        <v>22.85</v>
      </c>
      <c r="G134" s="5">
        <v>23.57</v>
      </c>
    </row>
    <row r="135" spans="1:7" x14ac:dyDescent="0.3">
      <c r="A135" s="23" t="s">
        <v>642</v>
      </c>
      <c r="B135" s="23" t="s">
        <v>1428</v>
      </c>
      <c r="C135" s="24" t="s">
        <v>1560</v>
      </c>
      <c r="D135" s="23" t="s">
        <v>1243</v>
      </c>
      <c r="E135" s="5">
        <f t="shared" ref="E135:E166" si="4">IF(FOLHA="COM DESONERAÇÃO",F135,G135)</f>
        <v>0</v>
      </c>
      <c r="F135" s="5">
        <v>0</v>
      </c>
      <c r="G135" s="5">
        <v>0</v>
      </c>
    </row>
    <row r="136" spans="1:7" x14ac:dyDescent="0.3">
      <c r="A136" s="23">
        <v>98524</v>
      </c>
      <c r="B136" s="23" t="s">
        <v>1433</v>
      </c>
      <c r="C136" s="24" t="s">
        <v>1561</v>
      </c>
      <c r="D136" s="23" t="s">
        <v>1253</v>
      </c>
      <c r="E136" s="5">
        <f t="shared" si="4"/>
        <v>4.62</v>
      </c>
      <c r="F136" s="5">
        <v>4.28</v>
      </c>
      <c r="G136" s="5">
        <v>4.62</v>
      </c>
    </row>
    <row r="137" spans="1:7" ht="28.8" x14ac:dyDescent="0.3">
      <c r="A137" s="23">
        <v>99059</v>
      </c>
      <c r="B137" s="23" t="s">
        <v>1433</v>
      </c>
      <c r="C137" s="24" t="s">
        <v>1562</v>
      </c>
      <c r="D137" s="23" t="s">
        <v>1227</v>
      </c>
      <c r="E137" s="5">
        <f t="shared" si="4"/>
        <v>60.18</v>
      </c>
      <c r="F137" s="5">
        <v>57.25</v>
      </c>
      <c r="G137" s="5">
        <v>60.18</v>
      </c>
    </row>
    <row r="138" spans="1:7" x14ac:dyDescent="0.3">
      <c r="A138" s="23" t="s">
        <v>522</v>
      </c>
      <c r="B138" s="23" t="s">
        <v>1428</v>
      </c>
      <c r="C138" s="24" t="s">
        <v>1563</v>
      </c>
      <c r="D138" s="23" t="s">
        <v>1214</v>
      </c>
      <c r="E138" s="5">
        <f t="shared" si="4"/>
        <v>0</v>
      </c>
      <c r="F138" s="5">
        <v>0</v>
      </c>
      <c r="G138" s="5">
        <v>0</v>
      </c>
    </row>
    <row r="139" spans="1:7" ht="43.2" x14ac:dyDescent="0.3">
      <c r="A139" s="23">
        <v>87530</v>
      </c>
      <c r="B139" s="23" t="s">
        <v>1433</v>
      </c>
      <c r="C139" s="24" t="s">
        <v>1564</v>
      </c>
      <c r="D139" s="23" t="s">
        <v>1253</v>
      </c>
      <c r="E139" s="5">
        <f t="shared" si="4"/>
        <v>40.85</v>
      </c>
      <c r="F139" s="5">
        <v>38.880000000000003</v>
      </c>
      <c r="G139" s="5">
        <v>40.85</v>
      </c>
    </row>
    <row r="140" spans="1:7" ht="43.2" x14ac:dyDescent="0.3">
      <c r="A140" s="23">
        <v>92415</v>
      </c>
      <c r="B140" s="23" t="s">
        <v>1433</v>
      </c>
      <c r="C140" s="24" t="s">
        <v>1565</v>
      </c>
      <c r="D140" s="23" t="s">
        <v>1253</v>
      </c>
      <c r="E140" s="5">
        <f t="shared" si="4"/>
        <v>149.9</v>
      </c>
      <c r="F140" s="5">
        <v>145.1</v>
      </c>
      <c r="G140" s="5">
        <v>149.9</v>
      </c>
    </row>
    <row r="141" spans="1:7" ht="43.2" x14ac:dyDescent="0.3">
      <c r="A141" s="23">
        <v>92451</v>
      </c>
      <c r="B141" s="23" t="s">
        <v>1433</v>
      </c>
      <c r="C141" s="24" t="s">
        <v>1566</v>
      </c>
      <c r="D141" s="23" t="s">
        <v>1253</v>
      </c>
      <c r="E141" s="5">
        <f t="shared" si="4"/>
        <v>210.83</v>
      </c>
      <c r="F141" s="5">
        <v>205.22</v>
      </c>
      <c r="G141" s="5">
        <v>210.83</v>
      </c>
    </row>
    <row r="142" spans="1:7" ht="28.8" x14ac:dyDescent="0.3">
      <c r="A142" s="23">
        <v>88377</v>
      </c>
      <c r="B142" s="23" t="s">
        <v>1433</v>
      </c>
      <c r="C142" s="24" t="s">
        <v>1567</v>
      </c>
      <c r="D142" s="23" t="s">
        <v>1366</v>
      </c>
      <c r="E142" s="5">
        <f t="shared" si="4"/>
        <v>27.09</v>
      </c>
      <c r="F142" s="5">
        <v>24.78</v>
      </c>
      <c r="G142" s="5">
        <v>27.09</v>
      </c>
    </row>
    <row r="143" spans="1:7" x14ac:dyDescent="0.3">
      <c r="A143" s="23">
        <v>88294</v>
      </c>
      <c r="B143" s="23" t="s">
        <v>1433</v>
      </c>
      <c r="C143" s="24" t="s">
        <v>1568</v>
      </c>
      <c r="D143" s="23" t="s">
        <v>1366</v>
      </c>
      <c r="E143" s="5">
        <f t="shared" si="4"/>
        <v>30.25</v>
      </c>
      <c r="F143" s="5">
        <v>27.61</v>
      </c>
      <c r="G143" s="5">
        <v>30.25</v>
      </c>
    </row>
    <row r="144" spans="1:7" x14ac:dyDescent="0.3">
      <c r="A144" s="23">
        <v>88297</v>
      </c>
      <c r="B144" s="23" t="s">
        <v>1433</v>
      </c>
      <c r="C144" s="24" t="s">
        <v>1569</v>
      </c>
      <c r="D144" s="23" t="s">
        <v>1366</v>
      </c>
      <c r="E144" s="5">
        <f t="shared" si="4"/>
        <v>27.16</v>
      </c>
      <c r="F144" s="5">
        <v>24.85</v>
      </c>
      <c r="G144" s="5">
        <v>27.16</v>
      </c>
    </row>
    <row r="145" spans="1:7" ht="28.8" x14ac:dyDescent="0.3">
      <c r="A145" s="23">
        <v>103800</v>
      </c>
      <c r="B145" s="23" t="s">
        <v>1433</v>
      </c>
      <c r="C145" s="24" t="s">
        <v>1570</v>
      </c>
      <c r="D145" s="23" t="s">
        <v>1231</v>
      </c>
      <c r="E145" s="5">
        <f t="shared" si="4"/>
        <v>666</v>
      </c>
      <c r="F145" s="5">
        <v>650</v>
      </c>
      <c r="G145" s="5">
        <v>666</v>
      </c>
    </row>
    <row r="146" spans="1:7" x14ac:dyDescent="0.3">
      <c r="A146" s="23">
        <v>88309</v>
      </c>
      <c r="B146" s="23" t="s">
        <v>1433</v>
      </c>
      <c r="C146" s="24" t="s">
        <v>1571</v>
      </c>
      <c r="D146" s="23" t="s">
        <v>1366</v>
      </c>
      <c r="E146" s="5">
        <f t="shared" si="4"/>
        <v>27.39</v>
      </c>
      <c r="F146" s="5">
        <v>25.17</v>
      </c>
      <c r="G146" s="5">
        <v>27.39</v>
      </c>
    </row>
    <row r="147" spans="1:7" x14ac:dyDescent="0.3">
      <c r="A147" s="23" t="s">
        <v>528</v>
      </c>
      <c r="B147" s="23" t="s">
        <v>1428</v>
      </c>
      <c r="C147" s="24" t="s">
        <v>1572</v>
      </c>
      <c r="D147" s="23" t="s">
        <v>1214</v>
      </c>
      <c r="E147" s="5">
        <f t="shared" si="4"/>
        <v>0</v>
      </c>
      <c r="F147" s="5">
        <v>0</v>
      </c>
      <c r="G147" s="5">
        <v>0</v>
      </c>
    </row>
    <row r="148" spans="1:7" x14ac:dyDescent="0.3">
      <c r="A148" s="23" t="s">
        <v>533</v>
      </c>
      <c r="B148" s="23" t="s">
        <v>1428</v>
      </c>
      <c r="C148" s="24" t="s">
        <v>1573</v>
      </c>
      <c r="D148" s="23" t="s">
        <v>1227</v>
      </c>
      <c r="E148" s="5">
        <f t="shared" si="4"/>
        <v>0</v>
      </c>
      <c r="F148" s="5">
        <v>0</v>
      </c>
      <c r="G148" s="5">
        <v>0</v>
      </c>
    </row>
    <row r="149" spans="1:7" x14ac:dyDescent="0.3">
      <c r="A149" s="23" t="s">
        <v>530</v>
      </c>
      <c r="B149" s="23" t="s">
        <v>1428</v>
      </c>
      <c r="C149" s="24" t="s">
        <v>1574</v>
      </c>
      <c r="D149" s="23" t="s">
        <v>1227</v>
      </c>
      <c r="E149" s="5">
        <f t="shared" si="4"/>
        <v>0</v>
      </c>
      <c r="F149" s="5">
        <v>0</v>
      </c>
      <c r="G149" s="5">
        <v>0</v>
      </c>
    </row>
    <row r="150" spans="1:7" x14ac:dyDescent="0.3">
      <c r="A150" s="23">
        <v>88310</v>
      </c>
      <c r="B150" s="23" t="s">
        <v>1433</v>
      </c>
      <c r="C150" s="24" t="s">
        <v>1575</v>
      </c>
      <c r="D150" s="23" t="s">
        <v>1366</v>
      </c>
      <c r="E150" s="5">
        <f t="shared" si="4"/>
        <v>29.07</v>
      </c>
      <c r="F150" s="5">
        <v>26.86</v>
      </c>
      <c r="G150" s="5">
        <v>29.07</v>
      </c>
    </row>
    <row r="151" spans="1:7" ht="43.2" x14ac:dyDescent="0.3">
      <c r="A151" s="23">
        <v>100758</v>
      </c>
      <c r="B151" s="23" t="s">
        <v>1433</v>
      </c>
      <c r="C151" s="24" t="s">
        <v>1576</v>
      </c>
      <c r="D151" s="23" t="s">
        <v>1253</v>
      </c>
      <c r="E151" s="5">
        <f t="shared" si="4"/>
        <v>50.34</v>
      </c>
      <c r="F151" s="5">
        <v>47.34</v>
      </c>
      <c r="G151" s="5">
        <v>50.34</v>
      </c>
    </row>
    <row r="152" spans="1:7" x14ac:dyDescent="0.3">
      <c r="A152" s="23" t="s">
        <v>1066</v>
      </c>
      <c r="B152" s="23" t="s">
        <v>1428</v>
      </c>
      <c r="C152" s="24" t="s">
        <v>1577</v>
      </c>
      <c r="D152" s="23" t="s">
        <v>1243</v>
      </c>
      <c r="E152" s="5">
        <f t="shared" si="4"/>
        <v>0</v>
      </c>
      <c r="F152" s="5">
        <v>0</v>
      </c>
      <c r="G152" s="5">
        <v>0</v>
      </c>
    </row>
    <row r="153" spans="1:7" ht="28.8" x14ac:dyDescent="0.3">
      <c r="A153" s="23">
        <v>101749</v>
      </c>
      <c r="B153" s="23" t="s">
        <v>1433</v>
      </c>
      <c r="C153" s="24" t="s">
        <v>1578</v>
      </c>
      <c r="D153" s="23" t="s">
        <v>1253</v>
      </c>
      <c r="E153" s="5">
        <f t="shared" si="4"/>
        <v>64.739999999999995</v>
      </c>
      <c r="F153" s="5">
        <v>62.95</v>
      </c>
      <c r="G153" s="5">
        <v>64.739999999999995</v>
      </c>
    </row>
    <row r="154" spans="1:7" x14ac:dyDescent="0.3">
      <c r="A154" s="23" t="s">
        <v>518</v>
      </c>
      <c r="B154" s="23" t="s">
        <v>1428</v>
      </c>
      <c r="C154" s="24" t="s">
        <v>1579</v>
      </c>
      <c r="D154" s="23" t="s">
        <v>1253</v>
      </c>
      <c r="E154" s="5">
        <f t="shared" si="4"/>
        <v>0</v>
      </c>
      <c r="F154" s="5">
        <v>0</v>
      </c>
      <c r="G154" s="5">
        <v>0</v>
      </c>
    </row>
    <row r="155" spans="1:7" x14ac:dyDescent="0.3">
      <c r="A155" s="23">
        <v>100701</v>
      </c>
      <c r="B155" s="23" t="s">
        <v>1433</v>
      </c>
      <c r="C155" s="24" t="s">
        <v>1580</v>
      </c>
      <c r="D155" s="23" t="s">
        <v>1253</v>
      </c>
      <c r="E155" s="5">
        <f t="shared" si="4"/>
        <v>415.24</v>
      </c>
      <c r="F155" s="5">
        <v>413.69</v>
      </c>
      <c r="G155" s="5">
        <v>415.24</v>
      </c>
    </row>
    <row r="156" spans="1:7" x14ac:dyDescent="0.3">
      <c r="A156" s="23" t="s">
        <v>603</v>
      </c>
      <c r="B156" s="23" t="s">
        <v>1428</v>
      </c>
      <c r="C156" s="24" t="s">
        <v>1581</v>
      </c>
      <c r="D156" s="23" t="s">
        <v>1253</v>
      </c>
      <c r="E156" s="5">
        <f t="shared" si="4"/>
        <v>0</v>
      </c>
      <c r="F156" s="5">
        <v>0</v>
      </c>
      <c r="G156" s="5">
        <v>0</v>
      </c>
    </row>
    <row r="157" spans="1:7" x14ac:dyDescent="0.3">
      <c r="A157" s="23" t="s">
        <v>621</v>
      </c>
      <c r="B157" s="23" t="s">
        <v>1428</v>
      </c>
      <c r="C157" s="24" t="s">
        <v>1582</v>
      </c>
      <c r="D157" s="23" t="s">
        <v>1430</v>
      </c>
      <c r="E157" s="5">
        <f t="shared" si="4"/>
        <v>0</v>
      </c>
      <c r="F157" s="5">
        <v>0</v>
      </c>
      <c r="G157" s="5">
        <v>0</v>
      </c>
    </row>
    <row r="158" spans="1:7" ht="57.6" x14ac:dyDescent="0.3">
      <c r="A158" s="23" t="s">
        <v>637</v>
      </c>
      <c r="B158" s="23" t="s">
        <v>1428</v>
      </c>
      <c r="C158" s="24" t="s">
        <v>1583</v>
      </c>
      <c r="D158" s="23" t="s">
        <v>1231</v>
      </c>
      <c r="E158" s="5">
        <f t="shared" si="4"/>
        <v>0</v>
      </c>
      <c r="F158" s="5">
        <v>0</v>
      </c>
      <c r="G158" s="5">
        <v>0</v>
      </c>
    </row>
    <row r="159" spans="1:7" ht="28.8" x14ac:dyDescent="0.3">
      <c r="A159" s="23">
        <v>94498</v>
      </c>
      <c r="B159" s="23" t="s">
        <v>1433</v>
      </c>
      <c r="C159" s="24" t="s">
        <v>1584</v>
      </c>
      <c r="D159" s="23" t="s">
        <v>1214</v>
      </c>
      <c r="E159" s="5">
        <f t="shared" si="4"/>
        <v>164.12</v>
      </c>
      <c r="F159" s="5">
        <v>162.80000000000001</v>
      </c>
      <c r="G159" s="5">
        <v>164.12</v>
      </c>
    </row>
    <row r="160" spans="1:7" x14ac:dyDescent="0.3">
      <c r="A160" s="23" t="s">
        <v>545</v>
      </c>
      <c r="B160" s="23" t="s">
        <v>1428</v>
      </c>
      <c r="C160" s="24" t="s">
        <v>1585</v>
      </c>
      <c r="D160" s="23" t="s">
        <v>1214</v>
      </c>
      <c r="E160" s="5">
        <f t="shared" si="4"/>
        <v>0</v>
      </c>
      <c r="F160" s="5">
        <v>0</v>
      </c>
      <c r="G160" s="5">
        <v>0</v>
      </c>
    </row>
    <row r="161" spans="1:7" ht="72" x14ac:dyDescent="0.3">
      <c r="A161" s="23" t="s">
        <v>630</v>
      </c>
      <c r="B161" s="23" t="s">
        <v>1428</v>
      </c>
      <c r="C161" s="24" t="s">
        <v>1616</v>
      </c>
      <c r="D161" s="23" t="s">
        <v>1243</v>
      </c>
      <c r="E161" s="5">
        <f t="shared" si="4"/>
        <v>0</v>
      </c>
      <c r="F161" s="5">
        <v>0</v>
      </c>
      <c r="G161" s="5">
        <v>0</v>
      </c>
    </row>
    <row r="162" spans="1:7" ht="72" x14ac:dyDescent="0.3">
      <c r="A162" s="23" t="s">
        <v>847</v>
      </c>
      <c r="B162" s="23" t="s">
        <v>1428</v>
      </c>
      <c r="C162" s="24" t="s">
        <v>1617</v>
      </c>
      <c r="D162" s="23" t="s">
        <v>1243</v>
      </c>
      <c r="E162" s="5">
        <f t="shared" si="4"/>
        <v>0</v>
      </c>
      <c r="F162" s="5">
        <v>0</v>
      </c>
      <c r="G162" s="5">
        <v>0</v>
      </c>
    </row>
    <row r="163" spans="1:7" ht="57.6" x14ac:dyDescent="0.3">
      <c r="A163" s="23">
        <v>5679</v>
      </c>
      <c r="B163" s="23" t="s">
        <v>1433</v>
      </c>
      <c r="C163" s="24" t="s">
        <v>1586</v>
      </c>
      <c r="D163" s="23" t="s">
        <v>1473</v>
      </c>
      <c r="E163" s="5">
        <f t="shared" si="4"/>
        <v>63.27</v>
      </c>
      <c r="F163" s="5">
        <v>60.63</v>
      </c>
      <c r="G163" s="5">
        <v>63.27</v>
      </c>
    </row>
    <row r="164" spans="1:7" ht="57.6" x14ac:dyDescent="0.3">
      <c r="A164" s="23">
        <v>5678</v>
      </c>
      <c r="B164" s="23" t="s">
        <v>1433</v>
      </c>
      <c r="C164" s="24" t="s">
        <v>1587</v>
      </c>
      <c r="D164" s="23" t="s">
        <v>1475</v>
      </c>
      <c r="E164" s="5">
        <f t="shared" si="4"/>
        <v>146.07</v>
      </c>
      <c r="F164" s="5">
        <v>143.43</v>
      </c>
      <c r="G164" s="5">
        <v>146.07</v>
      </c>
    </row>
    <row r="165" spans="1:7" ht="57.6" x14ac:dyDescent="0.3">
      <c r="A165" s="23">
        <v>88857</v>
      </c>
      <c r="B165" s="23" t="s">
        <v>1433</v>
      </c>
      <c r="C165" s="24" t="s">
        <v>1588</v>
      </c>
      <c r="D165" s="23" t="s">
        <v>1366</v>
      </c>
      <c r="E165" s="5">
        <f t="shared" si="4"/>
        <v>26.12</v>
      </c>
      <c r="F165" s="5">
        <v>26.12</v>
      </c>
      <c r="G165" s="5">
        <v>26.12</v>
      </c>
    </row>
    <row r="166" spans="1:7" ht="57.6" x14ac:dyDescent="0.3">
      <c r="A166" s="23">
        <v>88858</v>
      </c>
      <c r="B166" s="23" t="s">
        <v>1433</v>
      </c>
      <c r="C166" s="24" t="s">
        <v>1589</v>
      </c>
      <c r="D166" s="23" t="s">
        <v>1366</v>
      </c>
      <c r="E166" s="5">
        <f t="shared" si="4"/>
        <v>6.9</v>
      </c>
      <c r="F166" s="5">
        <v>6.9</v>
      </c>
      <c r="G166" s="5">
        <v>6.9</v>
      </c>
    </row>
    <row r="167" spans="1:7" ht="57.6" x14ac:dyDescent="0.3">
      <c r="A167" s="23">
        <v>5664</v>
      </c>
      <c r="B167" s="23" t="s">
        <v>1433</v>
      </c>
      <c r="C167" s="24" t="s">
        <v>1590</v>
      </c>
      <c r="D167" s="23" t="s">
        <v>1366</v>
      </c>
      <c r="E167" s="5">
        <f t="shared" ref="E167:E186" si="5">IF(FOLHA="COM DESONERAÇÃO",F167,G167)</f>
        <v>32.65</v>
      </c>
      <c r="F167" s="5">
        <v>32.65</v>
      </c>
      <c r="G167" s="5">
        <v>32.65</v>
      </c>
    </row>
    <row r="168" spans="1:7" ht="57.6" x14ac:dyDescent="0.3">
      <c r="A168" s="23">
        <v>53786</v>
      </c>
      <c r="B168" s="23" t="s">
        <v>1433</v>
      </c>
      <c r="C168" s="24" t="s">
        <v>1591</v>
      </c>
      <c r="D168" s="23" t="s">
        <v>1366</v>
      </c>
      <c r="E168" s="5">
        <f t="shared" si="5"/>
        <v>50.15</v>
      </c>
      <c r="F168" s="5">
        <v>50.15</v>
      </c>
      <c r="G168" s="5">
        <v>50.15</v>
      </c>
    </row>
    <row r="169" spans="1:7" ht="28.8" x14ac:dyDescent="0.3">
      <c r="A169" s="23">
        <v>91693</v>
      </c>
      <c r="B169" s="23" t="s">
        <v>1433</v>
      </c>
      <c r="C169" s="24" t="s">
        <v>1592</v>
      </c>
      <c r="D169" s="23" t="s">
        <v>1473</v>
      </c>
      <c r="E169" s="5">
        <f t="shared" si="5"/>
        <v>27.3</v>
      </c>
      <c r="F169" s="5">
        <v>24.99</v>
      </c>
      <c r="G169" s="5">
        <v>27.3</v>
      </c>
    </row>
    <row r="170" spans="1:7" ht="28.8" x14ac:dyDescent="0.3">
      <c r="A170" s="23">
        <v>91692</v>
      </c>
      <c r="B170" s="23" t="s">
        <v>1433</v>
      </c>
      <c r="C170" s="24" t="s">
        <v>1593</v>
      </c>
      <c r="D170" s="23" t="s">
        <v>1475</v>
      </c>
      <c r="E170" s="5">
        <f t="shared" si="5"/>
        <v>28.87</v>
      </c>
      <c r="F170" s="5">
        <v>26.56</v>
      </c>
      <c r="G170" s="5">
        <v>28.87</v>
      </c>
    </row>
    <row r="171" spans="1:7" ht="28.8" x14ac:dyDescent="0.3">
      <c r="A171" s="23">
        <v>91688</v>
      </c>
      <c r="B171" s="23" t="s">
        <v>1433</v>
      </c>
      <c r="C171" s="24" t="s">
        <v>1594</v>
      </c>
      <c r="D171" s="23" t="s">
        <v>1366</v>
      </c>
      <c r="E171" s="5">
        <f t="shared" si="5"/>
        <v>0.12</v>
      </c>
      <c r="F171" s="5">
        <v>0.12</v>
      </c>
      <c r="G171" s="5">
        <v>0.12</v>
      </c>
    </row>
    <row r="172" spans="1:7" ht="28.8" x14ac:dyDescent="0.3">
      <c r="A172" s="23">
        <v>91689</v>
      </c>
      <c r="B172" s="23" t="s">
        <v>1433</v>
      </c>
      <c r="C172" s="24" t="s">
        <v>1595</v>
      </c>
      <c r="D172" s="23" t="s">
        <v>1366</v>
      </c>
      <c r="E172" s="5">
        <f t="shared" si="5"/>
        <v>0.02</v>
      </c>
      <c r="F172" s="5">
        <v>0.02</v>
      </c>
      <c r="G172" s="5">
        <v>0.02</v>
      </c>
    </row>
    <row r="173" spans="1:7" ht="28.8" x14ac:dyDescent="0.3">
      <c r="A173" s="23">
        <v>91690</v>
      </c>
      <c r="B173" s="23" t="s">
        <v>1433</v>
      </c>
      <c r="C173" s="24" t="s">
        <v>1596</v>
      </c>
      <c r="D173" s="23" t="s">
        <v>1366</v>
      </c>
      <c r="E173" s="5">
        <f t="shared" si="5"/>
        <v>0.08</v>
      </c>
      <c r="F173" s="5">
        <v>0.08</v>
      </c>
      <c r="G173" s="5">
        <v>0.08</v>
      </c>
    </row>
    <row r="174" spans="1:7" ht="28.8" x14ac:dyDescent="0.3">
      <c r="A174" s="23">
        <v>91691</v>
      </c>
      <c r="B174" s="23" t="s">
        <v>1433</v>
      </c>
      <c r="C174" s="24" t="s">
        <v>1597</v>
      </c>
      <c r="D174" s="23" t="s">
        <v>1366</v>
      </c>
      <c r="E174" s="5">
        <f t="shared" si="5"/>
        <v>1.49</v>
      </c>
      <c r="F174" s="5">
        <v>1.49</v>
      </c>
      <c r="G174" s="5">
        <v>1.49</v>
      </c>
    </row>
    <row r="175" spans="1:7" x14ac:dyDescent="0.3">
      <c r="A175" s="23">
        <v>88316</v>
      </c>
      <c r="B175" s="23" t="s">
        <v>1433</v>
      </c>
      <c r="C175" s="24" t="s">
        <v>1598</v>
      </c>
      <c r="D175" s="23" t="s">
        <v>1366</v>
      </c>
      <c r="E175" s="5">
        <f t="shared" si="5"/>
        <v>21.71</v>
      </c>
      <c r="F175" s="5">
        <v>20.100000000000001</v>
      </c>
      <c r="G175" s="5">
        <v>21.71</v>
      </c>
    </row>
    <row r="176" spans="1:7" x14ac:dyDescent="0.3">
      <c r="A176" s="23">
        <v>88323</v>
      </c>
      <c r="B176" s="23" t="s">
        <v>1433</v>
      </c>
      <c r="C176" s="24" t="s">
        <v>1599</v>
      </c>
      <c r="D176" s="23" t="s">
        <v>1366</v>
      </c>
      <c r="E176" s="5">
        <f t="shared" si="5"/>
        <v>26.71</v>
      </c>
      <c r="F176" s="5">
        <v>24.55</v>
      </c>
      <c r="G176" s="5">
        <v>26.71</v>
      </c>
    </row>
    <row r="177" spans="1:7" ht="28.8" x14ac:dyDescent="0.3">
      <c r="A177" s="23" t="s">
        <v>588</v>
      </c>
      <c r="B177" s="23" t="s">
        <v>1428</v>
      </c>
      <c r="C177" s="24" t="s">
        <v>1600</v>
      </c>
      <c r="D177" s="23" t="s">
        <v>1601</v>
      </c>
      <c r="E177" s="5">
        <f t="shared" si="5"/>
        <v>0</v>
      </c>
      <c r="F177" s="5">
        <v>0</v>
      </c>
      <c r="G177" s="5">
        <v>0</v>
      </c>
    </row>
    <row r="178" spans="1:7" x14ac:dyDescent="0.3">
      <c r="A178" s="23" t="s">
        <v>541</v>
      </c>
      <c r="B178" s="23" t="s">
        <v>1428</v>
      </c>
      <c r="C178" s="24" t="s">
        <v>1602</v>
      </c>
      <c r="D178" s="23" t="s">
        <v>1366</v>
      </c>
      <c r="E178" s="5">
        <f t="shared" si="5"/>
        <v>0</v>
      </c>
      <c r="F178" s="5">
        <v>0</v>
      </c>
      <c r="G178" s="5">
        <v>0</v>
      </c>
    </row>
    <row r="179" spans="1:7" ht="28.8" x14ac:dyDescent="0.3">
      <c r="A179" s="23" t="s">
        <v>590</v>
      </c>
      <c r="B179" s="23" t="s">
        <v>1428</v>
      </c>
      <c r="C179" s="24" t="s">
        <v>1603</v>
      </c>
      <c r="D179" s="23" t="s">
        <v>1601</v>
      </c>
      <c r="E179" s="5">
        <f t="shared" si="5"/>
        <v>0</v>
      </c>
      <c r="F179" s="5">
        <v>0</v>
      </c>
      <c r="G179" s="5">
        <v>0</v>
      </c>
    </row>
    <row r="180" spans="1:7" x14ac:dyDescent="0.3">
      <c r="A180" s="23" t="s">
        <v>524</v>
      </c>
      <c r="B180" s="23" t="s">
        <v>1428</v>
      </c>
      <c r="C180" s="24" t="s">
        <v>1604</v>
      </c>
      <c r="D180" s="23" t="s">
        <v>1351</v>
      </c>
      <c r="E180" s="5">
        <f t="shared" si="5"/>
        <v>0</v>
      </c>
      <c r="F180" s="5">
        <v>0</v>
      </c>
      <c r="G180" s="5">
        <v>0</v>
      </c>
    </row>
    <row r="181" spans="1:7" ht="28.8" x14ac:dyDescent="0.3">
      <c r="A181" s="23">
        <v>90587</v>
      </c>
      <c r="B181" s="23" t="s">
        <v>1433</v>
      </c>
      <c r="C181" s="24" t="s">
        <v>1605</v>
      </c>
      <c r="D181" s="23" t="s">
        <v>1473</v>
      </c>
      <c r="E181" s="5">
        <f t="shared" si="5"/>
        <v>0.48</v>
      </c>
      <c r="F181" s="5">
        <v>0.48</v>
      </c>
      <c r="G181" s="5">
        <v>0.48</v>
      </c>
    </row>
    <row r="182" spans="1:7" ht="28.8" x14ac:dyDescent="0.3">
      <c r="A182" s="23">
        <v>90586</v>
      </c>
      <c r="B182" s="23" t="s">
        <v>1433</v>
      </c>
      <c r="C182" s="24" t="s">
        <v>1606</v>
      </c>
      <c r="D182" s="23" t="s">
        <v>1475</v>
      </c>
      <c r="E182" s="5">
        <f t="shared" si="5"/>
        <v>1.36</v>
      </c>
      <c r="F182" s="5">
        <v>1.36</v>
      </c>
      <c r="G182" s="5">
        <v>1.36</v>
      </c>
    </row>
    <row r="183" spans="1:7" ht="28.8" x14ac:dyDescent="0.3">
      <c r="A183" s="23">
        <v>90582</v>
      </c>
      <c r="B183" s="23" t="s">
        <v>1433</v>
      </c>
      <c r="C183" s="24" t="s">
        <v>1607</v>
      </c>
      <c r="D183" s="23" t="s">
        <v>1366</v>
      </c>
      <c r="E183" s="5">
        <f t="shared" si="5"/>
        <v>0.39</v>
      </c>
      <c r="F183" s="5">
        <v>0.39</v>
      </c>
      <c r="G183" s="5">
        <v>0.39</v>
      </c>
    </row>
    <row r="184" spans="1:7" ht="28.8" x14ac:dyDescent="0.3">
      <c r="A184" s="23">
        <v>90583</v>
      </c>
      <c r="B184" s="23" t="s">
        <v>1433</v>
      </c>
      <c r="C184" s="24" t="s">
        <v>1608</v>
      </c>
      <c r="D184" s="23" t="s">
        <v>1366</v>
      </c>
      <c r="E184" s="5">
        <f t="shared" si="5"/>
        <v>0.09</v>
      </c>
      <c r="F184" s="5">
        <v>0.09</v>
      </c>
      <c r="G184" s="5">
        <v>0.09</v>
      </c>
    </row>
    <row r="185" spans="1:7" ht="28.8" x14ac:dyDescent="0.3">
      <c r="A185" s="23">
        <v>90584</v>
      </c>
      <c r="B185" s="23" t="s">
        <v>1433</v>
      </c>
      <c r="C185" s="24" t="s">
        <v>1609</v>
      </c>
      <c r="D185" s="23" t="s">
        <v>1366</v>
      </c>
      <c r="E185" s="5">
        <f t="shared" si="5"/>
        <v>0.31</v>
      </c>
      <c r="F185" s="5">
        <v>0.31</v>
      </c>
      <c r="G185" s="5">
        <v>0.31</v>
      </c>
    </row>
    <row r="186" spans="1:7" ht="28.8" x14ac:dyDescent="0.3">
      <c r="A186" s="23">
        <v>90585</v>
      </c>
      <c r="B186" s="23" t="s">
        <v>1433</v>
      </c>
      <c r="C186" s="24" t="s">
        <v>1610</v>
      </c>
      <c r="D186" s="23" t="s">
        <v>1366</v>
      </c>
      <c r="E186" s="5">
        <f t="shared" si="5"/>
        <v>0.56999999999999995</v>
      </c>
      <c r="F186" s="5">
        <v>0.56999999999999995</v>
      </c>
      <c r="G186" s="5">
        <v>0.56999999999999995</v>
      </c>
    </row>
  </sheetData>
  <mergeCells count="3">
    <mergeCell ref="A1:G1"/>
    <mergeCell ref="A2:G2"/>
    <mergeCell ref="A3:G3"/>
  </mergeCells>
  <pageMargins left="0.78740157480314965" right="0.39370078740157483" top="1.1811023622047245" bottom="0.78740157480314965" header="0.31496062992125984" footer="0.31496062992125984"/>
  <pageSetup paperSize="9" scale="55" fitToHeight="0"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86E5A-7144-4DA8-8F15-6843B4BF759B}">
  <sheetPr>
    <pageSetUpPr fitToPage="1"/>
  </sheetPr>
  <dimension ref="A1:F152"/>
  <sheetViews>
    <sheetView showGridLines="0" tabSelected="1" workbookViewId="0">
      <selection activeCell="B10" sqref="B10:D10"/>
    </sheetView>
  </sheetViews>
  <sheetFormatPr defaultRowHeight="15" customHeight="1" x14ac:dyDescent="0.3"/>
  <cols>
    <col min="1" max="1" width="12" bestFit="1" customWidth="1"/>
    <col min="2" max="2" width="81.44140625" bestFit="1" customWidth="1"/>
    <col min="3" max="6" width="14.77734375" bestFit="1" customWidth="1"/>
  </cols>
  <sheetData>
    <row r="1" spans="1:6" ht="15" customHeight="1" x14ac:dyDescent="0.3">
      <c r="A1" s="44" t="str">
        <f>CIDADE</f>
        <v>MUNICÍPIOS DE PARNAGUÁ - PI E ANÍSIO DE ABREU-PI</v>
      </c>
      <c r="B1" s="44"/>
      <c r="C1" s="44"/>
      <c r="D1" s="44"/>
      <c r="E1" s="44"/>
      <c r="F1" s="44"/>
    </row>
    <row r="2" spans="1:6" ht="15" customHeight="1" x14ac:dyDescent="0.3">
      <c r="A2" s="44" t="str">
        <f>OBRA</f>
        <v>IMPLANTAÇÃO DE 6 (SEIS) SISTEMAS DE ABASTECIMENTO DE ÁGUA EM COMUNIDADES RURAIS NOS MUNICÍPIOS DE PARNAGUÁ-PI E ANÍSIO DE ABREU-PI (TC 967175/2024)</v>
      </c>
      <c r="B2" s="44"/>
      <c r="C2" s="44"/>
      <c r="D2" s="44"/>
      <c r="E2" s="44"/>
      <c r="F2" s="44"/>
    </row>
    <row r="3" spans="1:6" ht="15" customHeight="1" x14ac:dyDescent="0.3">
      <c r="A3" s="44" t="s">
        <v>15</v>
      </c>
      <c r="B3" s="44"/>
      <c r="C3" s="44"/>
      <c r="D3" s="44"/>
      <c r="E3" s="44"/>
      <c r="F3" s="44"/>
    </row>
    <row r="5" spans="1:6" ht="15" customHeight="1" x14ac:dyDescent="0.3">
      <c r="A5" s="1" t="s">
        <v>1</v>
      </c>
      <c r="B5" s="7" t="str">
        <f>FONTE&amp;FOLHA</f>
        <v>SINAPI PI 07/2025, SEINFRA CE 28, ORSE SE 06/2025, CAESB 10/2024SEM DESONERAÇÃO</v>
      </c>
      <c r="C5" s="1" t="s">
        <v>7</v>
      </c>
      <c r="D5" s="8">
        <f>LEI</f>
        <v>113.33</v>
      </c>
      <c r="E5" s="1" t="s">
        <v>16</v>
      </c>
      <c r="F5" s="8">
        <f>BDI</f>
        <v>22.33</v>
      </c>
    </row>
    <row r="6" spans="1:6" ht="15" customHeight="1" x14ac:dyDescent="0.3">
      <c r="A6" s="4" t="s">
        <v>17</v>
      </c>
      <c r="B6" s="45" t="s">
        <v>18</v>
      </c>
      <c r="C6" s="47"/>
      <c r="D6" s="46"/>
      <c r="E6" s="4" t="s">
        <v>12</v>
      </c>
      <c r="F6" s="4" t="s">
        <v>19</v>
      </c>
    </row>
    <row r="7" spans="1:6" ht="15" customHeight="1" x14ac:dyDescent="0.3">
      <c r="A7" s="9">
        <v>1</v>
      </c>
      <c r="B7" s="54" t="str">
        <f>VLOOKUP(A7,ORCAMENTO!$A:$I,2,FALSE)</f>
        <v>SERVIÇOS PRELIMINARES</v>
      </c>
      <c r="C7" s="55"/>
      <c r="D7" s="56"/>
      <c r="E7" s="10">
        <f>VLOOKUP(A7,ORCAMENTO!$A:$I,9,FALSE)</f>
        <v>85261.61</v>
      </c>
      <c r="F7" s="11">
        <f t="shared" ref="F7:F38" si="0">E7/$E$152</f>
        <v>5.2895615142394804E-2</v>
      </c>
    </row>
    <row r="8" spans="1:6" ht="15" customHeight="1" x14ac:dyDescent="0.3">
      <c r="A8" s="9">
        <v>2</v>
      </c>
      <c r="B8" s="54" t="str">
        <f>VLOOKUP(A8,ORCAMENTO!$A:$I,2,FALSE)</f>
        <v>LOCALIDADE CAPIM GROSSO (PARNAGUÁ-PI)</v>
      </c>
      <c r="C8" s="55"/>
      <c r="D8" s="56"/>
      <c r="E8" s="10">
        <f>VLOOKUP(A8,ORCAMENTO!$A:$I,9,FALSE)</f>
        <v>553618.73</v>
      </c>
      <c r="F8" s="11">
        <f t="shared" si="0"/>
        <v>0.34346059472371426</v>
      </c>
    </row>
    <row r="9" spans="1:6" ht="15" customHeight="1" x14ac:dyDescent="0.3">
      <c r="A9" s="12" t="s">
        <v>20</v>
      </c>
      <c r="B9" s="51" t="str">
        <f>VLOOKUP(A9,ORCAMENTO!$A:$I,2,FALSE)</f>
        <v>PERFURAÇÃO DE POÇO TUBULAR</v>
      </c>
      <c r="C9" s="52"/>
      <c r="D9" s="53"/>
      <c r="E9" s="13">
        <f>VLOOKUP(A9,ORCAMENTO!$A:$I,9,FALSE)</f>
        <v>51020.49</v>
      </c>
      <c r="F9" s="14">
        <f t="shared" si="0"/>
        <v>3.1652700475822623E-2</v>
      </c>
    </row>
    <row r="10" spans="1:6" ht="28.8" customHeight="1" x14ac:dyDescent="0.3">
      <c r="A10" s="12" t="s">
        <v>21</v>
      </c>
      <c r="B10" s="57" t="str">
        <f>VLOOKUP(A10,ORCAMENTO!$A:$I,2,FALSE)</f>
        <v>AQUISIÇÃO E INSTALAÇÃO DE EQUIPAMENTOS DE BOMBEAMENTO, RECALQUE/BARRILETE E CONEXÕES PARA INTERLIGAÇÃO COM RESERVATÓRIO</v>
      </c>
      <c r="C10" s="58"/>
      <c r="D10" s="59"/>
      <c r="E10" s="13">
        <f>VLOOKUP(A10,ORCAMENTO!$A:$I,9,FALSE)</f>
        <v>10148.990000000002</v>
      </c>
      <c r="F10" s="14">
        <f t="shared" si="0"/>
        <v>6.2963515364536692E-3</v>
      </c>
    </row>
    <row r="11" spans="1:6" ht="15" customHeight="1" x14ac:dyDescent="0.3">
      <c r="A11" s="12" t="s">
        <v>22</v>
      </c>
      <c r="B11" s="51" t="str">
        <f>VLOOKUP(A11,ORCAMENTO!$A:$I,2,FALSE)</f>
        <v>CONSTRUÇÃO DA CASA DE COMANDO</v>
      </c>
      <c r="C11" s="52"/>
      <c r="D11" s="53"/>
      <c r="E11" s="13">
        <f>VLOOKUP(A11,ORCAMENTO!$A:$I,9,FALSE)</f>
        <v>20274.329999999998</v>
      </c>
      <c r="F11" s="14">
        <f t="shared" si="0"/>
        <v>1.2578030803663093E-2</v>
      </c>
    </row>
    <row r="12" spans="1:6" ht="15" customHeight="1" x14ac:dyDescent="0.3">
      <c r="A12" s="15" t="s">
        <v>23</v>
      </c>
      <c r="B12" s="48" t="str">
        <f>VLOOKUP(A12,ORCAMENTO!$A:$I,2,FALSE)</f>
        <v>SERVIÇOS PRELIMINARES</v>
      </c>
      <c r="C12" s="49"/>
      <c r="D12" s="50"/>
      <c r="E12" s="16">
        <f>VLOOKUP(A12,ORCAMENTO!$A:$I,9,FALSE)</f>
        <v>1315.92</v>
      </c>
      <c r="F12" s="17">
        <f t="shared" si="0"/>
        <v>8.1638615407544121E-4</v>
      </c>
    </row>
    <row r="13" spans="1:6" ht="15" customHeight="1" x14ac:dyDescent="0.3">
      <c r="A13" s="15" t="s">
        <v>24</v>
      </c>
      <c r="B13" s="48" t="str">
        <f>VLOOKUP(A13,ORCAMENTO!$A:$I,2,FALSE)</f>
        <v>MOVIMENTO DE TERRA</v>
      </c>
      <c r="C13" s="49"/>
      <c r="D13" s="50"/>
      <c r="E13" s="16">
        <f>VLOOKUP(A13,ORCAMENTO!$A:$I,9,FALSE)</f>
        <v>161.76</v>
      </c>
      <c r="F13" s="17">
        <f t="shared" si="0"/>
        <v>1.0035459927901647E-4</v>
      </c>
    </row>
    <row r="14" spans="1:6" ht="15" customHeight="1" x14ac:dyDescent="0.3">
      <c r="A14" s="15" t="s">
        <v>25</v>
      </c>
      <c r="B14" s="48" t="str">
        <f>VLOOKUP(A14,ORCAMENTO!$A:$I,2,FALSE)</f>
        <v>INFRAESTRUTURA</v>
      </c>
      <c r="C14" s="49"/>
      <c r="D14" s="50"/>
      <c r="E14" s="16">
        <f>VLOOKUP(A14,ORCAMENTO!$A:$I,9,FALSE)</f>
        <v>1229.81</v>
      </c>
      <c r="F14" s="17">
        <f t="shared" si="0"/>
        <v>7.6296420461997557E-4</v>
      </c>
    </row>
    <row r="15" spans="1:6" ht="15" customHeight="1" x14ac:dyDescent="0.3">
      <c r="A15" s="15" t="s">
        <v>26</v>
      </c>
      <c r="B15" s="48" t="str">
        <f>VLOOKUP(A15,ORCAMENTO!$A:$I,2,FALSE)</f>
        <v>SUPERESTRUTURA</v>
      </c>
      <c r="C15" s="49"/>
      <c r="D15" s="50"/>
      <c r="E15" s="16">
        <f>VLOOKUP(A15,ORCAMENTO!$A:$I,9,FALSE)</f>
        <v>1323.3</v>
      </c>
      <c r="F15" s="17">
        <f t="shared" si="0"/>
        <v>8.20964646549966E-4</v>
      </c>
    </row>
    <row r="16" spans="1:6" ht="15" customHeight="1" x14ac:dyDescent="0.3">
      <c r="A16" s="15" t="s">
        <v>27</v>
      </c>
      <c r="B16" s="48" t="str">
        <f>VLOOKUP(A16,ORCAMENTO!$A:$I,2,FALSE)</f>
        <v>VEDAÇÃO VERTICAL</v>
      </c>
      <c r="C16" s="49"/>
      <c r="D16" s="50"/>
      <c r="E16" s="16">
        <f>VLOOKUP(A16,ORCAMENTO!$A:$I,9,FALSE)</f>
        <v>2620</v>
      </c>
      <c r="F16" s="17">
        <f t="shared" si="0"/>
        <v>1.6254268676497475E-3</v>
      </c>
    </row>
    <row r="17" spans="1:6" ht="15" customHeight="1" x14ac:dyDescent="0.3">
      <c r="A17" s="15" t="s">
        <v>28</v>
      </c>
      <c r="B17" s="48" t="str">
        <f>VLOOKUP(A17,ORCAMENTO!$A:$I,2,FALSE)</f>
        <v>COBERTURA</v>
      </c>
      <c r="C17" s="49"/>
      <c r="D17" s="50"/>
      <c r="E17" s="16">
        <f>VLOOKUP(A17,ORCAMENTO!$A:$I,9,FALSE)</f>
        <v>1305.45</v>
      </c>
      <c r="F17" s="17">
        <f t="shared" si="0"/>
        <v>8.0989065052418439E-4</v>
      </c>
    </row>
    <row r="18" spans="1:6" ht="15" customHeight="1" x14ac:dyDescent="0.3">
      <c r="A18" s="15" t="s">
        <v>29</v>
      </c>
      <c r="B18" s="48" t="str">
        <f>VLOOKUP(A18,ORCAMENTO!$A:$I,2,FALSE)</f>
        <v>PISO</v>
      </c>
      <c r="C18" s="49"/>
      <c r="D18" s="50"/>
      <c r="E18" s="16">
        <f>VLOOKUP(A18,ORCAMENTO!$A:$I,9,FALSE)</f>
        <v>1174.01</v>
      </c>
      <c r="F18" s="17">
        <f t="shared" si="0"/>
        <v>7.2834633469064125E-4</v>
      </c>
    </row>
    <row r="19" spans="1:6" ht="15" customHeight="1" x14ac:dyDescent="0.3">
      <c r="A19" s="15" t="s">
        <v>30</v>
      </c>
      <c r="B19" s="48" t="str">
        <f>VLOOKUP(A19,ORCAMENTO!$A:$I,2,FALSE)</f>
        <v>REVESTIMENTO</v>
      </c>
      <c r="C19" s="49"/>
      <c r="D19" s="50"/>
      <c r="E19" s="16">
        <f>VLOOKUP(A19,ORCAMENTO!$A:$I,9,FALSE)</f>
        <v>2341.92</v>
      </c>
      <c r="F19" s="17">
        <f t="shared" si="0"/>
        <v>1.452908278582556E-3</v>
      </c>
    </row>
    <row r="20" spans="1:6" ht="15" customHeight="1" x14ac:dyDescent="0.3">
      <c r="A20" s="15" t="s">
        <v>31</v>
      </c>
      <c r="B20" s="48" t="str">
        <f>VLOOKUP(A20,ORCAMENTO!$A:$I,2,FALSE)</f>
        <v>ESQUADRIAS</v>
      </c>
      <c r="C20" s="49"/>
      <c r="D20" s="50"/>
      <c r="E20" s="16">
        <f>VLOOKUP(A20,ORCAMENTO!$A:$I,9,FALSE)</f>
        <v>2243.75</v>
      </c>
      <c r="F20" s="17">
        <f t="shared" si="0"/>
        <v>1.3920044024004279E-3</v>
      </c>
    </row>
    <row r="21" spans="1:6" ht="15" customHeight="1" x14ac:dyDescent="0.3">
      <c r="A21" s="15" t="s">
        <v>32</v>
      </c>
      <c r="B21" s="48" t="str">
        <f>VLOOKUP(A21,ORCAMENTO!$A:$I,2,FALSE)</f>
        <v>PINTURA</v>
      </c>
      <c r="C21" s="49"/>
      <c r="D21" s="50"/>
      <c r="E21" s="16">
        <f>VLOOKUP(A21,ORCAMENTO!$A:$I,9,FALSE)</f>
        <v>649.88</v>
      </c>
      <c r="F21" s="17">
        <f t="shared" si="0"/>
        <v>4.0318031020924349E-4</v>
      </c>
    </row>
    <row r="22" spans="1:6" ht="15" customHeight="1" x14ac:dyDescent="0.3">
      <c r="A22" s="15" t="s">
        <v>33</v>
      </c>
      <c r="B22" s="48" t="str">
        <f>VLOOKUP(A22,ORCAMENTO!$A:$I,2,FALSE)</f>
        <v>CERCAMENTO</v>
      </c>
      <c r="C22" s="49"/>
      <c r="D22" s="50"/>
      <c r="E22" s="16">
        <f>VLOOKUP(A22,ORCAMENTO!$A:$I,9,FALSE)</f>
        <v>5908.53</v>
      </c>
      <c r="F22" s="17">
        <f t="shared" si="0"/>
        <v>3.6656043550818943E-3</v>
      </c>
    </row>
    <row r="23" spans="1:6" ht="15" customHeight="1" x14ac:dyDescent="0.3">
      <c r="A23" s="12" t="s">
        <v>34</v>
      </c>
      <c r="B23" s="51" t="str">
        <f>VLOOKUP(A23,ORCAMENTO!$A:$I,2,FALSE)</f>
        <v>INSTALAÇÕES ELÉTRICAS</v>
      </c>
      <c r="C23" s="52"/>
      <c r="D23" s="53"/>
      <c r="E23" s="13">
        <f>VLOOKUP(A23,ORCAMENTO!$A:$I,9,FALSE)</f>
        <v>18545.48</v>
      </c>
      <c r="F23" s="14">
        <f t="shared" si="0"/>
        <v>1.1505466208191236E-2</v>
      </c>
    </row>
    <row r="24" spans="1:6" ht="15" customHeight="1" x14ac:dyDescent="0.3">
      <c r="A24" s="12" t="s">
        <v>35</v>
      </c>
      <c r="B24" s="51" t="str">
        <f>VLOOKUP(A24,ORCAMENTO!$A:$I,2,FALSE)</f>
        <v>ADUÇÃO</v>
      </c>
      <c r="C24" s="52"/>
      <c r="D24" s="53"/>
      <c r="E24" s="13">
        <f>VLOOKUP(A24,ORCAMENTO!$A:$I,9,FALSE)</f>
        <v>1455.29</v>
      </c>
      <c r="F24" s="14">
        <f t="shared" si="0"/>
        <v>9.028501779473286E-4</v>
      </c>
    </row>
    <row r="25" spans="1:6" ht="15" customHeight="1" x14ac:dyDescent="0.3">
      <c r="A25" s="15" t="s">
        <v>36</v>
      </c>
      <c r="B25" s="48" t="str">
        <f>VLOOKUP(A25,ORCAMENTO!$A:$I,2,FALSE)</f>
        <v>MOVIMENTO DE TERRA</v>
      </c>
      <c r="C25" s="49"/>
      <c r="D25" s="50"/>
      <c r="E25" s="16">
        <f>VLOOKUP(A25,ORCAMENTO!$A:$I,9,FALSE)</f>
        <v>485.08</v>
      </c>
      <c r="F25" s="17">
        <f t="shared" si="0"/>
        <v>3.0093971945020591E-4</v>
      </c>
    </row>
    <row r="26" spans="1:6" ht="15" customHeight="1" x14ac:dyDescent="0.3">
      <c r="A26" s="15" t="s">
        <v>37</v>
      </c>
      <c r="B26" s="48" t="str">
        <f>VLOOKUP(A26,ORCAMENTO!$A:$I,2,FALSE)</f>
        <v>INFRAESTRUTURA</v>
      </c>
      <c r="C26" s="49"/>
      <c r="D26" s="50"/>
      <c r="E26" s="16">
        <f>VLOOKUP(A26,ORCAMENTO!$A:$I,9,FALSE)</f>
        <v>264.64</v>
      </c>
      <c r="F26" s="17">
        <f t="shared" si="0"/>
        <v>1.6418052147130883E-4</v>
      </c>
    </row>
    <row r="27" spans="1:6" ht="15" customHeight="1" x14ac:dyDescent="0.3">
      <c r="A27" s="15" t="s">
        <v>38</v>
      </c>
      <c r="B27" s="48" t="str">
        <f>VLOOKUP(A27,ORCAMENTO!$A:$I,2,FALSE)</f>
        <v>INSTALAÇÕES HIDRÁULICAS</v>
      </c>
      <c r="C27" s="49"/>
      <c r="D27" s="50"/>
      <c r="E27" s="16">
        <f>VLOOKUP(A27,ORCAMENTO!$A:$I,9,FALSE)</f>
        <v>705.57</v>
      </c>
      <c r="F27" s="17">
        <f t="shared" si="0"/>
        <v>4.3772993702581391E-4</v>
      </c>
    </row>
    <row r="28" spans="1:6" ht="15" customHeight="1" x14ac:dyDescent="0.3">
      <c r="A28" s="12" t="s">
        <v>39</v>
      </c>
      <c r="B28" s="51" t="str">
        <f>VLOOKUP(A28,ORCAMENTO!$A:$I,2,FALSE)</f>
        <v>RESERVAÇÃO</v>
      </c>
      <c r="C28" s="52"/>
      <c r="D28" s="53"/>
      <c r="E28" s="13">
        <f>VLOOKUP(A28,ORCAMENTO!$A:$I,9,FALSE)</f>
        <v>62127.229999999996</v>
      </c>
      <c r="F28" s="14">
        <f t="shared" si="0"/>
        <v>3.8543232387273058E-2</v>
      </c>
    </row>
    <row r="29" spans="1:6" ht="15" customHeight="1" x14ac:dyDescent="0.3">
      <c r="A29" s="12" t="s">
        <v>40</v>
      </c>
      <c r="B29" s="51" t="str">
        <f>VLOOKUP(A29,ORCAMENTO!$A:$I,2,FALSE)</f>
        <v>DISTRIBUIÇÃO</v>
      </c>
      <c r="C29" s="52"/>
      <c r="D29" s="53"/>
      <c r="E29" s="13">
        <f>VLOOKUP(A29,ORCAMENTO!$A:$I,9,FALSE)</f>
        <v>390046.92000000004</v>
      </c>
      <c r="F29" s="14">
        <f t="shared" si="0"/>
        <v>0.24198196313436326</v>
      </c>
    </row>
    <row r="30" spans="1:6" ht="15" customHeight="1" x14ac:dyDescent="0.3">
      <c r="A30" s="15" t="s">
        <v>41</v>
      </c>
      <c r="B30" s="48" t="str">
        <f>VLOOKUP(A30,ORCAMENTO!$A:$I,2,FALSE)</f>
        <v>MOVIMENTO DE TERRA</v>
      </c>
      <c r="C30" s="49"/>
      <c r="D30" s="50"/>
      <c r="E30" s="16">
        <f>VLOOKUP(A30,ORCAMENTO!$A:$I,9,FALSE)</f>
        <v>88741.959999999992</v>
      </c>
      <c r="F30" s="17">
        <f t="shared" si="0"/>
        <v>5.5054796210648543E-2</v>
      </c>
    </row>
    <row r="31" spans="1:6" ht="15" customHeight="1" x14ac:dyDescent="0.3">
      <c r="A31" s="15" t="s">
        <v>42</v>
      </c>
      <c r="B31" s="48" t="str">
        <f>VLOOKUP(A31,ORCAMENTO!$A:$I,2,FALSE)</f>
        <v>INSTALAÇÕES HIDRÁULICAS</v>
      </c>
      <c r="C31" s="49"/>
      <c r="D31" s="50"/>
      <c r="E31" s="16">
        <f>VLOOKUP(A31,ORCAMENTO!$A:$I,9,FALSE)</f>
        <v>301304.96000000002</v>
      </c>
      <c r="F31" s="17">
        <f t="shared" si="0"/>
        <v>0.18692716692371469</v>
      </c>
    </row>
    <row r="32" spans="1:6" ht="15" customHeight="1" x14ac:dyDescent="0.3">
      <c r="A32" s="9">
        <v>3</v>
      </c>
      <c r="B32" s="54" t="str">
        <f>VLOOKUP(A32,ORCAMENTO!$A:$I,2,FALSE)</f>
        <v>LOCALIDADE NAZARÉ (PARNAGUÁ-PI)</v>
      </c>
      <c r="C32" s="55"/>
      <c r="D32" s="56"/>
      <c r="E32" s="10">
        <f>VLOOKUP(A32,ORCAMENTO!$A:$I,9,FALSE)</f>
        <v>282954.75</v>
      </c>
      <c r="F32" s="11">
        <f t="shared" si="0"/>
        <v>0.1755428446485181</v>
      </c>
    </row>
    <row r="33" spans="1:6" ht="15" customHeight="1" x14ac:dyDescent="0.3">
      <c r="A33" s="12" t="s">
        <v>43</v>
      </c>
      <c r="B33" s="51" t="str">
        <f>VLOOKUP(A33,ORCAMENTO!$A:$I,2,FALSE)</f>
        <v>PERFURAÇÃO DE POÇO TUBULAR</v>
      </c>
      <c r="C33" s="52"/>
      <c r="D33" s="53"/>
      <c r="E33" s="13">
        <f>VLOOKUP(A33,ORCAMENTO!$A:$I,9,FALSE)</f>
        <v>41696.749999999993</v>
      </c>
      <c r="F33" s="14">
        <f t="shared" si="0"/>
        <v>2.586832738308191E-2</v>
      </c>
    </row>
    <row r="34" spans="1:6" ht="15" customHeight="1" x14ac:dyDescent="0.3">
      <c r="A34" s="12" t="s">
        <v>44</v>
      </c>
      <c r="B34" s="51" t="str">
        <f>VLOOKUP(A34,ORCAMENTO!$A:$I,2,FALSE)</f>
        <v>AQUISIÇÃO E INSTALAÇÃO DE EQUIPAMENTOS DE BOMBEAMENTO, RECALQUE/BARRILETE E CONEXÕES PARA INTERLIGAÇÃO COM RESERVATÓRIO</v>
      </c>
      <c r="C34" s="52"/>
      <c r="D34" s="53"/>
      <c r="E34" s="13">
        <f>VLOOKUP(A34,ORCAMENTO!$A:$I,9,FALSE)</f>
        <v>10148.990000000002</v>
      </c>
      <c r="F34" s="14">
        <f t="shared" si="0"/>
        <v>6.2963515364536692E-3</v>
      </c>
    </row>
    <row r="35" spans="1:6" ht="15" customHeight="1" x14ac:dyDescent="0.3">
      <c r="A35" s="12" t="s">
        <v>45</v>
      </c>
      <c r="B35" s="51" t="str">
        <f>VLOOKUP(A35,ORCAMENTO!$A:$I,2,FALSE)</f>
        <v>CONSTRUÇÃO DA CASA DE COMANDO</v>
      </c>
      <c r="C35" s="52"/>
      <c r="D35" s="53"/>
      <c r="E35" s="13">
        <f>VLOOKUP(A35,ORCAMENTO!$A:$I,9,FALSE)</f>
        <v>20274.329999999998</v>
      </c>
      <c r="F35" s="14">
        <f t="shared" si="0"/>
        <v>1.2578030803663093E-2</v>
      </c>
    </row>
    <row r="36" spans="1:6" ht="15" customHeight="1" x14ac:dyDescent="0.3">
      <c r="A36" s="15" t="s">
        <v>46</v>
      </c>
      <c r="B36" s="48" t="str">
        <f>VLOOKUP(A36,ORCAMENTO!$A:$I,2,FALSE)</f>
        <v>SERVIÇOS PRELIMINARES</v>
      </c>
      <c r="C36" s="49"/>
      <c r="D36" s="50"/>
      <c r="E36" s="16">
        <f>VLOOKUP(A36,ORCAMENTO!$A:$I,9,FALSE)</f>
        <v>1315.92</v>
      </c>
      <c r="F36" s="17">
        <f t="shared" si="0"/>
        <v>8.1638615407544121E-4</v>
      </c>
    </row>
    <row r="37" spans="1:6" ht="15" customHeight="1" x14ac:dyDescent="0.3">
      <c r="A37" s="15" t="s">
        <v>47</v>
      </c>
      <c r="B37" s="48" t="str">
        <f>VLOOKUP(A37,ORCAMENTO!$A:$I,2,FALSE)</f>
        <v>MOVIMENTO DE TERRA</v>
      </c>
      <c r="C37" s="49"/>
      <c r="D37" s="50"/>
      <c r="E37" s="16">
        <f>VLOOKUP(A37,ORCAMENTO!$A:$I,9,FALSE)</f>
        <v>161.76</v>
      </c>
      <c r="F37" s="17">
        <f t="shared" si="0"/>
        <v>1.0035459927901647E-4</v>
      </c>
    </row>
    <row r="38" spans="1:6" ht="15" customHeight="1" x14ac:dyDescent="0.3">
      <c r="A38" s="15" t="s">
        <v>48</v>
      </c>
      <c r="B38" s="48" t="str">
        <f>VLOOKUP(A38,ORCAMENTO!$A:$I,2,FALSE)</f>
        <v>INFRAESTRUTURA</v>
      </c>
      <c r="C38" s="49"/>
      <c r="D38" s="50"/>
      <c r="E38" s="16">
        <f>VLOOKUP(A38,ORCAMENTO!$A:$I,9,FALSE)</f>
        <v>1229.81</v>
      </c>
      <c r="F38" s="17">
        <f t="shared" si="0"/>
        <v>7.6296420461997557E-4</v>
      </c>
    </row>
    <row r="39" spans="1:6" ht="15" customHeight="1" x14ac:dyDescent="0.3">
      <c r="A39" s="15" t="s">
        <v>49</v>
      </c>
      <c r="B39" s="48" t="str">
        <f>VLOOKUP(A39,ORCAMENTO!$A:$I,2,FALSE)</f>
        <v>SUPERESTRUTURA</v>
      </c>
      <c r="C39" s="49"/>
      <c r="D39" s="50"/>
      <c r="E39" s="16">
        <f>VLOOKUP(A39,ORCAMENTO!$A:$I,9,FALSE)</f>
        <v>1323.3</v>
      </c>
      <c r="F39" s="17">
        <f t="shared" ref="F39:F70" si="1">E39/$E$152</f>
        <v>8.20964646549966E-4</v>
      </c>
    </row>
    <row r="40" spans="1:6" ht="15" customHeight="1" x14ac:dyDescent="0.3">
      <c r="A40" s="15" t="s">
        <v>50</v>
      </c>
      <c r="B40" s="48" t="str">
        <f>VLOOKUP(A40,ORCAMENTO!$A:$I,2,FALSE)</f>
        <v>VEDAÇÃO VERTICAL</v>
      </c>
      <c r="C40" s="49"/>
      <c r="D40" s="50"/>
      <c r="E40" s="16">
        <f>VLOOKUP(A40,ORCAMENTO!$A:$I,9,FALSE)</f>
        <v>2620</v>
      </c>
      <c r="F40" s="17">
        <f t="shared" si="1"/>
        <v>1.6254268676497475E-3</v>
      </c>
    </row>
    <row r="41" spans="1:6" ht="15" customHeight="1" x14ac:dyDescent="0.3">
      <c r="A41" s="15" t="s">
        <v>51</v>
      </c>
      <c r="B41" s="48" t="str">
        <f>VLOOKUP(A41,ORCAMENTO!$A:$I,2,FALSE)</f>
        <v>COBERTURA</v>
      </c>
      <c r="C41" s="49"/>
      <c r="D41" s="50"/>
      <c r="E41" s="16">
        <f>VLOOKUP(A41,ORCAMENTO!$A:$I,9,FALSE)</f>
        <v>1305.45</v>
      </c>
      <c r="F41" s="17">
        <f t="shared" si="1"/>
        <v>8.0989065052418439E-4</v>
      </c>
    </row>
    <row r="42" spans="1:6" ht="15" customHeight="1" x14ac:dyDescent="0.3">
      <c r="A42" s="15" t="s">
        <v>52</v>
      </c>
      <c r="B42" s="48" t="str">
        <f>VLOOKUP(A42,ORCAMENTO!$A:$I,2,FALSE)</f>
        <v>PISO</v>
      </c>
      <c r="C42" s="49"/>
      <c r="D42" s="50"/>
      <c r="E42" s="16">
        <f>VLOOKUP(A42,ORCAMENTO!$A:$I,9,FALSE)</f>
        <v>1174.01</v>
      </c>
      <c r="F42" s="17">
        <f t="shared" si="1"/>
        <v>7.2834633469064125E-4</v>
      </c>
    </row>
    <row r="43" spans="1:6" ht="15" customHeight="1" x14ac:dyDescent="0.3">
      <c r="A43" s="15" t="s">
        <v>53</v>
      </c>
      <c r="B43" s="48" t="str">
        <f>VLOOKUP(A43,ORCAMENTO!$A:$I,2,FALSE)</f>
        <v>REVESTIMENTO</v>
      </c>
      <c r="C43" s="49"/>
      <c r="D43" s="50"/>
      <c r="E43" s="16">
        <f>VLOOKUP(A43,ORCAMENTO!$A:$I,9,FALSE)</f>
        <v>2341.92</v>
      </c>
      <c r="F43" s="17">
        <f t="shared" si="1"/>
        <v>1.452908278582556E-3</v>
      </c>
    </row>
    <row r="44" spans="1:6" ht="15" customHeight="1" x14ac:dyDescent="0.3">
      <c r="A44" s="15" t="s">
        <v>54</v>
      </c>
      <c r="B44" s="48" t="str">
        <f>VLOOKUP(A44,ORCAMENTO!$A:$I,2,FALSE)</f>
        <v>ESQUADRIAS</v>
      </c>
      <c r="C44" s="49"/>
      <c r="D44" s="50"/>
      <c r="E44" s="16">
        <f>VLOOKUP(A44,ORCAMENTO!$A:$I,9,FALSE)</f>
        <v>2243.75</v>
      </c>
      <c r="F44" s="17">
        <f t="shared" si="1"/>
        <v>1.3920044024004279E-3</v>
      </c>
    </row>
    <row r="45" spans="1:6" ht="15" customHeight="1" x14ac:dyDescent="0.3">
      <c r="A45" s="15" t="s">
        <v>55</v>
      </c>
      <c r="B45" s="48" t="str">
        <f>VLOOKUP(A45,ORCAMENTO!$A:$I,2,FALSE)</f>
        <v>PINTURA</v>
      </c>
      <c r="C45" s="49"/>
      <c r="D45" s="50"/>
      <c r="E45" s="16">
        <f>VLOOKUP(A45,ORCAMENTO!$A:$I,9,FALSE)</f>
        <v>649.88</v>
      </c>
      <c r="F45" s="17">
        <f t="shared" si="1"/>
        <v>4.0318031020924349E-4</v>
      </c>
    </row>
    <row r="46" spans="1:6" ht="15" customHeight="1" x14ac:dyDescent="0.3">
      <c r="A46" s="15" t="s">
        <v>56</v>
      </c>
      <c r="B46" s="48" t="str">
        <f>VLOOKUP(A46,ORCAMENTO!$A:$I,2,FALSE)</f>
        <v>CERCAMENTO</v>
      </c>
      <c r="C46" s="49"/>
      <c r="D46" s="50"/>
      <c r="E46" s="16">
        <f>VLOOKUP(A46,ORCAMENTO!$A:$I,9,FALSE)</f>
        <v>5908.53</v>
      </c>
      <c r="F46" s="17">
        <f t="shared" si="1"/>
        <v>3.6656043550818943E-3</v>
      </c>
    </row>
    <row r="47" spans="1:6" ht="15" customHeight="1" x14ac:dyDescent="0.3">
      <c r="A47" s="12" t="s">
        <v>57</v>
      </c>
      <c r="B47" s="51" t="str">
        <f>VLOOKUP(A47,ORCAMENTO!$A:$I,2,FALSE)</f>
        <v>INSTALAÇÕES ELÉTRICAS</v>
      </c>
      <c r="C47" s="52"/>
      <c r="D47" s="53"/>
      <c r="E47" s="13">
        <f>VLOOKUP(A47,ORCAMENTO!$A:$I,9,FALSE)</f>
        <v>18545.48</v>
      </c>
      <c r="F47" s="14">
        <f t="shared" si="1"/>
        <v>1.1505466208191236E-2</v>
      </c>
    </row>
    <row r="48" spans="1:6" ht="15" customHeight="1" x14ac:dyDescent="0.3">
      <c r="A48" s="12" t="s">
        <v>58</v>
      </c>
      <c r="B48" s="51" t="str">
        <f>VLOOKUP(A48,ORCAMENTO!$A:$I,2,FALSE)</f>
        <v>ADUÇÃO</v>
      </c>
      <c r="C48" s="52"/>
      <c r="D48" s="53"/>
      <c r="E48" s="13">
        <f>VLOOKUP(A48,ORCAMENTO!$A:$I,9,FALSE)</f>
        <v>1455.29</v>
      </c>
      <c r="F48" s="14">
        <f t="shared" si="1"/>
        <v>9.028501779473286E-4</v>
      </c>
    </row>
    <row r="49" spans="1:6" ht="15" customHeight="1" x14ac:dyDescent="0.3">
      <c r="A49" s="15" t="s">
        <v>59</v>
      </c>
      <c r="B49" s="48" t="str">
        <f>VLOOKUP(A49,ORCAMENTO!$A:$I,2,FALSE)</f>
        <v>MOVIMENTO DE TERRA</v>
      </c>
      <c r="C49" s="49"/>
      <c r="D49" s="50"/>
      <c r="E49" s="16">
        <f>VLOOKUP(A49,ORCAMENTO!$A:$I,9,FALSE)</f>
        <v>485.08</v>
      </c>
      <c r="F49" s="17">
        <f t="shared" si="1"/>
        <v>3.0093971945020591E-4</v>
      </c>
    </row>
    <row r="50" spans="1:6" ht="15" customHeight="1" x14ac:dyDescent="0.3">
      <c r="A50" s="15" t="s">
        <v>60</v>
      </c>
      <c r="B50" s="48" t="str">
        <f>VLOOKUP(A50,ORCAMENTO!$A:$I,2,FALSE)</f>
        <v>INFRAESTRUTURA</v>
      </c>
      <c r="C50" s="49"/>
      <c r="D50" s="50"/>
      <c r="E50" s="16">
        <f>VLOOKUP(A50,ORCAMENTO!$A:$I,9,FALSE)</f>
        <v>264.64</v>
      </c>
      <c r="F50" s="17">
        <f t="shared" si="1"/>
        <v>1.6418052147130883E-4</v>
      </c>
    </row>
    <row r="51" spans="1:6" ht="15" customHeight="1" x14ac:dyDescent="0.3">
      <c r="A51" s="15" t="s">
        <v>61</v>
      </c>
      <c r="B51" s="48" t="str">
        <f>VLOOKUP(A51,ORCAMENTO!$A:$I,2,FALSE)</f>
        <v>INSTALAÇÕES HIDRÁULICAS</v>
      </c>
      <c r="C51" s="49"/>
      <c r="D51" s="50"/>
      <c r="E51" s="16">
        <f>VLOOKUP(A51,ORCAMENTO!$A:$I,9,FALSE)</f>
        <v>705.57</v>
      </c>
      <c r="F51" s="17">
        <f t="shared" si="1"/>
        <v>4.3772993702581391E-4</v>
      </c>
    </row>
    <row r="52" spans="1:6" ht="15" customHeight="1" x14ac:dyDescent="0.3">
      <c r="A52" s="12" t="s">
        <v>62</v>
      </c>
      <c r="B52" s="51" t="str">
        <f>VLOOKUP(A52,ORCAMENTO!$A:$I,2,FALSE)</f>
        <v>RESERVAÇÃO</v>
      </c>
      <c r="C52" s="52"/>
      <c r="D52" s="53"/>
      <c r="E52" s="13">
        <f>VLOOKUP(A52,ORCAMENTO!$A:$I,9,FALSE)</f>
        <v>31488.33</v>
      </c>
      <c r="F52" s="14">
        <f t="shared" si="1"/>
        <v>1.9535105953977703E-2</v>
      </c>
    </row>
    <row r="53" spans="1:6" ht="15" customHeight="1" x14ac:dyDescent="0.3">
      <c r="A53" s="12" t="s">
        <v>63</v>
      </c>
      <c r="B53" s="51" t="str">
        <f>VLOOKUP(A53,ORCAMENTO!$A:$I,2,FALSE)</f>
        <v>DISTRIBUIÇÃO</v>
      </c>
      <c r="C53" s="52"/>
      <c r="D53" s="53"/>
      <c r="E53" s="13">
        <f>VLOOKUP(A53,ORCAMENTO!$A:$I,9,FALSE)</f>
        <v>159345.58000000002</v>
      </c>
      <c r="F53" s="14">
        <f t="shared" si="1"/>
        <v>9.8856712585203163E-2</v>
      </c>
    </row>
    <row r="54" spans="1:6" ht="15" customHeight="1" x14ac:dyDescent="0.3">
      <c r="A54" s="15" t="s">
        <v>64</v>
      </c>
      <c r="B54" s="48" t="str">
        <f>VLOOKUP(A54,ORCAMENTO!$A:$I,2,FALSE)</f>
        <v>MOVIMENTO DE TERRA</v>
      </c>
      <c r="C54" s="49"/>
      <c r="D54" s="50"/>
      <c r="E54" s="16">
        <f>VLOOKUP(A54,ORCAMENTO!$A:$I,9,FALSE)</f>
        <v>36501.39</v>
      </c>
      <c r="F54" s="17">
        <f t="shared" si="1"/>
        <v>2.2645167943725886E-2</v>
      </c>
    </row>
    <row r="55" spans="1:6" ht="15" customHeight="1" x14ac:dyDescent="0.3">
      <c r="A55" s="15" t="s">
        <v>65</v>
      </c>
      <c r="B55" s="48" t="str">
        <f>VLOOKUP(A55,ORCAMENTO!$A:$I,2,FALSE)</f>
        <v>INSTALAÇÕES HIDRÁULICAS</v>
      </c>
      <c r="C55" s="49"/>
      <c r="D55" s="50"/>
      <c r="E55" s="16">
        <f>VLOOKUP(A55,ORCAMENTO!$A:$I,9,FALSE)</f>
        <v>122844.19</v>
      </c>
      <c r="F55" s="17">
        <f t="shared" si="1"/>
        <v>7.6211544641477266E-2</v>
      </c>
    </row>
    <row r="56" spans="1:6" ht="15" customHeight="1" x14ac:dyDescent="0.3">
      <c r="A56" s="9">
        <v>4</v>
      </c>
      <c r="B56" s="54" t="str">
        <f>VLOOKUP(A56,ORCAMENTO!$A:$I,2,FALSE)</f>
        <v>LOCALIDADE BAIXÃO DA GAMELEIRA II (ANÍSIO DE ABREU-PI)</v>
      </c>
      <c r="C56" s="55"/>
      <c r="D56" s="56"/>
      <c r="E56" s="10">
        <f>VLOOKUP(A56,ORCAMENTO!$A:$I,9,FALSE)</f>
        <v>194268.83000000002</v>
      </c>
      <c r="F56" s="11">
        <f t="shared" si="1"/>
        <v>0.1205228152018631</v>
      </c>
    </row>
    <row r="57" spans="1:6" ht="15" customHeight="1" x14ac:dyDescent="0.3">
      <c r="A57" s="12" t="s">
        <v>66</v>
      </c>
      <c r="B57" s="51" t="str">
        <f>VLOOKUP(A57,ORCAMENTO!$A:$I,2,FALSE)</f>
        <v>PERFURAÇÃO DE POÇO TUBULAR</v>
      </c>
      <c r="C57" s="52"/>
      <c r="D57" s="53"/>
      <c r="E57" s="13">
        <f>VLOOKUP(A57,ORCAMENTO!$A:$I,9,FALSE)</f>
        <v>41765.089999999997</v>
      </c>
      <c r="F57" s="14">
        <f t="shared" si="1"/>
        <v>2.5910724967866332E-2</v>
      </c>
    </row>
    <row r="58" spans="1:6" ht="15" customHeight="1" x14ac:dyDescent="0.3">
      <c r="A58" s="12" t="s">
        <v>67</v>
      </c>
      <c r="B58" s="51" t="str">
        <f>VLOOKUP(A58,ORCAMENTO!$A:$I,2,FALSE)</f>
        <v>AQUISIÇÃO E INSTALAÇÃO DE EQUIPAMENTOS DE BOMBEAMENTO, RECALQUE/BARRILETE E CONEXÕES PARA INTERLIGAÇÃO COM RESERVATÓRIO</v>
      </c>
      <c r="C58" s="52"/>
      <c r="D58" s="53"/>
      <c r="E58" s="13">
        <f>VLOOKUP(A58,ORCAMENTO!$A:$I,9,FALSE)</f>
        <v>9017.39</v>
      </c>
      <c r="F58" s="14">
        <f t="shared" si="1"/>
        <v>5.5943160236931891E-3</v>
      </c>
    </row>
    <row r="59" spans="1:6" ht="15" customHeight="1" x14ac:dyDescent="0.3">
      <c r="A59" s="12" t="s">
        <v>68</v>
      </c>
      <c r="B59" s="51" t="str">
        <f>VLOOKUP(A59,ORCAMENTO!$A:$I,2,FALSE)</f>
        <v>CONSTRUÇÃO DA CASA DE COMANDO</v>
      </c>
      <c r="C59" s="52"/>
      <c r="D59" s="53"/>
      <c r="E59" s="13">
        <f>VLOOKUP(A59,ORCAMENTO!$A:$I,9,FALSE)</f>
        <v>20274.329999999998</v>
      </c>
      <c r="F59" s="14">
        <f t="shared" si="1"/>
        <v>1.2578030803663093E-2</v>
      </c>
    </row>
    <row r="60" spans="1:6" ht="15" customHeight="1" x14ac:dyDescent="0.3">
      <c r="A60" s="15" t="s">
        <v>69</v>
      </c>
      <c r="B60" s="48" t="str">
        <f>VLOOKUP(A60,ORCAMENTO!$A:$I,2,FALSE)</f>
        <v>SERVIÇOS PRELIMINARES</v>
      </c>
      <c r="C60" s="49"/>
      <c r="D60" s="50"/>
      <c r="E60" s="16">
        <f>VLOOKUP(A60,ORCAMENTO!$A:$I,9,FALSE)</f>
        <v>1315.92</v>
      </c>
      <c r="F60" s="17">
        <f t="shared" si="1"/>
        <v>8.1638615407544121E-4</v>
      </c>
    </row>
    <row r="61" spans="1:6" ht="15" customHeight="1" x14ac:dyDescent="0.3">
      <c r="A61" s="15" t="s">
        <v>70</v>
      </c>
      <c r="B61" s="48" t="str">
        <f>VLOOKUP(A61,ORCAMENTO!$A:$I,2,FALSE)</f>
        <v>MOVIMENTO DE TERRA</v>
      </c>
      <c r="C61" s="49"/>
      <c r="D61" s="50"/>
      <c r="E61" s="16">
        <f>VLOOKUP(A61,ORCAMENTO!$A:$I,9,FALSE)</f>
        <v>161.76</v>
      </c>
      <c r="F61" s="17">
        <f t="shared" si="1"/>
        <v>1.0035459927901647E-4</v>
      </c>
    </row>
    <row r="62" spans="1:6" ht="15" customHeight="1" x14ac:dyDescent="0.3">
      <c r="A62" s="15" t="s">
        <v>71</v>
      </c>
      <c r="B62" s="48" t="str">
        <f>VLOOKUP(A62,ORCAMENTO!$A:$I,2,FALSE)</f>
        <v>INFRAESTRUTURA</v>
      </c>
      <c r="C62" s="49"/>
      <c r="D62" s="50"/>
      <c r="E62" s="16">
        <f>VLOOKUP(A62,ORCAMENTO!$A:$I,9,FALSE)</f>
        <v>1229.81</v>
      </c>
      <c r="F62" s="17">
        <f t="shared" si="1"/>
        <v>7.6296420461997557E-4</v>
      </c>
    </row>
    <row r="63" spans="1:6" ht="15" customHeight="1" x14ac:dyDescent="0.3">
      <c r="A63" s="15" t="s">
        <v>72</v>
      </c>
      <c r="B63" s="48" t="str">
        <f>VLOOKUP(A63,ORCAMENTO!$A:$I,2,FALSE)</f>
        <v>SUPERESTRUTURA</v>
      </c>
      <c r="C63" s="49"/>
      <c r="D63" s="50"/>
      <c r="E63" s="16">
        <f>VLOOKUP(A63,ORCAMENTO!$A:$I,9,FALSE)</f>
        <v>1323.3</v>
      </c>
      <c r="F63" s="17">
        <f t="shared" si="1"/>
        <v>8.20964646549966E-4</v>
      </c>
    </row>
    <row r="64" spans="1:6" ht="15" customHeight="1" x14ac:dyDescent="0.3">
      <c r="A64" s="15" t="s">
        <v>73</v>
      </c>
      <c r="B64" s="48" t="str">
        <f>VLOOKUP(A64,ORCAMENTO!$A:$I,2,FALSE)</f>
        <v>VEDAÇÃO VERTICAL</v>
      </c>
      <c r="C64" s="49"/>
      <c r="D64" s="50"/>
      <c r="E64" s="16">
        <f>VLOOKUP(A64,ORCAMENTO!$A:$I,9,FALSE)</f>
        <v>2620</v>
      </c>
      <c r="F64" s="17">
        <f t="shared" si="1"/>
        <v>1.6254268676497475E-3</v>
      </c>
    </row>
    <row r="65" spans="1:6" ht="15" customHeight="1" x14ac:dyDescent="0.3">
      <c r="A65" s="15" t="s">
        <v>74</v>
      </c>
      <c r="B65" s="48" t="str">
        <f>VLOOKUP(A65,ORCAMENTO!$A:$I,2,FALSE)</f>
        <v>COBERTURA</v>
      </c>
      <c r="C65" s="49"/>
      <c r="D65" s="50"/>
      <c r="E65" s="16">
        <f>VLOOKUP(A65,ORCAMENTO!$A:$I,9,FALSE)</f>
        <v>1305.45</v>
      </c>
      <c r="F65" s="17">
        <f t="shared" si="1"/>
        <v>8.0989065052418439E-4</v>
      </c>
    </row>
    <row r="66" spans="1:6" ht="15" customHeight="1" x14ac:dyDescent="0.3">
      <c r="A66" s="15" t="s">
        <v>75</v>
      </c>
      <c r="B66" s="48" t="str">
        <f>VLOOKUP(A66,ORCAMENTO!$A:$I,2,FALSE)</f>
        <v>PISO</v>
      </c>
      <c r="C66" s="49"/>
      <c r="D66" s="50"/>
      <c r="E66" s="16">
        <f>VLOOKUP(A66,ORCAMENTO!$A:$I,9,FALSE)</f>
        <v>1174.01</v>
      </c>
      <c r="F66" s="17">
        <f t="shared" si="1"/>
        <v>7.2834633469064125E-4</v>
      </c>
    </row>
    <row r="67" spans="1:6" ht="15" customHeight="1" x14ac:dyDescent="0.3">
      <c r="A67" s="15" t="s">
        <v>76</v>
      </c>
      <c r="B67" s="48" t="str">
        <f>VLOOKUP(A67,ORCAMENTO!$A:$I,2,FALSE)</f>
        <v>REVESTIMENTO</v>
      </c>
      <c r="C67" s="49"/>
      <c r="D67" s="50"/>
      <c r="E67" s="16">
        <f>VLOOKUP(A67,ORCAMENTO!$A:$I,9,FALSE)</f>
        <v>2341.92</v>
      </c>
      <c r="F67" s="17">
        <f t="shared" si="1"/>
        <v>1.452908278582556E-3</v>
      </c>
    </row>
    <row r="68" spans="1:6" ht="15" customHeight="1" x14ac:dyDescent="0.3">
      <c r="A68" s="15" t="s">
        <v>77</v>
      </c>
      <c r="B68" s="48" t="str">
        <f>VLOOKUP(A68,ORCAMENTO!$A:$I,2,FALSE)</f>
        <v>ESQUADRIAS</v>
      </c>
      <c r="C68" s="49"/>
      <c r="D68" s="50"/>
      <c r="E68" s="16">
        <f>VLOOKUP(A68,ORCAMENTO!$A:$I,9,FALSE)</f>
        <v>2243.75</v>
      </c>
      <c r="F68" s="17">
        <f t="shared" si="1"/>
        <v>1.3920044024004279E-3</v>
      </c>
    </row>
    <row r="69" spans="1:6" ht="15" customHeight="1" x14ac:dyDescent="0.3">
      <c r="A69" s="15" t="s">
        <v>78</v>
      </c>
      <c r="B69" s="48" t="str">
        <f>VLOOKUP(A69,ORCAMENTO!$A:$I,2,FALSE)</f>
        <v>PINTURA</v>
      </c>
      <c r="C69" s="49"/>
      <c r="D69" s="50"/>
      <c r="E69" s="16">
        <f>VLOOKUP(A69,ORCAMENTO!$A:$I,9,FALSE)</f>
        <v>649.88</v>
      </c>
      <c r="F69" s="17">
        <f t="shared" si="1"/>
        <v>4.0318031020924349E-4</v>
      </c>
    </row>
    <row r="70" spans="1:6" ht="15" customHeight="1" x14ac:dyDescent="0.3">
      <c r="A70" s="15" t="s">
        <v>79</v>
      </c>
      <c r="B70" s="48" t="str">
        <f>VLOOKUP(A70,ORCAMENTO!$A:$I,2,FALSE)</f>
        <v>CERCAMENTO</v>
      </c>
      <c r="C70" s="49"/>
      <c r="D70" s="50"/>
      <c r="E70" s="16">
        <f>VLOOKUP(A70,ORCAMENTO!$A:$I,9,FALSE)</f>
        <v>5908.53</v>
      </c>
      <c r="F70" s="17">
        <f t="shared" si="1"/>
        <v>3.6656043550818943E-3</v>
      </c>
    </row>
    <row r="71" spans="1:6" ht="15" customHeight="1" x14ac:dyDescent="0.3">
      <c r="A71" s="12" t="s">
        <v>80</v>
      </c>
      <c r="B71" s="51" t="str">
        <f>VLOOKUP(A71,ORCAMENTO!$A:$I,2,FALSE)</f>
        <v>INSTALAÇÕES ELÉTRICAS</v>
      </c>
      <c r="C71" s="52"/>
      <c r="D71" s="53"/>
      <c r="E71" s="13">
        <f>VLOOKUP(A71,ORCAMENTO!$A:$I,9,FALSE)</f>
        <v>17909.879999999997</v>
      </c>
      <c r="F71" s="14">
        <f t="shared" ref="F71:F102" si="2">E71/$E$152</f>
        <v>1.1111145094802617E-2</v>
      </c>
    </row>
    <row r="72" spans="1:6" ht="15" customHeight="1" x14ac:dyDescent="0.3">
      <c r="A72" s="12" t="s">
        <v>81</v>
      </c>
      <c r="B72" s="51" t="str">
        <f>VLOOKUP(A72,ORCAMENTO!$A:$I,2,FALSE)</f>
        <v>ADUÇÃO</v>
      </c>
      <c r="C72" s="52"/>
      <c r="D72" s="53"/>
      <c r="E72" s="13">
        <f>VLOOKUP(A72,ORCAMENTO!$A:$I,9,FALSE)</f>
        <v>1455.29</v>
      </c>
      <c r="F72" s="14">
        <f t="shared" si="2"/>
        <v>9.028501779473286E-4</v>
      </c>
    </row>
    <row r="73" spans="1:6" ht="15" customHeight="1" x14ac:dyDescent="0.3">
      <c r="A73" s="15" t="s">
        <v>82</v>
      </c>
      <c r="B73" s="48" t="str">
        <f>VLOOKUP(A73,ORCAMENTO!$A:$I,2,FALSE)</f>
        <v>MOVIMENTO DE TERRA</v>
      </c>
      <c r="C73" s="49"/>
      <c r="D73" s="50"/>
      <c r="E73" s="16">
        <f>VLOOKUP(A73,ORCAMENTO!$A:$I,9,FALSE)</f>
        <v>485.08</v>
      </c>
      <c r="F73" s="17">
        <f t="shared" si="2"/>
        <v>3.0093971945020591E-4</v>
      </c>
    </row>
    <row r="74" spans="1:6" ht="15" customHeight="1" x14ac:dyDescent="0.3">
      <c r="A74" s="15" t="s">
        <v>83</v>
      </c>
      <c r="B74" s="48" t="str">
        <f>VLOOKUP(A74,ORCAMENTO!$A:$I,2,FALSE)</f>
        <v>INFRAESTRUTURA</v>
      </c>
      <c r="C74" s="49"/>
      <c r="D74" s="50"/>
      <c r="E74" s="16">
        <f>VLOOKUP(A74,ORCAMENTO!$A:$I,9,FALSE)</f>
        <v>264.64</v>
      </c>
      <c r="F74" s="17">
        <f t="shared" si="2"/>
        <v>1.6418052147130883E-4</v>
      </c>
    </row>
    <row r="75" spans="1:6" ht="15" customHeight="1" x14ac:dyDescent="0.3">
      <c r="A75" s="15" t="s">
        <v>84</v>
      </c>
      <c r="B75" s="48" t="str">
        <f>VLOOKUP(A75,ORCAMENTO!$A:$I,2,FALSE)</f>
        <v>INSTALAÇÕES HIDRÁULICAS</v>
      </c>
      <c r="C75" s="49"/>
      <c r="D75" s="50"/>
      <c r="E75" s="16">
        <f>VLOOKUP(A75,ORCAMENTO!$A:$I,9,FALSE)</f>
        <v>705.57</v>
      </c>
      <c r="F75" s="17">
        <f t="shared" si="2"/>
        <v>4.3772993702581391E-4</v>
      </c>
    </row>
    <row r="76" spans="1:6" ht="15" customHeight="1" x14ac:dyDescent="0.3">
      <c r="A76" s="12" t="s">
        <v>85</v>
      </c>
      <c r="B76" s="51" t="str">
        <f>VLOOKUP(A76,ORCAMENTO!$A:$I,2,FALSE)</f>
        <v>RESERVAÇÃO</v>
      </c>
      <c r="C76" s="52"/>
      <c r="D76" s="53"/>
      <c r="E76" s="13">
        <f>VLOOKUP(A76,ORCAMENTO!$A:$I,9,FALSE)</f>
        <v>31488.33</v>
      </c>
      <c r="F76" s="14">
        <f t="shared" si="2"/>
        <v>1.9535105953977703E-2</v>
      </c>
    </row>
    <row r="77" spans="1:6" ht="15" customHeight="1" x14ac:dyDescent="0.3">
      <c r="A77" s="12" t="s">
        <v>86</v>
      </c>
      <c r="B77" s="51" t="str">
        <f>VLOOKUP(A77,ORCAMENTO!$A:$I,2,FALSE)</f>
        <v>DISTRIBUIÇÃO</v>
      </c>
      <c r="C77" s="52"/>
      <c r="D77" s="53"/>
      <c r="E77" s="13">
        <f>VLOOKUP(A77,ORCAMENTO!$A:$I,9,FALSE)</f>
        <v>72358.52</v>
      </c>
      <c r="F77" s="14">
        <f t="shared" si="2"/>
        <v>4.4890642179912829E-2</v>
      </c>
    </row>
    <row r="78" spans="1:6" ht="15" customHeight="1" x14ac:dyDescent="0.3">
      <c r="A78" s="15" t="s">
        <v>87</v>
      </c>
      <c r="B78" s="48" t="str">
        <f>VLOOKUP(A78,ORCAMENTO!$A:$I,2,FALSE)</f>
        <v>MOVIMENTO DE TERRA</v>
      </c>
      <c r="C78" s="49"/>
      <c r="D78" s="50"/>
      <c r="E78" s="16">
        <f>VLOOKUP(A78,ORCAMENTO!$A:$I,9,FALSE)</f>
        <v>15299.079999999998</v>
      </c>
      <c r="F78" s="17">
        <f t="shared" si="2"/>
        <v>9.4914258329476704E-3</v>
      </c>
    </row>
    <row r="79" spans="1:6" ht="15" customHeight="1" x14ac:dyDescent="0.3">
      <c r="A79" s="15" t="s">
        <v>88</v>
      </c>
      <c r="B79" s="48" t="str">
        <f>VLOOKUP(A79,ORCAMENTO!$A:$I,2,FALSE)</f>
        <v>INSTALAÇÕES HIDRÁULICAS</v>
      </c>
      <c r="C79" s="49"/>
      <c r="D79" s="50"/>
      <c r="E79" s="16">
        <f>VLOOKUP(A79,ORCAMENTO!$A:$I,9,FALSE)</f>
        <v>57059.44</v>
      </c>
      <c r="F79" s="17">
        <f t="shared" si="2"/>
        <v>3.5399216346965162E-2</v>
      </c>
    </row>
    <row r="80" spans="1:6" ht="15" customHeight="1" x14ac:dyDescent="0.3">
      <c r="A80" s="9">
        <v>5</v>
      </c>
      <c r="B80" s="54" t="str">
        <f>VLOOKUP(A80,ORCAMENTO!$A:$I,2,FALSE)</f>
        <v>LOCALIDADE BARREIRINHO (ANÍSIO DE ABREU-PI)</v>
      </c>
      <c r="C80" s="55"/>
      <c r="D80" s="56"/>
      <c r="E80" s="10">
        <f>VLOOKUP(A80,ORCAMENTO!$A:$I,9,FALSE)</f>
        <v>137728.81</v>
      </c>
      <c r="F80" s="11">
        <f t="shared" si="2"/>
        <v>8.5445842833369173E-2</v>
      </c>
    </row>
    <row r="81" spans="1:6" ht="15" customHeight="1" x14ac:dyDescent="0.3">
      <c r="A81" s="12" t="s">
        <v>89</v>
      </c>
      <c r="B81" s="51" t="str">
        <f>VLOOKUP(A81,ORCAMENTO!$A:$I,2,FALSE)</f>
        <v>PERFURAÇÃO DE POÇO TUBULAR</v>
      </c>
      <c r="C81" s="52"/>
      <c r="D81" s="53"/>
      <c r="E81" s="13">
        <f>VLOOKUP(A81,ORCAMENTO!$A:$I,9,FALSE)</f>
        <v>45567.549999999996</v>
      </c>
      <c r="F81" s="14">
        <f t="shared" si="2"/>
        <v>2.8269740482050859E-2</v>
      </c>
    </row>
    <row r="82" spans="1:6" ht="15" customHeight="1" x14ac:dyDescent="0.3">
      <c r="A82" s="12" t="s">
        <v>90</v>
      </c>
      <c r="B82" s="51" t="str">
        <f>VLOOKUP(A82,ORCAMENTO!$A:$I,2,FALSE)</f>
        <v>AQUISIÇÃO E INSTALAÇÃO DE EQUIPAMENTOS DE BOMBEAMENTO, RECALQUE/BARRILETE E CONEXÕES PARA INTERLIGAÇÃO COM RESERVATÓRIO</v>
      </c>
      <c r="C82" s="52"/>
      <c r="D82" s="53"/>
      <c r="E82" s="13">
        <f>VLOOKUP(A82,ORCAMENTO!$A:$I,9,FALSE)</f>
        <v>9017.39</v>
      </c>
      <c r="F82" s="14">
        <f t="shared" si="2"/>
        <v>5.5943160236931891E-3</v>
      </c>
    </row>
    <row r="83" spans="1:6" ht="15" customHeight="1" x14ac:dyDescent="0.3">
      <c r="A83" s="12" t="s">
        <v>91</v>
      </c>
      <c r="B83" s="51" t="str">
        <f>VLOOKUP(A83,ORCAMENTO!$A:$I,2,FALSE)</f>
        <v>CONSTRUÇÃO DA CASA DE COMANDO</v>
      </c>
      <c r="C83" s="52"/>
      <c r="D83" s="53"/>
      <c r="E83" s="13">
        <f>VLOOKUP(A83,ORCAMENTO!$A:$I,9,FALSE)</f>
        <v>20274.329999999998</v>
      </c>
      <c r="F83" s="14">
        <f t="shared" si="2"/>
        <v>1.2578030803663093E-2</v>
      </c>
    </row>
    <row r="84" spans="1:6" ht="15" customHeight="1" x14ac:dyDescent="0.3">
      <c r="A84" s="15" t="s">
        <v>92</v>
      </c>
      <c r="B84" s="48" t="str">
        <f>VLOOKUP(A84,ORCAMENTO!$A:$I,2,FALSE)</f>
        <v>SERVIÇOS PRELIMINARES</v>
      </c>
      <c r="C84" s="49"/>
      <c r="D84" s="50"/>
      <c r="E84" s="16">
        <f>VLOOKUP(A84,ORCAMENTO!$A:$I,9,FALSE)</f>
        <v>1315.92</v>
      </c>
      <c r="F84" s="17">
        <f t="shared" si="2"/>
        <v>8.1638615407544121E-4</v>
      </c>
    </row>
    <row r="85" spans="1:6" ht="15" customHeight="1" x14ac:dyDescent="0.3">
      <c r="A85" s="15" t="s">
        <v>93</v>
      </c>
      <c r="B85" s="48" t="str">
        <f>VLOOKUP(A85,ORCAMENTO!$A:$I,2,FALSE)</f>
        <v>MOVIMENTO DE TERRA</v>
      </c>
      <c r="C85" s="49"/>
      <c r="D85" s="50"/>
      <c r="E85" s="16">
        <f>VLOOKUP(A85,ORCAMENTO!$A:$I,9,FALSE)</f>
        <v>161.76</v>
      </c>
      <c r="F85" s="17">
        <f t="shared" si="2"/>
        <v>1.0035459927901647E-4</v>
      </c>
    </row>
    <row r="86" spans="1:6" ht="15" customHeight="1" x14ac:dyDescent="0.3">
      <c r="A86" s="15" t="s">
        <v>94</v>
      </c>
      <c r="B86" s="48" t="str">
        <f>VLOOKUP(A86,ORCAMENTO!$A:$I,2,FALSE)</f>
        <v>INFRAESTRUTURA</v>
      </c>
      <c r="C86" s="49"/>
      <c r="D86" s="50"/>
      <c r="E86" s="16">
        <f>VLOOKUP(A86,ORCAMENTO!$A:$I,9,FALSE)</f>
        <v>1229.81</v>
      </c>
      <c r="F86" s="17">
        <f t="shared" si="2"/>
        <v>7.6296420461997557E-4</v>
      </c>
    </row>
    <row r="87" spans="1:6" ht="15" customHeight="1" x14ac:dyDescent="0.3">
      <c r="A87" s="15" t="s">
        <v>95</v>
      </c>
      <c r="B87" s="48" t="str">
        <f>VLOOKUP(A87,ORCAMENTO!$A:$I,2,FALSE)</f>
        <v>SUPERESTRUTURA</v>
      </c>
      <c r="C87" s="49"/>
      <c r="D87" s="50"/>
      <c r="E87" s="16">
        <f>VLOOKUP(A87,ORCAMENTO!$A:$I,9,FALSE)</f>
        <v>1323.3</v>
      </c>
      <c r="F87" s="17">
        <f t="shared" si="2"/>
        <v>8.20964646549966E-4</v>
      </c>
    </row>
    <row r="88" spans="1:6" ht="15" customHeight="1" x14ac:dyDescent="0.3">
      <c r="A88" s="15" t="s">
        <v>96</v>
      </c>
      <c r="B88" s="48" t="str">
        <f>VLOOKUP(A88,ORCAMENTO!$A:$I,2,FALSE)</f>
        <v>VEDAÇÃO VERTICAL</v>
      </c>
      <c r="C88" s="49"/>
      <c r="D88" s="50"/>
      <c r="E88" s="16">
        <f>VLOOKUP(A88,ORCAMENTO!$A:$I,9,FALSE)</f>
        <v>2620</v>
      </c>
      <c r="F88" s="17">
        <f t="shared" si="2"/>
        <v>1.6254268676497475E-3</v>
      </c>
    </row>
    <row r="89" spans="1:6" ht="15" customHeight="1" x14ac:dyDescent="0.3">
      <c r="A89" s="15" t="s">
        <v>97</v>
      </c>
      <c r="B89" s="48" t="str">
        <f>VLOOKUP(A89,ORCAMENTO!$A:$I,2,FALSE)</f>
        <v>COBERTURA</v>
      </c>
      <c r="C89" s="49"/>
      <c r="D89" s="50"/>
      <c r="E89" s="16">
        <f>VLOOKUP(A89,ORCAMENTO!$A:$I,9,FALSE)</f>
        <v>1305.45</v>
      </c>
      <c r="F89" s="17">
        <f t="shared" si="2"/>
        <v>8.0989065052418439E-4</v>
      </c>
    </row>
    <row r="90" spans="1:6" ht="15" customHeight="1" x14ac:dyDescent="0.3">
      <c r="A90" s="15" t="s">
        <v>98</v>
      </c>
      <c r="B90" s="48" t="str">
        <f>VLOOKUP(A90,ORCAMENTO!$A:$I,2,FALSE)</f>
        <v>PISO</v>
      </c>
      <c r="C90" s="49"/>
      <c r="D90" s="50"/>
      <c r="E90" s="16">
        <f>VLOOKUP(A90,ORCAMENTO!$A:$I,9,FALSE)</f>
        <v>1174.01</v>
      </c>
      <c r="F90" s="17">
        <f t="shared" si="2"/>
        <v>7.2834633469064125E-4</v>
      </c>
    </row>
    <row r="91" spans="1:6" ht="15" customHeight="1" x14ac:dyDescent="0.3">
      <c r="A91" s="15" t="s">
        <v>99</v>
      </c>
      <c r="B91" s="48" t="str">
        <f>VLOOKUP(A91,ORCAMENTO!$A:$I,2,FALSE)</f>
        <v>REVESTIMENTO</v>
      </c>
      <c r="C91" s="49"/>
      <c r="D91" s="50"/>
      <c r="E91" s="16">
        <f>VLOOKUP(A91,ORCAMENTO!$A:$I,9,FALSE)</f>
        <v>2341.92</v>
      </c>
      <c r="F91" s="17">
        <f t="shared" si="2"/>
        <v>1.452908278582556E-3</v>
      </c>
    </row>
    <row r="92" spans="1:6" ht="15" customHeight="1" x14ac:dyDescent="0.3">
      <c r="A92" s="15" t="s">
        <v>100</v>
      </c>
      <c r="B92" s="48" t="str">
        <f>VLOOKUP(A92,ORCAMENTO!$A:$I,2,FALSE)</f>
        <v>ESQUADRIAS</v>
      </c>
      <c r="C92" s="49"/>
      <c r="D92" s="50"/>
      <c r="E92" s="16">
        <f>VLOOKUP(A92,ORCAMENTO!$A:$I,9,FALSE)</f>
        <v>2243.75</v>
      </c>
      <c r="F92" s="17">
        <f t="shared" si="2"/>
        <v>1.3920044024004279E-3</v>
      </c>
    </row>
    <row r="93" spans="1:6" ht="15" customHeight="1" x14ac:dyDescent="0.3">
      <c r="A93" s="15" t="s">
        <v>101</v>
      </c>
      <c r="B93" s="48" t="str">
        <f>VLOOKUP(A93,ORCAMENTO!$A:$I,2,FALSE)</f>
        <v>PINTURA</v>
      </c>
      <c r="C93" s="49"/>
      <c r="D93" s="50"/>
      <c r="E93" s="16">
        <f>VLOOKUP(A93,ORCAMENTO!$A:$I,9,FALSE)</f>
        <v>649.88</v>
      </c>
      <c r="F93" s="17">
        <f t="shared" si="2"/>
        <v>4.0318031020924349E-4</v>
      </c>
    </row>
    <row r="94" spans="1:6" ht="15" customHeight="1" x14ac:dyDescent="0.3">
      <c r="A94" s="15" t="s">
        <v>102</v>
      </c>
      <c r="B94" s="48" t="str">
        <f>VLOOKUP(A94,ORCAMENTO!$A:$I,2,FALSE)</f>
        <v>CERCAMENTO</v>
      </c>
      <c r="C94" s="49"/>
      <c r="D94" s="50"/>
      <c r="E94" s="16">
        <f>VLOOKUP(A94,ORCAMENTO!$A:$I,9,FALSE)</f>
        <v>5908.53</v>
      </c>
      <c r="F94" s="17">
        <f t="shared" si="2"/>
        <v>3.6656043550818943E-3</v>
      </c>
    </row>
    <row r="95" spans="1:6" ht="15" customHeight="1" x14ac:dyDescent="0.3">
      <c r="A95" s="12" t="s">
        <v>103</v>
      </c>
      <c r="B95" s="51" t="str">
        <f>VLOOKUP(A95,ORCAMENTO!$A:$I,2,FALSE)</f>
        <v>INSTALAÇÕES ELÉTRICAS</v>
      </c>
      <c r="C95" s="52"/>
      <c r="D95" s="53"/>
      <c r="E95" s="13">
        <f>VLOOKUP(A95,ORCAMENTO!$A:$I,9,FALSE)</f>
        <v>17909.879999999997</v>
      </c>
      <c r="F95" s="14">
        <f t="shared" si="2"/>
        <v>1.1111145094802617E-2</v>
      </c>
    </row>
    <row r="96" spans="1:6" ht="15" customHeight="1" x14ac:dyDescent="0.3">
      <c r="A96" s="12" t="s">
        <v>104</v>
      </c>
      <c r="B96" s="51" t="str">
        <f>VLOOKUP(A96,ORCAMENTO!$A:$I,2,FALSE)</f>
        <v>ADUÇÃO</v>
      </c>
      <c r="C96" s="52"/>
      <c r="D96" s="53"/>
      <c r="E96" s="13">
        <f>VLOOKUP(A96,ORCAMENTO!$A:$I,9,FALSE)</f>
        <v>1455.29</v>
      </c>
      <c r="F96" s="14">
        <f t="shared" si="2"/>
        <v>9.028501779473286E-4</v>
      </c>
    </row>
    <row r="97" spans="1:6" ht="15" customHeight="1" x14ac:dyDescent="0.3">
      <c r="A97" s="15" t="s">
        <v>105</v>
      </c>
      <c r="B97" s="48" t="str">
        <f>VLOOKUP(A97,ORCAMENTO!$A:$I,2,FALSE)</f>
        <v>MOVIMENTO DE TERRA</v>
      </c>
      <c r="C97" s="49"/>
      <c r="D97" s="50"/>
      <c r="E97" s="16">
        <f>VLOOKUP(A97,ORCAMENTO!$A:$I,9,FALSE)</f>
        <v>485.08</v>
      </c>
      <c r="F97" s="17">
        <f t="shared" si="2"/>
        <v>3.0093971945020591E-4</v>
      </c>
    </row>
    <row r="98" spans="1:6" ht="15" customHeight="1" x14ac:dyDescent="0.3">
      <c r="A98" s="15" t="s">
        <v>106</v>
      </c>
      <c r="B98" s="48" t="str">
        <f>VLOOKUP(A98,ORCAMENTO!$A:$I,2,FALSE)</f>
        <v>INFRAESTRUTURA</v>
      </c>
      <c r="C98" s="49"/>
      <c r="D98" s="50"/>
      <c r="E98" s="16">
        <f>VLOOKUP(A98,ORCAMENTO!$A:$I,9,FALSE)</f>
        <v>264.64</v>
      </c>
      <c r="F98" s="17">
        <f t="shared" si="2"/>
        <v>1.6418052147130883E-4</v>
      </c>
    </row>
    <row r="99" spans="1:6" ht="15" customHeight="1" x14ac:dyDescent="0.3">
      <c r="A99" s="15" t="s">
        <v>107</v>
      </c>
      <c r="B99" s="48" t="str">
        <f>VLOOKUP(A99,ORCAMENTO!$A:$I,2,FALSE)</f>
        <v>INSTALAÇÕES HIDRÁULICAS</v>
      </c>
      <c r="C99" s="49"/>
      <c r="D99" s="50"/>
      <c r="E99" s="16">
        <f>VLOOKUP(A99,ORCAMENTO!$A:$I,9,FALSE)</f>
        <v>705.57</v>
      </c>
      <c r="F99" s="17">
        <f t="shared" si="2"/>
        <v>4.3772993702581391E-4</v>
      </c>
    </row>
    <row r="100" spans="1:6" ht="15" customHeight="1" x14ac:dyDescent="0.3">
      <c r="A100" s="12" t="s">
        <v>108</v>
      </c>
      <c r="B100" s="51" t="str">
        <f>VLOOKUP(A100,ORCAMENTO!$A:$I,2,FALSE)</f>
        <v>RESERVAÇÃO</v>
      </c>
      <c r="C100" s="52"/>
      <c r="D100" s="53"/>
      <c r="E100" s="13">
        <f>VLOOKUP(A100,ORCAMENTO!$A:$I,9,FALSE)</f>
        <v>21782.2</v>
      </c>
      <c r="F100" s="14">
        <f t="shared" si="2"/>
        <v>1.3513501189511577E-2</v>
      </c>
    </row>
    <row r="101" spans="1:6" ht="15" customHeight="1" x14ac:dyDescent="0.3">
      <c r="A101" s="12" t="s">
        <v>109</v>
      </c>
      <c r="B101" s="51" t="str">
        <f>VLOOKUP(A101,ORCAMENTO!$A:$I,2,FALSE)</f>
        <v>DISTRIBUIÇÃO</v>
      </c>
      <c r="C101" s="52"/>
      <c r="D101" s="53"/>
      <c r="E101" s="13">
        <f>VLOOKUP(A101,ORCAMENTO!$A:$I,9,FALSE)</f>
        <v>21722.17</v>
      </c>
      <c r="F101" s="14">
        <f t="shared" si="2"/>
        <v>1.3476259061700501E-2</v>
      </c>
    </row>
    <row r="102" spans="1:6" ht="15" customHeight="1" x14ac:dyDescent="0.3">
      <c r="A102" s="15" t="s">
        <v>110</v>
      </c>
      <c r="B102" s="48" t="str">
        <f>VLOOKUP(A102,ORCAMENTO!$A:$I,2,FALSE)</f>
        <v>MOVIMENTO DE TERRA</v>
      </c>
      <c r="C102" s="49"/>
      <c r="D102" s="50"/>
      <c r="E102" s="16">
        <f>VLOOKUP(A102,ORCAMENTO!$A:$I,9,FALSE)</f>
        <v>4694.28</v>
      </c>
      <c r="F102" s="17">
        <f t="shared" si="2"/>
        <v>2.9122934489583421E-3</v>
      </c>
    </row>
    <row r="103" spans="1:6" ht="15" customHeight="1" x14ac:dyDescent="0.3">
      <c r="A103" s="15" t="s">
        <v>111</v>
      </c>
      <c r="B103" s="48" t="str">
        <f>VLOOKUP(A103,ORCAMENTO!$A:$I,2,FALSE)</f>
        <v>INSTALAÇÕES HIDRÁULICAS</v>
      </c>
      <c r="C103" s="49"/>
      <c r="D103" s="50"/>
      <c r="E103" s="16">
        <f>VLOOKUP(A103,ORCAMENTO!$A:$I,9,FALSE)</f>
        <v>17027.89</v>
      </c>
      <c r="F103" s="17">
        <f t="shared" ref="F103:F134" si="3">E103/$E$152</f>
        <v>1.0563965612742161E-2</v>
      </c>
    </row>
    <row r="104" spans="1:6" ht="15" customHeight="1" x14ac:dyDescent="0.3">
      <c r="A104" s="9">
        <v>6</v>
      </c>
      <c r="B104" s="54" t="str">
        <f>VLOOKUP(A104,ORCAMENTO!$A:$I,2,FALSE)</f>
        <v>LOCALIDADE LAGOA DO CABOCLO (ANÍSIO DE ABREU-PI)</v>
      </c>
      <c r="C104" s="55"/>
      <c r="D104" s="56"/>
      <c r="E104" s="10">
        <f>VLOOKUP(A104,ORCAMENTO!$A:$I,9,FALSE)</f>
        <v>168867.97</v>
      </c>
      <c r="F104" s="11">
        <f t="shared" si="3"/>
        <v>0.10476432653567616</v>
      </c>
    </row>
    <row r="105" spans="1:6" ht="15" customHeight="1" x14ac:dyDescent="0.3">
      <c r="A105" s="12" t="s">
        <v>112</v>
      </c>
      <c r="B105" s="51" t="str">
        <f>VLOOKUP(A105,ORCAMENTO!$A:$I,2,FALSE)</f>
        <v>PERFURAÇÃO DE POÇO TUBULAR</v>
      </c>
      <c r="C105" s="52"/>
      <c r="D105" s="53"/>
      <c r="E105" s="13">
        <f>VLOOKUP(A105,ORCAMENTO!$A:$I,9,FALSE)</f>
        <v>38113.39</v>
      </c>
      <c r="F105" s="14">
        <f t="shared" si="3"/>
        <v>2.3645239741684431E-2</v>
      </c>
    </row>
    <row r="106" spans="1:6" ht="15" customHeight="1" x14ac:dyDescent="0.3">
      <c r="A106" s="12" t="s">
        <v>113</v>
      </c>
      <c r="B106" s="51" t="str">
        <f>VLOOKUP(A106,ORCAMENTO!$A:$I,2,FALSE)</f>
        <v>AQUISIÇÃO E INSTALAÇÃO DE EQUIPAMENTOS DE BOMBEAMENTO, RECALQUE/BARRILETE E CONEXÕES PARA INTERLIGAÇÃO COM RESERVATÓRIO</v>
      </c>
      <c r="C106" s="52"/>
      <c r="D106" s="53"/>
      <c r="E106" s="13">
        <f>VLOOKUP(A106,ORCAMENTO!$A:$I,9,FALSE)</f>
        <v>9017.39</v>
      </c>
      <c r="F106" s="14">
        <f t="shared" si="3"/>
        <v>5.5943160236931891E-3</v>
      </c>
    </row>
    <row r="107" spans="1:6" ht="15" customHeight="1" x14ac:dyDescent="0.3">
      <c r="A107" s="12" t="s">
        <v>114</v>
      </c>
      <c r="B107" s="51" t="str">
        <f>VLOOKUP(A107,ORCAMENTO!$A:$I,2,FALSE)</f>
        <v>CONSTRUÇÃO DA CASA DE COMANDO</v>
      </c>
      <c r="C107" s="52"/>
      <c r="D107" s="53"/>
      <c r="E107" s="13">
        <f>VLOOKUP(A107,ORCAMENTO!$A:$I,9,FALSE)</f>
        <v>20274.329999999998</v>
      </c>
      <c r="F107" s="14">
        <f t="shared" si="3"/>
        <v>1.2578030803663093E-2</v>
      </c>
    </row>
    <row r="108" spans="1:6" ht="15" customHeight="1" x14ac:dyDescent="0.3">
      <c r="A108" s="15" t="s">
        <v>115</v>
      </c>
      <c r="B108" s="48" t="str">
        <f>VLOOKUP(A108,ORCAMENTO!$A:$I,2,FALSE)</f>
        <v>SERVIÇOS PRELIMINARES</v>
      </c>
      <c r="C108" s="49"/>
      <c r="D108" s="50"/>
      <c r="E108" s="16">
        <f>VLOOKUP(A108,ORCAMENTO!$A:$I,9,FALSE)</f>
        <v>1315.92</v>
      </c>
      <c r="F108" s="17">
        <f t="shared" si="3"/>
        <v>8.1638615407544121E-4</v>
      </c>
    </row>
    <row r="109" spans="1:6" ht="15" customHeight="1" x14ac:dyDescent="0.3">
      <c r="A109" s="15" t="s">
        <v>116</v>
      </c>
      <c r="B109" s="48" t="str">
        <f>VLOOKUP(A109,ORCAMENTO!$A:$I,2,FALSE)</f>
        <v>MOVIMENTO DE TERRA</v>
      </c>
      <c r="C109" s="49"/>
      <c r="D109" s="50"/>
      <c r="E109" s="16">
        <f>VLOOKUP(A109,ORCAMENTO!$A:$I,9,FALSE)</f>
        <v>161.76</v>
      </c>
      <c r="F109" s="17">
        <f t="shared" si="3"/>
        <v>1.0035459927901647E-4</v>
      </c>
    </row>
    <row r="110" spans="1:6" ht="15" customHeight="1" x14ac:dyDescent="0.3">
      <c r="A110" s="15" t="s">
        <v>117</v>
      </c>
      <c r="B110" s="48" t="str">
        <f>VLOOKUP(A110,ORCAMENTO!$A:$I,2,FALSE)</f>
        <v>INFRAESTRUTURA</v>
      </c>
      <c r="C110" s="49"/>
      <c r="D110" s="50"/>
      <c r="E110" s="16">
        <f>VLOOKUP(A110,ORCAMENTO!$A:$I,9,FALSE)</f>
        <v>1229.81</v>
      </c>
      <c r="F110" s="17">
        <f t="shared" si="3"/>
        <v>7.6296420461997557E-4</v>
      </c>
    </row>
    <row r="111" spans="1:6" ht="15" customHeight="1" x14ac:dyDescent="0.3">
      <c r="A111" s="15" t="s">
        <v>118</v>
      </c>
      <c r="B111" s="48" t="str">
        <f>VLOOKUP(A111,ORCAMENTO!$A:$I,2,FALSE)</f>
        <v>SUPERESTRUTURA</v>
      </c>
      <c r="C111" s="49"/>
      <c r="D111" s="50"/>
      <c r="E111" s="16">
        <f>VLOOKUP(A111,ORCAMENTO!$A:$I,9,FALSE)</f>
        <v>1323.3</v>
      </c>
      <c r="F111" s="17">
        <f t="shared" si="3"/>
        <v>8.20964646549966E-4</v>
      </c>
    </row>
    <row r="112" spans="1:6" ht="15" customHeight="1" x14ac:dyDescent="0.3">
      <c r="A112" s="15" t="s">
        <v>119</v>
      </c>
      <c r="B112" s="48" t="str">
        <f>VLOOKUP(A112,ORCAMENTO!$A:$I,2,FALSE)</f>
        <v>VEDAÇÃO VERTICAL</v>
      </c>
      <c r="C112" s="49"/>
      <c r="D112" s="50"/>
      <c r="E112" s="16">
        <f>VLOOKUP(A112,ORCAMENTO!$A:$I,9,FALSE)</f>
        <v>2620</v>
      </c>
      <c r="F112" s="17">
        <f t="shared" si="3"/>
        <v>1.6254268676497475E-3</v>
      </c>
    </row>
    <row r="113" spans="1:6" ht="15" customHeight="1" x14ac:dyDescent="0.3">
      <c r="A113" s="15" t="s">
        <v>120</v>
      </c>
      <c r="B113" s="48" t="str">
        <f>VLOOKUP(A113,ORCAMENTO!$A:$I,2,FALSE)</f>
        <v>COBERTURA</v>
      </c>
      <c r="C113" s="49"/>
      <c r="D113" s="50"/>
      <c r="E113" s="16">
        <f>VLOOKUP(A113,ORCAMENTO!$A:$I,9,FALSE)</f>
        <v>1305.45</v>
      </c>
      <c r="F113" s="17">
        <f t="shared" si="3"/>
        <v>8.0989065052418439E-4</v>
      </c>
    </row>
    <row r="114" spans="1:6" ht="15" customHeight="1" x14ac:dyDescent="0.3">
      <c r="A114" s="15" t="s">
        <v>121</v>
      </c>
      <c r="B114" s="48" t="str">
        <f>VLOOKUP(A114,ORCAMENTO!$A:$I,2,FALSE)</f>
        <v>PISO</v>
      </c>
      <c r="C114" s="49"/>
      <c r="D114" s="50"/>
      <c r="E114" s="16">
        <f>VLOOKUP(A114,ORCAMENTO!$A:$I,9,FALSE)</f>
        <v>1174.01</v>
      </c>
      <c r="F114" s="17">
        <f t="shared" si="3"/>
        <v>7.2834633469064125E-4</v>
      </c>
    </row>
    <row r="115" spans="1:6" ht="15" customHeight="1" x14ac:dyDescent="0.3">
      <c r="A115" s="15" t="s">
        <v>122</v>
      </c>
      <c r="B115" s="48" t="str">
        <f>VLOOKUP(A115,ORCAMENTO!$A:$I,2,FALSE)</f>
        <v>REVESTIMENTO</v>
      </c>
      <c r="C115" s="49"/>
      <c r="D115" s="50"/>
      <c r="E115" s="16">
        <f>VLOOKUP(A115,ORCAMENTO!$A:$I,9,FALSE)</f>
        <v>2341.92</v>
      </c>
      <c r="F115" s="17">
        <f t="shared" si="3"/>
        <v>1.452908278582556E-3</v>
      </c>
    </row>
    <row r="116" spans="1:6" ht="15" customHeight="1" x14ac:dyDescent="0.3">
      <c r="A116" s="15" t="s">
        <v>123</v>
      </c>
      <c r="B116" s="48" t="str">
        <f>VLOOKUP(A116,ORCAMENTO!$A:$I,2,FALSE)</f>
        <v>ESQUADRIAS</v>
      </c>
      <c r="C116" s="49"/>
      <c r="D116" s="50"/>
      <c r="E116" s="16">
        <f>VLOOKUP(A116,ORCAMENTO!$A:$I,9,FALSE)</f>
        <v>2243.75</v>
      </c>
      <c r="F116" s="17">
        <f t="shared" si="3"/>
        <v>1.3920044024004279E-3</v>
      </c>
    </row>
    <row r="117" spans="1:6" ht="15" customHeight="1" x14ac:dyDescent="0.3">
      <c r="A117" s="15" t="s">
        <v>124</v>
      </c>
      <c r="B117" s="48" t="str">
        <f>VLOOKUP(A117,ORCAMENTO!$A:$I,2,FALSE)</f>
        <v>PINTURA</v>
      </c>
      <c r="C117" s="49"/>
      <c r="D117" s="50"/>
      <c r="E117" s="16">
        <f>VLOOKUP(A117,ORCAMENTO!$A:$I,9,FALSE)</f>
        <v>649.88</v>
      </c>
      <c r="F117" s="17">
        <f t="shared" si="3"/>
        <v>4.0318031020924349E-4</v>
      </c>
    </row>
    <row r="118" spans="1:6" ht="15" customHeight="1" x14ac:dyDescent="0.3">
      <c r="A118" s="15" t="s">
        <v>125</v>
      </c>
      <c r="B118" s="48" t="str">
        <f>VLOOKUP(A118,ORCAMENTO!$A:$I,2,FALSE)</f>
        <v>CERCAMENTO</v>
      </c>
      <c r="C118" s="49"/>
      <c r="D118" s="50"/>
      <c r="E118" s="16">
        <f>VLOOKUP(A118,ORCAMENTO!$A:$I,9,FALSE)</f>
        <v>5908.53</v>
      </c>
      <c r="F118" s="17">
        <f t="shared" si="3"/>
        <v>3.6656043550818943E-3</v>
      </c>
    </row>
    <row r="119" spans="1:6" ht="15" customHeight="1" x14ac:dyDescent="0.3">
      <c r="A119" s="12" t="s">
        <v>126</v>
      </c>
      <c r="B119" s="51" t="str">
        <f>VLOOKUP(A119,ORCAMENTO!$A:$I,2,FALSE)</f>
        <v>INSTALAÇÕES ELÉTRICAS</v>
      </c>
      <c r="C119" s="52"/>
      <c r="D119" s="53"/>
      <c r="E119" s="13">
        <f>VLOOKUP(A119,ORCAMENTO!$A:$I,9,FALSE)</f>
        <v>17909.879999999997</v>
      </c>
      <c r="F119" s="14">
        <f t="shared" si="3"/>
        <v>1.1111145094802617E-2</v>
      </c>
    </row>
    <row r="120" spans="1:6" ht="15" customHeight="1" x14ac:dyDescent="0.3">
      <c r="A120" s="12" t="s">
        <v>127</v>
      </c>
      <c r="B120" s="51" t="str">
        <f>VLOOKUP(A120,ORCAMENTO!$A:$I,2,FALSE)</f>
        <v>ADUÇÃO</v>
      </c>
      <c r="C120" s="52"/>
      <c r="D120" s="53"/>
      <c r="E120" s="13">
        <f>VLOOKUP(A120,ORCAMENTO!$A:$I,9,FALSE)</f>
        <v>1455.29</v>
      </c>
      <c r="F120" s="14">
        <f t="shared" si="3"/>
        <v>9.028501779473286E-4</v>
      </c>
    </row>
    <row r="121" spans="1:6" ht="15" customHeight="1" x14ac:dyDescent="0.3">
      <c r="A121" s="15" t="s">
        <v>128</v>
      </c>
      <c r="B121" s="48" t="str">
        <f>VLOOKUP(A121,ORCAMENTO!$A:$I,2,FALSE)</f>
        <v>MOVIMENTO DE TERRA</v>
      </c>
      <c r="C121" s="49"/>
      <c r="D121" s="50"/>
      <c r="E121" s="16">
        <f>VLOOKUP(A121,ORCAMENTO!$A:$I,9,FALSE)</f>
        <v>485.08</v>
      </c>
      <c r="F121" s="17">
        <f t="shared" si="3"/>
        <v>3.0093971945020591E-4</v>
      </c>
    </row>
    <row r="122" spans="1:6" ht="15" customHeight="1" x14ac:dyDescent="0.3">
      <c r="A122" s="15" t="s">
        <v>129</v>
      </c>
      <c r="B122" s="48" t="str">
        <f>VLOOKUP(A122,ORCAMENTO!$A:$I,2,FALSE)</f>
        <v>INFRAESTRUTURA</v>
      </c>
      <c r="C122" s="49"/>
      <c r="D122" s="50"/>
      <c r="E122" s="16">
        <f>VLOOKUP(A122,ORCAMENTO!$A:$I,9,FALSE)</f>
        <v>264.64</v>
      </c>
      <c r="F122" s="17">
        <f t="shared" si="3"/>
        <v>1.6418052147130883E-4</v>
      </c>
    </row>
    <row r="123" spans="1:6" ht="15" customHeight="1" x14ac:dyDescent="0.3">
      <c r="A123" s="15" t="s">
        <v>130</v>
      </c>
      <c r="B123" s="48" t="str">
        <f>VLOOKUP(A123,ORCAMENTO!$A:$I,2,FALSE)</f>
        <v>INSTALAÇÕES HIDRÁULICAS</v>
      </c>
      <c r="C123" s="49"/>
      <c r="D123" s="50"/>
      <c r="E123" s="16">
        <f>VLOOKUP(A123,ORCAMENTO!$A:$I,9,FALSE)</f>
        <v>705.57</v>
      </c>
      <c r="F123" s="17">
        <f t="shared" si="3"/>
        <v>4.3772993702581391E-4</v>
      </c>
    </row>
    <row r="124" spans="1:6" ht="15" customHeight="1" x14ac:dyDescent="0.3">
      <c r="A124" s="12" t="s">
        <v>131</v>
      </c>
      <c r="B124" s="51" t="str">
        <f>VLOOKUP(A124,ORCAMENTO!$A:$I,2,FALSE)</f>
        <v>RESERVAÇÃO</v>
      </c>
      <c r="C124" s="52"/>
      <c r="D124" s="53"/>
      <c r="E124" s="13">
        <f>VLOOKUP(A124,ORCAMENTO!$A:$I,9,FALSE)</f>
        <v>31488.33</v>
      </c>
      <c r="F124" s="14">
        <f t="shared" si="3"/>
        <v>1.9535105953977703E-2</v>
      </c>
    </row>
    <row r="125" spans="1:6" ht="15" customHeight="1" x14ac:dyDescent="0.3">
      <c r="A125" s="12" t="s">
        <v>132</v>
      </c>
      <c r="B125" s="51" t="str">
        <f>VLOOKUP(A125,ORCAMENTO!$A:$I,2,FALSE)</f>
        <v>DISTRIBUIÇÃO</v>
      </c>
      <c r="C125" s="52"/>
      <c r="D125" s="53"/>
      <c r="E125" s="13">
        <f>VLOOKUP(A125,ORCAMENTO!$A:$I,9,FALSE)</f>
        <v>50609.360000000008</v>
      </c>
      <c r="F125" s="14">
        <f t="shared" si="3"/>
        <v>3.13976387399078E-2</v>
      </c>
    </row>
    <row r="126" spans="1:6" ht="15" customHeight="1" x14ac:dyDescent="0.3">
      <c r="A126" s="15" t="s">
        <v>133</v>
      </c>
      <c r="B126" s="48" t="str">
        <f>VLOOKUP(A126,ORCAMENTO!$A:$I,2,FALSE)</f>
        <v>MOVIMENTO DE TERRA</v>
      </c>
      <c r="C126" s="49"/>
      <c r="D126" s="50"/>
      <c r="E126" s="16">
        <f>VLOOKUP(A126,ORCAMENTO!$A:$I,9,FALSE)</f>
        <v>10935.65</v>
      </c>
      <c r="F126" s="17">
        <f t="shared" si="3"/>
        <v>6.7843890554251758E-3</v>
      </c>
    </row>
    <row r="127" spans="1:6" ht="15" customHeight="1" x14ac:dyDescent="0.3">
      <c r="A127" s="15" t="s">
        <v>134</v>
      </c>
      <c r="B127" s="48" t="str">
        <f>VLOOKUP(A127,ORCAMENTO!$A:$I,2,FALSE)</f>
        <v>INSTALAÇÕES HIDRÁULICAS</v>
      </c>
      <c r="C127" s="49"/>
      <c r="D127" s="50"/>
      <c r="E127" s="16">
        <f>VLOOKUP(A127,ORCAMENTO!$A:$I,9,FALSE)</f>
        <v>39673.710000000006</v>
      </c>
      <c r="F127" s="17">
        <f t="shared" si="3"/>
        <v>2.4613249684482624E-2</v>
      </c>
    </row>
    <row r="128" spans="1:6" ht="15" customHeight="1" x14ac:dyDescent="0.3">
      <c r="A128" s="9">
        <v>7</v>
      </c>
      <c r="B128" s="54" t="str">
        <f>VLOOKUP(A128,ORCAMENTO!$A:$I,2,FALSE)</f>
        <v>LOCALIDADE SANTA MADALENA (ANÍSIO DE ABREU-PI)</v>
      </c>
      <c r="C128" s="55"/>
      <c r="D128" s="56"/>
      <c r="E128" s="10">
        <f>VLOOKUP(A128,ORCAMENTO!$A:$I,9,FALSE)</f>
        <v>189183.56999999998</v>
      </c>
      <c r="F128" s="11">
        <f t="shared" si="3"/>
        <v>0.1173679609144644</v>
      </c>
    </row>
    <row r="129" spans="1:6" ht="15" customHeight="1" x14ac:dyDescent="0.3">
      <c r="A129" s="12" t="s">
        <v>135</v>
      </c>
      <c r="B129" s="51" t="str">
        <f>VLOOKUP(A129,ORCAMENTO!$A:$I,2,FALSE)</f>
        <v>PERFURAÇÃO DE POÇO TUBULAR</v>
      </c>
      <c r="C129" s="52"/>
      <c r="D129" s="53"/>
      <c r="E129" s="13">
        <f>VLOOKUP(A129,ORCAMENTO!$A:$I,9,FALSE)</f>
        <v>38218.39</v>
      </c>
      <c r="F129" s="14">
        <f t="shared" si="3"/>
        <v>2.3710380894777266E-2</v>
      </c>
    </row>
    <row r="130" spans="1:6" ht="15" customHeight="1" x14ac:dyDescent="0.3">
      <c r="A130" s="12" t="s">
        <v>136</v>
      </c>
      <c r="B130" s="51" t="str">
        <f>VLOOKUP(A130,ORCAMENTO!$A:$I,2,FALSE)</f>
        <v>AQUISIÇÃO E INSTALAÇÃO DE EQUIPAMENTOS DE BOMBEAMENTO, RECALQUE/BARRILETE E CONEXÕES PARA INTERLIGAÇÃO COM RESERVATÓRIO</v>
      </c>
      <c r="C130" s="52"/>
      <c r="D130" s="53"/>
      <c r="E130" s="13">
        <f>VLOOKUP(A130,ORCAMENTO!$A:$I,9,FALSE)</f>
        <v>9017.39</v>
      </c>
      <c r="F130" s="14">
        <f t="shared" si="3"/>
        <v>5.5943160236931891E-3</v>
      </c>
    </row>
    <row r="131" spans="1:6" ht="15" customHeight="1" x14ac:dyDescent="0.3">
      <c r="A131" s="12" t="s">
        <v>137</v>
      </c>
      <c r="B131" s="51" t="str">
        <f>VLOOKUP(A131,ORCAMENTO!$A:$I,2,FALSE)</f>
        <v>CONSTRUÇÃO DA CASA DE COMANDO</v>
      </c>
      <c r="C131" s="52"/>
      <c r="D131" s="53"/>
      <c r="E131" s="13">
        <f>VLOOKUP(A131,ORCAMENTO!$A:$I,9,FALSE)</f>
        <v>20274.329999999998</v>
      </c>
      <c r="F131" s="14">
        <f t="shared" si="3"/>
        <v>1.2578030803663093E-2</v>
      </c>
    </row>
    <row r="132" spans="1:6" ht="15" customHeight="1" x14ac:dyDescent="0.3">
      <c r="A132" s="15" t="s">
        <v>138</v>
      </c>
      <c r="B132" s="48" t="str">
        <f>VLOOKUP(A132,ORCAMENTO!$A:$I,2,FALSE)</f>
        <v>SERVIÇOS PRELIMINARES</v>
      </c>
      <c r="C132" s="49"/>
      <c r="D132" s="50"/>
      <c r="E132" s="16">
        <f>VLOOKUP(A132,ORCAMENTO!$A:$I,9,FALSE)</f>
        <v>1315.92</v>
      </c>
      <c r="F132" s="17">
        <f t="shared" si="3"/>
        <v>8.1638615407544121E-4</v>
      </c>
    </row>
    <row r="133" spans="1:6" ht="15" customHeight="1" x14ac:dyDescent="0.3">
      <c r="A133" s="15" t="s">
        <v>139</v>
      </c>
      <c r="B133" s="48" t="str">
        <f>VLOOKUP(A133,ORCAMENTO!$A:$I,2,FALSE)</f>
        <v>MOVIMENTO DE TERRA</v>
      </c>
      <c r="C133" s="49"/>
      <c r="D133" s="50"/>
      <c r="E133" s="16">
        <f>VLOOKUP(A133,ORCAMENTO!$A:$I,9,FALSE)</f>
        <v>161.76</v>
      </c>
      <c r="F133" s="17">
        <f t="shared" si="3"/>
        <v>1.0035459927901647E-4</v>
      </c>
    </row>
    <row r="134" spans="1:6" ht="15" customHeight="1" x14ac:dyDescent="0.3">
      <c r="A134" s="15" t="s">
        <v>140</v>
      </c>
      <c r="B134" s="48" t="str">
        <f>VLOOKUP(A134,ORCAMENTO!$A:$I,2,FALSE)</f>
        <v>INFRAESTRUTURA</v>
      </c>
      <c r="C134" s="49"/>
      <c r="D134" s="50"/>
      <c r="E134" s="16">
        <f>VLOOKUP(A134,ORCAMENTO!$A:$I,9,FALSE)</f>
        <v>1229.81</v>
      </c>
      <c r="F134" s="17">
        <f t="shared" si="3"/>
        <v>7.6296420461997557E-4</v>
      </c>
    </row>
    <row r="135" spans="1:6" ht="15" customHeight="1" x14ac:dyDescent="0.3">
      <c r="A135" s="15" t="s">
        <v>141</v>
      </c>
      <c r="B135" s="48" t="str">
        <f>VLOOKUP(A135,ORCAMENTO!$A:$I,2,FALSE)</f>
        <v>SUPERESTRUTURA</v>
      </c>
      <c r="C135" s="49"/>
      <c r="D135" s="50"/>
      <c r="E135" s="16">
        <f>VLOOKUP(A135,ORCAMENTO!$A:$I,9,FALSE)</f>
        <v>1323.3</v>
      </c>
      <c r="F135" s="17">
        <f t="shared" ref="F135:F151" si="4">E135/$E$152</f>
        <v>8.20964646549966E-4</v>
      </c>
    </row>
    <row r="136" spans="1:6" ht="15" customHeight="1" x14ac:dyDescent="0.3">
      <c r="A136" s="15" t="s">
        <v>142</v>
      </c>
      <c r="B136" s="48" t="str">
        <f>VLOOKUP(A136,ORCAMENTO!$A:$I,2,FALSE)</f>
        <v>VEDAÇÃO VERTICAL</v>
      </c>
      <c r="C136" s="49"/>
      <c r="D136" s="50"/>
      <c r="E136" s="16">
        <f>VLOOKUP(A136,ORCAMENTO!$A:$I,9,FALSE)</f>
        <v>2620</v>
      </c>
      <c r="F136" s="17">
        <f t="shared" si="4"/>
        <v>1.6254268676497475E-3</v>
      </c>
    </row>
    <row r="137" spans="1:6" ht="15" customHeight="1" x14ac:dyDescent="0.3">
      <c r="A137" s="15" t="s">
        <v>143</v>
      </c>
      <c r="B137" s="48" t="str">
        <f>VLOOKUP(A137,ORCAMENTO!$A:$I,2,FALSE)</f>
        <v>COBERTURA</v>
      </c>
      <c r="C137" s="49"/>
      <c r="D137" s="50"/>
      <c r="E137" s="16">
        <f>VLOOKUP(A137,ORCAMENTO!$A:$I,9,FALSE)</f>
        <v>1305.45</v>
      </c>
      <c r="F137" s="17">
        <f t="shared" si="4"/>
        <v>8.0989065052418439E-4</v>
      </c>
    </row>
    <row r="138" spans="1:6" ht="15" customHeight="1" x14ac:dyDescent="0.3">
      <c r="A138" s="15" t="s">
        <v>144</v>
      </c>
      <c r="B138" s="48" t="str">
        <f>VLOOKUP(A138,ORCAMENTO!$A:$I,2,FALSE)</f>
        <v>PISO</v>
      </c>
      <c r="C138" s="49"/>
      <c r="D138" s="50"/>
      <c r="E138" s="16">
        <f>VLOOKUP(A138,ORCAMENTO!$A:$I,9,FALSE)</f>
        <v>1174.01</v>
      </c>
      <c r="F138" s="17">
        <f t="shared" si="4"/>
        <v>7.2834633469064125E-4</v>
      </c>
    </row>
    <row r="139" spans="1:6" ht="15" customHeight="1" x14ac:dyDescent="0.3">
      <c r="A139" s="15" t="s">
        <v>145</v>
      </c>
      <c r="B139" s="48" t="str">
        <f>VLOOKUP(A139,ORCAMENTO!$A:$I,2,FALSE)</f>
        <v>REVESTIMENTO</v>
      </c>
      <c r="C139" s="49"/>
      <c r="D139" s="50"/>
      <c r="E139" s="16">
        <f>VLOOKUP(A139,ORCAMENTO!$A:$I,9,FALSE)</f>
        <v>2341.92</v>
      </c>
      <c r="F139" s="17">
        <f t="shared" si="4"/>
        <v>1.452908278582556E-3</v>
      </c>
    </row>
    <row r="140" spans="1:6" ht="15" customHeight="1" x14ac:dyDescent="0.3">
      <c r="A140" s="15" t="s">
        <v>146</v>
      </c>
      <c r="B140" s="48" t="str">
        <f>VLOOKUP(A140,ORCAMENTO!$A:$I,2,FALSE)</f>
        <v>ESQUADRIAS</v>
      </c>
      <c r="C140" s="49"/>
      <c r="D140" s="50"/>
      <c r="E140" s="16">
        <f>VLOOKUP(A140,ORCAMENTO!$A:$I,9,FALSE)</f>
        <v>2243.75</v>
      </c>
      <c r="F140" s="17">
        <f t="shared" si="4"/>
        <v>1.3920044024004279E-3</v>
      </c>
    </row>
    <row r="141" spans="1:6" ht="15" customHeight="1" x14ac:dyDescent="0.3">
      <c r="A141" s="15" t="s">
        <v>147</v>
      </c>
      <c r="B141" s="48" t="str">
        <f>VLOOKUP(A141,ORCAMENTO!$A:$I,2,FALSE)</f>
        <v>PINTURA</v>
      </c>
      <c r="C141" s="49"/>
      <c r="D141" s="50"/>
      <c r="E141" s="16">
        <f>VLOOKUP(A141,ORCAMENTO!$A:$I,9,FALSE)</f>
        <v>649.88</v>
      </c>
      <c r="F141" s="17">
        <f t="shared" si="4"/>
        <v>4.0318031020924349E-4</v>
      </c>
    </row>
    <row r="142" spans="1:6" ht="15" customHeight="1" x14ac:dyDescent="0.3">
      <c r="A142" s="15" t="s">
        <v>148</v>
      </c>
      <c r="B142" s="48" t="str">
        <f>VLOOKUP(A142,ORCAMENTO!$A:$I,2,FALSE)</f>
        <v>CERCAMENTO</v>
      </c>
      <c r="C142" s="49"/>
      <c r="D142" s="50"/>
      <c r="E142" s="16">
        <f>VLOOKUP(A142,ORCAMENTO!$A:$I,9,FALSE)</f>
        <v>5908.53</v>
      </c>
      <c r="F142" s="17">
        <f t="shared" si="4"/>
        <v>3.6656043550818943E-3</v>
      </c>
    </row>
    <row r="143" spans="1:6" ht="15" customHeight="1" x14ac:dyDescent="0.3">
      <c r="A143" s="12" t="s">
        <v>149</v>
      </c>
      <c r="B143" s="51" t="str">
        <f>VLOOKUP(A143,ORCAMENTO!$A:$I,2,FALSE)</f>
        <v>INSTALAÇÕES ELÉTRICAS</v>
      </c>
      <c r="C143" s="52"/>
      <c r="D143" s="53"/>
      <c r="E143" s="13">
        <f>VLOOKUP(A143,ORCAMENTO!$A:$I,9,FALSE)</f>
        <v>17909.879999999997</v>
      </c>
      <c r="F143" s="14">
        <f t="shared" si="4"/>
        <v>1.1111145094802617E-2</v>
      </c>
    </row>
    <row r="144" spans="1:6" ht="15" customHeight="1" x14ac:dyDescent="0.3">
      <c r="A144" s="12" t="s">
        <v>150</v>
      </c>
      <c r="B144" s="51" t="str">
        <f>VLOOKUP(A144,ORCAMENTO!$A:$I,2,FALSE)</f>
        <v>ADUÇÃO</v>
      </c>
      <c r="C144" s="52"/>
      <c r="D144" s="53"/>
      <c r="E144" s="13">
        <f>VLOOKUP(A144,ORCAMENTO!$A:$I,9,FALSE)</f>
        <v>1455.29</v>
      </c>
      <c r="F144" s="14">
        <f t="shared" si="4"/>
        <v>9.028501779473286E-4</v>
      </c>
    </row>
    <row r="145" spans="1:6" ht="15" customHeight="1" x14ac:dyDescent="0.3">
      <c r="A145" s="15" t="s">
        <v>151</v>
      </c>
      <c r="B145" s="48" t="str">
        <f>VLOOKUP(A145,ORCAMENTO!$A:$I,2,FALSE)</f>
        <v>MOVIMENTO DE TERRA</v>
      </c>
      <c r="C145" s="49"/>
      <c r="D145" s="50"/>
      <c r="E145" s="16">
        <f>VLOOKUP(A145,ORCAMENTO!$A:$I,9,FALSE)</f>
        <v>485.08</v>
      </c>
      <c r="F145" s="17">
        <f t="shared" si="4"/>
        <v>3.0093971945020591E-4</v>
      </c>
    </row>
    <row r="146" spans="1:6" ht="15" customHeight="1" x14ac:dyDescent="0.3">
      <c r="A146" s="15" t="s">
        <v>152</v>
      </c>
      <c r="B146" s="48" t="str">
        <f>VLOOKUP(A146,ORCAMENTO!$A:$I,2,FALSE)</f>
        <v>INFRAESTRUTURA</v>
      </c>
      <c r="C146" s="49"/>
      <c r="D146" s="50"/>
      <c r="E146" s="16">
        <f>VLOOKUP(A146,ORCAMENTO!$A:$I,9,FALSE)</f>
        <v>264.64</v>
      </c>
      <c r="F146" s="17">
        <f t="shared" si="4"/>
        <v>1.6418052147130883E-4</v>
      </c>
    </row>
    <row r="147" spans="1:6" ht="15" customHeight="1" x14ac:dyDescent="0.3">
      <c r="A147" s="15" t="s">
        <v>153</v>
      </c>
      <c r="B147" s="48" t="str">
        <f>VLOOKUP(A147,ORCAMENTO!$A:$I,2,FALSE)</f>
        <v>INSTALAÇÕES HIDRÁULICAS</v>
      </c>
      <c r="C147" s="49"/>
      <c r="D147" s="50"/>
      <c r="E147" s="16">
        <f>VLOOKUP(A147,ORCAMENTO!$A:$I,9,FALSE)</f>
        <v>705.57</v>
      </c>
      <c r="F147" s="17">
        <f t="shared" si="4"/>
        <v>4.3772993702581391E-4</v>
      </c>
    </row>
    <row r="148" spans="1:6" ht="15" customHeight="1" x14ac:dyDescent="0.3">
      <c r="A148" s="12" t="s">
        <v>154</v>
      </c>
      <c r="B148" s="51" t="str">
        <f>VLOOKUP(A148,ORCAMENTO!$A:$I,2,FALSE)</f>
        <v>RESERVAÇÃO</v>
      </c>
      <c r="C148" s="52"/>
      <c r="D148" s="53"/>
      <c r="E148" s="13">
        <f>VLOOKUP(A148,ORCAMENTO!$A:$I,9,FALSE)</f>
        <v>31488.33</v>
      </c>
      <c r="F148" s="14">
        <f t="shared" si="4"/>
        <v>1.9535105953977703E-2</v>
      </c>
    </row>
    <row r="149" spans="1:6" ht="15" customHeight="1" x14ac:dyDescent="0.3">
      <c r="A149" s="12" t="s">
        <v>155</v>
      </c>
      <c r="B149" s="51" t="str">
        <f>VLOOKUP(A149,ORCAMENTO!$A:$I,2,FALSE)</f>
        <v>DISTRIBUIÇÃO</v>
      </c>
      <c r="C149" s="52"/>
      <c r="D149" s="53"/>
      <c r="E149" s="13">
        <f>VLOOKUP(A149,ORCAMENTO!$A:$I,9,FALSE)</f>
        <v>70819.959999999992</v>
      </c>
      <c r="F149" s="14">
        <f t="shared" si="4"/>
        <v>4.3936131965603205E-2</v>
      </c>
    </row>
    <row r="150" spans="1:6" ht="15" customHeight="1" x14ac:dyDescent="0.3">
      <c r="A150" s="15" t="s">
        <v>156</v>
      </c>
      <c r="B150" s="48" t="str">
        <f>VLOOKUP(A150,ORCAMENTO!$A:$I,2,FALSE)</f>
        <v>MOVIMENTO DE TERRA</v>
      </c>
      <c r="C150" s="49"/>
      <c r="D150" s="50"/>
      <c r="E150" s="16">
        <f>VLOOKUP(A150,ORCAMENTO!$A:$I,9,FALSE)</f>
        <v>14391.86</v>
      </c>
      <c r="F150" s="17">
        <f t="shared" si="4"/>
        <v>8.928593862386907E-3</v>
      </c>
    </row>
    <row r="151" spans="1:6" ht="15" customHeight="1" x14ac:dyDescent="0.3">
      <c r="A151" s="15" t="s">
        <v>157</v>
      </c>
      <c r="B151" s="48" t="str">
        <f>VLOOKUP(A151,ORCAMENTO!$A:$I,2,FALSE)</f>
        <v>INSTALAÇÕES HIDRÁULICAS</v>
      </c>
      <c r="C151" s="49"/>
      <c r="D151" s="50"/>
      <c r="E151" s="16">
        <f>VLOOKUP(A151,ORCAMENTO!$A:$I,9,FALSE)</f>
        <v>56428.1</v>
      </c>
      <c r="F151" s="17">
        <f t="shared" si="4"/>
        <v>3.5007538103216301E-2</v>
      </c>
    </row>
    <row r="152" spans="1:6" ht="15" customHeight="1" x14ac:dyDescent="0.3">
      <c r="A152" s="45" t="s">
        <v>158</v>
      </c>
      <c r="B152" s="47"/>
      <c r="C152" s="47"/>
      <c r="D152" s="46"/>
      <c r="E152" s="18">
        <f>SUM(E7,E8,E32,E56,E80,E104,E128,)</f>
        <v>1611884.27</v>
      </c>
      <c r="F152" s="19">
        <f>SUM(F7,F8,F32,F56,F80,F104,F128,)</f>
        <v>1</v>
      </c>
    </row>
  </sheetData>
  <mergeCells count="150">
    <mergeCell ref="A1:F1"/>
    <mergeCell ref="A2:F2"/>
    <mergeCell ref="A3:F3"/>
    <mergeCell ref="B6:D6"/>
    <mergeCell ref="B7:D7"/>
    <mergeCell ref="B8:D8"/>
    <mergeCell ref="B15:D15"/>
    <mergeCell ref="B16:D16"/>
    <mergeCell ref="B17:D17"/>
    <mergeCell ref="B18:D18"/>
    <mergeCell ref="B19:D19"/>
    <mergeCell ref="B20:D20"/>
    <mergeCell ref="B9:D9"/>
    <mergeCell ref="B10:D10"/>
    <mergeCell ref="B11:D11"/>
    <mergeCell ref="B12:D12"/>
    <mergeCell ref="B13:D13"/>
    <mergeCell ref="B14:D14"/>
    <mergeCell ref="B27:D27"/>
    <mergeCell ref="B28:D28"/>
    <mergeCell ref="B29:D29"/>
    <mergeCell ref="B30:D30"/>
    <mergeCell ref="B31:D31"/>
    <mergeCell ref="B32:D32"/>
    <mergeCell ref="B21:D21"/>
    <mergeCell ref="B22:D22"/>
    <mergeCell ref="B23:D23"/>
    <mergeCell ref="B24:D24"/>
    <mergeCell ref="B25:D25"/>
    <mergeCell ref="B26:D26"/>
    <mergeCell ref="B39:D39"/>
    <mergeCell ref="B40:D40"/>
    <mergeCell ref="B41:D41"/>
    <mergeCell ref="B42:D42"/>
    <mergeCell ref="B43:D43"/>
    <mergeCell ref="B44:D44"/>
    <mergeCell ref="B33:D33"/>
    <mergeCell ref="B34:D34"/>
    <mergeCell ref="B35:D35"/>
    <mergeCell ref="B36:D36"/>
    <mergeCell ref="B37:D37"/>
    <mergeCell ref="B38:D38"/>
    <mergeCell ref="B51:D51"/>
    <mergeCell ref="B52:D52"/>
    <mergeCell ref="B53:D53"/>
    <mergeCell ref="B54:D54"/>
    <mergeCell ref="B55:D55"/>
    <mergeCell ref="B56:D56"/>
    <mergeCell ref="B45:D45"/>
    <mergeCell ref="B46:D46"/>
    <mergeCell ref="B47:D47"/>
    <mergeCell ref="B48:D48"/>
    <mergeCell ref="B49:D49"/>
    <mergeCell ref="B50:D50"/>
    <mergeCell ref="B63:D63"/>
    <mergeCell ref="B64:D64"/>
    <mergeCell ref="B65:D65"/>
    <mergeCell ref="B66:D66"/>
    <mergeCell ref="B67:D67"/>
    <mergeCell ref="B68:D68"/>
    <mergeCell ref="B57:D57"/>
    <mergeCell ref="B58:D58"/>
    <mergeCell ref="B59:D59"/>
    <mergeCell ref="B60:D60"/>
    <mergeCell ref="B61:D61"/>
    <mergeCell ref="B62:D62"/>
    <mergeCell ref="B75:D75"/>
    <mergeCell ref="B76:D76"/>
    <mergeCell ref="B77:D77"/>
    <mergeCell ref="B78:D78"/>
    <mergeCell ref="B79:D79"/>
    <mergeCell ref="B80:D80"/>
    <mergeCell ref="B69:D69"/>
    <mergeCell ref="B70:D70"/>
    <mergeCell ref="B71:D71"/>
    <mergeCell ref="B72:D72"/>
    <mergeCell ref="B73:D73"/>
    <mergeCell ref="B74:D74"/>
    <mergeCell ref="B87:D87"/>
    <mergeCell ref="B88:D88"/>
    <mergeCell ref="B89:D89"/>
    <mergeCell ref="B90:D90"/>
    <mergeCell ref="B91:D91"/>
    <mergeCell ref="B92:D92"/>
    <mergeCell ref="B81:D81"/>
    <mergeCell ref="B82:D82"/>
    <mergeCell ref="B83:D83"/>
    <mergeCell ref="B84:D84"/>
    <mergeCell ref="B85:D85"/>
    <mergeCell ref="B86:D86"/>
    <mergeCell ref="B99:D99"/>
    <mergeCell ref="B100:D100"/>
    <mergeCell ref="B101:D101"/>
    <mergeCell ref="B102:D102"/>
    <mergeCell ref="B103:D103"/>
    <mergeCell ref="B104:D104"/>
    <mergeCell ref="B93:D93"/>
    <mergeCell ref="B94:D94"/>
    <mergeCell ref="B95:D95"/>
    <mergeCell ref="B96:D96"/>
    <mergeCell ref="B97:D97"/>
    <mergeCell ref="B98:D98"/>
    <mergeCell ref="B111:D111"/>
    <mergeCell ref="B112:D112"/>
    <mergeCell ref="B113:D113"/>
    <mergeCell ref="B114:D114"/>
    <mergeCell ref="B115:D115"/>
    <mergeCell ref="B116:D116"/>
    <mergeCell ref="B105:D105"/>
    <mergeCell ref="B106:D106"/>
    <mergeCell ref="B107:D107"/>
    <mergeCell ref="B108:D108"/>
    <mergeCell ref="B109:D109"/>
    <mergeCell ref="B110:D110"/>
    <mergeCell ref="B123:D123"/>
    <mergeCell ref="B124:D124"/>
    <mergeCell ref="B125:D125"/>
    <mergeCell ref="B126:D126"/>
    <mergeCell ref="B127:D127"/>
    <mergeCell ref="B128:D128"/>
    <mergeCell ref="B117:D117"/>
    <mergeCell ref="B118:D118"/>
    <mergeCell ref="B119:D119"/>
    <mergeCell ref="B120:D120"/>
    <mergeCell ref="B121:D121"/>
    <mergeCell ref="B122:D122"/>
    <mergeCell ref="B135:D135"/>
    <mergeCell ref="B136:D136"/>
    <mergeCell ref="B137:D137"/>
    <mergeCell ref="B138:D138"/>
    <mergeCell ref="B139:D139"/>
    <mergeCell ref="B140:D140"/>
    <mergeCell ref="B129:D129"/>
    <mergeCell ref="B130:D130"/>
    <mergeCell ref="B131:D131"/>
    <mergeCell ref="B132:D132"/>
    <mergeCell ref="B133:D133"/>
    <mergeCell ref="B134:D134"/>
    <mergeCell ref="B147:D147"/>
    <mergeCell ref="B148:D148"/>
    <mergeCell ref="B149:D149"/>
    <mergeCell ref="B150:D150"/>
    <mergeCell ref="B151:D151"/>
    <mergeCell ref="A152:D152"/>
    <mergeCell ref="B141:D141"/>
    <mergeCell ref="B142:D142"/>
    <mergeCell ref="B143:D143"/>
    <mergeCell ref="B144:D144"/>
    <mergeCell ref="B145:D145"/>
    <mergeCell ref="B146:D146"/>
  </mergeCells>
  <pageMargins left="0.78740157480314965" right="0.39370078740157483" top="1.1811023622047245" bottom="0.78740157480314965" header="0.31496062992125984" footer="0.31496062992125984"/>
  <pageSetup paperSize="9" scale="59" fitToHeight="0" orientation="portrait" r:id="rId1"/>
  <headerFooter>
    <oddHeader>&amp;C&amp;G</oddHead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48EEC-2F16-4606-A386-E7075A366AA7}">
  <sheetPr>
    <tabColor indexed="10"/>
    <pageSetUpPr fitToPage="1"/>
  </sheetPr>
  <dimension ref="A1:G201"/>
  <sheetViews>
    <sheetView showGridLines="0" topLeftCell="A29" workbookViewId="0">
      <selection activeCell="C36" sqref="C36"/>
    </sheetView>
  </sheetViews>
  <sheetFormatPr defaultRowHeight="14.4" x14ac:dyDescent="0.3"/>
  <cols>
    <col min="1" max="2" width="12" bestFit="1" customWidth="1"/>
    <col min="3" max="3" width="74.109375" bestFit="1" customWidth="1"/>
    <col min="4" max="7" width="15.77734375" bestFit="1" customWidth="1"/>
    <col min="8" max="10" width="14.77734375" bestFit="1" customWidth="1"/>
  </cols>
  <sheetData>
    <row r="1" spans="1:7" x14ac:dyDescent="0.3">
      <c r="A1" s="44" t="str">
        <f>CIDADE</f>
        <v>MUNICÍPIOS DE PARNAGUÁ - PI E ANÍSIO DE ABREU-PI</v>
      </c>
      <c r="B1" s="44"/>
      <c r="C1" s="44"/>
      <c r="D1" s="44"/>
      <c r="E1" s="44"/>
      <c r="F1" s="44"/>
      <c r="G1" s="44"/>
    </row>
    <row r="2" spans="1:7" x14ac:dyDescent="0.3">
      <c r="A2" s="44" t="str">
        <f>OBRA</f>
        <v>IMPLANTAÇÃO DE 6 (SEIS) SISTEMAS DE ABASTECIMENTO DE ÁGUA EM COMUNIDADES RURAIS NOS MUNICÍPIOS DE PARNAGUÁ-PI E ANÍSIO DE ABREU-PI (TC 967175/2024)</v>
      </c>
      <c r="B2" s="44"/>
      <c r="C2" s="44"/>
      <c r="D2" s="44"/>
      <c r="E2" s="44"/>
      <c r="F2" s="44"/>
      <c r="G2" s="44"/>
    </row>
    <row r="3" spans="1:7" x14ac:dyDescent="0.3">
      <c r="A3" s="44" t="s">
        <v>1611</v>
      </c>
      <c r="B3" s="44"/>
      <c r="C3" s="44"/>
      <c r="D3" s="44"/>
      <c r="E3" s="44"/>
      <c r="F3" s="44"/>
      <c r="G3" s="44"/>
    </row>
    <row r="5" spans="1:7" x14ac:dyDescent="0.3">
      <c r="A5" s="1" t="s">
        <v>1</v>
      </c>
      <c r="B5" s="7" t="str">
        <f>FONTE&amp;FOLHA</f>
        <v>SINAPI PI 07/2025, SEINFRA CE 28, ORSE SE 06/2025, CAESB 10/2024SEM DESONERAÇÃO</v>
      </c>
      <c r="C5" s="3"/>
      <c r="D5" s="1" t="s">
        <v>7</v>
      </c>
      <c r="E5" s="8">
        <f>LEI</f>
        <v>113.33</v>
      </c>
      <c r="F5" s="1" t="s">
        <v>16</v>
      </c>
      <c r="G5" s="8">
        <f>BDI</f>
        <v>22.33</v>
      </c>
    </row>
    <row r="6" spans="1:7" x14ac:dyDescent="0.3">
      <c r="A6" s="4" t="s">
        <v>170</v>
      </c>
      <c r="B6" s="4" t="s">
        <v>171</v>
      </c>
      <c r="C6" s="4" t="s">
        <v>18</v>
      </c>
      <c r="D6" s="4" t="s">
        <v>172</v>
      </c>
      <c r="E6" s="4" t="s">
        <v>1425</v>
      </c>
      <c r="F6" s="4" t="s">
        <v>1426</v>
      </c>
      <c r="G6" s="4" t="s">
        <v>1427</v>
      </c>
    </row>
    <row r="7" spans="1:7" x14ac:dyDescent="0.3">
      <c r="A7" s="23" t="s">
        <v>1025</v>
      </c>
      <c r="B7" s="23" t="s">
        <v>1441</v>
      </c>
      <c r="C7" s="24" t="s">
        <v>1213</v>
      </c>
      <c r="D7" s="23" t="s">
        <v>1214</v>
      </c>
      <c r="E7" s="5">
        <f t="shared" ref="E7:E15" si="0">ROUND(IF(FOLHA="COM DESONERAÇÃO",F7,G7)*icf,2)</f>
        <v>55.96</v>
      </c>
      <c r="F7" s="5">
        <v>55.96</v>
      </c>
      <c r="G7" s="5">
        <v>55.96</v>
      </c>
    </row>
    <row r="8" spans="1:7" x14ac:dyDescent="0.3">
      <c r="A8" s="23">
        <v>34</v>
      </c>
      <c r="B8" s="23" t="s">
        <v>1433</v>
      </c>
      <c r="C8" s="24" t="s">
        <v>1215</v>
      </c>
      <c r="D8" s="23" t="s">
        <v>1216</v>
      </c>
      <c r="E8" s="5">
        <f t="shared" si="0"/>
        <v>8.2100000000000009</v>
      </c>
      <c r="F8" s="5">
        <v>8.2100000000000009</v>
      </c>
      <c r="G8" s="5">
        <v>8.2100000000000009</v>
      </c>
    </row>
    <row r="9" spans="1:7" x14ac:dyDescent="0.3">
      <c r="A9" s="23">
        <v>43055</v>
      </c>
      <c r="B9" s="23" t="s">
        <v>1433</v>
      </c>
      <c r="C9" s="24" t="s">
        <v>1217</v>
      </c>
      <c r="D9" s="23" t="s">
        <v>1216</v>
      </c>
      <c r="E9" s="5">
        <f t="shared" si="0"/>
        <v>7.11</v>
      </c>
      <c r="F9" s="5">
        <v>7.11</v>
      </c>
      <c r="G9" s="5">
        <v>7.11</v>
      </c>
    </row>
    <row r="10" spans="1:7" x14ac:dyDescent="0.3">
      <c r="A10" s="23">
        <v>43056</v>
      </c>
      <c r="B10" s="23" t="s">
        <v>1433</v>
      </c>
      <c r="C10" s="24" t="s">
        <v>1218</v>
      </c>
      <c r="D10" s="23" t="s">
        <v>1216</v>
      </c>
      <c r="E10" s="5">
        <f t="shared" si="0"/>
        <v>8.1999999999999993</v>
      </c>
      <c r="F10" s="5">
        <v>8.1999999999999993</v>
      </c>
      <c r="G10" s="5">
        <v>8.1999999999999993</v>
      </c>
    </row>
    <row r="11" spans="1:7" x14ac:dyDescent="0.3">
      <c r="A11" s="23">
        <v>32</v>
      </c>
      <c r="B11" s="23" t="s">
        <v>1433</v>
      </c>
      <c r="C11" s="24" t="s">
        <v>1219</v>
      </c>
      <c r="D11" s="23" t="s">
        <v>1216</v>
      </c>
      <c r="E11" s="5">
        <f t="shared" si="0"/>
        <v>8.66</v>
      </c>
      <c r="F11" s="5">
        <v>8.66</v>
      </c>
      <c r="G11" s="5">
        <v>8.66</v>
      </c>
    </row>
    <row r="12" spans="1:7" x14ac:dyDescent="0.3">
      <c r="A12" s="23">
        <v>33</v>
      </c>
      <c r="B12" s="23" t="s">
        <v>1433</v>
      </c>
      <c r="C12" s="24" t="s">
        <v>1220</v>
      </c>
      <c r="D12" s="23" t="s">
        <v>1216</v>
      </c>
      <c r="E12" s="5">
        <f t="shared" si="0"/>
        <v>8.7100000000000009</v>
      </c>
      <c r="F12" s="5">
        <v>8.7100000000000009</v>
      </c>
      <c r="G12" s="5">
        <v>8.7100000000000009</v>
      </c>
    </row>
    <row r="13" spans="1:7" x14ac:dyDescent="0.3">
      <c r="A13" s="23">
        <v>43059</v>
      </c>
      <c r="B13" s="23" t="s">
        <v>1433</v>
      </c>
      <c r="C13" s="24" t="s">
        <v>1221</v>
      </c>
      <c r="D13" s="23" t="s">
        <v>1216</v>
      </c>
      <c r="E13" s="5">
        <f t="shared" si="0"/>
        <v>7.77</v>
      </c>
      <c r="F13" s="5">
        <v>7.77</v>
      </c>
      <c r="G13" s="5">
        <v>7.77</v>
      </c>
    </row>
    <row r="14" spans="1:7" x14ac:dyDescent="0.3">
      <c r="A14" s="23">
        <v>108</v>
      </c>
      <c r="B14" s="23" t="s">
        <v>1433</v>
      </c>
      <c r="C14" s="24" t="s">
        <v>1222</v>
      </c>
      <c r="D14" s="23" t="s">
        <v>1214</v>
      </c>
      <c r="E14" s="5">
        <f t="shared" si="0"/>
        <v>1.79</v>
      </c>
      <c r="F14" s="5">
        <v>1.79</v>
      </c>
      <c r="G14" s="5">
        <v>1.79</v>
      </c>
    </row>
    <row r="15" spans="1:7" ht="28.8" x14ac:dyDescent="0.3">
      <c r="A15" s="23">
        <v>72</v>
      </c>
      <c r="B15" s="23" t="s">
        <v>1433</v>
      </c>
      <c r="C15" s="24" t="s">
        <v>1223</v>
      </c>
      <c r="D15" s="23" t="s">
        <v>1214</v>
      </c>
      <c r="E15" s="5">
        <f t="shared" si="0"/>
        <v>50.26</v>
      </c>
      <c r="F15" s="5">
        <v>50.26</v>
      </c>
      <c r="G15" s="5">
        <v>50.26</v>
      </c>
    </row>
    <row r="16" spans="1:7" x14ac:dyDescent="0.3">
      <c r="A16" s="23">
        <v>6114</v>
      </c>
      <c r="B16" s="23" t="s">
        <v>1433</v>
      </c>
      <c r="C16" s="24" t="s">
        <v>1365</v>
      </c>
      <c r="D16" s="23" t="s">
        <v>1366</v>
      </c>
      <c r="E16" s="5">
        <f>IF(FOLHA="COM DESONERAÇÃO",F16,G16)</f>
        <v>15.57</v>
      </c>
      <c r="F16" s="5">
        <v>13.91</v>
      </c>
      <c r="G16" s="5">
        <v>15.57</v>
      </c>
    </row>
    <row r="17" spans="1:7" x14ac:dyDescent="0.3">
      <c r="A17" s="23">
        <v>247</v>
      </c>
      <c r="B17" s="23" t="s">
        <v>1433</v>
      </c>
      <c r="C17" s="24" t="s">
        <v>1367</v>
      </c>
      <c r="D17" s="23" t="s">
        <v>1366</v>
      </c>
      <c r="E17" s="5">
        <f>IF(FOLHA="COM DESONERAÇÃO",F17,G17)</f>
        <v>15.57</v>
      </c>
      <c r="F17" s="5">
        <v>13.91</v>
      </c>
      <c r="G17" s="5">
        <v>15.57</v>
      </c>
    </row>
    <row r="18" spans="1:7" x14ac:dyDescent="0.3">
      <c r="A18" s="23">
        <v>37370</v>
      </c>
      <c r="B18" s="23" t="s">
        <v>1433</v>
      </c>
      <c r="C18" s="24" t="s">
        <v>1368</v>
      </c>
      <c r="D18" s="23" t="s">
        <v>1366</v>
      </c>
      <c r="E18" s="5">
        <f>IF(FOLHA="COM DESONERAÇÃO",F18,G18)</f>
        <v>2.46</v>
      </c>
      <c r="F18" s="5">
        <v>2.46</v>
      </c>
      <c r="G18" s="5">
        <v>2.46</v>
      </c>
    </row>
    <row r="19" spans="1:7" x14ac:dyDescent="0.3">
      <c r="A19" s="23">
        <v>325</v>
      </c>
      <c r="B19" s="23" t="s">
        <v>1433</v>
      </c>
      <c r="C19" s="24" t="s">
        <v>1224</v>
      </c>
      <c r="D19" s="23" t="s">
        <v>1214</v>
      </c>
      <c r="E19" s="5">
        <f t="shared" ref="E19:E27" si="1">ROUND(IF(FOLHA="COM DESONERAÇÃO",F19,G19)*icf,2)</f>
        <v>2.96</v>
      </c>
      <c r="F19" s="5">
        <v>2.96</v>
      </c>
      <c r="G19" s="5">
        <v>2.96</v>
      </c>
    </row>
    <row r="20" spans="1:7" x14ac:dyDescent="0.3">
      <c r="A20" s="23" t="s">
        <v>1075</v>
      </c>
      <c r="B20" s="23" t="s">
        <v>1441</v>
      </c>
      <c r="C20" s="24" t="s">
        <v>1225</v>
      </c>
      <c r="D20" s="23" t="s">
        <v>1214</v>
      </c>
      <c r="E20" s="5">
        <f t="shared" si="1"/>
        <v>565.21</v>
      </c>
      <c r="F20" s="5">
        <v>565.21</v>
      </c>
      <c r="G20" s="5">
        <v>565.21</v>
      </c>
    </row>
    <row r="21" spans="1:7" x14ac:dyDescent="0.3">
      <c r="A21" s="23">
        <v>339</v>
      </c>
      <c r="B21" s="23" t="s">
        <v>1433</v>
      </c>
      <c r="C21" s="24" t="s">
        <v>1226</v>
      </c>
      <c r="D21" s="23" t="s">
        <v>1227</v>
      </c>
      <c r="E21" s="5">
        <f t="shared" si="1"/>
        <v>1.35</v>
      </c>
      <c r="F21" s="5">
        <v>1.35</v>
      </c>
      <c r="G21" s="5">
        <v>1.35</v>
      </c>
    </row>
    <row r="22" spans="1:7" ht="28.8" x14ac:dyDescent="0.3">
      <c r="A22" s="23">
        <v>43130</v>
      </c>
      <c r="B22" s="23" t="s">
        <v>1433</v>
      </c>
      <c r="C22" s="24" t="s">
        <v>1228</v>
      </c>
      <c r="D22" s="23" t="s">
        <v>1216</v>
      </c>
      <c r="E22" s="5">
        <f t="shared" si="1"/>
        <v>22.18</v>
      </c>
      <c r="F22" s="5">
        <v>22.18</v>
      </c>
      <c r="G22" s="5">
        <v>22.18</v>
      </c>
    </row>
    <row r="23" spans="1:7" ht="28.8" x14ac:dyDescent="0.3">
      <c r="A23" s="23">
        <v>43132</v>
      </c>
      <c r="B23" s="23" t="s">
        <v>1433</v>
      </c>
      <c r="C23" s="24" t="s">
        <v>1229</v>
      </c>
      <c r="D23" s="23" t="s">
        <v>1216</v>
      </c>
      <c r="E23" s="5">
        <f t="shared" si="1"/>
        <v>22.18</v>
      </c>
      <c r="F23" s="5">
        <v>22.18</v>
      </c>
      <c r="G23" s="5">
        <v>22.18</v>
      </c>
    </row>
    <row r="24" spans="1:7" x14ac:dyDescent="0.3">
      <c r="A24" s="23" t="s">
        <v>1041</v>
      </c>
      <c r="B24" s="23" t="s">
        <v>1612</v>
      </c>
      <c r="C24" s="24" t="s">
        <v>1230</v>
      </c>
      <c r="D24" s="23" t="s">
        <v>1231</v>
      </c>
      <c r="E24" s="5">
        <f t="shared" si="1"/>
        <v>119.58</v>
      </c>
      <c r="F24" s="5">
        <v>119.58</v>
      </c>
      <c r="G24" s="5">
        <v>119.58</v>
      </c>
    </row>
    <row r="25" spans="1:7" x14ac:dyDescent="0.3">
      <c r="A25" s="23">
        <v>367</v>
      </c>
      <c r="B25" s="23" t="s">
        <v>1433</v>
      </c>
      <c r="C25" s="24" t="s">
        <v>1232</v>
      </c>
      <c r="D25" s="23" t="s">
        <v>1231</v>
      </c>
      <c r="E25" s="5">
        <f t="shared" si="1"/>
        <v>91.17</v>
      </c>
      <c r="F25" s="5">
        <v>91.17</v>
      </c>
      <c r="G25" s="5">
        <v>91.17</v>
      </c>
    </row>
    <row r="26" spans="1:7" x14ac:dyDescent="0.3">
      <c r="A26" s="23" t="s">
        <v>1088</v>
      </c>
      <c r="B26" s="23" t="s">
        <v>1612</v>
      </c>
      <c r="C26" s="24" t="s">
        <v>1233</v>
      </c>
      <c r="D26" s="23" t="s">
        <v>1231</v>
      </c>
      <c r="E26" s="5">
        <f t="shared" si="1"/>
        <v>83.58</v>
      </c>
      <c r="F26" s="5">
        <v>83.58</v>
      </c>
      <c r="G26" s="5">
        <v>83.58</v>
      </c>
    </row>
    <row r="27" spans="1:7" x14ac:dyDescent="0.3">
      <c r="A27" s="23">
        <v>370</v>
      </c>
      <c r="B27" s="23" t="s">
        <v>1433</v>
      </c>
      <c r="C27" s="24" t="s">
        <v>1234</v>
      </c>
      <c r="D27" s="23" t="s">
        <v>1231</v>
      </c>
      <c r="E27" s="5">
        <f t="shared" si="1"/>
        <v>90</v>
      </c>
      <c r="F27" s="5">
        <v>90</v>
      </c>
      <c r="G27" s="5">
        <v>90</v>
      </c>
    </row>
    <row r="28" spans="1:7" x14ac:dyDescent="0.3">
      <c r="A28" s="23">
        <v>378</v>
      </c>
      <c r="B28" s="23" t="s">
        <v>1433</v>
      </c>
      <c r="C28" s="24" t="s">
        <v>1369</v>
      </c>
      <c r="D28" s="23" t="s">
        <v>1366</v>
      </c>
      <c r="E28" s="5">
        <f t="shared" ref="E28:E34" si="2">IF(FOLHA="COM DESONERAÇÃO",F28,G28)</f>
        <v>20.329999999999998</v>
      </c>
      <c r="F28" s="5">
        <v>18.16</v>
      </c>
      <c r="G28" s="5">
        <v>20.329999999999998</v>
      </c>
    </row>
    <row r="29" spans="1:7" x14ac:dyDescent="0.3">
      <c r="A29" s="23">
        <v>40331</v>
      </c>
      <c r="B29" s="23" t="s">
        <v>1433</v>
      </c>
      <c r="C29" s="24" t="s">
        <v>1370</v>
      </c>
      <c r="D29" s="23" t="s">
        <v>1366</v>
      </c>
      <c r="E29" s="5">
        <f t="shared" si="2"/>
        <v>13.99</v>
      </c>
      <c r="F29" s="5">
        <v>12.5</v>
      </c>
      <c r="G29" s="5">
        <v>13.99</v>
      </c>
    </row>
    <row r="30" spans="1:7" x14ac:dyDescent="0.3">
      <c r="A30" s="23">
        <v>246</v>
      </c>
      <c r="B30" s="23" t="s">
        <v>1433</v>
      </c>
      <c r="C30" s="24" t="s">
        <v>1371</v>
      </c>
      <c r="D30" s="23" t="s">
        <v>1366</v>
      </c>
      <c r="E30" s="5">
        <f t="shared" si="2"/>
        <v>15.57</v>
      </c>
      <c r="F30" s="5">
        <v>13.91</v>
      </c>
      <c r="G30" s="5">
        <v>15.57</v>
      </c>
    </row>
    <row r="31" spans="1:7" x14ac:dyDescent="0.3">
      <c r="A31" s="23">
        <v>2350</v>
      </c>
      <c r="B31" s="23" t="s">
        <v>1433</v>
      </c>
      <c r="C31" s="24" t="s">
        <v>1372</v>
      </c>
      <c r="D31" s="23" t="s">
        <v>1366</v>
      </c>
      <c r="E31" s="5">
        <f t="shared" si="2"/>
        <v>19.07</v>
      </c>
      <c r="F31" s="5">
        <v>17.04</v>
      </c>
      <c r="G31" s="5">
        <v>19.07</v>
      </c>
    </row>
    <row r="32" spans="1:7" x14ac:dyDescent="0.3">
      <c r="A32" s="23">
        <v>251</v>
      </c>
      <c r="B32" s="23" t="s">
        <v>1433</v>
      </c>
      <c r="C32" s="24" t="s">
        <v>1373</v>
      </c>
      <c r="D32" s="23" t="s">
        <v>1366</v>
      </c>
      <c r="E32" s="5">
        <f t="shared" si="2"/>
        <v>15.57</v>
      </c>
      <c r="F32" s="5">
        <v>13.91</v>
      </c>
      <c r="G32" s="5">
        <v>15.57</v>
      </c>
    </row>
    <row r="33" spans="1:7" x14ac:dyDescent="0.3">
      <c r="A33" s="23">
        <v>6127</v>
      </c>
      <c r="B33" s="23" t="s">
        <v>1433</v>
      </c>
      <c r="C33" s="24" t="s">
        <v>1374</v>
      </c>
      <c r="D33" s="23" t="s">
        <v>1366</v>
      </c>
      <c r="E33" s="5">
        <f t="shared" si="2"/>
        <v>15.57</v>
      </c>
      <c r="F33" s="5">
        <v>13.91</v>
      </c>
      <c r="G33" s="5">
        <v>15.57</v>
      </c>
    </row>
    <row r="34" spans="1:7" x14ac:dyDescent="0.3">
      <c r="A34" s="23">
        <v>532</v>
      </c>
      <c r="B34" s="23" t="s">
        <v>1433</v>
      </c>
      <c r="C34" s="24" t="s">
        <v>1375</v>
      </c>
      <c r="D34" s="23" t="s">
        <v>1366</v>
      </c>
      <c r="E34" s="5">
        <f t="shared" si="2"/>
        <v>24.06</v>
      </c>
      <c r="F34" s="5">
        <v>21.5</v>
      </c>
      <c r="G34" s="5">
        <v>24.06</v>
      </c>
    </row>
    <row r="35" spans="1:7" ht="43.2" x14ac:dyDescent="0.3">
      <c r="A35" s="23" t="s">
        <v>1069</v>
      </c>
      <c r="B35" s="23" t="s">
        <v>1428</v>
      </c>
      <c r="C35" s="24" t="s">
        <v>1633</v>
      </c>
      <c r="D35" s="23" t="s">
        <v>1214</v>
      </c>
      <c r="E35" s="5">
        <f>ROUND(IF(FOLHA="COM DESONERAÇÃO",F35,G35)*icf,2)</f>
        <v>13500</v>
      </c>
      <c r="F35" s="5">
        <v>13500</v>
      </c>
      <c r="G35" s="5">
        <v>13500</v>
      </c>
    </row>
    <row r="36" spans="1:7" ht="43.2" x14ac:dyDescent="0.3">
      <c r="A36" s="23" t="s">
        <v>1065</v>
      </c>
      <c r="B36" s="23" t="s">
        <v>1428</v>
      </c>
      <c r="C36" s="24" t="s">
        <v>1621</v>
      </c>
      <c r="D36" s="23" t="s">
        <v>1214</v>
      </c>
      <c r="E36" s="5">
        <f>ROUND(IF(FOLHA="COM DESONERAÇÃO",F36,G36)*icf,2)</f>
        <v>18900</v>
      </c>
      <c r="F36" s="5">
        <v>18900</v>
      </c>
      <c r="G36" s="5">
        <v>18900</v>
      </c>
    </row>
    <row r="37" spans="1:7" x14ac:dyDescent="0.3">
      <c r="A37" s="23" t="s">
        <v>1042</v>
      </c>
      <c r="B37" s="23" t="s">
        <v>1612</v>
      </c>
      <c r="C37" s="24" t="s">
        <v>1237</v>
      </c>
      <c r="D37" s="23" t="s">
        <v>1227</v>
      </c>
      <c r="E37" s="5">
        <f>ROUND(IF(FOLHA="COM DESONERAÇÃO",F37,G37)*icf,2)</f>
        <v>25.17</v>
      </c>
      <c r="F37" s="5">
        <v>25.17</v>
      </c>
      <c r="G37" s="5">
        <v>25.17</v>
      </c>
    </row>
    <row r="38" spans="1:7" ht="28.8" x14ac:dyDescent="0.3">
      <c r="A38" s="23">
        <v>10535</v>
      </c>
      <c r="B38" s="23" t="s">
        <v>1433</v>
      </c>
      <c r="C38" s="24" t="s">
        <v>1238</v>
      </c>
      <c r="D38" s="23" t="s">
        <v>1214</v>
      </c>
      <c r="E38" s="5">
        <f>ROUND(IF(FOLHA="COM DESONERAÇÃO",F38,G38)*icf,2)</f>
        <v>6387.62</v>
      </c>
      <c r="F38" s="5">
        <v>6387.62</v>
      </c>
      <c r="G38" s="5">
        <v>6387.62</v>
      </c>
    </row>
    <row r="39" spans="1:7" x14ac:dyDescent="0.3">
      <c r="A39" s="23" t="s">
        <v>1087</v>
      </c>
      <c r="B39" s="23" t="s">
        <v>1612</v>
      </c>
      <c r="C39" s="24" t="s">
        <v>1376</v>
      </c>
      <c r="D39" s="23" t="s">
        <v>1366</v>
      </c>
      <c r="E39" s="5">
        <f>IF(FOLHA="COM DESONERAÇÃO",F39,G39)</f>
        <v>27.6</v>
      </c>
      <c r="F39" s="5">
        <v>25.18</v>
      </c>
      <c r="G39" s="5">
        <v>27.6</v>
      </c>
    </row>
    <row r="40" spans="1:7" ht="28.8" x14ac:dyDescent="0.3">
      <c r="A40" s="23">
        <v>36397</v>
      </c>
      <c r="B40" s="23" t="s">
        <v>1433</v>
      </c>
      <c r="C40" s="24" t="s">
        <v>1239</v>
      </c>
      <c r="D40" s="23" t="s">
        <v>1214</v>
      </c>
      <c r="E40" s="5">
        <f t="shared" ref="E40:E51" si="3">ROUND(IF(FOLHA="COM DESONERAÇÃO",F40,G40)*icf,2)</f>
        <v>25983.53</v>
      </c>
      <c r="F40" s="5">
        <v>25983.53</v>
      </c>
      <c r="G40" s="5">
        <v>25983.53</v>
      </c>
    </row>
    <row r="41" spans="1:7" ht="28.8" x14ac:dyDescent="0.3">
      <c r="A41" s="23">
        <v>7267</v>
      </c>
      <c r="B41" s="23" t="s">
        <v>1433</v>
      </c>
      <c r="C41" s="24" t="s">
        <v>1240</v>
      </c>
      <c r="D41" s="23" t="s">
        <v>1214</v>
      </c>
      <c r="E41" s="5">
        <f t="shared" si="3"/>
        <v>0.71</v>
      </c>
      <c r="F41" s="5">
        <v>0.71</v>
      </c>
      <c r="G41" s="5">
        <v>0.71</v>
      </c>
    </row>
    <row r="42" spans="1:7" ht="28.8" x14ac:dyDescent="0.3">
      <c r="A42" s="23">
        <v>7271</v>
      </c>
      <c r="B42" s="23" t="s">
        <v>1433</v>
      </c>
      <c r="C42" s="24" t="s">
        <v>1241</v>
      </c>
      <c r="D42" s="23" t="s">
        <v>1214</v>
      </c>
      <c r="E42" s="5">
        <f t="shared" si="3"/>
        <v>0.9</v>
      </c>
      <c r="F42" s="5">
        <v>0.9</v>
      </c>
      <c r="G42" s="5">
        <v>0.9</v>
      </c>
    </row>
    <row r="43" spans="1:7" x14ac:dyDescent="0.3">
      <c r="A43" s="23" t="s">
        <v>1049</v>
      </c>
      <c r="B43" s="23" t="s">
        <v>1428</v>
      </c>
      <c r="C43" s="24" t="s">
        <v>1623</v>
      </c>
      <c r="D43" s="23" t="s">
        <v>1243</v>
      </c>
      <c r="E43" s="5">
        <f t="shared" si="3"/>
        <v>2095</v>
      </c>
      <c r="F43" s="5">
        <v>2095</v>
      </c>
      <c r="G43" s="5">
        <v>2095</v>
      </c>
    </row>
    <row r="44" spans="1:7" x14ac:dyDescent="0.3">
      <c r="A44" s="23">
        <v>788</v>
      </c>
      <c r="B44" s="23" t="s">
        <v>1433</v>
      </c>
      <c r="C44" s="24" t="s">
        <v>1244</v>
      </c>
      <c r="D44" s="23" t="s">
        <v>1214</v>
      </c>
      <c r="E44" s="5">
        <f t="shared" si="3"/>
        <v>23.82</v>
      </c>
      <c r="F44" s="5">
        <v>23.82</v>
      </c>
      <c r="G44" s="5">
        <v>23.82</v>
      </c>
    </row>
    <row r="45" spans="1:7" x14ac:dyDescent="0.3">
      <c r="A45" s="23">
        <v>34622</v>
      </c>
      <c r="B45" s="23" t="s">
        <v>1433</v>
      </c>
      <c r="C45" s="24" t="s">
        <v>1245</v>
      </c>
      <c r="D45" s="23" t="s">
        <v>1227</v>
      </c>
      <c r="E45" s="5">
        <f t="shared" si="3"/>
        <v>23.41</v>
      </c>
      <c r="F45" s="5">
        <v>23.41</v>
      </c>
      <c r="G45" s="5">
        <v>23.41</v>
      </c>
    </row>
    <row r="46" spans="1:7" ht="28.8" x14ac:dyDescent="0.3">
      <c r="A46" s="23" t="s">
        <v>1056</v>
      </c>
      <c r="B46" s="23" t="s">
        <v>1428</v>
      </c>
      <c r="C46" s="24" t="s">
        <v>1628</v>
      </c>
      <c r="D46" s="23" t="s">
        <v>1227</v>
      </c>
      <c r="E46" s="5">
        <f t="shared" si="3"/>
        <v>5.5</v>
      </c>
      <c r="F46" s="5">
        <v>5.5</v>
      </c>
      <c r="G46" s="5">
        <v>5.5</v>
      </c>
    </row>
    <row r="47" spans="1:7" ht="28.8" x14ac:dyDescent="0.3">
      <c r="A47" s="23">
        <v>4430</v>
      </c>
      <c r="B47" s="23" t="s">
        <v>1433</v>
      </c>
      <c r="C47" s="24" t="s">
        <v>1247</v>
      </c>
      <c r="D47" s="23" t="s">
        <v>1227</v>
      </c>
      <c r="E47" s="5">
        <f t="shared" si="3"/>
        <v>10</v>
      </c>
      <c r="F47" s="5">
        <v>10</v>
      </c>
      <c r="G47" s="5">
        <v>10</v>
      </c>
    </row>
    <row r="48" spans="1:7" ht="28.8" x14ac:dyDescent="0.3">
      <c r="A48" s="23">
        <v>4433</v>
      </c>
      <c r="B48" s="23" t="s">
        <v>1433</v>
      </c>
      <c r="C48" s="24" t="s">
        <v>1248</v>
      </c>
      <c r="D48" s="23" t="s">
        <v>1227</v>
      </c>
      <c r="E48" s="5">
        <f t="shared" si="3"/>
        <v>19.55</v>
      </c>
      <c r="F48" s="5">
        <v>19.55</v>
      </c>
      <c r="G48" s="5">
        <v>19.55</v>
      </c>
    </row>
    <row r="49" spans="1:7" ht="28.8" x14ac:dyDescent="0.3">
      <c r="A49" s="23">
        <v>37106</v>
      </c>
      <c r="B49" s="23" t="s">
        <v>1433</v>
      </c>
      <c r="C49" s="24" t="s">
        <v>1249</v>
      </c>
      <c r="D49" s="23" t="s">
        <v>1214</v>
      </c>
      <c r="E49" s="5">
        <f t="shared" si="3"/>
        <v>5813.32</v>
      </c>
      <c r="F49" s="5">
        <v>5813.32</v>
      </c>
      <c r="G49" s="5">
        <v>5813.32</v>
      </c>
    </row>
    <row r="50" spans="1:7" ht="28.8" x14ac:dyDescent="0.3">
      <c r="A50" s="23">
        <v>37105</v>
      </c>
      <c r="B50" s="23" t="s">
        <v>1433</v>
      </c>
      <c r="C50" s="24" t="s">
        <v>1250</v>
      </c>
      <c r="D50" s="23" t="s">
        <v>1214</v>
      </c>
      <c r="E50" s="5">
        <f t="shared" si="3"/>
        <v>3334.75</v>
      </c>
      <c r="F50" s="5">
        <v>3334.75</v>
      </c>
      <c r="G50" s="5">
        <v>3334.75</v>
      </c>
    </row>
    <row r="51" spans="1:7" x14ac:dyDescent="0.3">
      <c r="A51" s="23">
        <v>1106</v>
      </c>
      <c r="B51" s="23" t="s">
        <v>1433</v>
      </c>
      <c r="C51" s="24" t="s">
        <v>1251</v>
      </c>
      <c r="D51" s="23" t="s">
        <v>1216</v>
      </c>
      <c r="E51" s="5">
        <f t="shared" si="3"/>
        <v>1.25</v>
      </c>
      <c r="F51" s="5">
        <v>1.25</v>
      </c>
      <c r="G51" s="5">
        <v>1.25</v>
      </c>
    </row>
    <row r="52" spans="1:7" x14ac:dyDescent="0.3">
      <c r="A52" s="23">
        <v>6117</v>
      </c>
      <c r="B52" s="23" t="s">
        <v>1433</v>
      </c>
      <c r="C52" s="24" t="s">
        <v>1377</v>
      </c>
      <c r="D52" s="23" t="s">
        <v>1366</v>
      </c>
      <c r="E52" s="5">
        <f>IF(FOLHA="COM DESONERAÇÃO",F52,G52)</f>
        <v>15.57</v>
      </c>
      <c r="F52" s="5">
        <v>13.91</v>
      </c>
      <c r="G52" s="5">
        <v>15.57</v>
      </c>
    </row>
    <row r="53" spans="1:7" x14ac:dyDescent="0.3">
      <c r="A53" s="23">
        <v>1213</v>
      </c>
      <c r="B53" s="23" t="s">
        <v>1433</v>
      </c>
      <c r="C53" s="24" t="s">
        <v>1378</v>
      </c>
      <c r="D53" s="23" t="s">
        <v>1366</v>
      </c>
      <c r="E53" s="5">
        <f>IF(FOLHA="COM DESONERAÇÃO",F53,G53)</f>
        <v>20.329999999999998</v>
      </c>
      <c r="F53" s="5">
        <v>18.16</v>
      </c>
      <c r="G53" s="5">
        <v>20.329999999999998</v>
      </c>
    </row>
    <row r="54" spans="1:7" x14ac:dyDescent="0.3">
      <c r="A54" s="23" t="s">
        <v>1006</v>
      </c>
      <c r="B54" s="23" t="s">
        <v>1612</v>
      </c>
      <c r="C54" s="24" t="s">
        <v>1252</v>
      </c>
      <c r="D54" s="23" t="s">
        <v>1253</v>
      </c>
      <c r="E54" s="5">
        <f t="shared" ref="E54:E71" si="4">ROUND(IF(FOLHA="COM DESONERAÇÃO",F54,G54)*icf,2)</f>
        <v>39.03</v>
      </c>
      <c r="F54" s="5">
        <v>39.03</v>
      </c>
      <c r="G54" s="5">
        <v>39.03</v>
      </c>
    </row>
    <row r="55" spans="1:7" ht="28.8" x14ac:dyDescent="0.3">
      <c r="A55" s="23">
        <v>1345</v>
      </c>
      <c r="B55" s="23" t="s">
        <v>1433</v>
      </c>
      <c r="C55" s="24" t="s">
        <v>1254</v>
      </c>
      <c r="D55" s="23" t="s">
        <v>1253</v>
      </c>
      <c r="E55" s="5">
        <f t="shared" si="4"/>
        <v>108.83</v>
      </c>
      <c r="F55" s="5">
        <v>108.83</v>
      </c>
      <c r="G55" s="5">
        <v>108.83</v>
      </c>
    </row>
    <row r="56" spans="1:7" ht="28.8" x14ac:dyDescent="0.3">
      <c r="A56" s="23">
        <v>1358</v>
      </c>
      <c r="B56" s="23" t="s">
        <v>1433</v>
      </c>
      <c r="C56" s="24" t="s">
        <v>1255</v>
      </c>
      <c r="D56" s="23" t="s">
        <v>1253</v>
      </c>
      <c r="E56" s="5">
        <f t="shared" si="4"/>
        <v>64.260000000000005</v>
      </c>
      <c r="F56" s="5">
        <v>64.260000000000005</v>
      </c>
      <c r="G56" s="5">
        <v>64.260000000000005</v>
      </c>
    </row>
    <row r="57" spans="1:7" x14ac:dyDescent="0.3">
      <c r="A57" s="23" t="s">
        <v>1043</v>
      </c>
      <c r="B57" s="23" t="s">
        <v>1612</v>
      </c>
      <c r="C57" s="24" t="s">
        <v>1256</v>
      </c>
      <c r="D57" s="23" t="s">
        <v>1216</v>
      </c>
      <c r="E57" s="5">
        <f t="shared" si="4"/>
        <v>0.71</v>
      </c>
      <c r="F57" s="5">
        <v>0.71</v>
      </c>
      <c r="G57" s="5">
        <v>0.71</v>
      </c>
    </row>
    <row r="58" spans="1:7" x14ac:dyDescent="0.3">
      <c r="A58" s="23">
        <v>1379</v>
      </c>
      <c r="B58" s="23" t="s">
        <v>1433</v>
      </c>
      <c r="C58" s="24" t="s">
        <v>1257</v>
      </c>
      <c r="D58" s="23" t="s">
        <v>1216</v>
      </c>
      <c r="E58" s="5">
        <f t="shared" si="4"/>
        <v>1</v>
      </c>
      <c r="F58" s="5">
        <v>1</v>
      </c>
      <c r="G58" s="5">
        <v>1</v>
      </c>
    </row>
    <row r="59" spans="1:7" x14ac:dyDescent="0.3">
      <c r="A59" s="23" t="s">
        <v>1068</v>
      </c>
      <c r="B59" s="23" t="s">
        <v>1441</v>
      </c>
      <c r="C59" s="24" t="s">
        <v>1258</v>
      </c>
      <c r="D59" s="23" t="s">
        <v>1214</v>
      </c>
      <c r="E59" s="5">
        <f t="shared" si="4"/>
        <v>11.08</v>
      </c>
      <c r="F59" s="5">
        <v>11.08</v>
      </c>
      <c r="G59" s="5">
        <v>11.08</v>
      </c>
    </row>
    <row r="60" spans="1:7" ht="28.8" x14ac:dyDescent="0.3">
      <c r="A60" s="23">
        <v>1420</v>
      </c>
      <c r="B60" s="23" t="s">
        <v>1433</v>
      </c>
      <c r="C60" s="24" t="s">
        <v>1615</v>
      </c>
      <c r="D60" s="23" t="s">
        <v>1243</v>
      </c>
      <c r="E60" s="5">
        <f t="shared" si="4"/>
        <v>11.94</v>
      </c>
      <c r="F60" s="5">
        <v>11.94</v>
      </c>
      <c r="G60" s="5">
        <v>11.94</v>
      </c>
    </row>
    <row r="61" spans="1:7" ht="43.2" x14ac:dyDescent="0.3">
      <c r="A61" s="23">
        <v>1527</v>
      </c>
      <c r="B61" s="23" t="s">
        <v>1433</v>
      </c>
      <c r="C61" s="24" t="s">
        <v>1260</v>
      </c>
      <c r="D61" s="23" t="s">
        <v>1231</v>
      </c>
      <c r="E61" s="5">
        <f t="shared" si="4"/>
        <v>590.35</v>
      </c>
      <c r="F61" s="5">
        <v>590.35</v>
      </c>
      <c r="G61" s="5">
        <v>590.35</v>
      </c>
    </row>
    <row r="62" spans="1:7" x14ac:dyDescent="0.3">
      <c r="A62" s="23" t="s">
        <v>1055</v>
      </c>
      <c r="B62" s="23" t="s">
        <v>1428</v>
      </c>
      <c r="C62" s="24" t="s">
        <v>1629</v>
      </c>
      <c r="D62" s="23" t="s">
        <v>1243</v>
      </c>
      <c r="E62" s="5">
        <f t="shared" si="4"/>
        <v>10</v>
      </c>
      <c r="F62" s="5">
        <v>10</v>
      </c>
      <c r="G62" s="5">
        <v>10</v>
      </c>
    </row>
    <row r="63" spans="1:7" x14ac:dyDescent="0.3">
      <c r="A63" s="23">
        <v>1789</v>
      </c>
      <c r="B63" s="23" t="s">
        <v>1433</v>
      </c>
      <c r="C63" s="24" t="s">
        <v>1262</v>
      </c>
      <c r="D63" s="23" t="s">
        <v>1214</v>
      </c>
      <c r="E63" s="5">
        <f t="shared" si="4"/>
        <v>68.05</v>
      </c>
      <c r="F63" s="5">
        <v>68.05</v>
      </c>
      <c r="G63" s="5">
        <v>68.05</v>
      </c>
    </row>
    <row r="64" spans="1:7" x14ac:dyDescent="0.3">
      <c r="A64" s="23">
        <v>1957</v>
      </c>
      <c r="B64" s="23" t="s">
        <v>1433</v>
      </c>
      <c r="C64" s="24" t="s">
        <v>1263</v>
      </c>
      <c r="D64" s="23" t="s">
        <v>1214</v>
      </c>
      <c r="E64" s="5">
        <f t="shared" si="4"/>
        <v>6.45</v>
      </c>
      <c r="F64" s="5">
        <v>6.45</v>
      </c>
      <c r="G64" s="5">
        <v>6.45</v>
      </c>
    </row>
    <row r="65" spans="1:7" x14ac:dyDescent="0.3">
      <c r="A65" s="23" t="s">
        <v>1090</v>
      </c>
      <c r="B65" s="23" t="s">
        <v>1612</v>
      </c>
      <c r="C65" s="24" t="s">
        <v>1264</v>
      </c>
      <c r="D65" s="23" t="s">
        <v>1114</v>
      </c>
      <c r="E65" s="5">
        <f t="shared" si="4"/>
        <v>8.4499999999999993</v>
      </c>
      <c r="F65" s="5">
        <v>8.4499999999999993</v>
      </c>
      <c r="G65" s="5">
        <v>8.4499999999999993</v>
      </c>
    </row>
    <row r="66" spans="1:7" ht="28.8" x14ac:dyDescent="0.3">
      <c r="A66" s="23">
        <v>2692</v>
      </c>
      <c r="B66" s="23" t="s">
        <v>1433</v>
      </c>
      <c r="C66" s="24" t="s">
        <v>1265</v>
      </c>
      <c r="D66" s="23" t="s">
        <v>1114</v>
      </c>
      <c r="E66" s="5">
        <f t="shared" si="4"/>
        <v>10.72</v>
      </c>
      <c r="F66" s="5">
        <v>10.72</v>
      </c>
      <c r="G66" s="5">
        <v>10.72</v>
      </c>
    </row>
    <row r="67" spans="1:7" x14ac:dyDescent="0.3">
      <c r="A67" s="23">
        <v>5318</v>
      </c>
      <c r="B67" s="23" t="s">
        <v>1433</v>
      </c>
      <c r="C67" s="24" t="s">
        <v>1266</v>
      </c>
      <c r="D67" s="23" t="s">
        <v>1114</v>
      </c>
      <c r="E67" s="5">
        <f t="shared" si="4"/>
        <v>31.92</v>
      </c>
      <c r="F67" s="5">
        <v>31.92</v>
      </c>
      <c r="G67" s="5">
        <v>31.92</v>
      </c>
    </row>
    <row r="68" spans="1:7" x14ac:dyDescent="0.3">
      <c r="A68" s="23" t="s">
        <v>1058</v>
      </c>
      <c r="B68" s="23" t="s">
        <v>1428</v>
      </c>
      <c r="C68" s="24" t="s">
        <v>1627</v>
      </c>
      <c r="D68" s="23" t="s">
        <v>1243</v>
      </c>
      <c r="E68" s="5">
        <f t="shared" si="4"/>
        <v>68</v>
      </c>
      <c r="F68" s="5">
        <v>68</v>
      </c>
      <c r="G68" s="5">
        <v>68</v>
      </c>
    </row>
    <row r="69" spans="1:7" ht="24.6" customHeight="1" x14ac:dyDescent="0.3">
      <c r="A69" s="23" t="s">
        <v>1053</v>
      </c>
      <c r="B69" s="23" t="s">
        <v>1428</v>
      </c>
      <c r="C69" s="34" t="s">
        <v>1625</v>
      </c>
      <c r="D69" s="23" t="s">
        <v>1243</v>
      </c>
      <c r="E69" s="5">
        <f t="shared" si="4"/>
        <v>75</v>
      </c>
      <c r="F69" s="5">
        <v>75</v>
      </c>
      <c r="G69" s="5">
        <v>75</v>
      </c>
    </row>
    <row r="70" spans="1:7" x14ac:dyDescent="0.3">
      <c r="A70" s="23" t="s">
        <v>1052</v>
      </c>
      <c r="B70" s="23" t="s">
        <v>1428</v>
      </c>
      <c r="C70" s="24" t="s">
        <v>1631</v>
      </c>
      <c r="D70" s="23" t="s">
        <v>1243</v>
      </c>
      <c r="E70" s="5">
        <f t="shared" si="4"/>
        <v>120</v>
      </c>
      <c r="F70" s="5">
        <v>120</v>
      </c>
      <c r="G70" s="5">
        <v>120</v>
      </c>
    </row>
    <row r="71" spans="1:7" x14ac:dyDescent="0.3">
      <c r="A71" s="23">
        <v>665</v>
      </c>
      <c r="B71" s="23" t="s">
        <v>1433</v>
      </c>
      <c r="C71" s="24" t="s">
        <v>1270</v>
      </c>
      <c r="D71" s="23" t="s">
        <v>1214</v>
      </c>
      <c r="E71" s="5">
        <f t="shared" si="4"/>
        <v>30.15</v>
      </c>
      <c r="F71" s="5">
        <v>30.15</v>
      </c>
      <c r="G71" s="5">
        <v>30.15</v>
      </c>
    </row>
    <row r="72" spans="1:7" x14ac:dyDescent="0.3">
      <c r="A72" s="23">
        <v>2436</v>
      </c>
      <c r="B72" s="23" t="s">
        <v>1433</v>
      </c>
      <c r="C72" s="24" t="s">
        <v>1379</v>
      </c>
      <c r="D72" s="23" t="s">
        <v>1366</v>
      </c>
      <c r="E72" s="5">
        <f>IF(FOLHA="COM DESONERAÇÃO",F72,G72)</f>
        <v>20.329999999999998</v>
      </c>
      <c r="F72" s="5">
        <v>18.16</v>
      </c>
      <c r="G72" s="5">
        <v>20.329999999999998</v>
      </c>
    </row>
    <row r="73" spans="1:7" x14ac:dyDescent="0.3">
      <c r="A73" s="23">
        <v>2696</v>
      </c>
      <c r="B73" s="23" t="s">
        <v>1433</v>
      </c>
      <c r="C73" s="24" t="s">
        <v>1380</v>
      </c>
      <c r="D73" s="23" t="s">
        <v>1366</v>
      </c>
      <c r="E73" s="5">
        <f>IF(FOLHA="COM DESONERAÇÃO",F73,G73)</f>
        <v>20.329999999999998</v>
      </c>
      <c r="F73" s="5">
        <v>18.16</v>
      </c>
      <c r="G73" s="5">
        <v>20.329999999999998</v>
      </c>
    </row>
    <row r="74" spans="1:7" x14ac:dyDescent="0.3">
      <c r="A74" s="23">
        <v>4083</v>
      </c>
      <c r="B74" s="23" t="s">
        <v>1433</v>
      </c>
      <c r="C74" s="24" t="s">
        <v>1381</v>
      </c>
      <c r="D74" s="23" t="s">
        <v>1366</v>
      </c>
      <c r="E74" s="5">
        <f>IF(FOLHA="COM DESONERAÇÃO",F74,G74)</f>
        <v>31.85</v>
      </c>
      <c r="F74" s="5">
        <v>28.46</v>
      </c>
      <c r="G74" s="5">
        <v>31.85</v>
      </c>
    </row>
    <row r="75" spans="1:7" x14ac:dyDescent="0.3">
      <c r="A75" s="23">
        <v>2705</v>
      </c>
      <c r="B75" s="23" t="s">
        <v>1433</v>
      </c>
      <c r="C75" s="24" t="s">
        <v>1271</v>
      </c>
      <c r="D75" s="23" t="s">
        <v>1272</v>
      </c>
      <c r="E75" s="5">
        <f>ROUND(IF(FOLHA="COM DESONERAÇÃO",F75,G75)*icf,2)</f>
        <v>1.1000000000000001</v>
      </c>
      <c r="F75" s="5">
        <v>1.1000000000000001</v>
      </c>
      <c r="G75" s="5">
        <v>1.1000000000000001</v>
      </c>
    </row>
    <row r="76" spans="1:7" x14ac:dyDescent="0.3">
      <c r="A76" s="23">
        <v>2706</v>
      </c>
      <c r="B76" s="23" t="s">
        <v>1433</v>
      </c>
      <c r="C76" s="24" t="s">
        <v>1382</v>
      </c>
      <c r="D76" s="23" t="s">
        <v>1366</v>
      </c>
      <c r="E76" s="5">
        <f t="shared" ref="E76:E87" si="5">IF(FOLHA="COM DESONERAÇÃO",F76,G76)</f>
        <v>125.11</v>
      </c>
      <c r="F76" s="5">
        <v>111.82</v>
      </c>
      <c r="G76" s="5">
        <v>125.11</v>
      </c>
    </row>
    <row r="77" spans="1:7" x14ac:dyDescent="0.3">
      <c r="A77" s="23">
        <v>2708</v>
      </c>
      <c r="B77" s="23" t="s">
        <v>1433</v>
      </c>
      <c r="C77" s="24" t="s">
        <v>1383</v>
      </c>
      <c r="D77" s="23" t="s">
        <v>1366</v>
      </c>
      <c r="E77" s="5">
        <f t="shared" si="5"/>
        <v>147.6</v>
      </c>
      <c r="F77" s="5">
        <v>131.91</v>
      </c>
      <c r="G77" s="5">
        <v>147.6</v>
      </c>
    </row>
    <row r="78" spans="1:7" ht="28.8" x14ac:dyDescent="0.3">
      <c r="A78" s="23">
        <v>43482</v>
      </c>
      <c r="B78" s="23" t="s">
        <v>1433</v>
      </c>
      <c r="C78" s="24" t="s">
        <v>1384</v>
      </c>
      <c r="D78" s="23" t="s">
        <v>1366</v>
      </c>
      <c r="E78" s="5">
        <f t="shared" si="5"/>
        <v>0.81</v>
      </c>
      <c r="F78" s="5">
        <v>0.81</v>
      </c>
      <c r="G78" s="5">
        <v>0.81</v>
      </c>
    </row>
    <row r="79" spans="1:7" ht="28.8" x14ac:dyDescent="0.3">
      <c r="A79" s="23">
        <v>43483</v>
      </c>
      <c r="B79" s="23" t="s">
        <v>1433</v>
      </c>
      <c r="C79" s="24" t="s">
        <v>1385</v>
      </c>
      <c r="D79" s="23" t="s">
        <v>1366</v>
      </c>
      <c r="E79" s="5">
        <f t="shared" si="5"/>
        <v>1.43</v>
      </c>
      <c r="F79" s="5">
        <v>1.43</v>
      </c>
      <c r="G79" s="5">
        <v>1.43</v>
      </c>
    </row>
    <row r="80" spans="1:7" ht="28.8" x14ac:dyDescent="0.3">
      <c r="A80" s="23">
        <v>43484</v>
      </c>
      <c r="B80" s="23" t="s">
        <v>1433</v>
      </c>
      <c r="C80" s="24" t="s">
        <v>1386</v>
      </c>
      <c r="D80" s="23" t="s">
        <v>1366</v>
      </c>
      <c r="E80" s="5">
        <f t="shared" si="5"/>
        <v>1.26</v>
      </c>
      <c r="F80" s="5">
        <v>1.26</v>
      </c>
      <c r="G80" s="5">
        <v>1.26</v>
      </c>
    </row>
    <row r="81" spans="1:7" ht="28.8" x14ac:dyDescent="0.3">
      <c r="A81" s="23">
        <v>43485</v>
      </c>
      <c r="B81" s="23" t="s">
        <v>1433</v>
      </c>
      <c r="C81" s="24" t="s">
        <v>1387</v>
      </c>
      <c r="D81" s="23" t="s">
        <v>1366</v>
      </c>
      <c r="E81" s="5">
        <f t="shared" si="5"/>
        <v>1.1299999999999999</v>
      </c>
      <c r="F81" s="5">
        <v>1.1299999999999999</v>
      </c>
      <c r="G81" s="5">
        <v>1.1299999999999999</v>
      </c>
    </row>
    <row r="82" spans="1:7" ht="28.8" x14ac:dyDescent="0.3">
      <c r="A82" s="23">
        <v>43487</v>
      </c>
      <c r="B82" s="23" t="s">
        <v>1433</v>
      </c>
      <c r="C82" s="24" t="s">
        <v>1388</v>
      </c>
      <c r="D82" s="23" t="s">
        <v>1366</v>
      </c>
      <c r="E82" s="5">
        <f t="shared" si="5"/>
        <v>1.28</v>
      </c>
      <c r="F82" s="5">
        <v>1.28</v>
      </c>
      <c r="G82" s="5">
        <v>1.28</v>
      </c>
    </row>
    <row r="83" spans="1:7" ht="28.8" x14ac:dyDescent="0.3">
      <c r="A83" s="23">
        <v>43486</v>
      </c>
      <c r="B83" s="23" t="s">
        <v>1433</v>
      </c>
      <c r="C83" s="24" t="s">
        <v>1389</v>
      </c>
      <c r="D83" s="23" t="s">
        <v>1366</v>
      </c>
      <c r="E83" s="5">
        <f t="shared" si="5"/>
        <v>0.77</v>
      </c>
      <c r="F83" s="5">
        <v>0.77</v>
      </c>
      <c r="G83" s="5">
        <v>0.77</v>
      </c>
    </row>
    <row r="84" spans="1:7" ht="28.8" x14ac:dyDescent="0.3">
      <c r="A84" s="23">
        <v>43488</v>
      </c>
      <c r="B84" s="23" t="s">
        <v>1433</v>
      </c>
      <c r="C84" s="24" t="s">
        <v>1390</v>
      </c>
      <c r="D84" s="23" t="s">
        <v>1366</v>
      </c>
      <c r="E84" s="5">
        <f t="shared" si="5"/>
        <v>0.89</v>
      </c>
      <c r="F84" s="5">
        <v>0.89</v>
      </c>
      <c r="G84" s="5">
        <v>0.89</v>
      </c>
    </row>
    <row r="85" spans="1:7" x14ac:dyDescent="0.3">
      <c r="A85" s="23">
        <v>43489</v>
      </c>
      <c r="B85" s="23" t="s">
        <v>1433</v>
      </c>
      <c r="C85" s="24" t="s">
        <v>1391</v>
      </c>
      <c r="D85" s="23" t="s">
        <v>1366</v>
      </c>
      <c r="E85" s="5">
        <f t="shared" si="5"/>
        <v>1.31</v>
      </c>
      <c r="F85" s="5">
        <v>1.31</v>
      </c>
      <c r="G85" s="5">
        <v>1.31</v>
      </c>
    </row>
    <row r="86" spans="1:7" x14ac:dyDescent="0.3">
      <c r="A86" s="23">
        <v>43490</v>
      </c>
      <c r="B86" s="23" t="s">
        <v>1433</v>
      </c>
      <c r="C86" s="24" t="s">
        <v>1392</v>
      </c>
      <c r="D86" s="23" t="s">
        <v>1366</v>
      </c>
      <c r="E86" s="5">
        <f t="shared" si="5"/>
        <v>1.85</v>
      </c>
      <c r="F86" s="5">
        <v>1.85</v>
      </c>
      <c r="G86" s="5">
        <v>1.85</v>
      </c>
    </row>
    <row r="87" spans="1:7" x14ac:dyDescent="0.3">
      <c r="A87" s="23">
        <v>43491</v>
      </c>
      <c r="B87" s="23" t="s">
        <v>1433</v>
      </c>
      <c r="C87" s="24" t="s">
        <v>1393</v>
      </c>
      <c r="D87" s="23" t="s">
        <v>1366</v>
      </c>
      <c r="E87" s="5">
        <f t="shared" si="5"/>
        <v>1.39</v>
      </c>
      <c r="F87" s="5">
        <v>1.39</v>
      </c>
      <c r="G87" s="5">
        <v>1.39</v>
      </c>
    </row>
    <row r="88" spans="1:7" ht="28.8" x14ac:dyDescent="0.3">
      <c r="A88" s="23" t="s">
        <v>1023</v>
      </c>
      <c r="B88" s="23" t="s">
        <v>1428</v>
      </c>
      <c r="C88" s="24" t="s">
        <v>1273</v>
      </c>
      <c r="D88" s="23" t="s">
        <v>1274</v>
      </c>
      <c r="E88" s="5">
        <f>ROUND(IF(FOLHA="COM DESONERAÇÃO",F88,G88)*icf,2)</f>
        <v>420.5</v>
      </c>
      <c r="F88" s="5">
        <v>420.5</v>
      </c>
      <c r="G88" s="5">
        <v>420.5</v>
      </c>
    </row>
    <row r="89" spans="1:7" ht="28.8" x14ac:dyDescent="0.3">
      <c r="A89" s="23" t="s">
        <v>1018</v>
      </c>
      <c r="B89" s="23" t="s">
        <v>1428</v>
      </c>
      <c r="C89" s="24" t="s">
        <v>1394</v>
      </c>
      <c r="D89" s="23" t="s">
        <v>1366</v>
      </c>
      <c r="E89" s="5">
        <f>IF(FOLHA="COM DESONERAÇÃO",F89,G89)</f>
        <v>420.5</v>
      </c>
      <c r="F89" s="5">
        <v>420.5</v>
      </c>
      <c r="G89" s="5">
        <v>420.5</v>
      </c>
    </row>
    <row r="90" spans="1:7" ht="28.8" x14ac:dyDescent="0.3">
      <c r="A90" s="23">
        <v>10685</v>
      </c>
      <c r="B90" s="23" t="s">
        <v>1433</v>
      </c>
      <c r="C90" s="24" t="s">
        <v>1275</v>
      </c>
      <c r="D90" s="23" t="s">
        <v>1214</v>
      </c>
      <c r="E90" s="5">
        <f>ROUND(IF(FOLHA="COM DESONERAÇÃO",F90,G90)*icf,2)</f>
        <v>859948.31</v>
      </c>
      <c r="F90" s="5">
        <v>859948.31</v>
      </c>
      <c r="G90" s="5">
        <v>859948.31</v>
      </c>
    </row>
    <row r="91" spans="1:7" x14ac:dyDescent="0.3">
      <c r="A91" s="23" t="s">
        <v>1009</v>
      </c>
      <c r="B91" s="23" t="s">
        <v>1612</v>
      </c>
      <c r="C91" s="24" t="s">
        <v>1276</v>
      </c>
      <c r="D91" s="23" t="s">
        <v>1114</v>
      </c>
      <c r="E91" s="5">
        <f>ROUND(IF(FOLHA="COM DESONERAÇÃO",F91,G91)*icf,2)</f>
        <v>31.88</v>
      </c>
      <c r="F91" s="5">
        <v>31.88</v>
      </c>
      <c r="G91" s="5">
        <v>31.88</v>
      </c>
    </row>
    <row r="92" spans="1:7" ht="28.8" x14ac:dyDescent="0.3">
      <c r="A92" s="23">
        <v>39017</v>
      </c>
      <c r="B92" s="23" t="s">
        <v>1433</v>
      </c>
      <c r="C92" s="24" t="s">
        <v>1277</v>
      </c>
      <c r="D92" s="23" t="s">
        <v>1214</v>
      </c>
      <c r="E92" s="5">
        <f>ROUND(IF(FOLHA="COM DESONERAÇÃO",F92,G92)*icf,2)</f>
        <v>0.22</v>
      </c>
      <c r="F92" s="5">
        <v>0.22</v>
      </c>
      <c r="G92" s="5">
        <v>0.22</v>
      </c>
    </row>
    <row r="93" spans="1:7" x14ac:dyDescent="0.3">
      <c r="A93" s="23">
        <v>37372</v>
      </c>
      <c r="B93" s="23" t="s">
        <v>1433</v>
      </c>
      <c r="C93" s="24" t="s">
        <v>1395</v>
      </c>
      <c r="D93" s="23" t="s">
        <v>1366</v>
      </c>
      <c r="E93" s="5">
        <f>IF(FOLHA="COM DESONERAÇÃO",F93,G93)</f>
        <v>1.43</v>
      </c>
      <c r="F93" s="5">
        <v>1.43</v>
      </c>
      <c r="G93" s="5">
        <v>1.43</v>
      </c>
    </row>
    <row r="94" spans="1:7" x14ac:dyDescent="0.3">
      <c r="A94" s="23" t="s">
        <v>1044</v>
      </c>
      <c r="B94" s="23" t="s">
        <v>1612</v>
      </c>
      <c r="C94" s="24" t="s">
        <v>1278</v>
      </c>
      <c r="D94" s="23" t="s">
        <v>1214</v>
      </c>
      <c r="E94" s="5">
        <f>ROUND(IF(FOLHA="COM DESONERAÇÃO",F94,G94)*icf,2)</f>
        <v>28.92</v>
      </c>
      <c r="F94" s="5">
        <v>28.92</v>
      </c>
      <c r="G94" s="5">
        <v>28.92</v>
      </c>
    </row>
    <row r="95" spans="1:7" ht="28.8" x14ac:dyDescent="0.3">
      <c r="A95" s="23">
        <v>43458</v>
      </c>
      <c r="B95" s="23" t="s">
        <v>1433</v>
      </c>
      <c r="C95" s="24" t="s">
        <v>1396</v>
      </c>
      <c r="D95" s="23" t="s">
        <v>1366</v>
      </c>
      <c r="E95" s="5">
        <f t="shared" ref="E95:E104" si="6">IF(FOLHA="COM DESONERAÇÃO",F95,G95)</f>
        <v>0.06</v>
      </c>
      <c r="F95" s="5">
        <v>0.06</v>
      </c>
      <c r="G95" s="5">
        <v>0.06</v>
      </c>
    </row>
    <row r="96" spans="1:7" ht="28.8" x14ac:dyDescent="0.3">
      <c r="A96" s="23">
        <v>43459</v>
      </c>
      <c r="B96" s="23" t="s">
        <v>1433</v>
      </c>
      <c r="C96" s="24" t="s">
        <v>1397</v>
      </c>
      <c r="D96" s="23" t="s">
        <v>1366</v>
      </c>
      <c r="E96" s="5">
        <f t="shared" si="6"/>
        <v>0.44</v>
      </c>
      <c r="F96" s="5">
        <v>0.44</v>
      </c>
      <c r="G96" s="5">
        <v>0.44</v>
      </c>
    </row>
    <row r="97" spans="1:7" ht="28.8" x14ac:dyDescent="0.3">
      <c r="A97" s="23">
        <v>43460</v>
      </c>
      <c r="B97" s="23" t="s">
        <v>1433</v>
      </c>
      <c r="C97" s="24" t="s">
        <v>1398</v>
      </c>
      <c r="D97" s="23" t="s">
        <v>1366</v>
      </c>
      <c r="E97" s="5">
        <f t="shared" si="6"/>
        <v>0.86</v>
      </c>
      <c r="F97" s="5">
        <v>0.86</v>
      </c>
      <c r="G97" s="5">
        <v>0.86</v>
      </c>
    </row>
    <row r="98" spans="1:7" ht="28.8" x14ac:dyDescent="0.3">
      <c r="A98" s="23">
        <v>43461</v>
      </c>
      <c r="B98" s="23" t="s">
        <v>1433</v>
      </c>
      <c r="C98" s="24" t="s">
        <v>1399</v>
      </c>
      <c r="D98" s="23" t="s">
        <v>1366</v>
      </c>
      <c r="E98" s="5">
        <f t="shared" si="6"/>
        <v>0.31</v>
      </c>
      <c r="F98" s="5">
        <v>0.31</v>
      </c>
      <c r="G98" s="5">
        <v>0.31</v>
      </c>
    </row>
    <row r="99" spans="1:7" ht="28.8" x14ac:dyDescent="0.3">
      <c r="A99" s="23">
        <v>43463</v>
      </c>
      <c r="B99" s="23" t="s">
        <v>1433</v>
      </c>
      <c r="C99" s="24" t="s">
        <v>1400</v>
      </c>
      <c r="D99" s="23" t="s">
        <v>1366</v>
      </c>
      <c r="E99" s="5">
        <f t="shared" si="6"/>
        <v>0.08</v>
      </c>
      <c r="F99" s="5">
        <v>0.08</v>
      </c>
      <c r="G99" s="5">
        <v>0.08</v>
      </c>
    </row>
    <row r="100" spans="1:7" ht="28.8" x14ac:dyDescent="0.3">
      <c r="A100" s="23">
        <v>43462</v>
      </c>
      <c r="B100" s="23" t="s">
        <v>1433</v>
      </c>
      <c r="C100" s="24" t="s">
        <v>1401</v>
      </c>
      <c r="D100" s="23" t="s">
        <v>1366</v>
      </c>
      <c r="E100" s="5">
        <f t="shared" si="6"/>
        <v>0.01</v>
      </c>
      <c r="F100" s="5">
        <v>0.01</v>
      </c>
      <c r="G100" s="5">
        <v>0.01</v>
      </c>
    </row>
    <row r="101" spans="1:7" ht="28.8" x14ac:dyDescent="0.3">
      <c r="A101" s="23">
        <v>43464</v>
      </c>
      <c r="B101" s="23" t="s">
        <v>1433</v>
      </c>
      <c r="C101" s="24" t="s">
        <v>1402</v>
      </c>
      <c r="D101" s="23" t="s">
        <v>1366</v>
      </c>
      <c r="E101" s="5">
        <f t="shared" si="6"/>
        <v>0.01</v>
      </c>
      <c r="F101" s="5">
        <v>0.01</v>
      </c>
      <c r="G101" s="5">
        <v>0.01</v>
      </c>
    </row>
    <row r="102" spans="1:7" ht="28.8" x14ac:dyDescent="0.3">
      <c r="A102" s="23">
        <v>43465</v>
      </c>
      <c r="B102" s="23" t="s">
        <v>1433</v>
      </c>
      <c r="C102" s="24" t="s">
        <v>1403</v>
      </c>
      <c r="D102" s="23" t="s">
        <v>1366</v>
      </c>
      <c r="E102" s="5">
        <f t="shared" si="6"/>
        <v>0.78</v>
      </c>
      <c r="F102" s="5">
        <v>0.78</v>
      </c>
      <c r="G102" s="5">
        <v>0.78</v>
      </c>
    </row>
    <row r="103" spans="1:7" ht="28.8" x14ac:dyDescent="0.3">
      <c r="A103" s="23">
        <v>43466</v>
      </c>
      <c r="B103" s="23" t="s">
        <v>1433</v>
      </c>
      <c r="C103" s="24" t="s">
        <v>1404</v>
      </c>
      <c r="D103" s="23" t="s">
        <v>1366</v>
      </c>
      <c r="E103" s="5">
        <f t="shared" si="6"/>
        <v>2.0499999999999998</v>
      </c>
      <c r="F103" s="5">
        <v>2.0499999999999998</v>
      </c>
      <c r="G103" s="5">
        <v>2.0499999999999998</v>
      </c>
    </row>
    <row r="104" spans="1:7" ht="28.8" x14ac:dyDescent="0.3">
      <c r="A104" s="23">
        <v>43467</v>
      </c>
      <c r="B104" s="23" t="s">
        <v>1433</v>
      </c>
      <c r="C104" s="24" t="s">
        <v>1405</v>
      </c>
      <c r="D104" s="23" t="s">
        <v>1366</v>
      </c>
      <c r="E104" s="5">
        <f t="shared" si="6"/>
        <v>0.61</v>
      </c>
      <c r="F104" s="5">
        <v>0.61</v>
      </c>
      <c r="G104" s="5">
        <v>0.61</v>
      </c>
    </row>
    <row r="105" spans="1:7" x14ac:dyDescent="0.3">
      <c r="A105" s="23">
        <v>3146</v>
      </c>
      <c r="B105" s="23" t="s">
        <v>1433</v>
      </c>
      <c r="C105" s="24" t="s">
        <v>1279</v>
      </c>
      <c r="D105" s="23" t="s">
        <v>1214</v>
      </c>
      <c r="E105" s="5">
        <f>ROUND(IF(FOLHA="COM DESONERAÇÃO",F105,G105)*icf,2)</f>
        <v>4.1399999999999997</v>
      </c>
      <c r="F105" s="5">
        <v>4.1399999999999997</v>
      </c>
      <c r="G105" s="5">
        <v>4.1399999999999997</v>
      </c>
    </row>
    <row r="106" spans="1:7" x14ac:dyDescent="0.3">
      <c r="A106" s="23">
        <v>3148</v>
      </c>
      <c r="B106" s="23" t="s">
        <v>1433</v>
      </c>
      <c r="C106" s="24" t="s">
        <v>1280</v>
      </c>
      <c r="D106" s="23" t="s">
        <v>1214</v>
      </c>
      <c r="E106" s="5">
        <f>ROUND(IF(FOLHA="COM DESONERAÇÃO",F106,G106)*icf,2)</f>
        <v>15.26</v>
      </c>
      <c r="F106" s="5">
        <v>15.26</v>
      </c>
      <c r="G106" s="5">
        <v>15.26</v>
      </c>
    </row>
    <row r="107" spans="1:7" hidden="1" x14ac:dyDescent="0.3">
      <c r="A107" s="23" t="s">
        <v>1021</v>
      </c>
      <c r="B107" s="23" t="s">
        <v>1428</v>
      </c>
      <c r="C107" s="24" t="s">
        <v>1406</v>
      </c>
      <c r="D107" s="23" t="s">
        <v>1366</v>
      </c>
      <c r="E107" s="5">
        <f>IF(FOLHA="COM DESONERAÇÃO",F107,G107)</f>
        <v>111.02</v>
      </c>
      <c r="F107" s="5">
        <v>111.02</v>
      </c>
      <c r="G107" s="5">
        <v>111.02</v>
      </c>
    </row>
    <row r="108" spans="1:7" x14ac:dyDescent="0.3">
      <c r="A108" s="23" t="s">
        <v>1012</v>
      </c>
      <c r="B108" s="23" t="s">
        <v>1428</v>
      </c>
      <c r="C108" s="24" t="s">
        <v>1407</v>
      </c>
      <c r="D108" s="23" t="s">
        <v>1366</v>
      </c>
      <c r="E108" s="5">
        <f>IF(FOLHA="COM DESONERAÇÃO",F108,G108)</f>
        <v>111.02</v>
      </c>
      <c r="F108" s="5">
        <v>111.02</v>
      </c>
      <c r="G108" s="5">
        <v>111.02</v>
      </c>
    </row>
    <row r="109" spans="1:7" hidden="1" x14ac:dyDescent="0.3">
      <c r="A109" s="23" t="s">
        <v>1015</v>
      </c>
      <c r="B109" s="23" t="s">
        <v>1428</v>
      </c>
      <c r="C109" s="24" t="s">
        <v>1408</v>
      </c>
      <c r="D109" s="23" t="s">
        <v>1366</v>
      </c>
      <c r="E109" s="5">
        <f>IF(FOLHA="COM DESONERAÇÃO",F109,G109)</f>
        <v>111.02</v>
      </c>
      <c r="F109" s="5">
        <v>111.02</v>
      </c>
      <c r="G109" s="5">
        <v>111.02</v>
      </c>
    </row>
    <row r="110" spans="1:7" x14ac:dyDescent="0.3">
      <c r="A110" s="23" t="s">
        <v>1045</v>
      </c>
      <c r="B110" s="23" t="s">
        <v>1612</v>
      </c>
      <c r="C110" s="24" t="s">
        <v>1281</v>
      </c>
      <c r="D110" s="23" t="s">
        <v>1253</v>
      </c>
      <c r="E110" s="5">
        <f t="shared" ref="E110:E119" si="7">ROUND(IF(FOLHA="COM DESONERAÇÃO",F110,G110)*icf,2)</f>
        <v>132.02000000000001</v>
      </c>
      <c r="F110" s="5">
        <v>132.02000000000001</v>
      </c>
      <c r="G110" s="5">
        <v>132.02000000000001</v>
      </c>
    </row>
    <row r="111" spans="1:7" x14ac:dyDescent="0.3">
      <c r="A111" s="23" t="s">
        <v>1028</v>
      </c>
      <c r="B111" s="23" t="s">
        <v>1441</v>
      </c>
      <c r="C111" s="24" t="s">
        <v>1282</v>
      </c>
      <c r="D111" s="23" t="s">
        <v>1214</v>
      </c>
      <c r="E111" s="5">
        <f t="shared" si="7"/>
        <v>647.55999999999995</v>
      </c>
      <c r="F111" s="5">
        <v>647.55999999999995</v>
      </c>
      <c r="G111" s="5">
        <v>647.55999999999995</v>
      </c>
    </row>
    <row r="112" spans="1:7" x14ac:dyDescent="0.3">
      <c r="A112" s="23" t="s">
        <v>1020</v>
      </c>
      <c r="B112" s="23" t="s">
        <v>1428</v>
      </c>
      <c r="C112" s="24" t="s">
        <v>1283</v>
      </c>
      <c r="D112" s="23" t="s">
        <v>1114</v>
      </c>
      <c r="E112" s="5">
        <f t="shared" si="7"/>
        <v>4.2</v>
      </c>
      <c r="F112" s="5">
        <v>4.2</v>
      </c>
      <c r="G112" s="5">
        <v>4.2</v>
      </c>
    </row>
    <row r="113" spans="1:7" ht="28.8" x14ac:dyDescent="0.3">
      <c r="A113" s="23" t="s">
        <v>1051</v>
      </c>
      <c r="B113" s="23" t="s">
        <v>1428</v>
      </c>
      <c r="C113" s="24" t="s">
        <v>1624</v>
      </c>
      <c r="D113" s="23" t="s">
        <v>1243</v>
      </c>
      <c r="E113" s="5">
        <f t="shared" si="7"/>
        <v>1700</v>
      </c>
      <c r="F113" s="5">
        <v>1700</v>
      </c>
      <c r="G113" s="5">
        <v>1700</v>
      </c>
    </row>
    <row r="114" spans="1:7" x14ac:dyDescent="0.3">
      <c r="A114" s="23">
        <v>3542</v>
      </c>
      <c r="B114" s="23" t="s">
        <v>1433</v>
      </c>
      <c r="C114" s="24" t="s">
        <v>1285</v>
      </c>
      <c r="D114" s="23" t="s">
        <v>1214</v>
      </c>
      <c r="E114" s="5">
        <f t="shared" si="7"/>
        <v>0.59</v>
      </c>
      <c r="F114" s="5">
        <v>0.59</v>
      </c>
      <c r="G114" s="5">
        <v>0.59</v>
      </c>
    </row>
    <row r="115" spans="1:7" x14ac:dyDescent="0.3">
      <c r="A115" s="23">
        <v>3536</v>
      </c>
      <c r="B115" s="23" t="s">
        <v>1433</v>
      </c>
      <c r="C115" s="24" t="s">
        <v>1286</v>
      </c>
      <c r="D115" s="23" t="s">
        <v>1214</v>
      </c>
      <c r="E115" s="5">
        <f t="shared" si="7"/>
        <v>2.42</v>
      </c>
      <c r="F115" s="5">
        <v>2.42</v>
      </c>
      <c r="G115" s="5">
        <v>2.42</v>
      </c>
    </row>
    <row r="116" spans="1:7" ht="28.8" x14ac:dyDescent="0.3">
      <c r="A116" s="23">
        <v>3671</v>
      </c>
      <c r="B116" s="23" t="s">
        <v>1433</v>
      </c>
      <c r="C116" s="24" t="s">
        <v>1287</v>
      </c>
      <c r="D116" s="23" t="s">
        <v>1227</v>
      </c>
      <c r="E116" s="5">
        <f t="shared" si="7"/>
        <v>3.15</v>
      </c>
      <c r="F116" s="5">
        <v>3.15</v>
      </c>
      <c r="G116" s="5">
        <v>3.15</v>
      </c>
    </row>
    <row r="117" spans="1:7" ht="28.8" x14ac:dyDescent="0.3">
      <c r="A117" s="23" t="s">
        <v>1057</v>
      </c>
      <c r="B117" s="23" t="s">
        <v>1428</v>
      </c>
      <c r="C117" s="24" t="s">
        <v>1626</v>
      </c>
      <c r="D117" s="23" t="s">
        <v>1243</v>
      </c>
      <c r="E117" s="5">
        <f t="shared" si="7"/>
        <v>56</v>
      </c>
      <c r="F117" s="5">
        <v>56</v>
      </c>
      <c r="G117" s="5">
        <v>56</v>
      </c>
    </row>
    <row r="118" spans="1:7" ht="28.8" x14ac:dyDescent="0.3">
      <c r="A118" s="23">
        <v>40271</v>
      </c>
      <c r="B118" s="23" t="s">
        <v>1433</v>
      </c>
      <c r="C118" s="24" t="s">
        <v>1289</v>
      </c>
      <c r="D118" s="23" t="s">
        <v>1290</v>
      </c>
      <c r="E118" s="5">
        <f t="shared" si="7"/>
        <v>15.31</v>
      </c>
      <c r="F118" s="5">
        <v>15.31</v>
      </c>
      <c r="G118" s="5">
        <v>15.31</v>
      </c>
    </row>
    <row r="119" spans="1:7" ht="28.8" x14ac:dyDescent="0.3">
      <c r="A119" s="23">
        <v>40287</v>
      </c>
      <c r="B119" s="23" t="s">
        <v>1433</v>
      </c>
      <c r="C119" s="24" t="s">
        <v>1409</v>
      </c>
      <c r="D119" s="23" t="s">
        <v>1410</v>
      </c>
      <c r="E119" s="5">
        <f t="shared" si="7"/>
        <v>5.89</v>
      </c>
      <c r="F119" s="5">
        <v>5.89</v>
      </c>
      <c r="G119" s="5">
        <v>5.89</v>
      </c>
    </row>
    <row r="120" spans="1:7" ht="57.6" x14ac:dyDescent="0.3">
      <c r="A120" s="23">
        <v>743</v>
      </c>
      <c r="B120" s="23" t="s">
        <v>1433</v>
      </c>
      <c r="C120" s="24" t="s">
        <v>1411</v>
      </c>
      <c r="D120" s="23" t="s">
        <v>1366</v>
      </c>
      <c r="E120" s="5">
        <f>IF(FOLHA="COM DESONERAÇÃO",F120,G120)</f>
        <v>2.4300000000000002</v>
      </c>
      <c r="F120" s="5">
        <v>2.4300000000000002</v>
      </c>
      <c r="G120" s="5">
        <v>2.4300000000000002</v>
      </c>
    </row>
    <row r="121" spans="1:7" ht="28.8" x14ac:dyDescent="0.3">
      <c r="A121" s="23">
        <v>3346</v>
      </c>
      <c r="B121" s="23" t="s">
        <v>1433</v>
      </c>
      <c r="C121" s="24" t="s">
        <v>1412</v>
      </c>
      <c r="D121" s="23" t="s">
        <v>1366</v>
      </c>
      <c r="E121" s="5">
        <f>IF(FOLHA="COM DESONERAÇÃO",F121,G121)</f>
        <v>25.68</v>
      </c>
      <c r="F121" s="5">
        <v>25.68</v>
      </c>
      <c r="G121" s="5">
        <v>25.68</v>
      </c>
    </row>
    <row r="122" spans="1:7" ht="28.8" x14ac:dyDescent="0.3">
      <c r="A122" s="23">
        <v>40275</v>
      </c>
      <c r="B122" s="23" t="s">
        <v>1433</v>
      </c>
      <c r="C122" s="24" t="s">
        <v>1291</v>
      </c>
      <c r="D122" s="23" t="s">
        <v>1290</v>
      </c>
      <c r="E122" s="5">
        <f>ROUND(IF(FOLHA="COM DESONERAÇÃO",F122,G122)*icf,2)</f>
        <v>16</v>
      </c>
      <c r="F122" s="5">
        <v>16</v>
      </c>
      <c r="G122" s="5">
        <v>16</v>
      </c>
    </row>
    <row r="123" spans="1:7" x14ac:dyDescent="0.3">
      <c r="A123" s="23">
        <v>3939</v>
      </c>
      <c r="B123" s="23" t="s">
        <v>1433</v>
      </c>
      <c r="C123" s="24" t="s">
        <v>1292</v>
      </c>
      <c r="D123" s="23" t="s">
        <v>1214</v>
      </c>
      <c r="E123" s="5">
        <f>ROUND(IF(FOLHA="COM DESONERAÇÃO",F123,G123)*icf,2)</f>
        <v>19.670000000000002</v>
      </c>
      <c r="F123" s="5">
        <v>19.670000000000002</v>
      </c>
      <c r="G123" s="5">
        <v>19.670000000000002</v>
      </c>
    </row>
    <row r="124" spans="1:7" x14ac:dyDescent="0.3">
      <c r="A124" s="23" t="s">
        <v>1026</v>
      </c>
      <c r="B124" s="23" t="s">
        <v>1441</v>
      </c>
      <c r="C124" s="24" t="s">
        <v>1293</v>
      </c>
      <c r="D124" s="23" t="s">
        <v>1214</v>
      </c>
      <c r="E124" s="5">
        <f>ROUND(IF(FOLHA="COM DESONERAÇÃO",F124,G124)*icf,2)</f>
        <v>4.4800000000000004</v>
      </c>
      <c r="F124" s="5">
        <v>4.4800000000000004</v>
      </c>
      <c r="G124" s="5">
        <v>4.4800000000000004</v>
      </c>
    </row>
    <row r="125" spans="1:7" ht="28.8" x14ac:dyDescent="0.3">
      <c r="A125" s="23">
        <v>12898</v>
      </c>
      <c r="B125" s="23" t="s">
        <v>1433</v>
      </c>
      <c r="C125" s="24" t="s">
        <v>1294</v>
      </c>
      <c r="D125" s="23" t="s">
        <v>1214</v>
      </c>
      <c r="E125" s="5">
        <f>ROUND(IF(FOLHA="COM DESONERAÇÃO",F125,G125)*icf,2)</f>
        <v>210</v>
      </c>
      <c r="F125" s="5">
        <v>210</v>
      </c>
      <c r="G125" s="5">
        <v>210</v>
      </c>
    </row>
    <row r="126" spans="1:7" x14ac:dyDescent="0.3">
      <c r="A126" s="23" t="s">
        <v>1019</v>
      </c>
      <c r="B126" s="23" t="s">
        <v>1428</v>
      </c>
      <c r="C126" s="24" t="s">
        <v>1413</v>
      </c>
      <c r="D126" s="23" t="s">
        <v>1366</v>
      </c>
      <c r="E126" s="5">
        <f>IF(FOLHA="COM DESONERAÇÃO",F126,G126)</f>
        <v>0.16</v>
      </c>
      <c r="F126" s="5">
        <v>0.16</v>
      </c>
      <c r="G126" s="5">
        <v>0.16</v>
      </c>
    </row>
    <row r="127" spans="1:7" ht="28.8" x14ac:dyDescent="0.3">
      <c r="A127" s="23">
        <v>4114</v>
      </c>
      <c r="B127" s="23" t="s">
        <v>1433</v>
      </c>
      <c r="C127" s="24" t="s">
        <v>1295</v>
      </c>
      <c r="D127" s="23" t="s">
        <v>1214</v>
      </c>
      <c r="E127" s="5">
        <f>ROUND(IF(FOLHA="COM DESONERAÇÃO",F127,G127)*icf,2)</f>
        <v>64.400000000000006</v>
      </c>
      <c r="F127" s="5">
        <v>64.400000000000006</v>
      </c>
      <c r="G127" s="5">
        <v>64.400000000000006</v>
      </c>
    </row>
    <row r="128" spans="1:7" x14ac:dyDescent="0.3">
      <c r="A128" s="23">
        <v>4209</v>
      </c>
      <c r="B128" s="23" t="s">
        <v>1433</v>
      </c>
      <c r="C128" s="24" t="s">
        <v>1296</v>
      </c>
      <c r="D128" s="23" t="s">
        <v>1214</v>
      </c>
      <c r="E128" s="5">
        <f>ROUND(IF(FOLHA="COM DESONERAÇÃO",F128,G128)*icf,2)</f>
        <v>19.38</v>
      </c>
      <c r="F128" s="5">
        <v>19.38</v>
      </c>
      <c r="G128" s="5">
        <v>19.38</v>
      </c>
    </row>
    <row r="129" spans="1:7" x14ac:dyDescent="0.3">
      <c r="A129" s="23">
        <v>4221</v>
      </c>
      <c r="B129" s="23" t="s">
        <v>1433</v>
      </c>
      <c r="C129" s="24" t="s">
        <v>1297</v>
      </c>
      <c r="D129" s="23" t="s">
        <v>1114</v>
      </c>
      <c r="E129" s="5">
        <f>ROUND(IF(FOLHA="COM DESONERAÇÃO",F129,G129)*icf,2)</f>
        <v>5.88</v>
      </c>
      <c r="F129" s="5">
        <v>5.88</v>
      </c>
      <c r="G129" s="5">
        <v>5.88</v>
      </c>
    </row>
    <row r="130" spans="1:7" x14ac:dyDescent="0.3">
      <c r="A130" s="23">
        <v>37666</v>
      </c>
      <c r="B130" s="23" t="s">
        <v>1433</v>
      </c>
      <c r="C130" s="24" t="s">
        <v>1414</v>
      </c>
      <c r="D130" s="23" t="s">
        <v>1366</v>
      </c>
      <c r="E130" s="5">
        <f>IF(FOLHA="COM DESONERAÇÃO",F130,G130)</f>
        <v>21.48</v>
      </c>
      <c r="F130" s="5">
        <v>19.190000000000001</v>
      </c>
      <c r="G130" s="5">
        <v>21.48</v>
      </c>
    </row>
    <row r="131" spans="1:7" x14ac:dyDescent="0.3">
      <c r="A131" s="23">
        <v>4234</v>
      </c>
      <c r="B131" s="23" t="s">
        <v>1433</v>
      </c>
      <c r="C131" s="24" t="s">
        <v>1415</v>
      </c>
      <c r="D131" s="23" t="s">
        <v>1366</v>
      </c>
      <c r="E131" s="5">
        <f>IF(FOLHA="COM DESONERAÇÃO",F131,G131)</f>
        <v>24.53</v>
      </c>
      <c r="F131" s="5">
        <v>21.92</v>
      </c>
      <c r="G131" s="5">
        <v>24.53</v>
      </c>
    </row>
    <row r="132" spans="1:7" x14ac:dyDescent="0.3">
      <c r="A132" s="23">
        <v>4230</v>
      </c>
      <c r="B132" s="23" t="s">
        <v>1433</v>
      </c>
      <c r="C132" s="24" t="s">
        <v>1416</v>
      </c>
      <c r="D132" s="23" t="s">
        <v>1366</v>
      </c>
      <c r="E132" s="5">
        <f>IF(FOLHA="COM DESONERAÇÃO",F132,G132)</f>
        <v>21.48</v>
      </c>
      <c r="F132" s="5">
        <v>19.190000000000001</v>
      </c>
      <c r="G132" s="5">
        <v>21.48</v>
      </c>
    </row>
    <row r="133" spans="1:7" x14ac:dyDescent="0.3">
      <c r="A133" s="23" t="s">
        <v>1050</v>
      </c>
      <c r="B133" s="23" t="s">
        <v>1428</v>
      </c>
      <c r="C133" s="24" t="s">
        <v>1622</v>
      </c>
      <c r="D133" s="23" t="s">
        <v>1243</v>
      </c>
      <c r="E133" s="5">
        <f>ROUND(IF(FOLHA="COM DESONERAÇÃO",F133,G133)*icf,2)</f>
        <v>659</v>
      </c>
      <c r="F133" s="5">
        <v>659</v>
      </c>
      <c r="G133" s="5">
        <v>659</v>
      </c>
    </row>
    <row r="134" spans="1:7" x14ac:dyDescent="0.3">
      <c r="A134" s="23" t="s">
        <v>1086</v>
      </c>
      <c r="B134" s="23" t="s">
        <v>1441</v>
      </c>
      <c r="C134" s="24" t="s">
        <v>1299</v>
      </c>
      <c r="D134" s="23" t="s">
        <v>1214</v>
      </c>
      <c r="E134" s="5">
        <f>ROUND(IF(FOLHA="COM DESONERAÇÃO",F134,G134)*icf,2)</f>
        <v>2.84</v>
      </c>
      <c r="F134" s="5">
        <v>2.84</v>
      </c>
      <c r="G134" s="5">
        <v>2.84</v>
      </c>
    </row>
    <row r="135" spans="1:7" ht="28.8" x14ac:dyDescent="0.3">
      <c r="A135" s="23">
        <v>20078</v>
      </c>
      <c r="B135" s="23" t="s">
        <v>1433</v>
      </c>
      <c r="C135" s="24" t="s">
        <v>1300</v>
      </c>
      <c r="D135" s="23" t="s">
        <v>1214</v>
      </c>
      <c r="E135" s="5">
        <f>ROUND(IF(FOLHA="COM DESONERAÇÃO",F135,G135)*icf,2)</f>
        <v>29.05</v>
      </c>
      <c r="F135" s="5">
        <v>29.05</v>
      </c>
      <c r="G135" s="5">
        <v>29.05</v>
      </c>
    </row>
    <row r="136" spans="1:7" x14ac:dyDescent="0.3">
      <c r="A136" s="23">
        <v>4721</v>
      </c>
      <c r="B136" s="23" t="s">
        <v>1433</v>
      </c>
      <c r="C136" s="24" t="s">
        <v>1301</v>
      </c>
      <c r="D136" s="23" t="s">
        <v>1231</v>
      </c>
      <c r="E136" s="5">
        <f>ROUND(IF(FOLHA="COM DESONERAÇÃO",F136,G136)*icf,2)</f>
        <v>234.56</v>
      </c>
      <c r="F136" s="5">
        <v>234.56</v>
      </c>
      <c r="G136" s="5">
        <v>234.56</v>
      </c>
    </row>
    <row r="137" spans="1:7" ht="28.8" x14ac:dyDescent="0.3">
      <c r="A137" s="23">
        <v>4730</v>
      </c>
      <c r="B137" s="23" t="s">
        <v>1433</v>
      </c>
      <c r="C137" s="24" t="s">
        <v>1302</v>
      </c>
      <c r="D137" s="23" t="s">
        <v>1231</v>
      </c>
      <c r="E137" s="5">
        <f>ROUND(IF(FOLHA="COM DESONERAÇÃO",F137,G137)*icf,2)</f>
        <v>220.48</v>
      </c>
      <c r="F137" s="5">
        <v>220.48</v>
      </c>
      <c r="G137" s="5">
        <v>220.48</v>
      </c>
    </row>
    <row r="138" spans="1:7" x14ac:dyDescent="0.3">
      <c r="A138" s="23">
        <v>4750</v>
      </c>
      <c r="B138" s="23" t="s">
        <v>1433</v>
      </c>
      <c r="C138" s="24" t="s">
        <v>1417</v>
      </c>
      <c r="D138" s="23" t="s">
        <v>1366</v>
      </c>
      <c r="E138" s="5">
        <f>IF(FOLHA="COM DESONERAÇÃO",F138,G138)</f>
        <v>20.329999999999998</v>
      </c>
      <c r="F138" s="5">
        <v>18.16</v>
      </c>
      <c r="G138" s="5">
        <v>20.329999999999998</v>
      </c>
    </row>
    <row r="139" spans="1:7" x14ac:dyDescent="0.3">
      <c r="A139" s="23" t="s">
        <v>1089</v>
      </c>
      <c r="B139" s="23" t="s">
        <v>1612</v>
      </c>
      <c r="C139" s="24" t="s">
        <v>1303</v>
      </c>
      <c r="D139" s="23" t="s">
        <v>1231</v>
      </c>
      <c r="E139" s="5">
        <f t="shared" ref="E139:E145" si="8">ROUND(IF(FOLHA="COM DESONERAÇÃO",F139,G139)*icf,2)</f>
        <v>100.5</v>
      </c>
      <c r="F139" s="5">
        <v>100.5</v>
      </c>
      <c r="G139" s="5">
        <v>100.5</v>
      </c>
    </row>
    <row r="140" spans="1:7" x14ac:dyDescent="0.3">
      <c r="A140" s="23" t="s">
        <v>1083</v>
      </c>
      <c r="B140" s="23" t="s">
        <v>1441</v>
      </c>
      <c r="C140" s="24" t="s">
        <v>1304</v>
      </c>
      <c r="D140" s="23" t="s">
        <v>1227</v>
      </c>
      <c r="E140" s="5">
        <f t="shared" si="8"/>
        <v>25.65</v>
      </c>
      <c r="F140" s="5">
        <v>25.65</v>
      </c>
      <c r="G140" s="5">
        <v>25.65</v>
      </c>
    </row>
    <row r="141" spans="1:7" x14ac:dyDescent="0.3">
      <c r="A141" s="23" t="s">
        <v>1084</v>
      </c>
      <c r="B141" s="23" t="s">
        <v>1441</v>
      </c>
      <c r="C141" s="24" t="s">
        <v>1305</v>
      </c>
      <c r="D141" s="23" t="s">
        <v>1227</v>
      </c>
      <c r="E141" s="5">
        <f t="shared" si="8"/>
        <v>25.47</v>
      </c>
      <c r="F141" s="5">
        <v>25.47</v>
      </c>
      <c r="G141" s="5">
        <v>25.47</v>
      </c>
    </row>
    <row r="142" spans="1:7" x14ac:dyDescent="0.3">
      <c r="A142" s="23" t="s">
        <v>1085</v>
      </c>
      <c r="B142" s="23" t="s">
        <v>1441</v>
      </c>
      <c r="C142" s="24" t="s">
        <v>1306</v>
      </c>
      <c r="D142" s="23" t="s">
        <v>1227</v>
      </c>
      <c r="E142" s="5">
        <f t="shared" si="8"/>
        <v>35.78</v>
      </c>
      <c r="F142" s="5">
        <v>35.78</v>
      </c>
      <c r="G142" s="5">
        <v>35.78</v>
      </c>
    </row>
    <row r="143" spans="1:7" ht="28.8" x14ac:dyDescent="0.3">
      <c r="A143" s="23" t="s">
        <v>1017</v>
      </c>
      <c r="B143" s="23" t="s">
        <v>1441</v>
      </c>
      <c r="C143" s="24" t="s">
        <v>1307</v>
      </c>
      <c r="D143" s="23" t="s">
        <v>1227</v>
      </c>
      <c r="E143" s="5">
        <f t="shared" si="8"/>
        <v>125.23</v>
      </c>
      <c r="F143" s="5">
        <v>125.23</v>
      </c>
      <c r="G143" s="5">
        <v>125.23</v>
      </c>
    </row>
    <row r="144" spans="1:7" ht="28.8" x14ac:dyDescent="0.3">
      <c r="A144" s="23" t="s">
        <v>1016</v>
      </c>
      <c r="B144" s="23" t="s">
        <v>1441</v>
      </c>
      <c r="C144" s="24" t="s">
        <v>1308</v>
      </c>
      <c r="D144" s="23" t="s">
        <v>1227</v>
      </c>
      <c r="E144" s="5">
        <f t="shared" si="8"/>
        <v>202.21</v>
      </c>
      <c r="F144" s="5">
        <v>202.21</v>
      </c>
      <c r="G144" s="5">
        <v>202.21</v>
      </c>
    </row>
    <row r="145" spans="1:7" x14ac:dyDescent="0.3">
      <c r="A145" s="23">
        <v>37395</v>
      </c>
      <c r="B145" s="23" t="s">
        <v>1433</v>
      </c>
      <c r="C145" s="24" t="s">
        <v>1309</v>
      </c>
      <c r="D145" s="23" t="s">
        <v>1310</v>
      </c>
      <c r="E145" s="5">
        <f t="shared" si="8"/>
        <v>44.86</v>
      </c>
      <c r="F145" s="5">
        <v>44.86</v>
      </c>
      <c r="G145" s="5">
        <v>44.86</v>
      </c>
    </row>
    <row r="146" spans="1:7" x14ac:dyDescent="0.3">
      <c r="A146" s="23">
        <v>4783</v>
      </c>
      <c r="B146" s="23" t="s">
        <v>1433</v>
      </c>
      <c r="C146" s="24" t="s">
        <v>1418</v>
      </c>
      <c r="D146" s="23" t="s">
        <v>1366</v>
      </c>
      <c r="E146" s="5">
        <f>IF(FOLHA="COM DESONERAÇÃO",F146,G146)</f>
        <v>20.329999999999998</v>
      </c>
      <c r="F146" s="5">
        <v>18.16</v>
      </c>
      <c r="G146" s="5">
        <v>20.329999999999998</v>
      </c>
    </row>
    <row r="147" spans="1:7" x14ac:dyDescent="0.3">
      <c r="A147" s="23">
        <v>4893</v>
      </c>
      <c r="B147" s="23" t="s">
        <v>1433</v>
      </c>
      <c r="C147" s="24" t="s">
        <v>1311</v>
      </c>
      <c r="D147" s="23" t="s">
        <v>1214</v>
      </c>
      <c r="E147" s="5">
        <f t="shared" ref="E147:E167" si="9">ROUND(IF(FOLHA="COM DESONERAÇÃO",F147,G147)*icf,2)</f>
        <v>12.09</v>
      </c>
      <c r="F147" s="5">
        <v>12.09</v>
      </c>
      <c r="G147" s="5">
        <v>12.09</v>
      </c>
    </row>
    <row r="148" spans="1:7" x14ac:dyDescent="0.3">
      <c r="A148" s="23">
        <v>4491</v>
      </c>
      <c r="B148" s="23" t="s">
        <v>1433</v>
      </c>
      <c r="C148" s="24" t="s">
        <v>1312</v>
      </c>
      <c r="D148" s="23" t="s">
        <v>1227</v>
      </c>
      <c r="E148" s="5">
        <f t="shared" si="9"/>
        <v>9.98</v>
      </c>
      <c r="F148" s="5">
        <v>9.98</v>
      </c>
      <c r="G148" s="5">
        <v>9.98</v>
      </c>
    </row>
    <row r="149" spans="1:7" x14ac:dyDescent="0.3">
      <c r="A149" s="23" t="s">
        <v>1007</v>
      </c>
      <c r="B149" s="23" t="s">
        <v>1612</v>
      </c>
      <c r="C149" s="24" t="s">
        <v>1313</v>
      </c>
      <c r="D149" s="23" t="s">
        <v>1227</v>
      </c>
      <c r="E149" s="5">
        <f t="shared" si="9"/>
        <v>16.09</v>
      </c>
      <c r="F149" s="5">
        <v>16.09</v>
      </c>
      <c r="G149" s="5">
        <v>16.09</v>
      </c>
    </row>
    <row r="150" spans="1:7" ht="28.8" x14ac:dyDescent="0.3">
      <c r="A150" s="23">
        <v>4930</v>
      </c>
      <c r="B150" s="23" t="s">
        <v>1433</v>
      </c>
      <c r="C150" s="24" t="s">
        <v>1314</v>
      </c>
      <c r="D150" s="23" t="s">
        <v>1253</v>
      </c>
      <c r="E150" s="5">
        <f t="shared" si="9"/>
        <v>389.05</v>
      </c>
      <c r="F150" s="5">
        <v>389.05</v>
      </c>
      <c r="G150" s="5">
        <v>389.05</v>
      </c>
    </row>
    <row r="151" spans="1:7" x14ac:dyDescent="0.3">
      <c r="A151" s="23" t="s">
        <v>1008</v>
      </c>
      <c r="B151" s="23" t="s">
        <v>1612</v>
      </c>
      <c r="C151" s="24" t="s">
        <v>1315</v>
      </c>
      <c r="D151" s="23" t="s">
        <v>1216</v>
      </c>
      <c r="E151" s="5">
        <f t="shared" si="9"/>
        <v>15.99</v>
      </c>
      <c r="F151" s="5">
        <v>15.99</v>
      </c>
      <c r="G151" s="5">
        <v>15.99</v>
      </c>
    </row>
    <row r="152" spans="1:7" x14ac:dyDescent="0.3">
      <c r="A152" s="23" t="s">
        <v>1091</v>
      </c>
      <c r="B152" s="23" t="s">
        <v>1612</v>
      </c>
      <c r="C152" s="24" t="s">
        <v>1316</v>
      </c>
      <c r="D152" s="23" t="s">
        <v>1216</v>
      </c>
      <c r="E152" s="5">
        <f t="shared" si="9"/>
        <v>14.2</v>
      </c>
      <c r="F152" s="5">
        <v>14.2</v>
      </c>
      <c r="G152" s="5">
        <v>14.2</v>
      </c>
    </row>
    <row r="153" spans="1:7" x14ac:dyDescent="0.3">
      <c r="A153" s="23">
        <v>20247</v>
      </c>
      <c r="B153" s="23" t="s">
        <v>1433</v>
      </c>
      <c r="C153" s="24" t="s">
        <v>1317</v>
      </c>
      <c r="D153" s="23" t="s">
        <v>1216</v>
      </c>
      <c r="E153" s="5">
        <f t="shared" si="9"/>
        <v>22.53</v>
      </c>
      <c r="F153" s="5">
        <v>22.53</v>
      </c>
      <c r="G153" s="5">
        <v>22.53</v>
      </c>
    </row>
    <row r="154" spans="1:7" x14ac:dyDescent="0.3">
      <c r="A154" s="23">
        <v>5068</v>
      </c>
      <c r="B154" s="23" t="s">
        <v>1433</v>
      </c>
      <c r="C154" s="24" t="s">
        <v>1318</v>
      </c>
      <c r="D154" s="23" t="s">
        <v>1216</v>
      </c>
      <c r="E154" s="5">
        <f t="shared" si="9"/>
        <v>20.34</v>
      </c>
      <c r="F154" s="5">
        <v>20.34</v>
      </c>
      <c r="G154" s="5">
        <v>20.34</v>
      </c>
    </row>
    <row r="155" spans="1:7" x14ac:dyDescent="0.3">
      <c r="A155" s="23">
        <v>39027</v>
      </c>
      <c r="B155" s="23" t="s">
        <v>1433</v>
      </c>
      <c r="C155" s="24" t="s">
        <v>1319</v>
      </c>
      <c r="D155" s="23" t="s">
        <v>1216</v>
      </c>
      <c r="E155" s="5">
        <f t="shared" si="9"/>
        <v>20.32</v>
      </c>
      <c r="F155" s="5">
        <v>20.32</v>
      </c>
      <c r="G155" s="5">
        <v>20.32</v>
      </c>
    </row>
    <row r="156" spans="1:7" x14ac:dyDescent="0.3">
      <c r="A156" s="23">
        <v>40568</v>
      </c>
      <c r="B156" s="23" t="s">
        <v>1433</v>
      </c>
      <c r="C156" s="24" t="s">
        <v>1320</v>
      </c>
      <c r="D156" s="23" t="s">
        <v>1216</v>
      </c>
      <c r="E156" s="5">
        <f t="shared" si="9"/>
        <v>20.5</v>
      </c>
      <c r="F156" s="5">
        <v>20.5</v>
      </c>
      <c r="G156" s="5">
        <v>20.5</v>
      </c>
    </row>
    <row r="157" spans="1:7" x14ac:dyDescent="0.3">
      <c r="A157" s="23">
        <v>40304</v>
      </c>
      <c r="B157" s="23" t="s">
        <v>1433</v>
      </c>
      <c r="C157" s="24" t="s">
        <v>1321</v>
      </c>
      <c r="D157" s="23" t="s">
        <v>1216</v>
      </c>
      <c r="E157" s="5">
        <f t="shared" si="9"/>
        <v>25.11</v>
      </c>
      <c r="F157" s="5">
        <v>25.11</v>
      </c>
      <c r="G157" s="5">
        <v>25.11</v>
      </c>
    </row>
    <row r="158" spans="1:7" x14ac:dyDescent="0.3">
      <c r="A158" s="23" t="s">
        <v>1054</v>
      </c>
      <c r="B158" s="23" t="s">
        <v>1428</v>
      </c>
      <c r="C158" s="24" t="s">
        <v>1632</v>
      </c>
      <c r="D158" s="23" t="s">
        <v>1243</v>
      </c>
      <c r="E158" s="5">
        <f t="shared" si="9"/>
        <v>225</v>
      </c>
      <c r="F158" s="5">
        <v>225</v>
      </c>
      <c r="G158" s="5">
        <v>225</v>
      </c>
    </row>
    <row r="159" spans="1:7" ht="28.8" x14ac:dyDescent="0.3">
      <c r="A159" s="23">
        <v>11675</v>
      </c>
      <c r="B159" s="23" t="s">
        <v>1433</v>
      </c>
      <c r="C159" s="24" t="s">
        <v>1323</v>
      </c>
      <c r="D159" s="23" t="s">
        <v>1214</v>
      </c>
      <c r="E159" s="5">
        <f t="shared" si="9"/>
        <v>43.41</v>
      </c>
      <c r="F159" s="5">
        <v>43.41</v>
      </c>
      <c r="G159" s="5">
        <v>43.41</v>
      </c>
    </row>
    <row r="160" spans="1:7" x14ac:dyDescent="0.3">
      <c r="A160" s="23">
        <v>6010</v>
      </c>
      <c r="B160" s="23" t="s">
        <v>1433</v>
      </c>
      <c r="C160" s="24" t="s">
        <v>1324</v>
      </c>
      <c r="D160" s="23" t="s">
        <v>1214</v>
      </c>
      <c r="E160" s="5">
        <f t="shared" si="9"/>
        <v>105.75</v>
      </c>
      <c r="F160" s="5">
        <v>105.75</v>
      </c>
      <c r="G160" s="5">
        <v>105.75</v>
      </c>
    </row>
    <row r="161" spans="1:7" x14ac:dyDescent="0.3">
      <c r="A161" s="23">
        <v>6028</v>
      </c>
      <c r="B161" s="23" t="s">
        <v>1433</v>
      </c>
      <c r="C161" s="24" t="s">
        <v>1325</v>
      </c>
      <c r="D161" s="23" t="s">
        <v>1214</v>
      </c>
      <c r="E161" s="5">
        <f t="shared" si="9"/>
        <v>147.29</v>
      </c>
      <c r="F161" s="5">
        <v>147.29</v>
      </c>
      <c r="G161" s="5">
        <v>147.29</v>
      </c>
    </row>
    <row r="162" spans="1:7" ht="57.6" x14ac:dyDescent="0.3">
      <c r="A162" s="23">
        <v>36531</v>
      </c>
      <c r="B162" s="23" t="s">
        <v>1433</v>
      </c>
      <c r="C162" s="24" t="s">
        <v>1326</v>
      </c>
      <c r="D162" s="23" t="s">
        <v>1214</v>
      </c>
      <c r="E162" s="5">
        <f t="shared" si="9"/>
        <v>466463.38</v>
      </c>
      <c r="F162" s="5">
        <v>466463.38</v>
      </c>
      <c r="G162" s="5">
        <v>466463.38</v>
      </c>
    </row>
    <row r="163" spans="1:7" ht="28.8" x14ac:dyDescent="0.3">
      <c r="A163" s="23">
        <v>4408</v>
      </c>
      <c r="B163" s="23" t="s">
        <v>1433</v>
      </c>
      <c r="C163" s="24" t="s">
        <v>1327</v>
      </c>
      <c r="D163" s="23" t="s">
        <v>1227</v>
      </c>
      <c r="E163" s="5">
        <f t="shared" si="9"/>
        <v>1.9</v>
      </c>
      <c r="F163" s="5">
        <v>1.9</v>
      </c>
      <c r="G163" s="5">
        <v>1.9</v>
      </c>
    </row>
    <row r="164" spans="1:7" x14ac:dyDescent="0.3">
      <c r="A164" s="23">
        <v>4509</v>
      </c>
      <c r="B164" s="23" t="s">
        <v>1433</v>
      </c>
      <c r="C164" s="24" t="s">
        <v>1328</v>
      </c>
      <c r="D164" s="23" t="s">
        <v>1227</v>
      </c>
      <c r="E164" s="5">
        <f t="shared" si="9"/>
        <v>5.0599999999999996</v>
      </c>
      <c r="F164" s="5">
        <v>5.0599999999999996</v>
      </c>
      <c r="G164" s="5">
        <v>5.0599999999999996</v>
      </c>
    </row>
    <row r="165" spans="1:7" x14ac:dyDescent="0.3">
      <c r="A165" s="23">
        <v>4517</v>
      </c>
      <c r="B165" s="23" t="s">
        <v>1433</v>
      </c>
      <c r="C165" s="24" t="s">
        <v>1329</v>
      </c>
      <c r="D165" s="23" t="s">
        <v>1227</v>
      </c>
      <c r="E165" s="5">
        <f t="shared" si="9"/>
        <v>3.49</v>
      </c>
      <c r="F165" s="5">
        <v>3.49</v>
      </c>
      <c r="G165" s="5">
        <v>3.49</v>
      </c>
    </row>
    <row r="166" spans="1:7" x14ac:dyDescent="0.3">
      <c r="A166" s="23" t="s">
        <v>1092</v>
      </c>
      <c r="B166" s="23" t="s">
        <v>1612</v>
      </c>
      <c r="C166" s="24" t="s">
        <v>1330</v>
      </c>
      <c r="D166" s="23" t="s">
        <v>1227</v>
      </c>
      <c r="E166" s="5">
        <f t="shared" si="9"/>
        <v>6.05</v>
      </c>
      <c r="F166" s="5">
        <v>6.05</v>
      </c>
      <c r="G166" s="5">
        <v>6.05</v>
      </c>
    </row>
    <row r="167" spans="1:7" ht="28.8" x14ac:dyDescent="0.3">
      <c r="A167" s="23">
        <v>4417</v>
      </c>
      <c r="B167" s="23" t="s">
        <v>1433</v>
      </c>
      <c r="C167" s="24" t="s">
        <v>1331</v>
      </c>
      <c r="D167" s="23" t="s">
        <v>1227</v>
      </c>
      <c r="E167" s="5">
        <f t="shared" si="9"/>
        <v>5.44</v>
      </c>
      <c r="F167" s="5">
        <v>5.44</v>
      </c>
      <c r="G167" s="5">
        <v>5.44</v>
      </c>
    </row>
    <row r="168" spans="1:7" x14ac:dyDescent="0.3">
      <c r="A168" s="23">
        <v>37373</v>
      </c>
      <c r="B168" s="23" t="s">
        <v>1433</v>
      </c>
      <c r="C168" s="24" t="s">
        <v>1419</v>
      </c>
      <c r="D168" s="23" t="s">
        <v>1366</v>
      </c>
      <c r="E168" s="5">
        <f>IF(FOLHA="COM DESONERAÇÃO",F168,G168)</f>
        <v>0.08</v>
      </c>
      <c r="F168" s="5">
        <v>0.08</v>
      </c>
      <c r="G168" s="5">
        <v>0.08</v>
      </c>
    </row>
    <row r="169" spans="1:7" ht="28.8" x14ac:dyDescent="0.3">
      <c r="A169" s="23">
        <v>14618</v>
      </c>
      <c r="B169" s="23" t="s">
        <v>1433</v>
      </c>
      <c r="C169" s="24" t="s">
        <v>1332</v>
      </c>
      <c r="D169" s="23" t="s">
        <v>1214</v>
      </c>
      <c r="E169" s="5">
        <f>ROUND(IF(FOLHA="COM DESONERAÇÃO",F169,G169)*icf,2)</f>
        <v>1759.02</v>
      </c>
      <c r="F169" s="5">
        <v>1759.02</v>
      </c>
      <c r="G169" s="5">
        <v>1759.02</v>
      </c>
    </row>
    <row r="170" spans="1:7" x14ac:dyDescent="0.3">
      <c r="A170" s="23">
        <v>6111</v>
      </c>
      <c r="B170" s="23" t="s">
        <v>1433</v>
      </c>
      <c r="C170" s="24" t="s">
        <v>1420</v>
      </c>
      <c r="D170" s="23" t="s">
        <v>1366</v>
      </c>
      <c r="E170" s="5">
        <f>IF(FOLHA="COM DESONERAÇÃO",F170,G170)</f>
        <v>14.86</v>
      </c>
      <c r="F170" s="5">
        <v>13.28</v>
      </c>
      <c r="G170" s="5">
        <v>14.86</v>
      </c>
    </row>
    <row r="171" spans="1:7" x14ac:dyDescent="0.3">
      <c r="A171" s="23" t="s">
        <v>1046</v>
      </c>
      <c r="B171" s="23" t="s">
        <v>1612</v>
      </c>
      <c r="C171" s="24" t="s">
        <v>1333</v>
      </c>
      <c r="D171" s="23" t="s">
        <v>1216</v>
      </c>
      <c r="E171" s="5">
        <f t="shared" ref="E171:E182" si="10">ROUND(IF(FOLHA="COM DESONERAÇÃO",F171,G171)*icf,2)</f>
        <v>1.47</v>
      </c>
      <c r="F171" s="5">
        <v>1.47</v>
      </c>
      <c r="G171" s="5">
        <v>1.47</v>
      </c>
    </row>
    <row r="172" spans="1:7" x14ac:dyDescent="0.3">
      <c r="A172" s="23">
        <v>10567</v>
      </c>
      <c r="B172" s="23" t="s">
        <v>1433</v>
      </c>
      <c r="C172" s="24" t="s">
        <v>1334</v>
      </c>
      <c r="D172" s="23" t="s">
        <v>1227</v>
      </c>
      <c r="E172" s="5">
        <f t="shared" si="10"/>
        <v>11.28</v>
      </c>
      <c r="F172" s="5">
        <v>11.28</v>
      </c>
      <c r="G172" s="5">
        <v>11.28</v>
      </c>
    </row>
    <row r="173" spans="1:7" x14ac:dyDescent="0.3">
      <c r="A173" s="23" t="s">
        <v>1093</v>
      </c>
      <c r="B173" s="23" t="s">
        <v>1612</v>
      </c>
      <c r="C173" s="24" t="s">
        <v>1335</v>
      </c>
      <c r="D173" s="23" t="s">
        <v>1227</v>
      </c>
      <c r="E173" s="5">
        <f t="shared" si="10"/>
        <v>12.77</v>
      </c>
      <c r="F173" s="5">
        <v>12.77</v>
      </c>
      <c r="G173" s="5">
        <v>12.77</v>
      </c>
    </row>
    <row r="174" spans="1:7" ht="28.8" x14ac:dyDescent="0.3">
      <c r="A174" s="23">
        <v>6193</v>
      </c>
      <c r="B174" s="23" t="s">
        <v>1433</v>
      </c>
      <c r="C174" s="24" t="s">
        <v>1336</v>
      </c>
      <c r="D174" s="23" t="s">
        <v>1227</v>
      </c>
      <c r="E174" s="5">
        <f t="shared" si="10"/>
        <v>14.13</v>
      </c>
      <c r="F174" s="5">
        <v>14.13</v>
      </c>
      <c r="G174" s="5">
        <v>14.13</v>
      </c>
    </row>
    <row r="175" spans="1:7" ht="28.8" x14ac:dyDescent="0.3">
      <c r="A175" s="23">
        <v>6189</v>
      </c>
      <c r="B175" s="23" t="s">
        <v>1433</v>
      </c>
      <c r="C175" s="24" t="s">
        <v>1337</v>
      </c>
      <c r="D175" s="23" t="s">
        <v>1227</v>
      </c>
      <c r="E175" s="5">
        <f t="shared" si="10"/>
        <v>20.62</v>
      </c>
      <c r="F175" s="5">
        <v>20.62</v>
      </c>
      <c r="G175" s="5">
        <v>20.62</v>
      </c>
    </row>
    <row r="176" spans="1:7" x14ac:dyDescent="0.3">
      <c r="A176" s="23" t="s">
        <v>1024</v>
      </c>
      <c r="B176" s="23" t="s">
        <v>1441</v>
      </c>
      <c r="C176" s="24" t="s">
        <v>1338</v>
      </c>
      <c r="D176" s="23" t="s">
        <v>1214</v>
      </c>
      <c r="E176" s="5">
        <f t="shared" si="10"/>
        <v>107.28</v>
      </c>
      <c r="F176" s="5">
        <v>107.28</v>
      </c>
      <c r="G176" s="5">
        <v>107.28</v>
      </c>
    </row>
    <row r="177" spans="1:7" x14ac:dyDescent="0.3">
      <c r="A177" s="23">
        <v>6297</v>
      </c>
      <c r="B177" s="23" t="s">
        <v>1433</v>
      </c>
      <c r="C177" s="24" t="s">
        <v>1339</v>
      </c>
      <c r="D177" s="23" t="s">
        <v>1214</v>
      </c>
      <c r="E177" s="5">
        <f t="shared" si="10"/>
        <v>35.909999999999997</v>
      </c>
      <c r="F177" s="5">
        <v>35.909999999999997</v>
      </c>
      <c r="G177" s="5">
        <v>35.909999999999997</v>
      </c>
    </row>
    <row r="178" spans="1:7" x14ac:dyDescent="0.3">
      <c r="A178" s="23">
        <v>7140</v>
      </c>
      <c r="B178" s="23" t="s">
        <v>1433</v>
      </c>
      <c r="C178" s="24" t="s">
        <v>1340</v>
      </c>
      <c r="D178" s="23" t="s">
        <v>1214</v>
      </c>
      <c r="E178" s="5">
        <f t="shared" si="10"/>
        <v>3.77</v>
      </c>
      <c r="F178" s="5">
        <v>3.77</v>
      </c>
      <c r="G178" s="5">
        <v>3.77</v>
      </c>
    </row>
    <row r="179" spans="1:7" ht="28.8" x14ac:dyDescent="0.3">
      <c r="A179" s="23">
        <v>34547</v>
      </c>
      <c r="B179" s="23" t="s">
        <v>1433</v>
      </c>
      <c r="C179" s="24" t="s">
        <v>1341</v>
      </c>
      <c r="D179" s="23" t="s">
        <v>1227</v>
      </c>
      <c r="E179" s="5">
        <f t="shared" si="10"/>
        <v>3.66</v>
      </c>
      <c r="F179" s="5">
        <v>3.66</v>
      </c>
      <c r="G179" s="5">
        <v>3.66</v>
      </c>
    </row>
    <row r="180" spans="1:7" ht="28.8" x14ac:dyDescent="0.3">
      <c r="A180" s="23">
        <v>34557</v>
      </c>
      <c r="B180" s="23" t="s">
        <v>1433</v>
      </c>
      <c r="C180" s="24" t="s">
        <v>1342</v>
      </c>
      <c r="D180" s="23" t="s">
        <v>1227</v>
      </c>
      <c r="E180" s="5">
        <f t="shared" si="10"/>
        <v>2.3199999999999998</v>
      </c>
      <c r="F180" s="5">
        <v>2.3199999999999998</v>
      </c>
      <c r="G180" s="5">
        <v>2.3199999999999998</v>
      </c>
    </row>
    <row r="181" spans="1:7" ht="28.8" x14ac:dyDescent="0.3">
      <c r="A181" s="23">
        <v>7156</v>
      </c>
      <c r="B181" s="23" t="s">
        <v>1433</v>
      </c>
      <c r="C181" s="24" t="s">
        <v>1343</v>
      </c>
      <c r="D181" s="23" t="s">
        <v>1253</v>
      </c>
      <c r="E181" s="5">
        <f t="shared" si="10"/>
        <v>26.18</v>
      </c>
      <c r="F181" s="5">
        <v>26.18</v>
      </c>
      <c r="G181" s="5">
        <v>26.18</v>
      </c>
    </row>
    <row r="182" spans="1:7" ht="43.2" x14ac:dyDescent="0.3">
      <c r="A182" s="23">
        <v>7173</v>
      </c>
      <c r="B182" s="23" t="s">
        <v>1433</v>
      </c>
      <c r="C182" s="24" t="s">
        <v>1344</v>
      </c>
      <c r="D182" s="23" t="s">
        <v>1345</v>
      </c>
      <c r="E182" s="5">
        <f t="shared" si="10"/>
        <v>925</v>
      </c>
      <c r="F182" s="5">
        <v>925</v>
      </c>
      <c r="G182" s="5">
        <v>925</v>
      </c>
    </row>
    <row r="183" spans="1:7" x14ac:dyDescent="0.3">
      <c r="A183" s="23">
        <v>12869</v>
      </c>
      <c r="B183" s="23" t="s">
        <v>1433</v>
      </c>
      <c r="C183" s="24" t="s">
        <v>1421</v>
      </c>
      <c r="D183" s="23" t="s">
        <v>1366</v>
      </c>
      <c r="E183" s="5">
        <f>IF(FOLHA="COM DESONERAÇÃO",F183,G183)</f>
        <v>20.07</v>
      </c>
      <c r="F183" s="5">
        <v>17.940000000000001</v>
      </c>
      <c r="G183" s="5">
        <v>20.07</v>
      </c>
    </row>
    <row r="184" spans="1:7" x14ac:dyDescent="0.3">
      <c r="A184" s="23">
        <v>43776</v>
      </c>
      <c r="B184" s="23" t="s">
        <v>1433</v>
      </c>
      <c r="C184" s="24" t="s">
        <v>1346</v>
      </c>
      <c r="D184" s="23" t="s">
        <v>1114</v>
      </c>
      <c r="E184" s="5">
        <f>ROUND(IF(FOLHA="COM DESONERAÇÃO",F184,G184)*icf,2)</f>
        <v>26.79</v>
      </c>
      <c r="F184" s="5">
        <v>26.79</v>
      </c>
      <c r="G184" s="5">
        <v>26.79</v>
      </c>
    </row>
    <row r="185" spans="1:7" x14ac:dyDescent="0.3">
      <c r="A185" s="23">
        <v>7311</v>
      </c>
      <c r="B185" s="23" t="s">
        <v>1433</v>
      </c>
      <c r="C185" s="24" t="s">
        <v>1347</v>
      </c>
      <c r="D185" s="23" t="s">
        <v>1114</v>
      </c>
      <c r="E185" s="5">
        <f>ROUND(IF(FOLHA="COM DESONERAÇÃO",F185,G185)*icf,2)</f>
        <v>39.74</v>
      </c>
      <c r="F185" s="5">
        <v>39.74</v>
      </c>
      <c r="G185" s="5">
        <v>39.74</v>
      </c>
    </row>
    <row r="186" spans="1:7" x14ac:dyDescent="0.3">
      <c r="A186" s="23">
        <v>7356</v>
      </c>
      <c r="B186" s="23" t="s">
        <v>1433</v>
      </c>
      <c r="C186" s="24" t="s">
        <v>1348</v>
      </c>
      <c r="D186" s="23" t="s">
        <v>1114</v>
      </c>
      <c r="E186" s="5">
        <f>ROUND(IF(FOLHA="COM DESONERAÇÃO",F186,G186)*icf,2)</f>
        <v>29.79</v>
      </c>
      <c r="F186" s="5">
        <v>29.79</v>
      </c>
      <c r="G186" s="5">
        <v>29.79</v>
      </c>
    </row>
    <row r="187" spans="1:7" x14ac:dyDescent="0.3">
      <c r="A187" s="23">
        <v>11831</v>
      </c>
      <c r="B187" s="23" t="s">
        <v>1433</v>
      </c>
      <c r="C187" s="24" t="s">
        <v>1349</v>
      </c>
      <c r="D187" s="23" t="s">
        <v>1214</v>
      </c>
      <c r="E187" s="5">
        <f>ROUND(IF(FOLHA="COM DESONERAÇÃO",F187,G187)*icf,2)</f>
        <v>15.74</v>
      </c>
      <c r="F187" s="5">
        <v>15.74</v>
      </c>
      <c r="G187" s="5">
        <v>15.74</v>
      </c>
    </row>
    <row r="188" spans="1:7" x14ac:dyDescent="0.3">
      <c r="A188" s="23">
        <v>37371</v>
      </c>
      <c r="B188" s="23" t="s">
        <v>1433</v>
      </c>
      <c r="C188" s="24" t="s">
        <v>1422</v>
      </c>
      <c r="D188" s="23" t="s">
        <v>1366</v>
      </c>
      <c r="E188" s="5">
        <f>IF(FOLHA="COM DESONERAÇÃO",F188,G188)</f>
        <v>0.56999999999999995</v>
      </c>
      <c r="F188" s="5">
        <v>0.56999999999999995</v>
      </c>
      <c r="G188" s="5">
        <v>0.56999999999999995</v>
      </c>
    </row>
    <row r="189" spans="1:7" x14ac:dyDescent="0.3">
      <c r="A189" s="23" t="s">
        <v>1014</v>
      </c>
      <c r="B189" s="23" t="s">
        <v>1441</v>
      </c>
      <c r="C189" s="24" t="s">
        <v>1350</v>
      </c>
      <c r="D189" s="23" t="s">
        <v>1351</v>
      </c>
      <c r="E189" s="5">
        <f t="shared" ref="E189:E198" si="11">ROUND(IF(FOLHA="COM DESONERAÇÃO",F189,G189)*icf,2)</f>
        <v>5.5</v>
      </c>
      <c r="F189" s="5">
        <v>5.5</v>
      </c>
      <c r="G189" s="5">
        <v>5.5</v>
      </c>
    </row>
    <row r="190" spans="1:7" ht="28.8" x14ac:dyDescent="0.3">
      <c r="A190" s="23">
        <v>21012</v>
      </c>
      <c r="B190" s="23" t="s">
        <v>1433</v>
      </c>
      <c r="C190" s="24" t="s">
        <v>1352</v>
      </c>
      <c r="D190" s="23" t="s">
        <v>1227</v>
      </c>
      <c r="E190" s="5">
        <f t="shared" si="11"/>
        <v>51.49</v>
      </c>
      <c r="F190" s="5">
        <v>51.49</v>
      </c>
      <c r="G190" s="5">
        <v>51.49</v>
      </c>
    </row>
    <row r="191" spans="1:7" ht="28.8" x14ac:dyDescent="0.3">
      <c r="A191" s="23">
        <v>9854</v>
      </c>
      <c r="B191" s="23" t="s">
        <v>1433</v>
      </c>
      <c r="C191" s="24" t="s">
        <v>1353</v>
      </c>
      <c r="D191" s="23" t="s">
        <v>1227</v>
      </c>
      <c r="E191" s="5">
        <f t="shared" si="11"/>
        <v>115.12</v>
      </c>
      <c r="F191" s="5">
        <v>115.12</v>
      </c>
      <c r="G191" s="5">
        <v>115.12</v>
      </c>
    </row>
    <row r="192" spans="1:7" x14ac:dyDescent="0.3">
      <c r="A192" s="23">
        <v>36084</v>
      </c>
      <c r="B192" s="23" t="s">
        <v>1433</v>
      </c>
      <c r="C192" s="24" t="s">
        <v>1354</v>
      </c>
      <c r="D192" s="23" t="s">
        <v>1227</v>
      </c>
      <c r="E192" s="5">
        <f t="shared" si="11"/>
        <v>23.34</v>
      </c>
      <c r="F192" s="5">
        <v>23.34</v>
      </c>
      <c r="G192" s="5">
        <v>23.34</v>
      </c>
    </row>
    <row r="193" spans="1:7" x14ac:dyDescent="0.3">
      <c r="A193" s="23">
        <v>9862</v>
      </c>
      <c r="B193" s="23" t="s">
        <v>1433</v>
      </c>
      <c r="C193" s="24" t="s">
        <v>1355</v>
      </c>
      <c r="D193" s="23" t="s">
        <v>1227</v>
      </c>
      <c r="E193" s="5">
        <f t="shared" si="11"/>
        <v>31.31</v>
      </c>
      <c r="F193" s="5">
        <v>31.31</v>
      </c>
      <c r="G193" s="5">
        <v>31.31</v>
      </c>
    </row>
    <row r="194" spans="1:7" x14ac:dyDescent="0.3">
      <c r="A194" s="23">
        <v>9867</v>
      </c>
      <c r="B194" s="23" t="s">
        <v>1433</v>
      </c>
      <c r="C194" s="24" t="s">
        <v>1356</v>
      </c>
      <c r="D194" s="23" t="s">
        <v>1227</v>
      </c>
      <c r="E194" s="5">
        <f t="shared" si="11"/>
        <v>3.68</v>
      </c>
      <c r="F194" s="5">
        <v>3.68</v>
      </c>
      <c r="G194" s="5">
        <v>3.68</v>
      </c>
    </row>
    <row r="195" spans="1:7" x14ac:dyDescent="0.3">
      <c r="A195" s="23">
        <v>9869</v>
      </c>
      <c r="B195" s="23" t="s">
        <v>1433</v>
      </c>
      <c r="C195" s="24" t="s">
        <v>1357</v>
      </c>
      <c r="D195" s="23" t="s">
        <v>1227</v>
      </c>
      <c r="E195" s="5">
        <f t="shared" si="11"/>
        <v>8.9499999999999993</v>
      </c>
      <c r="F195" s="5">
        <v>8.9499999999999993</v>
      </c>
      <c r="G195" s="5">
        <v>8.9499999999999993</v>
      </c>
    </row>
    <row r="196" spans="1:7" x14ac:dyDescent="0.3">
      <c r="A196" s="23">
        <v>9873</v>
      </c>
      <c r="B196" s="23" t="s">
        <v>1433</v>
      </c>
      <c r="C196" s="24" t="s">
        <v>1358</v>
      </c>
      <c r="D196" s="23" t="s">
        <v>1227</v>
      </c>
      <c r="E196" s="5">
        <f t="shared" si="11"/>
        <v>25.38</v>
      </c>
      <c r="F196" s="5">
        <v>25.38</v>
      </c>
      <c r="G196" s="5">
        <v>25.38</v>
      </c>
    </row>
    <row r="197" spans="1:7" x14ac:dyDescent="0.3">
      <c r="A197" s="23">
        <v>12424</v>
      </c>
      <c r="B197" s="23" t="s">
        <v>1433</v>
      </c>
      <c r="C197" s="24" t="s">
        <v>1359</v>
      </c>
      <c r="D197" s="23" t="s">
        <v>1214</v>
      </c>
      <c r="E197" s="5">
        <f t="shared" si="11"/>
        <v>82.38</v>
      </c>
      <c r="F197" s="5">
        <v>82.38</v>
      </c>
      <c r="G197" s="5">
        <v>82.38</v>
      </c>
    </row>
    <row r="198" spans="1:7" ht="28.8" x14ac:dyDescent="0.3">
      <c r="A198" s="23">
        <v>10409</v>
      </c>
      <c r="B198" s="23" t="s">
        <v>1433</v>
      </c>
      <c r="C198" s="24" t="s">
        <v>1360</v>
      </c>
      <c r="D198" s="23" t="s">
        <v>1214</v>
      </c>
      <c r="E198" s="5">
        <f t="shared" si="11"/>
        <v>309.76</v>
      </c>
      <c r="F198" s="5">
        <v>309.76</v>
      </c>
      <c r="G198" s="5">
        <v>309.76</v>
      </c>
    </row>
    <row r="199" spans="1:7" x14ac:dyDescent="0.3">
      <c r="A199" s="23" t="s">
        <v>1013</v>
      </c>
      <c r="B199" s="23" t="s">
        <v>1441</v>
      </c>
      <c r="C199" s="24" t="s">
        <v>1423</v>
      </c>
      <c r="D199" s="23" t="s">
        <v>1366</v>
      </c>
      <c r="E199" s="5">
        <f>IF(FOLHA="COM DESONERAÇÃO",F199,G199)</f>
        <v>10.56</v>
      </c>
      <c r="F199" s="5">
        <v>10.56</v>
      </c>
      <c r="G199" s="5">
        <v>10.56</v>
      </c>
    </row>
    <row r="200" spans="1:7" ht="28.8" x14ac:dyDescent="0.3">
      <c r="A200" s="23">
        <v>13896</v>
      </c>
      <c r="B200" s="23" t="s">
        <v>1433</v>
      </c>
      <c r="C200" s="24" t="s">
        <v>1361</v>
      </c>
      <c r="D200" s="23" t="s">
        <v>1214</v>
      </c>
      <c r="E200" s="5">
        <f>ROUND(IF(FOLHA="COM DESONERAÇÃO",F200,G200)*icf,2)</f>
        <v>3120.96</v>
      </c>
      <c r="F200" s="5">
        <v>3120.96</v>
      </c>
      <c r="G200" s="5">
        <v>3120.96</v>
      </c>
    </row>
    <row r="201" spans="1:7" ht="28.8" x14ac:dyDescent="0.3">
      <c r="A201" s="23">
        <v>4425</v>
      </c>
      <c r="B201" s="23" t="s">
        <v>1433</v>
      </c>
      <c r="C201" s="24" t="s">
        <v>1362</v>
      </c>
      <c r="D201" s="23" t="s">
        <v>1227</v>
      </c>
      <c r="E201" s="5">
        <f>ROUND(IF(FOLHA="COM DESONERAÇÃO",F201,G201)*icf,2)</f>
        <v>21.15</v>
      </c>
      <c r="F201" s="5">
        <v>21.15</v>
      </c>
      <c r="G201" s="5">
        <v>21.15</v>
      </c>
    </row>
  </sheetData>
  <mergeCells count="3">
    <mergeCell ref="A1:G1"/>
    <mergeCell ref="A2:G2"/>
    <mergeCell ref="A3:G3"/>
  </mergeCells>
  <pageMargins left="0.78740157480314965" right="0.39370078740157483" top="1.1811023622047245" bottom="0.78740157480314965" header="0.31496062992125984" footer="0.31496062992125984"/>
  <pageSetup paperSize="9" scale="55" fitToHeight="0"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99336-DB26-4B14-8DED-4825F83835A9}">
  <sheetPr>
    <pageSetUpPr fitToPage="1"/>
  </sheetPr>
  <dimension ref="A1:I478"/>
  <sheetViews>
    <sheetView showGridLines="0" topLeftCell="A467" workbookViewId="0">
      <selection activeCell="F14" sqref="F14"/>
    </sheetView>
  </sheetViews>
  <sheetFormatPr defaultRowHeight="14.4" x14ac:dyDescent="0.3"/>
  <cols>
    <col min="1" max="3" width="12" bestFit="1" customWidth="1"/>
    <col min="4" max="4" width="74.109375" bestFit="1" customWidth="1"/>
    <col min="5" max="5" width="9.21875" bestFit="1" customWidth="1"/>
    <col min="6" max="10" width="14.77734375" bestFit="1" customWidth="1"/>
  </cols>
  <sheetData>
    <row r="1" spans="1:9" x14ac:dyDescent="0.3">
      <c r="A1" s="44" t="str">
        <f>CIDADE</f>
        <v>MUNICÍPIOS DE PARNAGUÁ - PI E ANÍSIO DE ABREU-PI</v>
      </c>
      <c r="B1" s="44"/>
      <c r="C1" s="44"/>
      <c r="D1" s="44"/>
      <c r="E1" s="44"/>
      <c r="F1" s="44"/>
      <c r="G1" s="44"/>
      <c r="H1" s="44"/>
      <c r="I1" s="44"/>
    </row>
    <row r="2" spans="1:9" x14ac:dyDescent="0.3">
      <c r="A2" s="44" t="str">
        <f>OBRA</f>
        <v>IMPLANTAÇÃO DE 6 (SEIS) SISTEMAS DE ABASTECIMENTO DE ÁGUA EM COMUNIDADES RURAIS NOS MUNICÍPIOS DE PARNAGUÁ-PI E ANÍSIO DE ABREU-PI (TC 967175/2024)</v>
      </c>
      <c r="B2" s="44"/>
      <c r="C2" s="44"/>
      <c r="D2" s="44"/>
      <c r="E2" s="44"/>
      <c r="F2" s="44"/>
      <c r="G2" s="44"/>
      <c r="H2" s="44"/>
      <c r="I2" s="44"/>
    </row>
    <row r="3" spans="1:9" x14ac:dyDescent="0.3">
      <c r="A3" s="44" t="s">
        <v>169</v>
      </c>
      <c r="B3" s="44"/>
      <c r="C3" s="44"/>
      <c r="D3" s="44"/>
      <c r="E3" s="44"/>
      <c r="F3" s="44"/>
      <c r="G3" s="44"/>
      <c r="H3" s="44"/>
      <c r="I3" s="44"/>
    </row>
    <row r="5" spans="1:9" x14ac:dyDescent="0.3">
      <c r="A5" s="1" t="s">
        <v>1</v>
      </c>
      <c r="B5" s="7" t="str">
        <f>FONTE&amp;FOLHA</f>
        <v>SINAPI PI 07/2025, SEINFRA CE 28, ORSE SE 06/2025, CAESB 10/2024SEM DESONERAÇÃO</v>
      </c>
      <c r="C5" s="1"/>
      <c r="D5" s="1"/>
      <c r="E5" s="1"/>
      <c r="F5" s="1" t="s">
        <v>7</v>
      </c>
      <c r="G5" s="8">
        <f>LEI</f>
        <v>113.33</v>
      </c>
      <c r="H5" s="1" t="s">
        <v>16</v>
      </c>
      <c r="I5" s="8">
        <f>BDI</f>
        <v>22.33</v>
      </c>
    </row>
    <row r="6" spans="1:9" x14ac:dyDescent="0.3">
      <c r="A6" s="4" t="s">
        <v>17</v>
      </c>
      <c r="B6" s="4" t="s">
        <v>170</v>
      </c>
      <c r="C6" s="4" t="s">
        <v>171</v>
      </c>
      <c r="D6" s="4" t="s">
        <v>18</v>
      </c>
      <c r="E6" s="4" t="s">
        <v>172</v>
      </c>
      <c r="F6" s="4" t="s">
        <v>173</v>
      </c>
      <c r="G6" s="4" t="s">
        <v>174</v>
      </c>
      <c r="H6" s="4" t="s">
        <v>175</v>
      </c>
      <c r="I6" s="4" t="s">
        <v>12</v>
      </c>
    </row>
    <row r="7" spans="1:9" x14ac:dyDescent="0.3">
      <c r="A7" s="9">
        <v>1</v>
      </c>
      <c r="B7" s="54" t="str">
        <f>VLOOKUP(A7,MEMORIA!$A:$N,2,FALSE)</f>
        <v>SERVIÇOS PRELIMINARES</v>
      </c>
      <c r="C7" s="55"/>
      <c r="D7" s="55"/>
      <c r="E7" s="55"/>
      <c r="F7" s="55"/>
      <c r="G7" s="55"/>
      <c r="H7" s="56"/>
      <c r="I7" s="10">
        <f>SUM($I$8:$I$9)</f>
        <v>85261.61</v>
      </c>
    </row>
    <row r="8" spans="1:9" x14ac:dyDescent="0.3">
      <c r="A8" s="23" t="s">
        <v>176</v>
      </c>
      <c r="B8" s="23" t="str">
        <f>VLOOKUP(A8,MEMORIA!$A:$N,2,FALSE)</f>
        <v>COMPOS31</v>
      </c>
      <c r="C8" s="23" t="str">
        <f>VLOOKUP(A8,MEMORIA!$A:$N,3,FALSE)</f>
        <v>PRÓPRIA</v>
      </c>
      <c r="D8" s="24" t="str">
        <f>VLOOKUP(A8,MEMORIA!$A:$N,4,FALSE)</f>
        <v>ADMINISTRAÇÃO LOCAL DA OBRA</v>
      </c>
      <c r="E8" s="23" t="str">
        <f>VLOOKUP(A8,MEMORIA!$A:$N,5,FALSE)</f>
        <v>MÊS</v>
      </c>
      <c r="F8" s="5">
        <f>VLOOKUP(A8,MEMORIA!$A:$N,14,FALSE)</f>
        <v>5</v>
      </c>
      <c r="G8" s="5">
        <f>VLOOKUP("TOTAL SEM BDI - "&amp;B8,CPU!$A:$J,9,FALSE)</f>
        <v>13447.4</v>
      </c>
      <c r="H8" s="5">
        <f>VLOOKUP("TOTAL COM BDI - "&amp;B8,CPU!$A:$J,9,FALSE)</f>
        <v>16450.2</v>
      </c>
      <c r="I8" s="5">
        <f>ROUND(F8*H8,2)</f>
        <v>82251</v>
      </c>
    </row>
    <row r="9" spans="1:9" x14ac:dyDescent="0.3">
      <c r="A9" s="23" t="s">
        <v>177</v>
      </c>
      <c r="B9" s="23" t="str">
        <f>VLOOKUP(A9,MEMORIA!$A:$N,2,FALSE)</f>
        <v>COMP14</v>
      </c>
      <c r="C9" s="23" t="str">
        <f>VLOOKUP(A9,MEMORIA!$A:$N,3,FALSE)</f>
        <v>PRÓPRIA</v>
      </c>
      <c r="D9" s="24" t="str">
        <f>VLOOKUP(A9,MEMORIA!$A:$N,4,FALSE)</f>
        <v>PLACAS PADRÃO DE OBRA</v>
      </c>
      <c r="E9" s="23" t="str">
        <f>VLOOKUP(A9,MEMORIA!$A:$N,5,FALSE)</f>
        <v>M2</v>
      </c>
      <c r="F9" s="5">
        <f>VLOOKUP(A9,MEMORIA!$A:$N,14,FALSE)</f>
        <v>12.96</v>
      </c>
      <c r="G9" s="5">
        <f>VLOOKUP("TOTAL SEM BDI - "&amp;B9,CPU!$A:$J,9,FALSE)</f>
        <v>189.89999999999998</v>
      </c>
      <c r="H9" s="5">
        <f>VLOOKUP("TOTAL COM BDI - "&amp;B9,CPU!$A:$J,9,FALSE)</f>
        <v>232.29999999999998</v>
      </c>
      <c r="I9" s="5">
        <f>ROUND(F9*H9,2)</f>
        <v>3010.61</v>
      </c>
    </row>
    <row r="10" spans="1:9" x14ac:dyDescent="0.3">
      <c r="A10" s="9">
        <v>2</v>
      </c>
      <c r="B10" s="54" t="str">
        <f>VLOOKUP(A10,MEMORIA!$A:$N,2,FALSE)</f>
        <v>LOCALIDADE CAPIM GROSSO (PARNAGUÁ-PI)</v>
      </c>
      <c r="C10" s="55"/>
      <c r="D10" s="55"/>
      <c r="E10" s="55"/>
      <c r="F10" s="55"/>
      <c r="G10" s="55"/>
      <c r="H10" s="56"/>
      <c r="I10" s="10">
        <f>SUM($I$11,$I$27,$I$31,$I$65,$I$68,$I$77,$I$81,)</f>
        <v>553618.73</v>
      </c>
    </row>
    <row r="11" spans="1:9" x14ac:dyDescent="0.3">
      <c r="A11" s="12" t="s">
        <v>20</v>
      </c>
      <c r="B11" s="51" t="str">
        <f>VLOOKUP(A11,MEMORIA!$A:$N,2,FALSE)</f>
        <v>PERFURAÇÃO DE POÇO TUBULAR</v>
      </c>
      <c r="C11" s="52"/>
      <c r="D11" s="52"/>
      <c r="E11" s="52"/>
      <c r="F11" s="52"/>
      <c r="G11" s="52"/>
      <c r="H11" s="53"/>
      <c r="I11" s="13">
        <f>SUM($I$12:$I$26)</f>
        <v>51020.49</v>
      </c>
    </row>
    <row r="12" spans="1:9" x14ac:dyDescent="0.3">
      <c r="A12" s="23" t="s">
        <v>178</v>
      </c>
      <c r="B12" s="23" t="str">
        <f>VLOOKUP(A12,MEMORIA!$A:$N,2,FALSE)</f>
        <v>COMPOS3</v>
      </c>
      <c r="C12" s="23" t="str">
        <f>VLOOKUP(A12,MEMORIA!$A:$N,3,FALSE)</f>
        <v>PRÓPRIA</v>
      </c>
      <c r="D12" s="24" t="str">
        <f>VLOOKUP(A12,MEMORIA!$A:$N,4,FALSE)</f>
        <v>LOCAÇÃO DO POÇO COM ESTUDO GEOLÓGICO/HIDROGEOLÓGICO/GEOFÍSICO</v>
      </c>
      <c r="E12" s="23" t="str">
        <f>VLOOKUP(A12,MEMORIA!$A:$N,5,FALSE)</f>
        <v>UN</v>
      </c>
      <c r="F12" s="5">
        <f>VLOOKUP(A12,MEMORIA!$A:$N,14,FALSE)</f>
        <v>1</v>
      </c>
      <c r="G12" s="5">
        <f>VLOOKUP("TOTAL SEM BDI - "&amp;B12,CPU!$A:$J,9,FALSE)</f>
        <v>1692.3999999999999</v>
      </c>
      <c r="H12" s="5">
        <f>VLOOKUP("TOTAL COM BDI - "&amp;B12,CPU!$A:$J,9,FALSE)</f>
        <v>2070.31</v>
      </c>
      <c r="I12" s="5">
        <f t="shared" ref="I12:I26" si="0">ROUND(F12*H12,2)</f>
        <v>2070.31</v>
      </c>
    </row>
    <row r="13" spans="1:9" x14ac:dyDescent="0.3">
      <c r="A13" s="23" t="s">
        <v>179</v>
      </c>
      <c r="B13" s="23" t="str">
        <f>VLOOKUP(A13,MEMORIA!$A:$N,2,FALSE)</f>
        <v>COMPOS4</v>
      </c>
      <c r="C13" s="23" t="str">
        <f>VLOOKUP(A13,MEMORIA!$A:$N,3,FALSE)</f>
        <v>PRÓPRIA</v>
      </c>
      <c r="D13" s="24" t="str">
        <f>VLOOKUP(A13,MEMORIA!$A:$N,4,FALSE)</f>
        <v>TRANSPORTE DE MÁQUINAS E EQUIPAMENTOS</v>
      </c>
      <c r="E13" s="23" t="str">
        <f>VLOOKUP(A13,MEMORIA!$A:$N,5,FALSE)</f>
        <v>KM</v>
      </c>
      <c r="F13" s="5">
        <f>VLOOKUP(A13,MEMORIA!$A:$N,14,FALSE)</f>
        <v>740</v>
      </c>
      <c r="G13" s="5">
        <f>VLOOKUP("TOTAL SEM BDI - "&amp;B13,CPU!$A:$J,9,FALSE)</f>
        <v>5.5</v>
      </c>
      <c r="H13" s="5">
        <f>VLOOKUP("TOTAL COM BDI - "&amp;B13,CPU!$A:$J,9,FALSE)</f>
        <v>6.73</v>
      </c>
      <c r="I13" s="5">
        <f t="shared" si="0"/>
        <v>4980.2</v>
      </c>
    </row>
    <row r="14" spans="1:9" x14ac:dyDescent="0.3">
      <c r="A14" s="23" t="s">
        <v>180</v>
      </c>
      <c r="B14" s="23" t="str">
        <f>VLOOKUP(A14,MEMORIA!$A:$N,2,FALSE)</f>
        <v>COMPOS4</v>
      </c>
      <c r="C14" s="23" t="str">
        <f>VLOOKUP(A14,MEMORIA!$A:$N,3,FALSE)</f>
        <v>PRÓPRIA</v>
      </c>
      <c r="D14" s="24" t="str">
        <f>VLOOKUP(A14,MEMORIA!$A:$N,4,FALSE)</f>
        <v>TRANSPORTE DE MÁQUINAS E EQUIPAMENTOS</v>
      </c>
      <c r="E14" s="23" t="str">
        <f>VLOOKUP(A14,MEMORIA!$A:$N,5,FALSE)</f>
        <v>KM</v>
      </c>
      <c r="F14" s="5">
        <f>VLOOKUP(A14,MEMORIA!$A:$N,14,FALSE)</f>
        <v>740</v>
      </c>
      <c r="G14" s="5">
        <f>VLOOKUP("TOTAL SEM BDI - "&amp;B14,CPU!$A:$J,9,FALSE)</f>
        <v>5.5</v>
      </c>
      <c r="H14" s="5">
        <f>VLOOKUP("TOTAL COM BDI - "&amp;B14,CPU!$A:$J,9,FALSE)</f>
        <v>6.73</v>
      </c>
      <c r="I14" s="5">
        <f t="shared" si="0"/>
        <v>4980.2</v>
      </c>
    </row>
    <row r="15" spans="1:9" x14ac:dyDescent="0.3">
      <c r="A15" s="23" t="s">
        <v>181</v>
      </c>
      <c r="B15" s="23" t="str">
        <f>VLOOKUP(A15,MEMORIA!$A:$N,2,FALSE)</f>
        <v>COMPOS5</v>
      </c>
      <c r="C15" s="23" t="str">
        <f>VLOOKUP(A15,MEMORIA!$A:$N,3,FALSE)</f>
        <v>PRÓPRIA</v>
      </c>
      <c r="D15" s="24" t="str">
        <f>VLOOKUP(A15,MEMORIA!$A:$N,4,FALSE)</f>
        <v>PERFILAGEM ÓTICA</v>
      </c>
      <c r="E15" s="23" t="str">
        <f>VLOOKUP(A15,MEMORIA!$A:$N,5,FALSE)</f>
        <v>UN</v>
      </c>
      <c r="F15" s="5">
        <f>VLOOKUP(A15,MEMORIA!$A:$N,14,FALSE)</f>
        <v>1</v>
      </c>
      <c r="G15" s="5">
        <f>VLOOKUP("TOTAL SEM BDI - "&amp;B15,CPU!$A:$J,9,FALSE)</f>
        <v>2908.88</v>
      </c>
      <c r="H15" s="5">
        <f>VLOOKUP("TOTAL COM BDI - "&amp;B15,CPU!$A:$J,9,FALSE)</f>
        <v>3558.4300000000003</v>
      </c>
      <c r="I15" s="5">
        <f t="shared" si="0"/>
        <v>3558.43</v>
      </c>
    </row>
    <row r="16" spans="1:9" x14ac:dyDescent="0.3">
      <c r="A16" s="23" t="s">
        <v>182</v>
      </c>
      <c r="B16" s="23" t="str">
        <f>VLOOKUP(A16,MEMORIA!$A:$N,2,FALSE)</f>
        <v>COMP197</v>
      </c>
      <c r="C16" s="23" t="str">
        <f>VLOOKUP(A16,MEMORIA!$A:$N,3,FALSE)</f>
        <v>PRÓPRIA</v>
      </c>
      <c r="D16" s="24" t="str">
        <f>VLOOKUP(A16,MEMORIA!$A:$N,4,FALSE)</f>
        <v>PERFURAÇÃO EM ROCHA SEDIMENTAR DN 10" (REF: 06230/ORSE-ORSE-04/2025)</v>
      </c>
      <c r="E16" s="23" t="str">
        <f>VLOOKUP(A16,MEMORIA!$A:$N,5,FALSE)</f>
        <v>M</v>
      </c>
      <c r="F16" s="5">
        <f>VLOOKUP(A16,MEMORIA!$A:$N,14,FALSE)</f>
        <v>20</v>
      </c>
      <c r="G16" s="5">
        <f>VLOOKUP("TOTAL SEM BDI - "&amp;B16,CPU!$A:$J,9,FALSE)</f>
        <v>202.21</v>
      </c>
      <c r="H16" s="5">
        <f>VLOOKUP("TOTAL COM BDI - "&amp;B16,CPU!$A:$J,9,FALSE)</f>
        <v>247.36</v>
      </c>
      <c r="I16" s="5">
        <f t="shared" si="0"/>
        <v>4947.2</v>
      </c>
    </row>
    <row r="17" spans="1:9" x14ac:dyDescent="0.3">
      <c r="A17" s="23" t="s">
        <v>183</v>
      </c>
      <c r="B17" s="23" t="str">
        <f>VLOOKUP(A17,MEMORIA!$A:$N,2,FALSE)</f>
        <v>COMP198</v>
      </c>
      <c r="C17" s="23" t="str">
        <f>VLOOKUP(A17,MEMORIA!$A:$N,3,FALSE)</f>
        <v>PRÓPRIA</v>
      </c>
      <c r="D17" s="24" t="str">
        <f>VLOOKUP(A17,MEMORIA!$A:$N,4,FALSE)</f>
        <v>PERFURAÇÃO EM ROCHA CRISTALINA DN 6" (REF: 06237/ORSE-ORSE-04/2025)</v>
      </c>
      <c r="E17" s="23" t="str">
        <f>VLOOKUP(A17,MEMORIA!$A:$N,5,FALSE)</f>
        <v>M</v>
      </c>
      <c r="F17" s="5">
        <f>VLOOKUP(A17,MEMORIA!$A:$N,14,FALSE)</f>
        <v>100</v>
      </c>
      <c r="G17" s="5">
        <f>VLOOKUP("TOTAL SEM BDI - "&amp;B17,CPU!$A:$J,9,FALSE)</f>
        <v>125.23</v>
      </c>
      <c r="H17" s="5">
        <f>VLOOKUP("TOTAL COM BDI - "&amp;B17,CPU!$A:$J,9,FALSE)</f>
        <v>153.19</v>
      </c>
      <c r="I17" s="5">
        <f t="shared" si="0"/>
        <v>15319</v>
      </c>
    </row>
    <row r="18" spans="1:9" x14ac:dyDescent="0.3">
      <c r="A18" s="23" t="s">
        <v>184</v>
      </c>
      <c r="B18" s="23" t="str">
        <f>VLOOKUP(A18,MEMORIA!$A:$N,2,FALSE)</f>
        <v>COMPOS10</v>
      </c>
      <c r="C18" s="23" t="str">
        <f>VLOOKUP(A18,MEMORIA!$A:$N,3,FALSE)</f>
        <v>PRÓPRIA</v>
      </c>
      <c r="D18" s="24" t="str">
        <f>VLOOKUP(A18,MEMORIA!$A:$N,4,FALSE)</f>
        <v>CIMENTAÇÃO SANITÁRIA</v>
      </c>
      <c r="E18" s="23" t="str">
        <f>VLOOKUP(A18,MEMORIA!$A:$N,5,FALSE)</f>
        <v>M</v>
      </c>
      <c r="F18" s="5">
        <f>VLOOKUP(A18,MEMORIA!$A:$N,14,FALSE)</f>
        <v>10</v>
      </c>
      <c r="G18" s="5">
        <f>VLOOKUP("TOTAL SEM BDI - "&amp;B18,CPU!$A:$J,9,FALSE)</f>
        <v>98.79</v>
      </c>
      <c r="H18" s="5">
        <f>VLOOKUP("TOTAL COM BDI - "&amp;B18,CPU!$A:$J,9,FALSE)</f>
        <v>120.85000000000001</v>
      </c>
      <c r="I18" s="5">
        <f t="shared" si="0"/>
        <v>1208.5</v>
      </c>
    </row>
    <row r="19" spans="1:9" x14ac:dyDescent="0.3">
      <c r="A19" s="23" t="s">
        <v>185</v>
      </c>
      <c r="B19" s="23" t="str">
        <f>VLOOKUP(A19,MEMORIA!$A:$N,2,FALSE)</f>
        <v>COMPOS11</v>
      </c>
      <c r="C19" s="23" t="str">
        <f>VLOOKUP(A19,MEMORIA!$A:$N,3,FALSE)</f>
        <v>PRÓPRIA</v>
      </c>
      <c r="D19" s="24" t="str">
        <f>VLOOKUP(A19,MEMORIA!$A:$N,4,FALSE)</f>
        <v>LAJE DE PROTEÇÃO EM CONCRETO (1,0 M X 1,0 M X 0,15 M)</v>
      </c>
      <c r="E19" s="23" t="str">
        <f>VLOOKUP(A19,MEMORIA!$A:$N,5,FALSE)</f>
        <v>M³</v>
      </c>
      <c r="F19" s="5">
        <f>VLOOKUP(A19,MEMORIA!$A:$N,14,FALSE)</f>
        <v>0.15</v>
      </c>
      <c r="G19" s="5">
        <f>VLOOKUP("TOTAL SEM BDI - "&amp;B19,CPU!$A:$J,9,FALSE)</f>
        <v>1246.81</v>
      </c>
      <c r="H19" s="5">
        <f>VLOOKUP("TOTAL COM BDI - "&amp;B19,CPU!$A:$J,9,FALSE)</f>
        <v>1525.22</v>
      </c>
      <c r="I19" s="5">
        <f t="shared" si="0"/>
        <v>228.78</v>
      </c>
    </row>
    <row r="20" spans="1:9" x14ac:dyDescent="0.3">
      <c r="A20" s="23" t="s">
        <v>186</v>
      </c>
      <c r="B20" s="23" t="str">
        <f>VLOOKUP(A20,MEMORIA!$A:$N,2,FALSE)</f>
        <v>COMPOS12</v>
      </c>
      <c r="C20" s="23" t="str">
        <f>VLOOKUP(A20,MEMORIA!$A:$N,3,FALSE)</f>
        <v>PRÓPRIA</v>
      </c>
      <c r="D20" s="24" t="str">
        <f>VLOOKUP(A20,MEMORIA!$A:$N,4,FALSE)</f>
        <v>DESENVOLVIMENTO COM BOMBA SUBMERSA</v>
      </c>
      <c r="E20" s="23" t="str">
        <f>VLOOKUP(A20,MEMORIA!$A:$N,5,FALSE)</f>
        <v>H</v>
      </c>
      <c r="F20" s="5">
        <f>VLOOKUP(A20,MEMORIA!$A:$N,14,FALSE)</f>
        <v>6</v>
      </c>
      <c r="G20" s="5">
        <f>VLOOKUP("TOTAL SEM BDI - "&amp;B20,CPU!$A:$J,9,FALSE)</f>
        <v>515.70000000000005</v>
      </c>
      <c r="H20" s="5">
        <f>VLOOKUP("TOTAL COM BDI - "&amp;B20,CPU!$A:$J,9,FALSE)</f>
        <v>630.86</v>
      </c>
      <c r="I20" s="5">
        <f t="shared" si="0"/>
        <v>3785.16</v>
      </c>
    </row>
    <row r="21" spans="1:9" x14ac:dyDescent="0.3">
      <c r="A21" s="23" t="s">
        <v>187</v>
      </c>
      <c r="B21" s="23" t="str">
        <f>VLOOKUP(A21,MEMORIA!$A:$N,2,FALSE)</f>
        <v>COMPOS13</v>
      </c>
      <c r="C21" s="23" t="str">
        <f>VLOOKUP(A21,MEMORIA!$A:$N,3,FALSE)</f>
        <v>PRÓPRIA</v>
      </c>
      <c r="D21" s="24" t="str">
        <f>VLOOKUP(A21,MEMORIA!$A:$N,4,FALSE)</f>
        <v>TESTE VAZÃO COM BOMBA SUBMERSA</v>
      </c>
      <c r="E21" s="23" t="str">
        <f>VLOOKUP(A21,MEMORIA!$A:$N,5,FALSE)</f>
        <v>H</v>
      </c>
      <c r="F21" s="5">
        <f>VLOOKUP(A21,MEMORIA!$A:$N,14,FALSE)</f>
        <v>24</v>
      </c>
      <c r="G21" s="5">
        <f>VLOOKUP("TOTAL SEM BDI - "&amp;B21,CPU!$A:$J,9,FALSE)</f>
        <v>97.789999999999992</v>
      </c>
      <c r="H21" s="5">
        <f>VLOOKUP("TOTAL COM BDI - "&amp;B21,CPU!$A:$J,9,FALSE)</f>
        <v>119.63</v>
      </c>
      <c r="I21" s="5">
        <f t="shared" si="0"/>
        <v>2871.12</v>
      </c>
    </row>
    <row r="22" spans="1:9" x14ac:dyDescent="0.3">
      <c r="A22" s="23" t="s">
        <v>188</v>
      </c>
      <c r="B22" s="23" t="str">
        <f>VLOOKUP(A22,MEMORIA!$A:$N,2,FALSE)</f>
        <v>COMPOS14</v>
      </c>
      <c r="C22" s="23" t="str">
        <f>VLOOKUP(A22,MEMORIA!$A:$N,3,FALSE)</f>
        <v>PRÓPRIA</v>
      </c>
      <c r="D22" s="24" t="str">
        <f>VLOOKUP(A22,MEMORIA!$A:$N,4,FALSE)</f>
        <v>DESINFECÇÃO</v>
      </c>
      <c r="E22" s="23" t="str">
        <f>VLOOKUP(A22,MEMORIA!$A:$N,5,FALSE)</f>
        <v>H</v>
      </c>
      <c r="F22" s="5">
        <f>VLOOKUP(A22,MEMORIA!$A:$N,14,FALSE)</f>
        <v>4</v>
      </c>
      <c r="G22" s="5">
        <f>VLOOKUP("TOTAL SEM BDI - "&amp;B22,CPU!$A:$J,9,FALSE)</f>
        <v>102.36000000000003</v>
      </c>
      <c r="H22" s="5">
        <f>VLOOKUP("TOTAL COM BDI - "&amp;B22,CPU!$A:$J,9,FALSE)</f>
        <v>125.22000000000003</v>
      </c>
      <c r="I22" s="5">
        <f t="shared" si="0"/>
        <v>500.88</v>
      </c>
    </row>
    <row r="23" spans="1:9" x14ac:dyDescent="0.3">
      <c r="A23" s="23" t="s">
        <v>189</v>
      </c>
      <c r="B23" s="23" t="str">
        <f>VLOOKUP(A23,MEMORIA!$A:$N,2,FALSE)</f>
        <v>COMPOS15</v>
      </c>
      <c r="C23" s="23" t="str">
        <f>VLOOKUP(A23,MEMORIA!$A:$N,3,FALSE)</f>
        <v>PRÓPRIA</v>
      </c>
      <c r="D23" s="24" t="str">
        <f>VLOOKUP(A23,MEMORIA!$A:$N,4,FALSE)</f>
        <v>RELATÓRIO TÉCNICO</v>
      </c>
      <c r="E23" s="23" t="str">
        <f>VLOOKUP(A23,MEMORIA!$A:$N,5,FALSE)</f>
        <v>UN</v>
      </c>
      <c r="F23" s="5">
        <f>VLOOKUP(A23,MEMORIA!$A:$N,14,FALSE)</f>
        <v>1</v>
      </c>
      <c r="G23" s="5">
        <f>VLOOKUP("TOTAL SEM BDI - "&amp;B23,CPU!$A:$J,9,FALSE)</f>
        <v>1110.2</v>
      </c>
      <c r="H23" s="5">
        <f>VLOOKUP("TOTAL COM BDI - "&amp;B23,CPU!$A:$J,9,FALSE)</f>
        <v>1358.1100000000001</v>
      </c>
      <c r="I23" s="5">
        <f t="shared" si="0"/>
        <v>1358.11</v>
      </c>
    </row>
    <row r="24" spans="1:9" x14ac:dyDescent="0.3">
      <c r="A24" s="23" t="s">
        <v>190</v>
      </c>
      <c r="B24" s="23" t="str">
        <f>VLOOKUP(A24,MEMORIA!$A:$N,2,FALSE)</f>
        <v>COMPOS16</v>
      </c>
      <c r="C24" s="23" t="str">
        <f>VLOOKUP(A24,MEMORIA!$A:$N,3,FALSE)</f>
        <v>PRÓPRIA</v>
      </c>
      <c r="D24" s="24" t="str">
        <f>VLOOKUP(A24,MEMORIA!$A:$N,4,FALSE)</f>
        <v>ANÁLISE FÍSICO-QUÍMICA DA ÁGUA</v>
      </c>
      <c r="E24" s="23" t="str">
        <f>VLOOKUP(A24,MEMORIA!$A:$N,5,FALSE)</f>
        <v>UN</v>
      </c>
      <c r="F24" s="5">
        <f>VLOOKUP(A24,MEMORIA!$A:$N,14,FALSE)</f>
        <v>1</v>
      </c>
      <c r="G24" s="5">
        <f>VLOOKUP("TOTAL SEM BDI - "&amp;B24,CPU!$A:$J,9,FALSE)</f>
        <v>565.21</v>
      </c>
      <c r="H24" s="5">
        <f>VLOOKUP("TOTAL COM BDI - "&amp;B24,CPU!$A:$J,9,FALSE)</f>
        <v>691.42000000000007</v>
      </c>
      <c r="I24" s="5">
        <f t="shared" si="0"/>
        <v>691.42</v>
      </c>
    </row>
    <row r="25" spans="1:9" x14ac:dyDescent="0.3">
      <c r="A25" s="23" t="s">
        <v>191</v>
      </c>
      <c r="B25" s="23" t="str">
        <f>VLOOKUP(A25,MEMORIA!$A:$N,2,FALSE)</f>
        <v>COMPOS1</v>
      </c>
      <c r="C25" s="23" t="str">
        <f>VLOOKUP(A25,MEMORIA!$A:$N,3,FALSE)</f>
        <v>PRÓPRIA</v>
      </c>
      <c r="D25" s="24" t="str">
        <f>VLOOKUP(A25,MEMORIA!$A:$N,4,FALSE)</f>
        <v>FORNECIMENTO E INSTALAÇÃO DE REVESTIMENTO GEOMECÂNICO STANDART DN-154-S</v>
      </c>
      <c r="E25" s="23" t="str">
        <f>VLOOKUP(A25,MEMORIA!$A:$N,5,FALSE)</f>
        <v>M</v>
      </c>
      <c r="F25" s="5">
        <f>VLOOKUP(A25,MEMORIA!$A:$N,14,FALSE)</f>
        <v>21</v>
      </c>
      <c r="G25" s="5">
        <f>VLOOKUP("TOTAL SEM BDI - "&amp;B25,CPU!$A:$J,9,FALSE)</f>
        <v>170.76</v>
      </c>
      <c r="H25" s="5">
        <f>VLOOKUP("TOTAL COM BDI - "&amp;B25,CPU!$A:$J,9,FALSE)</f>
        <v>208.89</v>
      </c>
      <c r="I25" s="5">
        <f t="shared" si="0"/>
        <v>4386.6899999999996</v>
      </c>
    </row>
    <row r="26" spans="1:9" x14ac:dyDescent="0.3">
      <c r="A26" s="23" t="s">
        <v>192</v>
      </c>
      <c r="B26" s="23" t="str">
        <f>VLOOKUP(A26,MEMORIA!$A:$N,2,FALSE)</f>
        <v>COMPOS2</v>
      </c>
      <c r="C26" s="23" t="str">
        <f>VLOOKUP(A26,MEMORIA!$A:$N,3,FALSE)</f>
        <v>PRÓPRIA</v>
      </c>
      <c r="D26" s="24" t="str">
        <f>VLOOKUP(A26,MEMORIA!$A:$N,4,FALSE)</f>
        <v>FORNECIMENTO E INSTALAÇÃO DE TAMPA PARA POÇO</v>
      </c>
      <c r="E26" s="23" t="str">
        <f>VLOOKUP(A26,MEMORIA!$A:$N,5,FALSE)</f>
        <v>UN</v>
      </c>
      <c r="F26" s="5">
        <f>VLOOKUP(A26,MEMORIA!$A:$N,14,FALSE)</f>
        <v>1</v>
      </c>
      <c r="G26" s="5">
        <f>VLOOKUP("TOTAL SEM BDI - "&amp;B26,CPU!$A:$J,9,FALSE)</f>
        <v>109.94</v>
      </c>
      <c r="H26" s="5">
        <f>VLOOKUP("TOTAL COM BDI - "&amp;B26,CPU!$A:$J,9,FALSE)</f>
        <v>134.49</v>
      </c>
      <c r="I26" s="5">
        <f t="shared" si="0"/>
        <v>134.49</v>
      </c>
    </row>
    <row r="27" spans="1:9" x14ac:dyDescent="0.3">
      <c r="A27" s="12" t="s">
        <v>21</v>
      </c>
      <c r="B27" s="51" t="str">
        <f>VLOOKUP(A27,MEMORIA!$A:$N,2,FALSE)</f>
        <v>AQUISIÇÃO E INSTALAÇÃO DE EQUIPAMENTOS DE BOMBEAMENTO, RECALQUE/BARRILETE E CONEXÕES PARA INTERLIGAÇÃO COM RESERVATÓRIO</v>
      </c>
      <c r="C27" s="52"/>
      <c r="D27" s="52"/>
      <c r="E27" s="52"/>
      <c r="F27" s="52"/>
      <c r="G27" s="52"/>
      <c r="H27" s="53"/>
      <c r="I27" s="13">
        <f>SUM($I$28:$I$30)</f>
        <v>10148.990000000002</v>
      </c>
    </row>
    <row r="28" spans="1:9" x14ac:dyDescent="0.3">
      <c r="A28" s="23" t="s">
        <v>193</v>
      </c>
      <c r="B28" s="23" t="str">
        <f>VLOOKUP(A28,MEMORIA!$A:$N,2,FALSE)</f>
        <v>COMPOS19</v>
      </c>
      <c r="C28" s="23" t="str">
        <f>VLOOKUP(A28,MEMORIA!$A:$N,3,FALSE)</f>
        <v>PRÓPRIA</v>
      </c>
      <c r="D28" s="24" t="str">
        <f>VLOOKUP(A28,MEMORIA!$A:$N,4,FALSE)</f>
        <v>FORNECIMENTO E INSTALAÇÃO DE TUBO EDUTOR DE PVC DE 1.1/2'' COM LUVA</v>
      </c>
      <c r="E28" s="23" t="str">
        <f>VLOOKUP(A28,MEMORIA!$A:$N,5,FALSE)</f>
        <v>M</v>
      </c>
      <c r="F28" s="5">
        <f>VLOOKUP(A28,MEMORIA!$A:$N,14,FALSE)</f>
        <v>110</v>
      </c>
      <c r="G28" s="5">
        <f>VLOOKUP("TOTAL SEM BDI - "&amp;B28,CPU!$A:$J,9,FALSE)</f>
        <v>46.25</v>
      </c>
      <c r="H28" s="5">
        <f>VLOOKUP("TOTAL COM BDI - "&amp;B28,CPU!$A:$J,9,FALSE)</f>
        <v>56.58</v>
      </c>
      <c r="I28" s="5">
        <f>ROUND(F28*H28,2)</f>
        <v>6223.8</v>
      </c>
    </row>
    <row r="29" spans="1:9" x14ac:dyDescent="0.3">
      <c r="A29" s="23" t="s">
        <v>194</v>
      </c>
      <c r="B29" s="23" t="str">
        <f>VLOOKUP(A29,MEMORIA!$A:$N,2,FALSE)</f>
        <v>COMPOS21</v>
      </c>
      <c r="C29" s="23" t="str">
        <f>VLOOKUP(A29,MEMORIA!$A:$N,3,FALSE)</f>
        <v>PRÓPRIA</v>
      </c>
      <c r="D29" s="24" t="str">
        <f>VLOOKUP(A29,MEMORIA!$A:$N,4,FALSE)</f>
        <v>BARRILETE (CURVAS E CONEXÕES)</v>
      </c>
      <c r="E29" s="23" t="str">
        <f>VLOOKUP(A29,MEMORIA!$A:$N,5,FALSE)</f>
        <v>UN</v>
      </c>
      <c r="F29" s="5">
        <f>VLOOKUP(A29,MEMORIA!$A:$N,14,FALSE)</f>
        <v>1</v>
      </c>
      <c r="G29" s="5">
        <f>VLOOKUP("TOTAL SEM BDI - "&amp;B29,CPU!$A:$J,9,FALSE)</f>
        <v>2147.0500000000002</v>
      </c>
      <c r="H29" s="5">
        <f>VLOOKUP("TOTAL COM BDI - "&amp;B29,CPU!$A:$J,9,FALSE)</f>
        <v>2626.4900000000002</v>
      </c>
      <c r="I29" s="5">
        <f>ROUND(F29*H29,2)</f>
        <v>2626.49</v>
      </c>
    </row>
    <row r="30" spans="1:9" x14ac:dyDescent="0.3">
      <c r="A30" s="23" t="s">
        <v>195</v>
      </c>
      <c r="B30" s="23" t="str">
        <f>VLOOKUP(A30,MEMORIA!$A:$N,2,FALSE)</f>
        <v>COMPOS26</v>
      </c>
      <c r="C30" s="23" t="str">
        <f>VLOOKUP(A30,MEMORIA!$A:$N,3,FALSE)</f>
        <v>PRÓPRIA</v>
      </c>
      <c r="D30" s="24" t="str">
        <f>VLOOKUP(A30,MEMORIA!$A:$N,4,FALSE)</f>
        <v>AQUISIÇÃO E INSTALAÇÃO DE DOSADOR DE CLORO</v>
      </c>
      <c r="E30" s="23" t="str">
        <f>VLOOKUP(A30,MEMORIA!$A:$N,5,FALSE)</f>
        <v>UND</v>
      </c>
      <c r="F30" s="5">
        <f>VLOOKUP(A30,MEMORIA!$A:$N,14,FALSE)</f>
        <v>1</v>
      </c>
      <c r="G30" s="5">
        <f>VLOOKUP("TOTAL SEM BDI - "&amp;B30,CPU!$A:$J,9,FALSE)</f>
        <v>1061.6399999999999</v>
      </c>
      <c r="H30" s="5">
        <f>VLOOKUP("TOTAL COM BDI - "&amp;B30,CPU!$A:$J,9,FALSE)</f>
        <v>1298.6999999999998</v>
      </c>
      <c r="I30" s="5">
        <f>ROUND(F30*H30,2)</f>
        <v>1298.7</v>
      </c>
    </row>
    <row r="31" spans="1:9" x14ac:dyDescent="0.3">
      <c r="A31" s="12" t="s">
        <v>22</v>
      </c>
      <c r="B31" s="51" t="str">
        <f>VLOOKUP(A31,MEMORIA!$A:$N,2,FALSE)</f>
        <v>CONSTRUÇÃO DA CASA DE COMANDO</v>
      </c>
      <c r="C31" s="52"/>
      <c r="D31" s="52"/>
      <c r="E31" s="52"/>
      <c r="F31" s="52"/>
      <c r="G31" s="52"/>
      <c r="H31" s="53"/>
      <c r="I31" s="13">
        <f>SUM($I$32,$I$35,$I$37,$I$41,$I$44,$I$47,$I$50,$I$54,$I$57,$I$60,$I$63,)</f>
        <v>20274.329999999998</v>
      </c>
    </row>
    <row r="32" spans="1:9" x14ac:dyDescent="0.3">
      <c r="A32" s="15" t="s">
        <v>23</v>
      </c>
      <c r="B32" s="48" t="str">
        <f>VLOOKUP(A32,MEMORIA!$A:$N,2,FALSE)</f>
        <v>SERVIÇOS PRELIMINARES</v>
      </c>
      <c r="C32" s="49"/>
      <c r="D32" s="49"/>
      <c r="E32" s="49"/>
      <c r="F32" s="49"/>
      <c r="G32" s="49"/>
      <c r="H32" s="50"/>
      <c r="I32" s="16">
        <f>SUM($I$33:$I$34)</f>
        <v>1315.92</v>
      </c>
    </row>
    <row r="33" spans="1:9" x14ac:dyDescent="0.3">
      <c r="A33" s="23" t="s">
        <v>196</v>
      </c>
      <c r="B33" s="23">
        <f>VLOOKUP(A33,MEMORIA!$A:$N,2,FALSE)</f>
        <v>98524</v>
      </c>
      <c r="C33" s="23" t="str">
        <f>VLOOKUP(A33,MEMORIA!$A:$N,3,FALSE)</f>
        <v>SINAPI</v>
      </c>
      <c r="D33" s="24" t="str">
        <f>VLOOKUP(A33,MEMORIA!$A:$N,4,FALSE)</f>
        <v>LIMPEZA MANUAL DE VEGETAÇÃO EM TERRENO COM ENXADA. AF_03/2024</v>
      </c>
      <c r="E33" s="23" t="str">
        <f>VLOOKUP(A33,MEMORIA!$A:$N,5,FALSE)</f>
        <v>M2</v>
      </c>
      <c r="F33" s="5">
        <f>VLOOKUP(A33,MEMORIA!$A:$N,14,FALSE)</f>
        <v>100</v>
      </c>
      <c r="G33" s="5">
        <f>VLOOKUP("TOTAL SEM BDI - "&amp;B33,CPU!$A:$J,9,FALSE)</f>
        <v>4.62</v>
      </c>
      <c r="H33" s="5">
        <f>VLOOKUP("TOTAL COM BDI - "&amp;B33,CPU!$A:$J,9,FALSE)</f>
        <v>5.65</v>
      </c>
      <c r="I33" s="5">
        <f>ROUND(F33*H33,2)</f>
        <v>565</v>
      </c>
    </row>
    <row r="34" spans="1:9" ht="28.8" x14ac:dyDescent="0.3">
      <c r="A34" s="23" t="s">
        <v>197</v>
      </c>
      <c r="B34" s="23">
        <f>VLOOKUP(A34,MEMORIA!$A:$N,2,FALSE)</f>
        <v>99059</v>
      </c>
      <c r="C34" s="23" t="str">
        <f>VLOOKUP(A34,MEMORIA!$A:$N,3,FALSE)</f>
        <v>SINAPI</v>
      </c>
      <c r="D34" s="24" t="str">
        <f>VLOOKUP(A34,MEMORIA!$A:$N,4,FALSE)</f>
        <v>LOCAÇÃO CONVENCIONAL DE OBRA, UTILIZANDO GABARITO DE TÁBUAS CORRIDAS PONTALETADAS A CADA 2,00M - 2 UTILIZAÇÕES. AF_03/2024</v>
      </c>
      <c r="E34" s="23" t="str">
        <f>VLOOKUP(A34,MEMORIA!$A:$N,5,FALSE)</f>
        <v>M</v>
      </c>
      <c r="F34" s="5">
        <f>VLOOKUP(A34,MEMORIA!$A:$N,14,FALSE)</f>
        <v>10.199999999999999</v>
      </c>
      <c r="G34" s="5">
        <f>VLOOKUP("TOTAL SEM BDI - "&amp;B34,CPU!$A:$J,9,FALSE)</f>
        <v>60.18</v>
      </c>
      <c r="H34" s="5">
        <f>VLOOKUP("TOTAL COM BDI - "&amp;B34,CPU!$A:$J,9,FALSE)</f>
        <v>73.62</v>
      </c>
      <c r="I34" s="5">
        <f>ROUND(F34*H34,2)</f>
        <v>750.92</v>
      </c>
    </row>
    <row r="35" spans="1:9" x14ac:dyDescent="0.3">
      <c r="A35" s="15" t="s">
        <v>24</v>
      </c>
      <c r="B35" s="48" t="str">
        <f>VLOOKUP(A35,MEMORIA!$A:$N,2,FALSE)</f>
        <v>MOVIMENTO DE TERRA</v>
      </c>
      <c r="C35" s="49"/>
      <c r="D35" s="49"/>
      <c r="E35" s="49"/>
      <c r="F35" s="49"/>
      <c r="G35" s="49"/>
      <c r="H35" s="50"/>
      <c r="I35" s="16">
        <f>SUM($I$36:$I$36)</f>
        <v>161.76</v>
      </c>
    </row>
    <row r="36" spans="1:9" x14ac:dyDescent="0.3">
      <c r="A36" s="23" t="s">
        <v>198</v>
      </c>
      <c r="B36" s="23">
        <f>VLOOKUP(A36,MEMORIA!$A:$N,2,FALSE)</f>
        <v>93358</v>
      </c>
      <c r="C36" s="23" t="str">
        <f>VLOOKUP(A36,MEMORIA!$A:$N,3,FALSE)</f>
        <v>SINAPI</v>
      </c>
      <c r="D36" s="24" t="str">
        <f>VLOOKUP(A36,MEMORIA!$A:$N,4,FALSE)</f>
        <v>ESCAVAÇÃO MANUAL DE VALA. AF_09/2024</v>
      </c>
      <c r="E36" s="23" t="str">
        <f>VLOOKUP(A36,MEMORIA!$A:$N,5,FALSE)</f>
        <v>M3</v>
      </c>
      <c r="F36" s="5">
        <f>VLOOKUP(A36,MEMORIA!$A:$N,14,FALSE)</f>
        <v>1.54</v>
      </c>
      <c r="G36" s="5">
        <f>VLOOKUP("TOTAL SEM BDI - "&amp;B36,CPU!$A:$J,9,FALSE)</f>
        <v>85.87</v>
      </c>
      <c r="H36" s="5">
        <f>VLOOKUP("TOTAL COM BDI - "&amp;B36,CPU!$A:$J,9,FALSE)</f>
        <v>105.04</v>
      </c>
      <c r="I36" s="5">
        <f>ROUND(F36*H36,2)</f>
        <v>161.76</v>
      </c>
    </row>
    <row r="37" spans="1:9" x14ac:dyDescent="0.3">
      <c r="A37" s="15" t="s">
        <v>25</v>
      </c>
      <c r="B37" s="48" t="str">
        <f>VLOOKUP(A37,MEMORIA!$A:$N,2,FALSE)</f>
        <v>INFRAESTRUTURA</v>
      </c>
      <c r="C37" s="49"/>
      <c r="D37" s="49"/>
      <c r="E37" s="49"/>
      <c r="F37" s="49"/>
      <c r="G37" s="49"/>
      <c r="H37" s="50"/>
      <c r="I37" s="16">
        <f>SUM($I$38:$I$40)</f>
        <v>1229.81</v>
      </c>
    </row>
    <row r="38" spans="1:9" ht="28.8" x14ac:dyDescent="0.3">
      <c r="A38" s="23" t="s">
        <v>199</v>
      </c>
      <c r="B38" s="23">
        <f>VLOOKUP(A38,MEMORIA!$A:$N,2,FALSE)</f>
        <v>96617</v>
      </c>
      <c r="C38" s="23" t="str">
        <f>VLOOKUP(A38,MEMORIA!$A:$N,3,FALSE)</f>
        <v>SINAPI</v>
      </c>
      <c r="D38" s="24" t="str">
        <f>VLOOKUP(A38,MEMORIA!$A:$N,4,FALSE)</f>
        <v>LASTRO DE CONCRETO MAGRO, APLICADO EM BLOCOS DE COROAMENTO OU SAPATAS, ESPESSURA DE 3 CM. AF_01/2024</v>
      </c>
      <c r="E38" s="23" t="str">
        <f>VLOOKUP(A38,MEMORIA!$A:$N,5,FALSE)</f>
        <v>M2</v>
      </c>
      <c r="F38" s="5">
        <f>VLOOKUP(A38,MEMORIA!$A:$N,14,FALSE)</f>
        <v>2.58</v>
      </c>
      <c r="G38" s="5">
        <f>VLOOKUP("TOTAL SEM BDI - "&amp;B38,CPU!$A:$J,9,FALSE)</f>
        <v>23.57</v>
      </c>
      <c r="H38" s="5">
        <f>VLOOKUP("TOTAL COM BDI - "&amp;B38,CPU!$A:$J,9,FALSE)</f>
        <v>28.83</v>
      </c>
      <c r="I38" s="5">
        <f>ROUND(F38*H38,2)</f>
        <v>74.38</v>
      </c>
    </row>
    <row r="39" spans="1:9" ht="28.8" x14ac:dyDescent="0.3">
      <c r="A39" s="23" t="s">
        <v>200</v>
      </c>
      <c r="B39" s="23">
        <f>VLOOKUP(A39,MEMORIA!$A:$N,2,FALSE)</f>
        <v>103800</v>
      </c>
      <c r="C39" s="23" t="str">
        <f>VLOOKUP(A39,MEMORIA!$A:$N,3,FALSE)</f>
        <v>SINAPI</v>
      </c>
      <c r="D39" s="24" t="str">
        <f>VLOOKUP(A39,MEMORIA!$A:$N,4,FALSE)</f>
        <v>PEDRA ARGAMASSADA COM CIMENTO E AREIA 1:3, 40% DE ARGAMASSA EM VOLUME - AREIA E PEDRA DE MÃO COMERCIAIS - FORNECIMENTO E ASSENTAMENTO. AF_08/2022</v>
      </c>
      <c r="E39" s="23" t="str">
        <f>VLOOKUP(A39,MEMORIA!$A:$N,5,FALSE)</f>
        <v>M3</v>
      </c>
      <c r="F39" s="5">
        <f>VLOOKUP(A39,MEMORIA!$A:$N,14,FALSE)</f>
        <v>1.04</v>
      </c>
      <c r="G39" s="5">
        <f>VLOOKUP("TOTAL SEM BDI - "&amp;B39,CPU!$A:$J,9,FALSE)</f>
        <v>666</v>
      </c>
      <c r="H39" s="5">
        <f>VLOOKUP("TOTAL COM BDI - "&amp;B39,CPU!$A:$J,9,FALSE)</f>
        <v>814.72</v>
      </c>
      <c r="I39" s="5">
        <f>ROUND(F39*H39,2)</f>
        <v>847.31</v>
      </c>
    </row>
    <row r="40" spans="1:9" ht="43.2" x14ac:dyDescent="0.3">
      <c r="A40" s="23" t="s">
        <v>201</v>
      </c>
      <c r="B40" s="23">
        <f>VLOOKUP(A40,MEMORIA!$A:$N,2,FALSE)</f>
        <v>103335</v>
      </c>
      <c r="C40" s="23" t="str">
        <f>VLOOKUP(A40,MEMORIA!$A:$N,3,FALSE)</f>
        <v>SINAPI</v>
      </c>
      <c r="D40" s="24" t="str">
        <f>VLOOKUP(A40,MEMORIA!$A:$N,4,FALSE)</f>
        <v>ALVENARIA DE VEDAÇÃO DE BLOCOS CERÂMICOS FURADOS NA HORIZONTAL DE 14X9X19 CM (ESPESSURA 14 CM, BLOCO DEITADO) E ARGAMASSA DE ASSENTAMENTO COM PREPARO MANUAL. AF_12/2021</v>
      </c>
      <c r="E40" s="23" t="str">
        <f>VLOOKUP(A40,MEMORIA!$A:$N,5,FALSE)</f>
        <v>M2</v>
      </c>
      <c r="F40" s="5">
        <f>VLOOKUP(A40,MEMORIA!$A:$N,14,FALSE)</f>
        <v>1.7200000000000002</v>
      </c>
      <c r="G40" s="5">
        <f>VLOOKUP("TOTAL SEM BDI - "&amp;B40,CPU!$A:$J,9,FALSE)</f>
        <v>146.44</v>
      </c>
      <c r="H40" s="5">
        <f>VLOOKUP("TOTAL COM BDI - "&amp;B40,CPU!$A:$J,9,FALSE)</f>
        <v>179.14</v>
      </c>
      <c r="I40" s="5">
        <f>ROUND(F40*H40,2)</f>
        <v>308.12</v>
      </c>
    </row>
    <row r="41" spans="1:9" x14ac:dyDescent="0.3">
      <c r="A41" s="15" t="s">
        <v>26</v>
      </c>
      <c r="B41" s="48" t="str">
        <f>VLOOKUP(A41,MEMORIA!$A:$N,2,FALSE)</f>
        <v>SUPERESTRUTURA</v>
      </c>
      <c r="C41" s="49"/>
      <c r="D41" s="49"/>
      <c r="E41" s="49"/>
      <c r="F41" s="49"/>
      <c r="G41" s="49"/>
      <c r="H41" s="50"/>
      <c r="I41" s="16">
        <f>SUM($I$42:$I$43)</f>
        <v>1323.3</v>
      </c>
    </row>
    <row r="42" spans="1:9" x14ac:dyDescent="0.3">
      <c r="A42" s="23" t="s">
        <v>202</v>
      </c>
      <c r="B42" s="23" t="str">
        <f>VLOOKUP(A42,MEMORIA!$A:$N,2,FALSE)</f>
        <v>COMPCOM01</v>
      </c>
      <c r="C42" s="23" t="str">
        <f>VLOOKUP(A42,MEMORIA!$A:$N,3,FALSE)</f>
        <v>PRÓPRIA</v>
      </c>
      <c r="D42" s="24" t="str">
        <f>VLOOKUP(A42,MEMORIA!$A:$N,4,FALSE)</f>
        <v>CINTA DE AMARRAÇÃO DE ALVENARIA MOLDADA IN LOCO EM CONCRETO</v>
      </c>
      <c r="E42" s="23" t="str">
        <f>VLOOKUP(A42,MEMORIA!$A:$N,5,FALSE)</f>
        <v>M</v>
      </c>
      <c r="F42" s="5">
        <f>VLOOKUP(A42,MEMORIA!$A:$N,14,FALSE)</f>
        <v>8.6</v>
      </c>
      <c r="G42" s="5">
        <f>VLOOKUP("TOTAL SEM BDI - "&amp;B42,CPU!$A:$J,9,FALSE)</f>
        <v>81.47999999999999</v>
      </c>
      <c r="H42" s="5">
        <f>VLOOKUP("TOTAL COM BDI - "&amp;B42,CPU!$A:$J,9,FALSE)</f>
        <v>99.669999999999987</v>
      </c>
      <c r="I42" s="5">
        <f>ROUND(F42*H42,2)</f>
        <v>857.16</v>
      </c>
    </row>
    <row r="43" spans="1:9" ht="28.8" x14ac:dyDescent="0.3">
      <c r="A43" s="23" t="s">
        <v>203</v>
      </c>
      <c r="B43" s="23" t="str">
        <f>VLOOKUP(A43,MEMORIA!$A:$N,2,FALSE)</f>
        <v>COMPCOM02</v>
      </c>
      <c r="C43" s="23" t="str">
        <f>VLOOKUP(A43,MEMORIA!$A:$N,3,FALSE)</f>
        <v>PRÓPRIA</v>
      </c>
      <c r="D43" s="24" t="str">
        <f>VLOOKUP(A43,MEMORIA!$A:$N,4,FALSE)</f>
        <v>(COMPOSIÇÃO REPRESENTATIVA) EXECUÇÃO DE ESTRUTURAS DE CONCRETO ARMADO, PARA EDIFICAÇÃO INSTITUCIONAL TÉRREA, FCK = 25 MPA</v>
      </c>
      <c r="E43" s="23" t="str">
        <f>VLOOKUP(A43,MEMORIA!$A:$N,5,FALSE)</f>
        <v>M³</v>
      </c>
      <c r="F43" s="5">
        <f>VLOOKUP(A43,MEMORIA!$A:$N,14,FALSE)</f>
        <v>0.30000000000000004</v>
      </c>
      <c r="G43" s="5">
        <f>VLOOKUP("TOTAL SEM BDI - "&amp;B43,CPU!$A:$J,9,FALSE)</f>
        <v>1270.1599999999999</v>
      </c>
      <c r="H43" s="5">
        <f>VLOOKUP("TOTAL COM BDI - "&amp;B43,CPU!$A:$J,9,FALSE)</f>
        <v>1553.79</v>
      </c>
      <c r="I43" s="5">
        <f>ROUND(F43*H43,2)</f>
        <v>466.14</v>
      </c>
    </row>
    <row r="44" spans="1:9" x14ac:dyDescent="0.3">
      <c r="A44" s="15" t="s">
        <v>27</v>
      </c>
      <c r="B44" s="48" t="str">
        <f>VLOOKUP(A44,MEMORIA!$A:$N,2,FALSE)</f>
        <v>VEDAÇÃO VERTICAL</v>
      </c>
      <c r="C44" s="49"/>
      <c r="D44" s="49"/>
      <c r="E44" s="49"/>
      <c r="F44" s="49"/>
      <c r="G44" s="49"/>
      <c r="H44" s="50"/>
      <c r="I44" s="16">
        <f>SUM($I$45:$I$46)</f>
        <v>2620</v>
      </c>
    </row>
    <row r="45" spans="1:9" ht="43.2" x14ac:dyDescent="0.3">
      <c r="A45" s="23" t="s">
        <v>204</v>
      </c>
      <c r="B45" s="23">
        <f>VLOOKUP(A45,MEMORIA!$A:$N,2,FALSE)</f>
        <v>103329</v>
      </c>
      <c r="C45" s="23" t="str">
        <f>VLOOKUP(A45,MEMORIA!$A:$N,3,FALSE)</f>
        <v>SINAPI</v>
      </c>
      <c r="D45" s="24" t="str">
        <f>VLOOKUP(A45,MEMORIA!$A:$N,4,FALSE)</f>
        <v>ALVENARIA DE VEDAÇÃO DE BLOCOS CERÂMICOS FURADOS NA HORIZONTAL DE 9X19X19 CM (ESPESSURA 9 CM) E ARGAMASSA DE ASSENTAMENTO COM PREPARO MANUAL. AF_12/2021</v>
      </c>
      <c r="E45" s="23" t="str">
        <f>VLOOKUP(A45,MEMORIA!$A:$N,5,FALSE)</f>
        <v>M2</v>
      </c>
      <c r="F45" s="5">
        <f>VLOOKUP(A45,MEMORIA!$A:$N,14,FALSE)</f>
        <v>19.310000000000002</v>
      </c>
      <c r="G45" s="5">
        <f>VLOOKUP("TOTAL SEM BDI - "&amp;B45,CPU!$A:$J,9,FALSE)</f>
        <v>95.039999999999992</v>
      </c>
      <c r="H45" s="5">
        <f>VLOOKUP("TOTAL COM BDI - "&amp;B45,CPU!$A:$J,9,FALSE)</f>
        <v>116.25999999999999</v>
      </c>
      <c r="I45" s="5">
        <f>ROUND(F45*H45,2)</f>
        <v>2244.98</v>
      </c>
    </row>
    <row r="46" spans="1:9" ht="43.2" x14ac:dyDescent="0.3">
      <c r="A46" s="23" t="s">
        <v>205</v>
      </c>
      <c r="B46" s="23">
        <f>VLOOKUP(A46,MEMORIA!$A:$N,2,FALSE)</f>
        <v>101161</v>
      </c>
      <c r="C46" s="23" t="str">
        <f>VLOOKUP(A46,MEMORIA!$A:$N,3,FALSE)</f>
        <v>SINAPI</v>
      </c>
      <c r="D46" s="24" t="str">
        <f>VLOOKUP(A46,MEMORIA!$A:$N,4,FALSE)</f>
        <v>ALVENARIA DE VEDAÇÃO COM ELEMENTO VAZADO DE CONCRETO (COBOGÓ) DE 7X50X50CM E ARGAMASSA DE ASSENTAMENTO COM PREPARO EM BETONEIRA. AF_05/2020</v>
      </c>
      <c r="E46" s="23" t="str">
        <f>VLOOKUP(A46,MEMORIA!$A:$N,5,FALSE)</f>
        <v>M2</v>
      </c>
      <c r="F46" s="5">
        <f>VLOOKUP(A46,MEMORIA!$A:$N,14,FALSE)</f>
        <v>1.5</v>
      </c>
      <c r="G46" s="5">
        <f>VLOOKUP("TOTAL SEM BDI - "&amp;B46,CPU!$A:$J,9,FALSE)</f>
        <v>204.37</v>
      </c>
      <c r="H46" s="5">
        <f>VLOOKUP("TOTAL COM BDI - "&amp;B46,CPU!$A:$J,9,FALSE)</f>
        <v>250.01</v>
      </c>
      <c r="I46" s="5">
        <f>ROUND(F46*H46,2)</f>
        <v>375.02</v>
      </c>
    </row>
    <row r="47" spans="1:9" x14ac:dyDescent="0.3">
      <c r="A47" s="15" t="s">
        <v>28</v>
      </c>
      <c r="B47" s="48" t="str">
        <f>VLOOKUP(A47,MEMORIA!$A:$N,2,FALSE)</f>
        <v>COBERTURA</v>
      </c>
      <c r="C47" s="49"/>
      <c r="D47" s="49"/>
      <c r="E47" s="49"/>
      <c r="F47" s="49"/>
      <c r="G47" s="49"/>
      <c r="H47" s="50"/>
      <c r="I47" s="16">
        <f>SUM($I$48:$I$49)</f>
        <v>1305.45</v>
      </c>
    </row>
    <row r="48" spans="1:9" ht="28.8" x14ac:dyDescent="0.3">
      <c r="A48" s="23" t="s">
        <v>206</v>
      </c>
      <c r="B48" s="23" t="str">
        <f>VLOOKUP(A48,MEMORIA!$A:$N,2,FALSE)</f>
        <v>COMPCOM03</v>
      </c>
      <c r="C48" s="23" t="str">
        <f>VLOOKUP(A48,MEMORIA!$A:$N,3,FALSE)</f>
        <v>PRÓPRIA</v>
      </c>
      <c r="D48" s="24" t="str">
        <f>VLOOKUP(A48,MEMORIA!$A:$N,4,FALSE)</f>
        <v>TELHAMENTO COM TELHA CERÂMICA CAPA-CANAL, TIPO COLONIAL, COM ATÉ 2 ÁGUAS, INCLUSO TRANSPORTE VERTICAL</v>
      </c>
      <c r="E48" s="23" t="str">
        <f>VLOOKUP(A48,MEMORIA!$A:$N,5,FALSE)</f>
        <v>M²</v>
      </c>
      <c r="F48" s="5">
        <f>VLOOKUP(A48,MEMORIA!$A:$N,14,FALSE)</f>
        <v>10.23</v>
      </c>
      <c r="G48" s="5">
        <f>VLOOKUP("TOTAL SEM BDI - "&amp;B48,CPU!$A:$J,9,FALSE)</f>
        <v>37.64</v>
      </c>
      <c r="H48" s="5">
        <f>VLOOKUP("TOTAL COM BDI - "&amp;B48,CPU!$A:$J,9,FALSE)</f>
        <v>46.05</v>
      </c>
      <c r="I48" s="5">
        <f>ROUND(F48*H48,2)</f>
        <v>471.09</v>
      </c>
    </row>
    <row r="49" spans="1:9" ht="28.8" x14ac:dyDescent="0.3">
      <c r="A49" s="23" t="s">
        <v>207</v>
      </c>
      <c r="B49" s="23" t="str">
        <f>VLOOKUP(A49,MEMORIA!$A:$N,2,FALSE)</f>
        <v>COMPCOM04</v>
      </c>
      <c r="C49" s="23" t="str">
        <f>VLOOKUP(A49,MEMORIA!$A:$N,3,FALSE)</f>
        <v>PRÓPRIA</v>
      </c>
      <c r="D49" s="24" t="str">
        <f>VLOOKUP(A49,MEMORIA!$A:$N,4,FALSE)</f>
        <v>TRAMA DE MADEIRA COMPOSTA POR RIPAS, CAIBROS E TERÇAS PARA TELHADOS DE ATÉ 2 ÁGUAS PARA TELHA CERÂMICA CAPA-CANAL, INCLUSO TRANSPORTE VERTICAL</v>
      </c>
      <c r="E49" s="23" t="str">
        <f>VLOOKUP(A49,MEMORIA!$A:$N,5,FALSE)</f>
        <v>M²</v>
      </c>
      <c r="F49" s="5">
        <f>VLOOKUP(A49,MEMORIA!$A:$N,14,FALSE)</f>
        <v>10.23</v>
      </c>
      <c r="G49" s="5">
        <f>VLOOKUP("TOTAL SEM BDI - "&amp;B49,CPU!$A:$J,9,FALSE)</f>
        <v>66.67</v>
      </c>
      <c r="H49" s="5">
        <f>VLOOKUP("TOTAL COM BDI - "&amp;B49,CPU!$A:$J,9,FALSE)</f>
        <v>81.56</v>
      </c>
      <c r="I49" s="5">
        <f>ROUND(F49*H49,2)</f>
        <v>834.36</v>
      </c>
    </row>
    <row r="50" spans="1:9" x14ac:dyDescent="0.3">
      <c r="A50" s="15" t="s">
        <v>29</v>
      </c>
      <c r="B50" s="48" t="str">
        <f>VLOOKUP(A50,MEMORIA!$A:$N,2,FALSE)</f>
        <v>PISO</v>
      </c>
      <c r="C50" s="49"/>
      <c r="D50" s="49"/>
      <c r="E50" s="49"/>
      <c r="F50" s="49"/>
      <c r="G50" s="49"/>
      <c r="H50" s="50"/>
      <c r="I50" s="16">
        <f>SUM($I$51:$I$53)</f>
        <v>1174.01</v>
      </c>
    </row>
    <row r="51" spans="1:9" ht="28.8" x14ac:dyDescent="0.3">
      <c r="A51" s="23" t="s">
        <v>208</v>
      </c>
      <c r="B51" s="23">
        <f>VLOOKUP(A51,MEMORIA!$A:$N,2,FALSE)</f>
        <v>96617</v>
      </c>
      <c r="C51" s="23" t="str">
        <f>VLOOKUP(A51,MEMORIA!$A:$N,3,FALSE)</f>
        <v>SINAPI</v>
      </c>
      <c r="D51" s="24" t="str">
        <f>VLOOKUP(A51,MEMORIA!$A:$N,4,FALSE)</f>
        <v>LASTRO DE CONCRETO MAGRO, APLICADO EM BLOCOS DE COROAMENTO OU SAPATAS, ESPESSURA DE 3 CM. AF_01/2024</v>
      </c>
      <c r="E51" s="23" t="str">
        <f>VLOOKUP(A51,MEMORIA!$A:$N,5,FALSE)</f>
        <v>M2</v>
      </c>
      <c r="F51" s="5">
        <f>VLOOKUP(A51,MEMORIA!$A:$N,14,FALSE)</f>
        <v>4</v>
      </c>
      <c r="G51" s="5">
        <f>VLOOKUP("TOTAL SEM BDI - "&amp;B51,CPU!$A:$J,9,FALSE)</f>
        <v>23.57</v>
      </c>
      <c r="H51" s="5">
        <f>VLOOKUP("TOTAL COM BDI - "&amp;B51,CPU!$A:$J,9,FALSE)</f>
        <v>28.83</v>
      </c>
      <c r="I51" s="5">
        <f>ROUND(F51*H51,2)</f>
        <v>115.32</v>
      </c>
    </row>
    <row r="52" spans="1:9" ht="28.8" x14ac:dyDescent="0.3">
      <c r="A52" s="23" t="s">
        <v>209</v>
      </c>
      <c r="B52" s="23">
        <f>VLOOKUP(A52,MEMORIA!$A:$N,2,FALSE)</f>
        <v>101749</v>
      </c>
      <c r="C52" s="23" t="str">
        <f>VLOOKUP(A52,MEMORIA!$A:$N,3,FALSE)</f>
        <v>SINAPI</v>
      </c>
      <c r="D52" s="24" t="str">
        <f>VLOOKUP(A52,MEMORIA!$A:$N,4,FALSE)</f>
        <v>PISO CIMENTADO, TRAÇO 1:3 (CIMENTO E AREIA), ACABAMENTO LISO, ESPESSURA 4,0 CM, PREPARO MECÂNICO DA ARGAMASSA. AF_09/2020</v>
      </c>
      <c r="E52" s="23" t="str">
        <f>VLOOKUP(A52,MEMORIA!$A:$N,5,FALSE)</f>
        <v>M2</v>
      </c>
      <c r="F52" s="5">
        <f>VLOOKUP(A52,MEMORIA!$A:$N,14,FALSE)</f>
        <v>4</v>
      </c>
      <c r="G52" s="5">
        <f>VLOOKUP("TOTAL SEM BDI - "&amp;B52,CPU!$A:$J,9,FALSE)</f>
        <v>64.739999999999995</v>
      </c>
      <c r="H52" s="5">
        <f>VLOOKUP("TOTAL COM BDI - "&amp;B52,CPU!$A:$J,9,FALSE)</f>
        <v>79.199999999999989</v>
      </c>
      <c r="I52" s="5">
        <f>ROUND(F52*H52,2)</f>
        <v>316.8</v>
      </c>
    </row>
    <row r="53" spans="1:9" ht="43.2" x14ac:dyDescent="0.3">
      <c r="A53" s="23" t="s">
        <v>210</v>
      </c>
      <c r="B53" s="23">
        <f>VLOOKUP(A53,MEMORIA!$A:$N,2,FALSE)</f>
        <v>94994</v>
      </c>
      <c r="C53" s="23" t="str">
        <f>VLOOKUP(A53,MEMORIA!$A:$N,3,FALSE)</f>
        <v>SINAPI</v>
      </c>
      <c r="D53" s="24" t="str">
        <f>VLOOKUP(A53,MEMORIA!$A:$N,4,FALSE)</f>
        <v>EXECUÇÃO DE PASSEIO (CALÇADA) OU PISO DE CONCRETO COM CONCRETO MOLDADO IN LOCO, FEITO EM OBRA, ACABAMENTO CONVENCIONAL, ESPESSURA 8 CM, ARMADO. AF_08/2022</v>
      </c>
      <c r="E53" s="23" t="str">
        <f>VLOOKUP(A53,MEMORIA!$A:$N,5,FALSE)</f>
        <v>M2</v>
      </c>
      <c r="F53" s="5">
        <f>VLOOKUP(A53,MEMORIA!$A:$N,14,FALSE)</f>
        <v>5.6</v>
      </c>
      <c r="G53" s="5">
        <f>VLOOKUP("TOTAL SEM BDI - "&amp;B53,CPU!$A:$J,9,FALSE)</f>
        <v>108.30000000000003</v>
      </c>
      <c r="H53" s="5">
        <f>VLOOKUP("TOTAL COM BDI - "&amp;B53,CPU!$A:$J,9,FALSE)</f>
        <v>132.48000000000002</v>
      </c>
      <c r="I53" s="5">
        <f>ROUND(F53*H53,2)</f>
        <v>741.89</v>
      </c>
    </row>
    <row r="54" spans="1:9" x14ac:dyDescent="0.3">
      <c r="A54" s="15" t="s">
        <v>30</v>
      </c>
      <c r="B54" s="48" t="str">
        <f>VLOOKUP(A54,MEMORIA!$A:$N,2,FALSE)</f>
        <v>REVESTIMENTO</v>
      </c>
      <c r="C54" s="49"/>
      <c r="D54" s="49"/>
      <c r="E54" s="49"/>
      <c r="F54" s="49"/>
      <c r="G54" s="49"/>
      <c r="H54" s="50"/>
      <c r="I54" s="16">
        <f>SUM($I$55:$I$56)</f>
        <v>2341.92</v>
      </c>
    </row>
    <row r="55" spans="1:9" ht="43.2" x14ac:dyDescent="0.3">
      <c r="A55" s="23" t="s">
        <v>211</v>
      </c>
      <c r="B55" s="23">
        <f>VLOOKUP(A55,MEMORIA!$A:$N,2,FALSE)</f>
        <v>87904</v>
      </c>
      <c r="C55" s="23" t="str">
        <f>VLOOKUP(A55,MEMORIA!$A:$N,3,FALSE)</f>
        <v>SINAPI</v>
      </c>
      <c r="D55" s="24" t="str">
        <f>VLOOKUP(A55,MEMORIA!$A:$N,4,FALSE)</f>
        <v>CHAPISCO APLICADO EM ALVENARIA (COM PRESENÇA DE VÃOS) E ESTRUTURAS DE CONCRETO DE FACHADA, COM COLHER DE PEDREIRO. ARGAMASSA TRAÇO 1:3 COM PREPARO MANUAL. AF_10/2022</v>
      </c>
      <c r="E55" s="23" t="str">
        <f>VLOOKUP(A55,MEMORIA!$A:$N,5,FALSE)</f>
        <v>M2</v>
      </c>
      <c r="F55" s="5">
        <f>VLOOKUP(A55,MEMORIA!$A:$N,14,FALSE)</f>
        <v>38.619999999999997</v>
      </c>
      <c r="G55" s="5">
        <f>VLOOKUP("TOTAL SEM BDI - "&amp;B55,CPU!$A:$J,9,FALSE)</f>
        <v>8.7199999999999989</v>
      </c>
      <c r="H55" s="5">
        <f>VLOOKUP("TOTAL COM BDI - "&amp;B55,CPU!$A:$J,9,FALSE)</f>
        <v>10.669999999999998</v>
      </c>
      <c r="I55" s="5">
        <f>ROUND(F55*H55,2)</f>
        <v>412.08</v>
      </c>
    </row>
    <row r="56" spans="1:9" ht="43.2" x14ac:dyDescent="0.3">
      <c r="A56" s="23" t="s">
        <v>212</v>
      </c>
      <c r="B56" s="23">
        <f>VLOOKUP(A56,MEMORIA!$A:$N,2,FALSE)</f>
        <v>87530</v>
      </c>
      <c r="C56" s="23" t="str">
        <f>VLOOKUP(A56,MEMORIA!$A:$N,3,FALSE)</f>
        <v>SINAPI</v>
      </c>
      <c r="D56" s="24" t="str">
        <f>VLOOKUP(A56,MEMORIA!$A:$N,4,FALSE)</f>
        <v>MASSA ÚNICA, EM ARGAMASSA TRAÇO 1:2:8, PREPARO MANUAL, APLICADA MANUALMENTE EM PAREDES INTERNAS DE AMBIENTES COM ÁREA ENTRE 5M² E 10M², E = 17,5MM, COM TALISCAS. AF_03/2024</v>
      </c>
      <c r="E56" s="23" t="str">
        <f>VLOOKUP(A56,MEMORIA!$A:$N,5,FALSE)</f>
        <v>M2</v>
      </c>
      <c r="F56" s="5">
        <f>VLOOKUP(A56,MEMORIA!$A:$N,14,FALSE)</f>
        <v>38.619999999999997</v>
      </c>
      <c r="G56" s="5">
        <f>VLOOKUP("TOTAL SEM BDI - "&amp;B56,CPU!$A:$J,9,FALSE)</f>
        <v>40.85</v>
      </c>
      <c r="H56" s="5">
        <f>VLOOKUP("TOTAL COM BDI - "&amp;B56,CPU!$A:$J,9,FALSE)</f>
        <v>49.97</v>
      </c>
      <c r="I56" s="5">
        <f>ROUND(F56*H56,2)</f>
        <v>1929.84</v>
      </c>
    </row>
    <row r="57" spans="1:9" x14ac:dyDescent="0.3">
      <c r="A57" s="15" t="s">
        <v>31</v>
      </c>
      <c r="B57" s="48" t="str">
        <f>VLOOKUP(A57,MEMORIA!$A:$N,2,FALSE)</f>
        <v>ESQUADRIAS</v>
      </c>
      <c r="C57" s="49"/>
      <c r="D57" s="49"/>
      <c r="E57" s="49"/>
      <c r="F57" s="49"/>
      <c r="G57" s="49"/>
      <c r="H57" s="50"/>
      <c r="I57" s="16">
        <f>SUM($I$58:$I$59)</f>
        <v>2243.75</v>
      </c>
    </row>
    <row r="58" spans="1:9" x14ac:dyDescent="0.3">
      <c r="A58" s="23" t="s">
        <v>213</v>
      </c>
      <c r="B58" s="23">
        <f>VLOOKUP(A58,MEMORIA!$A:$N,2,FALSE)</f>
        <v>100701</v>
      </c>
      <c r="C58" s="23" t="str">
        <f>VLOOKUP(A58,MEMORIA!$A:$N,3,FALSE)</f>
        <v>SINAPI</v>
      </c>
      <c r="D58" s="24" t="str">
        <f>VLOOKUP(A58,MEMORIA!$A:$N,4,FALSE)</f>
        <v>PORTA DE FERRO, DE ABRIR, TIPO GRADE COM CHAPA, COM GUARNIÇÕES. AF_12/2019</v>
      </c>
      <c r="E58" s="23" t="str">
        <f>VLOOKUP(A58,MEMORIA!$A:$N,5,FALSE)</f>
        <v>M2</v>
      </c>
      <c r="F58" s="5">
        <f>VLOOKUP(A58,MEMORIA!$A:$N,14,FALSE)</f>
        <v>1.68</v>
      </c>
      <c r="G58" s="5">
        <f>VLOOKUP("TOTAL SEM BDI - "&amp;B58,CPU!$A:$J,9,FALSE)</f>
        <v>415.24</v>
      </c>
      <c r="H58" s="5">
        <f>VLOOKUP("TOTAL COM BDI - "&amp;B58,CPU!$A:$J,9,FALSE)</f>
        <v>507.96000000000004</v>
      </c>
      <c r="I58" s="5">
        <f>ROUND(F58*H58,2)</f>
        <v>853.37</v>
      </c>
    </row>
    <row r="59" spans="1:9" x14ac:dyDescent="0.3">
      <c r="A59" s="23" t="s">
        <v>214</v>
      </c>
      <c r="B59" s="23" t="str">
        <f>VLOOKUP(A59,MEMORIA!$A:$N,2,FALSE)</f>
        <v>COMP219</v>
      </c>
      <c r="C59" s="23" t="str">
        <f>VLOOKUP(A59,MEMORIA!$A:$N,3,FALSE)</f>
        <v>PRÓPRIA</v>
      </c>
      <c r="D59" s="24" t="str">
        <f>VLOOKUP(A59,MEMORIA!$A:$N,4,FALSE)</f>
        <v>PORTÃO DE FERRO EM BARRA CHATA TIPO TIJOLINHO (REF: C1999-SEINFRA 28)</v>
      </c>
      <c r="E59" s="23" t="str">
        <f>VLOOKUP(A59,MEMORIA!$A:$N,5,FALSE)</f>
        <v>M2</v>
      </c>
      <c r="F59" s="5">
        <f>VLOOKUP(A59,MEMORIA!$A:$N,14,FALSE)</f>
        <v>6</v>
      </c>
      <c r="G59" s="5">
        <f>VLOOKUP("TOTAL SEM BDI - "&amp;B59,CPU!$A:$J,9,FALSE)</f>
        <v>189.43</v>
      </c>
      <c r="H59" s="5">
        <f>VLOOKUP("TOTAL COM BDI - "&amp;B59,CPU!$A:$J,9,FALSE)</f>
        <v>231.73000000000002</v>
      </c>
      <c r="I59" s="5">
        <f>ROUND(F59*H59,2)</f>
        <v>1390.38</v>
      </c>
    </row>
    <row r="60" spans="1:9" x14ac:dyDescent="0.3">
      <c r="A60" s="15" t="s">
        <v>32</v>
      </c>
      <c r="B60" s="48" t="str">
        <f>VLOOKUP(A60,MEMORIA!$A:$N,2,FALSE)</f>
        <v>PINTURA</v>
      </c>
      <c r="C60" s="49"/>
      <c r="D60" s="49"/>
      <c r="E60" s="49"/>
      <c r="F60" s="49"/>
      <c r="G60" s="49"/>
      <c r="H60" s="50"/>
      <c r="I60" s="16">
        <f>SUM($I$61:$I$62)</f>
        <v>649.88</v>
      </c>
    </row>
    <row r="61" spans="1:9" x14ac:dyDescent="0.3">
      <c r="A61" s="23" t="s">
        <v>215</v>
      </c>
      <c r="B61" s="23" t="str">
        <f>VLOOKUP(A61,MEMORIA!$A:$N,2,FALSE)</f>
        <v>COMP205</v>
      </c>
      <c r="C61" s="23" t="str">
        <f>VLOOKUP(A61,MEMORIA!$A:$N,3,FALSE)</f>
        <v>PRÓPRIA</v>
      </c>
      <c r="D61" s="24" t="str">
        <f>VLOOKUP(A61,MEMORIA!$A:$N,4,FALSE)</f>
        <v>CAIAÇÃO EM TRES DEMÃOS EM PAREDES (REF: C0589-SEINFRA 28)</v>
      </c>
      <c r="E61" s="23" t="str">
        <f>VLOOKUP(A61,MEMORIA!$A:$N,5,FALSE)</f>
        <v>M2</v>
      </c>
      <c r="F61" s="5">
        <f>VLOOKUP(A61,MEMORIA!$A:$N,14,FALSE)</f>
        <v>38.619999999999997</v>
      </c>
      <c r="G61" s="5">
        <f>VLOOKUP("TOTAL SEM BDI - "&amp;B61,CPU!$A:$J,9,FALSE)</f>
        <v>9.3800000000000008</v>
      </c>
      <c r="H61" s="5">
        <f>VLOOKUP("TOTAL COM BDI - "&amp;B61,CPU!$A:$J,9,FALSE)</f>
        <v>11.47</v>
      </c>
      <c r="I61" s="5">
        <f>ROUND(F61*H61,2)</f>
        <v>442.97</v>
      </c>
    </row>
    <row r="62" spans="1:9" ht="43.2" x14ac:dyDescent="0.3">
      <c r="A62" s="23" t="s">
        <v>216</v>
      </c>
      <c r="B62" s="23">
        <f>VLOOKUP(A62,MEMORIA!$A:$N,2,FALSE)</f>
        <v>100758</v>
      </c>
      <c r="C62" s="23" t="str">
        <f>VLOOKUP(A62,MEMORIA!$A:$N,3,FALSE)</f>
        <v>SINAPI</v>
      </c>
      <c r="D62" s="24" t="str">
        <f>VLOOKUP(A62,MEMORIA!$A:$N,4,FALSE)</f>
        <v>PINTURA COM TINTA ALQUÍDICA DE ACABAMENTO (ESMALTE SINTÉTICO ACETINADO) APLICADA A ROLO OU PINCEL SOBRE SUPERFÍCIES METÁLICAS (EXCETO PERFIL) EXECUTADO EM OBRA (02 DEMÃOS). AF_01/2020</v>
      </c>
      <c r="E62" s="23" t="str">
        <f>VLOOKUP(A62,MEMORIA!$A:$N,5,FALSE)</f>
        <v>M2</v>
      </c>
      <c r="F62" s="5">
        <f>VLOOKUP(A62,MEMORIA!$A:$N,14,FALSE)</f>
        <v>3.36</v>
      </c>
      <c r="G62" s="5">
        <f>VLOOKUP("TOTAL SEM BDI - "&amp;B62,CPU!$A:$J,9,FALSE)</f>
        <v>50.339999999999996</v>
      </c>
      <c r="H62" s="5">
        <f>VLOOKUP("TOTAL COM BDI - "&amp;B62,CPU!$A:$J,9,FALSE)</f>
        <v>61.58</v>
      </c>
      <c r="I62" s="5">
        <f>ROUND(F62*H62,2)</f>
        <v>206.91</v>
      </c>
    </row>
    <row r="63" spans="1:9" x14ac:dyDescent="0.3">
      <c r="A63" s="15" t="s">
        <v>33</v>
      </c>
      <c r="B63" s="48" t="str">
        <f>VLOOKUP(A63,MEMORIA!$A:$N,2,FALSE)</f>
        <v>CERCAMENTO</v>
      </c>
      <c r="C63" s="49"/>
      <c r="D63" s="49"/>
      <c r="E63" s="49"/>
      <c r="F63" s="49"/>
      <c r="G63" s="49"/>
      <c r="H63" s="50"/>
      <c r="I63" s="16">
        <f>SUM($I$64:$I$64)</f>
        <v>5908.53</v>
      </c>
    </row>
    <row r="64" spans="1:9" ht="43.2" x14ac:dyDescent="0.3">
      <c r="A64" s="23" t="s">
        <v>217</v>
      </c>
      <c r="B64" s="23">
        <f>VLOOKUP(A64,MEMORIA!$A:$N,2,FALSE)</f>
        <v>101197</v>
      </c>
      <c r="C64" s="23" t="str">
        <f>VLOOKUP(A64,MEMORIA!$A:$N,3,FALSE)</f>
        <v>SINAPI</v>
      </c>
      <c r="D64" s="24" t="str">
        <f>VLOOKUP(A64,MEMORIA!$A:$N,4,FALSE)</f>
        <v>CERCA COM MOURÕES DE CONCRETO, SEÇÃO "T" PONTA INCLINADA, 10X10 CM, ESPAÇAMENTO DE 2,5 M, CRAVADOS 0,5 M, COM 11 FIOS DE ARAME FARPADO Nº 14 - FORNECIMENTO E INSTALAÇÃO. AF_05/2020</v>
      </c>
      <c r="E64" s="23" t="str">
        <f>VLOOKUP(A64,MEMORIA!$A:$N,5,FALSE)</f>
        <v>M</v>
      </c>
      <c r="F64" s="5">
        <f>VLOOKUP(A64,MEMORIA!$A:$N,14,FALSE)</f>
        <v>37</v>
      </c>
      <c r="G64" s="5">
        <f>VLOOKUP("TOTAL SEM BDI - "&amp;B64,CPU!$A:$J,9,FALSE)</f>
        <v>130.54</v>
      </c>
      <c r="H64" s="5">
        <f>VLOOKUP("TOTAL COM BDI - "&amp;B64,CPU!$A:$J,9,FALSE)</f>
        <v>159.69</v>
      </c>
      <c r="I64" s="5">
        <f>ROUND(F64*H64,2)</f>
        <v>5908.53</v>
      </c>
    </row>
    <row r="65" spans="1:9" x14ac:dyDescent="0.3">
      <c r="A65" s="12" t="s">
        <v>34</v>
      </c>
      <c r="B65" s="51" t="str">
        <f>VLOOKUP(A65,MEMORIA!$A:$N,2,FALSE)</f>
        <v>INSTALAÇÕES ELÉTRICAS</v>
      </c>
      <c r="C65" s="52"/>
      <c r="D65" s="52"/>
      <c r="E65" s="52"/>
      <c r="F65" s="52"/>
      <c r="G65" s="52"/>
      <c r="H65" s="53"/>
      <c r="I65" s="13">
        <f>SUM($I$66:$I$67)</f>
        <v>18545.48</v>
      </c>
    </row>
    <row r="66" spans="1:9" ht="43.2" x14ac:dyDescent="0.3">
      <c r="A66" s="23" t="s">
        <v>218</v>
      </c>
      <c r="B66" s="23" t="str">
        <f>VLOOKUP(A66,MEMORIA!$A:$N,2,FALSE)</f>
        <v>COMP223</v>
      </c>
      <c r="C66" s="23" t="str">
        <f>VLOOKUP(A66,MEMORIA!$A:$N,3,FALSE)</f>
        <v>PRÓPRIA</v>
      </c>
      <c r="D66" s="24" t="str">
        <f>VLOOKUP(A66,MEMORIA!$A:$N,4,FALSE)</f>
        <v>FORNECIMENTO E INSTALAÇÃO DE KIT DE BOMBEAMENTO SOLAR P/ POÇO COM PROFUNDIDADE DE 100 A 120 M, INCLUSO BOMBA 3CV, INVERSOR, PAINÉIS, QUADRO DE COMANDO, DISJUNTORES, CABOS E CONEXÕES E ESTRUTURA TIPO SOLO</v>
      </c>
      <c r="E66" s="23" t="str">
        <f>VLOOKUP(A66,MEMORIA!$A:$N,5,FALSE)</f>
        <v>UND</v>
      </c>
      <c r="F66" s="5">
        <f>VLOOKUP(A66,MEMORIA!$A:$N,14,FALSE)</f>
        <v>1</v>
      </c>
      <c r="G66" s="5">
        <f>VLOOKUP("TOTAL SEM BDI - "&amp;B66,CPU!$A:$J,9,FALSE)</f>
        <v>12042.74</v>
      </c>
      <c r="H66" s="5">
        <f>VLOOKUP("TOTAL COM BDI - "&amp;B66,CPU!$A:$J,9,FALSE)</f>
        <v>14731.88</v>
      </c>
      <c r="I66" s="5">
        <f>ROUND(F66*H66,2)</f>
        <v>14731.88</v>
      </c>
    </row>
    <row r="67" spans="1:9" x14ac:dyDescent="0.3">
      <c r="A67" s="23" t="s">
        <v>219</v>
      </c>
      <c r="B67" s="23" t="str">
        <f>VLOOKUP(A67,MEMORIA!$A:$N,2,FALSE)</f>
        <v>COMPOS24</v>
      </c>
      <c r="C67" s="23" t="str">
        <f>VLOOKUP(A67,MEMORIA!$A:$N,3,FALSE)</f>
        <v>PRÓPRIA</v>
      </c>
      <c r="D67" s="24" t="str">
        <f>VLOOKUP(A67,MEMORIA!$A:$N,4,FALSE)</f>
        <v>FORNECIMENTO E INSTALAÇÃO DE CABO CHATO SUBMERSO DE 3 X 6 MM²</v>
      </c>
      <c r="E67" s="23" t="str">
        <f>VLOOKUP(A67,MEMORIA!$A:$N,5,FALSE)</f>
        <v>M</v>
      </c>
      <c r="F67" s="5">
        <f>VLOOKUP(A67,MEMORIA!$A:$N,14,FALSE)</f>
        <v>120</v>
      </c>
      <c r="G67" s="5">
        <f>VLOOKUP("TOTAL SEM BDI - "&amp;B67,CPU!$A:$J,9,FALSE)</f>
        <v>25.98</v>
      </c>
      <c r="H67" s="5">
        <f>VLOOKUP("TOTAL COM BDI - "&amp;B67,CPU!$A:$J,9,FALSE)</f>
        <v>31.78</v>
      </c>
      <c r="I67" s="5">
        <f>ROUND(F67*H67,2)</f>
        <v>3813.6</v>
      </c>
    </row>
    <row r="68" spans="1:9" x14ac:dyDescent="0.3">
      <c r="A68" s="12" t="s">
        <v>35</v>
      </c>
      <c r="B68" s="51" t="str">
        <f>VLOOKUP(A68,MEMORIA!$A:$N,2,FALSE)</f>
        <v>ADUÇÃO</v>
      </c>
      <c r="C68" s="52"/>
      <c r="D68" s="52"/>
      <c r="E68" s="52"/>
      <c r="F68" s="52"/>
      <c r="G68" s="52"/>
      <c r="H68" s="53"/>
      <c r="I68" s="13">
        <f>SUM($I$69,$I$72,$I$74,)</f>
        <v>1455.29</v>
      </c>
    </row>
    <row r="69" spans="1:9" x14ac:dyDescent="0.3">
      <c r="A69" s="15" t="s">
        <v>36</v>
      </c>
      <c r="B69" s="48" t="str">
        <f>VLOOKUP(A69,MEMORIA!$A:$N,2,FALSE)</f>
        <v>MOVIMENTO DE TERRA</v>
      </c>
      <c r="C69" s="49"/>
      <c r="D69" s="49"/>
      <c r="E69" s="49"/>
      <c r="F69" s="49"/>
      <c r="G69" s="49"/>
      <c r="H69" s="50"/>
      <c r="I69" s="16">
        <f>SUM($I$70:$I$71)</f>
        <v>485.08</v>
      </c>
    </row>
    <row r="70" spans="1:9" x14ac:dyDescent="0.3">
      <c r="A70" s="23" t="s">
        <v>220</v>
      </c>
      <c r="B70" s="23">
        <f>VLOOKUP(A70,MEMORIA!$A:$N,2,FALSE)</f>
        <v>93358</v>
      </c>
      <c r="C70" s="23" t="str">
        <f>VLOOKUP(A70,MEMORIA!$A:$N,3,FALSE)</f>
        <v>SINAPI</v>
      </c>
      <c r="D70" s="24" t="str">
        <f>VLOOKUP(A70,MEMORIA!$A:$N,4,FALSE)</f>
        <v>ESCAVAÇÃO MANUAL DE VALA. AF_09/2024</v>
      </c>
      <c r="E70" s="23" t="str">
        <f>VLOOKUP(A70,MEMORIA!$A:$N,5,FALSE)</f>
        <v>M3</v>
      </c>
      <c r="F70" s="5">
        <f>VLOOKUP(A70,MEMORIA!$A:$N,14,FALSE)</f>
        <v>3.23</v>
      </c>
      <c r="G70" s="5">
        <f>VLOOKUP("TOTAL SEM BDI - "&amp;B70,CPU!$A:$J,9,FALSE)</f>
        <v>85.87</v>
      </c>
      <c r="H70" s="5">
        <f>VLOOKUP("TOTAL COM BDI - "&amp;B70,CPU!$A:$J,9,FALSE)</f>
        <v>105.04</v>
      </c>
      <c r="I70" s="5">
        <f>ROUND(F70*H70,2)</f>
        <v>339.28</v>
      </c>
    </row>
    <row r="71" spans="1:9" x14ac:dyDescent="0.3">
      <c r="A71" s="23" t="s">
        <v>221</v>
      </c>
      <c r="B71" s="23" t="str">
        <f>VLOOKUP(A71,MEMORIA!$A:$N,2,FALSE)</f>
        <v>COMPOS28</v>
      </c>
      <c r="C71" s="23" t="str">
        <f>VLOOKUP(A71,MEMORIA!$A:$N,3,FALSE)</f>
        <v>PRÓPRIA</v>
      </c>
      <c r="D71" s="24" t="str">
        <f>VLOOKUP(A71,MEMORIA!$A:$N,4,FALSE)</f>
        <v>REATERRO DE VALA COM COMPACTAÇÃO MANUAL</v>
      </c>
      <c r="E71" s="23" t="str">
        <f>VLOOKUP(A71,MEMORIA!$A:$N,5,FALSE)</f>
        <v>M³</v>
      </c>
      <c r="F71" s="5">
        <f>VLOOKUP(A71,MEMORIA!$A:$N,14,FALSE)</f>
        <v>3.23</v>
      </c>
      <c r="G71" s="5">
        <f>VLOOKUP("TOTAL SEM BDI - "&amp;B71,CPU!$A:$J,9,FALSE)</f>
        <v>36.9</v>
      </c>
      <c r="H71" s="5">
        <f>VLOOKUP("TOTAL COM BDI - "&amp;B71,CPU!$A:$J,9,FALSE)</f>
        <v>45.14</v>
      </c>
      <c r="I71" s="5">
        <f>ROUND(F71*H71,2)</f>
        <v>145.80000000000001</v>
      </c>
    </row>
    <row r="72" spans="1:9" x14ac:dyDescent="0.3">
      <c r="A72" s="15" t="s">
        <v>37</v>
      </c>
      <c r="B72" s="48" t="str">
        <f>VLOOKUP(A72,MEMORIA!$A:$N,2,FALSE)</f>
        <v>INFRAESTRUTURA</v>
      </c>
      <c r="C72" s="49"/>
      <c r="D72" s="49"/>
      <c r="E72" s="49"/>
      <c r="F72" s="49"/>
      <c r="G72" s="49"/>
      <c r="H72" s="50"/>
      <c r="I72" s="16">
        <f>SUM($I$73:$I$73)</f>
        <v>264.64</v>
      </c>
    </row>
    <row r="73" spans="1:9" x14ac:dyDescent="0.3">
      <c r="A73" s="23" t="s">
        <v>222</v>
      </c>
      <c r="B73" s="23" t="str">
        <f>VLOOKUP(A73,MEMORIA!$A:$N,2,FALSE)</f>
        <v>COMP216</v>
      </c>
      <c r="C73" s="23" t="str">
        <f>VLOOKUP(A73,MEMORIA!$A:$N,3,FALSE)</f>
        <v>PRÓPRIA</v>
      </c>
      <c r="D73" s="24" t="str">
        <f>VLOOKUP(A73,MEMORIA!$A:$N,4,FALSE)</f>
        <v>BLOCO DE ANCORAGEM EM CONCRETO SIMPLES FCK=10MPA (REF: C3403-SEINFRA 28)</v>
      </c>
      <c r="E73" s="23" t="str">
        <f>VLOOKUP(A73,MEMORIA!$A:$N,5,FALSE)</f>
        <v>M3</v>
      </c>
      <c r="F73" s="5">
        <f>VLOOKUP(A73,MEMORIA!$A:$N,14,FALSE)</f>
        <v>0.26</v>
      </c>
      <c r="G73" s="5">
        <f>VLOOKUP("TOTAL SEM BDI - "&amp;B73,CPU!$A:$J,9,FALSE)</f>
        <v>832.05</v>
      </c>
      <c r="H73" s="5">
        <f>VLOOKUP("TOTAL COM BDI - "&amp;B73,CPU!$A:$J,9,FALSE)</f>
        <v>1017.8499999999999</v>
      </c>
      <c r="I73" s="5">
        <f>ROUND(F73*H73,2)</f>
        <v>264.64</v>
      </c>
    </row>
    <row r="74" spans="1:9" x14ac:dyDescent="0.3">
      <c r="A74" s="15" t="s">
        <v>38</v>
      </c>
      <c r="B74" s="48" t="str">
        <f>VLOOKUP(A74,MEMORIA!$A:$N,2,FALSE)</f>
        <v>INSTALAÇÕES HIDRÁULICAS</v>
      </c>
      <c r="C74" s="49"/>
      <c r="D74" s="49"/>
      <c r="E74" s="49"/>
      <c r="F74" s="49"/>
      <c r="G74" s="49"/>
      <c r="H74" s="50"/>
      <c r="I74" s="16">
        <f>SUM($I$75:$I$76)</f>
        <v>705.57</v>
      </c>
    </row>
    <row r="75" spans="1:9" ht="28.8" x14ac:dyDescent="0.3">
      <c r="A75" s="23" t="s">
        <v>223</v>
      </c>
      <c r="B75" s="23">
        <f>VLOOKUP(A75,MEMORIA!$A:$N,2,FALSE)</f>
        <v>94498</v>
      </c>
      <c r="C75" s="23" t="str">
        <f>VLOOKUP(A75,MEMORIA!$A:$N,3,FALSE)</f>
        <v>SINAPI</v>
      </c>
      <c r="D75" s="24" t="str">
        <f>VLOOKUP(A75,MEMORIA!$A:$N,4,FALSE)</f>
        <v>REGISTRO DE GAVETA BRUTO, LATÃO, ROSCÁVEL, 2" - FORNECIMENTO E INSTALAÇÃO. AF_08/2021</v>
      </c>
      <c r="E75" s="23" t="str">
        <f>VLOOKUP(A75,MEMORIA!$A:$N,5,FALSE)</f>
        <v>UN</v>
      </c>
      <c r="F75" s="5">
        <f>VLOOKUP(A75,MEMORIA!$A:$N,14,FALSE)</f>
        <v>1</v>
      </c>
      <c r="G75" s="5">
        <f>VLOOKUP("TOTAL SEM BDI - "&amp;B75,CPU!$A:$J,9,FALSE)</f>
        <v>164.12</v>
      </c>
      <c r="H75" s="5">
        <f>VLOOKUP("TOTAL COM BDI - "&amp;B75,CPU!$A:$J,9,FALSE)</f>
        <v>200.77</v>
      </c>
      <c r="I75" s="5">
        <f>ROUND(F75*H75,2)</f>
        <v>200.77</v>
      </c>
    </row>
    <row r="76" spans="1:9" ht="28.8" x14ac:dyDescent="0.3">
      <c r="A76" s="23" t="s">
        <v>224</v>
      </c>
      <c r="B76" s="23" t="str">
        <f>VLOOKUP(A76,MEMORIA!$A:$N,2,FALSE)</f>
        <v>COMPOS27</v>
      </c>
      <c r="C76" s="23" t="str">
        <f>VLOOKUP(A76,MEMORIA!$A:$N,3,FALSE)</f>
        <v>PRÓPRIA</v>
      </c>
      <c r="D76" s="24" t="str">
        <f>VLOOKUP(A76,MEMORIA!$A:$N,4,FALSE)</f>
        <v>AQUISIÇÃO E ASSENTAMENTO DE TUBO RÍGIDO PVC, CLASSE 12, DN 50 MM, INCLUSO CONEXÕES</v>
      </c>
      <c r="E76" s="23" t="str">
        <f>VLOOKUP(A76,MEMORIA!$A:$N,5,FALSE)</f>
        <v>M</v>
      </c>
      <c r="F76" s="5">
        <f>VLOOKUP(A76,MEMORIA!$A:$N,14,FALSE)</f>
        <v>16</v>
      </c>
      <c r="G76" s="5">
        <f>VLOOKUP("TOTAL SEM BDI - "&amp;B76,CPU!$A:$J,9,FALSE)</f>
        <v>25.79</v>
      </c>
      <c r="H76" s="5">
        <f>VLOOKUP("TOTAL COM BDI - "&amp;B76,CPU!$A:$J,9,FALSE)</f>
        <v>31.549999999999997</v>
      </c>
      <c r="I76" s="5">
        <f>ROUND(F76*H76,2)</f>
        <v>504.8</v>
      </c>
    </row>
    <row r="77" spans="1:9" x14ac:dyDescent="0.3">
      <c r="A77" s="12" t="s">
        <v>39</v>
      </c>
      <c r="B77" s="51" t="str">
        <f>VLOOKUP(A77,MEMORIA!$A:$N,2,FALSE)</f>
        <v>RESERVAÇÃO</v>
      </c>
      <c r="C77" s="52"/>
      <c r="D77" s="52"/>
      <c r="E77" s="52"/>
      <c r="F77" s="52"/>
      <c r="G77" s="52"/>
      <c r="H77" s="53"/>
      <c r="I77" s="13">
        <f>SUM($I$78:$I$80)</f>
        <v>62127.229999999996</v>
      </c>
    </row>
    <row r="78" spans="1:9" ht="72" x14ac:dyDescent="0.3">
      <c r="A78" s="23" t="s">
        <v>225</v>
      </c>
      <c r="B78" s="23" t="str">
        <f>VLOOKUP(A78,MEMORIA!$A:$N,2,FALSE)</f>
        <v>COMPOS34</v>
      </c>
      <c r="C78" s="23" t="str">
        <f>VLOOKUP(A78,MEMORIA!$A:$N,3,FALSE)</f>
        <v>PRÓPRIA</v>
      </c>
      <c r="D78" s="24" t="str">
        <f>VLOOKUP(A78,MEMORIA!$A:$N,4,FALSE)</f>
        <v>FORNECIMENTO E INSTALAÇÃO DE RESERVATÓRIO ELEVADO C/ CAIXA D'AGUA EM POLIESTER REFORCADO COM FIBRA DE VIDRO DE 10.000 LITROS, APOIADO EM ESTRUTURA PRÉ-MOLDADA EM CONCRETO, COMPOSTA DE CAPITEL P/APOIO DA CAIXA E PILAR C/ALTURA ÚTIL = 10,00M, INCLUSO FRETE E MONTAGEM NO LOCAL, COM FUNDAÇÃO EM CONCRETO SIMPLES FCK=20MPA</v>
      </c>
      <c r="E78" s="23" t="str">
        <f>VLOOKUP(A78,MEMORIA!$A:$N,5,FALSE)</f>
        <v>UND</v>
      </c>
      <c r="F78" s="5">
        <f>VLOOKUP(A78,MEMORIA!$A:$N,14,FALSE)</f>
        <v>2</v>
      </c>
      <c r="G78" s="5">
        <f>VLOOKUP("TOTAL SEM BDI - "&amp;B78,CPU!$A:$J,9,FALSE)</f>
        <v>24798.26</v>
      </c>
      <c r="H78" s="5">
        <f>VLOOKUP("TOTAL COM BDI - "&amp;B78,CPU!$A:$J,9,FALSE)</f>
        <v>30335.71</v>
      </c>
      <c r="I78" s="5">
        <f>ROUND(F78*H78,2)</f>
        <v>60671.42</v>
      </c>
    </row>
    <row r="79" spans="1:9" ht="28.8" x14ac:dyDescent="0.3">
      <c r="A79" s="23" t="s">
        <v>226</v>
      </c>
      <c r="B79" s="23">
        <f>VLOOKUP(A79,MEMORIA!$A:$N,2,FALSE)</f>
        <v>94498</v>
      </c>
      <c r="C79" s="23" t="str">
        <f>VLOOKUP(A79,MEMORIA!$A:$N,3,FALSE)</f>
        <v>SINAPI</v>
      </c>
      <c r="D79" s="24" t="str">
        <f>VLOOKUP(A79,MEMORIA!$A:$N,4,FALSE)</f>
        <v>REGISTRO DE GAVETA BRUTO, LATÃO, ROSCÁVEL, 2" - FORNECIMENTO E INSTALAÇÃO. AF_08/2021</v>
      </c>
      <c r="E79" s="23" t="str">
        <f>VLOOKUP(A79,MEMORIA!$A:$N,5,FALSE)</f>
        <v>UN</v>
      </c>
      <c r="F79" s="5">
        <f>VLOOKUP(A79,MEMORIA!$A:$N,14,FALSE)</f>
        <v>3</v>
      </c>
      <c r="G79" s="5">
        <f>VLOOKUP("TOTAL SEM BDI - "&amp;B79,CPU!$A:$J,9,FALSE)</f>
        <v>164.12</v>
      </c>
      <c r="H79" s="5">
        <f>VLOOKUP("TOTAL COM BDI - "&amp;B79,CPU!$A:$J,9,FALSE)</f>
        <v>200.77</v>
      </c>
      <c r="I79" s="5">
        <f>ROUND(F79*H79,2)</f>
        <v>602.30999999999995</v>
      </c>
    </row>
    <row r="80" spans="1:9" ht="28.8" x14ac:dyDescent="0.3">
      <c r="A80" s="23" t="s">
        <v>227</v>
      </c>
      <c r="B80" s="23" t="str">
        <f>VLOOKUP(A80,MEMORIA!$A:$N,2,FALSE)</f>
        <v>COMPOS35</v>
      </c>
      <c r="C80" s="23" t="str">
        <f>VLOOKUP(A80,MEMORIA!$A:$N,3,FALSE)</f>
        <v>PRÓPRIA</v>
      </c>
      <c r="D80" s="24" t="str">
        <f>VLOOKUP(A80,MEMORIA!$A:$N,4,FALSE)</f>
        <v>AQUISIÇÃO E ASSENTAMENTO DE TUBO RÍGIDO PVC, CLASSE 12, DN 60 MM, INCLUSO CONEXÕES</v>
      </c>
      <c r="E80" s="23" t="str">
        <f>VLOOKUP(A80,MEMORIA!$A:$N,5,FALSE)</f>
        <v>M</v>
      </c>
      <c r="F80" s="5">
        <f>VLOOKUP(A80,MEMORIA!$A:$N,14,FALSE)</f>
        <v>25</v>
      </c>
      <c r="G80" s="5">
        <f>VLOOKUP("TOTAL SEM BDI - "&amp;B80,CPU!$A:$J,9,FALSE)</f>
        <v>27.91</v>
      </c>
      <c r="H80" s="5">
        <f>VLOOKUP("TOTAL COM BDI - "&amp;B80,CPU!$A:$J,9,FALSE)</f>
        <v>34.14</v>
      </c>
      <c r="I80" s="5">
        <f>ROUND(F80*H80,2)</f>
        <v>853.5</v>
      </c>
    </row>
    <row r="81" spans="1:9" x14ac:dyDescent="0.3">
      <c r="A81" s="12" t="s">
        <v>40</v>
      </c>
      <c r="B81" s="51" t="str">
        <f>VLOOKUP(A81,MEMORIA!$A:$N,2,FALSE)</f>
        <v>DISTRIBUIÇÃO</v>
      </c>
      <c r="C81" s="52"/>
      <c r="D81" s="52"/>
      <c r="E81" s="52"/>
      <c r="F81" s="52"/>
      <c r="G81" s="52"/>
      <c r="H81" s="53"/>
      <c r="I81" s="13">
        <f>SUM($I$82,$I$85,)</f>
        <v>390046.92000000004</v>
      </c>
    </row>
    <row r="82" spans="1:9" x14ac:dyDescent="0.3">
      <c r="A82" s="15" t="s">
        <v>41</v>
      </c>
      <c r="B82" s="48" t="str">
        <f>VLOOKUP(A82,MEMORIA!$A:$N,2,FALSE)</f>
        <v>MOVIMENTO DE TERRA</v>
      </c>
      <c r="C82" s="49"/>
      <c r="D82" s="49"/>
      <c r="E82" s="49"/>
      <c r="F82" s="49"/>
      <c r="G82" s="49"/>
      <c r="H82" s="50"/>
      <c r="I82" s="16">
        <f>SUM($I$83:$I$84)</f>
        <v>88741.959999999992</v>
      </c>
    </row>
    <row r="83" spans="1:9" ht="57.6" x14ac:dyDescent="0.3">
      <c r="A83" s="23" t="s">
        <v>228</v>
      </c>
      <c r="B83" s="23">
        <f>VLOOKUP(A83,MEMORIA!$A:$N,2,FALSE)</f>
        <v>102314</v>
      </c>
      <c r="C83" s="23" t="str">
        <f>VLOOKUP(A83,MEMORIA!$A:$N,3,FALSE)</f>
        <v>SINAPI</v>
      </c>
      <c r="D83" s="24" t="str">
        <f>VLOOKUP(A83,MEMORIA!$A:$N,4,FALSE)</f>
        <v>ESCAVAÇÃO MECANIZADA DE VALA COM PROF. ATÉ 1,5 M (MÉDIA MONTANTE E JUSANTE/UMA COMPOSIÇÃO POR TRECHO),COM ESCAVADEIRA (0,8 M3), LARG. MENOR QUE 1,5 M, EM SOLO DE 2A CATEGORIA, LOCAIS COM BAIXO NÍVEL DE INTERFERÊNCIA. AF_09/2024</v>
      </c>
      <c r="E83" s="23" t="str">
        <f>VLOOKUP(A83,MEMORIA!$A:$N,5,FALSE)</f>
        <v>M3</v>
      </c>
      <c r="F83" s="5">
        <f>VLOOKUP(A83,MEMORIA!$A:$N,14,FALSE)</f>
        <v>3411.84</v>
      </c>
      <c r="G83" s="5">
        <f>VLOOKUP("TOTAL SEM BDI - "&amp;B83,CPU!$A:$J,9,FALSE)</f>
        <v>8.5</v>
      </c>
      <c r="H83" s="5">
        <f>VLOOKUP("TOTAL COM BDI - "&amp;B83,CPU!$A:$J,9,FALSE)</f>
        <v>10.4</v>
      </c>
      <c r="I83" s="5">
        <f>ROUND(F83*H83,2)</f>
        <v>35483.14</v>
      </c>
    </row>
    <row r="84" spans="1:9" ht="57.6" x14ac:dyDescent="0.3">
      <c r="A84" s="23" t="s">
        <v>229</v>
      </c>
      <c r="B84" s="23" t="str">
        <f>VLOOKUP(A84,MEMORIA!$A:$N,2,FALSE)</f>
        <v>COMP199</v>
      </c>
      <c r="C84" s="23" t="str">
        <f>VLOOKUP(A84,MEMORIA!$A:$N,3,FALSE)</f>
        <v>PRÓPRIA</v>
      </c>
      <c r="D84" s="24" t="str">
        <f>VLOOKUP(A84,MEMORIA!$A:$N,4,FALSE)</f>
        <v>REATERRO MECANIZADO DE VALA COM RETROESCAVADEIRA (CAPACIDADE DA CAÇAMBA DA RETRO: 0,26 M³/POTÊNCIA: 88 HP), LARGURA ATÉ 0,8 M, PROFUNDIDADE ATÉ 1,5 M, COM SOLO (SEM SUBSTITUIÇÃO) DE 1ª CATEGORIA. AF_08/2023 (REF: 104733-SINAPI-05/2025)</v>
      </c>
      <c r="E84" s="23" t="str">
        <f>VLOOKUP(A84,MEMORIA!$A:$N,5,FALSE)</f>
        <v>M3</v>
      </c>
      <c r="F84" s="5">
        <f>VLOOKUP(A84,MEMORIA!$A:$N,14,FALSE)</f>
        <v>3411.84</v>
      </c>
      <c r="G84" s="5">
        <f>VLOOKUP("TOTAL SEM BDI - "&amp;B84,CPU!$A:$J,9,FALSE)</f>
        <v>12.76</v>
      </c>
      <c r="H84" s="5">
        <f>VLOOKUP("TOTAL COM BDI - "&amp;B84,CPU!$A:$J,9,FALSE)</f>
        <v>15.61</v>
      </c>
      <c r="I84" s="5">
        <f>ROUND(F84*H84,2)</f>
        <v>53258.82</v>
      </c>
    </row>
    <row r="85" spans="1:9" x14ac:dyDescent="0.3">
      <c r="A85" s="15" t="s">
        <v>42</v>
      </c>
      <c r="B85" s="48" t="str">
        <f>VLOOKUP(A85,MEMORIA!$A:$N,2,FALSE)</f>
        <v>INSTALAÇÕES HIDRÁULICAS</v>
      </c>
      <c r="C85" s="49"/>
      <c r="D85" s="49"/>
      <c r="E85" s="49"/>
      <c r="F85" s="49"/>
      <c r="G85" s="49"/>
      <c r="H85" s="50"/>
      <c r="I85" s="16">
        <f>SUM($I$86:$I$87)</f>
        <v>301304.96000000002</v>
      </c>
    </row>
    <row r="86" spans="1:9" ht="28.8" x14ac:dyDescent="0.3">
      <c r="A86" s="23" t="s">
        <v>230</v>
      </c>
      <c r="B86" s="23" t="str">
        <f>VLOOKUP(A86,MEMORIA!$A:$N,2,FALSE)</f>
        <v>COMPOS35</v>
      </c>
      <c r="C86" s="23" t="str">
        <f>VLOOKUP(A86,MEMORIA!$A:$N,3,FALSE)</f>
        <v>PRÓPRIA</v>
      </c>
      <c r="D86" s="24" t="str">
        <f>VLOOKUP(A86,MEMORIA!$A:$N,4,FALSE)</f>
        <v>AQUISIÇÃO E ASSENTAMENTO DE TUBO RÍGIDO PVC, CLASSE 12, DN 60 MM, INCLUSO CONEXÕES</v>
      </c>
      <c r="E86" s="23" t="str">
        <f>VLOOKUP(A86,MEMORIA!$A:$N,5,FALSE)</f>
        <v>M</v>
      </c>
      <c r="F86" s="5">
        <f>VLOOKUP(A86,MEMORIA!$A:$N,14,FALSE)</f>
        <v>8412</v>
      </c>
      <c r="G86" s="5">
        <f>VLOOKUP("TOTAL SEM BDI - "&amp;B86,CPU!$A:$J,9,FALSE)</f>
        <v>27.91</v>
      </c>
      <c r="H86" s="5">
        <f>VLOOKUP("TOTAL COM BDI - "&amp;B86,CPU!$A:$J,9,FALSE)</f>
        <v>34.14</v>
      </c>
      <c r="I86" s="5">
        <f>ROUND(F86*H86,2)</f>
        <v>287185.68</v>
      </c>
    </row>
    <row r="87" spans="1:9" x14ac:dyDescent="0.3">
      <c r="A87" s="23" t="s">
        <v>231</v>
      </c>
      <c r="B87" s="23" t="str">
        <f>VLOOKUP(A87,MEMORIA!$A:$N,2,FALSE)</f>
        <v>COMPOS36</v>
      </c>
      <c r="C87" s="23" t="str">
        <f>VLOOKUP(A87,MEMORIA!$A:$N,3,FALSE)</f>
        <v>PRÓPRIA</v>
      </c>
      <c r="D87" s="24" t="str">
        <f>VLOOKUP(A87,MEMORIA!$A:$N,4,FALSE)</f>
        <v>LIGAÇÃO DOMICILIAR</v>
      </c>
      <c r="E87" s="23" t="str">
        <f>VLOOKUP(A87,MEMORIA!$A:$N,5,FALSE)</f>
        <v>UND</v>
      </c>
      <c r="F87" s="5">
        <f>VLOOKUP(A87,MEMORIA!$A:$N,14,FALSE)</f>
        <v>56</v>
      </c>
      <c r="G87" s="5">
        <f>VLOOKUP("TOTAL SEM BDI - "&amp;B87,CPU!$A:$J,9,FALSE)</f>
        <v>206.11</v>
      </c>
      <c r="H87" s="5">
        <f>VLOOKUP("TOTAL COM BDI - "&amp;B87,CPU!$A:$J,9,FALSE)</f>
        <v>252.13000000000002</v>
      </c>
      <c r="I87" s="5">
        <f>ROUND(F87*H87,2)</f>
        <v>14119.28</v>
      </c>
    </row>
    <row r="88" spans="1:9" x14ac:dyDescent="0.3">
      <c r="A88" s="9">
        <v>3</v>
      </c>
      <c r="B88" s="54" t="str">
        <f>VLOOKUP(A88,MEMORIA!$A:$N,2,FALSE)</f>
        <v>LOCALIDADE NAZARÉ (PARNAGUÁ-PI)</v>
      </c>
      <c r="C88" s="55"/>
      <c r="D88" s="55"/>
      <c r="E88" s="55"/>
      <c r="F88" s="55"/>
      <c r="G88" s="55"/>
      <c r="H88" s="56"/>
      <c r="I88" s="10">
        <f>SUM($I$89,$I$105,$I$109,$I$143,$I$146,$I$155,$I$159,)</f>
        <v>282954.75</v>
      </c>
    </row>
    <row r="89" spans="1:9" x14ac:dyDescent="0.3">
      <c r="A89" s="12" t="s">
        <v>43</v>
      </c>
      <c r="B89" s="51" t="str">
        <f>VLOOKUP(A89,MEMORIA!$A:$N,2,FALSE)</f>
        <v>PERFURAÇÃO DE POÇO TUBULAR</v>
      </c>
      <c r="C89" s="52"/>
      <c r="D89" s="52"/>
      <c r="E89" s="52"/>
      <c r="F89" s="52"/>
      <c r="G89" s="52"/>
      <c r="H89" s="53"/>
      <c r="I89" s="13">
        <f>SUM($I$90:$I$104)</f>
        <v>41696.749999999993</v>
      </c>
    </row>
    <row r="90" spans="1:9" x14ac:dyDescent="0.3">
      <c r="A90" s="23" t="s">
        <v>232</v>
      </c>
      <c r="B90" s="23" t="str">
        <f>VLOOKUP(A90,MEMORIA!$A:$N,2,FALSE)</f>
        <v>COMPOS3</v>
      </c>
      <c r="C90" s="23" t="str">
        <f>VLOOKUP(A90,MEMORIA!$A:$N,3,FALSE)</f>
        <v>PRÓPRIA</v>
      </c>
      <c r="D90" s="24" t="str">
        <f>VLOOKUP(A90,MEMORIA!$A:$N,4,FALSE)</f>
        <v>LOCAÇÃO DO POÇO COM ESTUDO GEOLÓGICO/HIDROGEOLÓGICO/GEOFÍSICO</v>
      </c>
      <c r="E90" s="23" t="str">
        <f>VLOOKUP(A90,MEMORIA!$A:$N,5,FALSE)</f>
        <v>UN</v>
      </c>
      <c r="F90" s="5">
        <f>VLOOKUP(A90,MEMORIA!$A:$N,14,FALSE)</f>
        <v>1</v>
      </c>
      <c r="G90" s="5">
        <f>VLOOKUP("TOTAL SEM BDI - "&amp;B90,CPU!$A:$J,9,FALSE)</f>
        <v>1692.3999999999999</v>
      </c>
      <c r="H90" s="5">
        <f>VLOOKUP("TOTAL COM BDI - "&amp;B90,CPU!$A:$J,9,FALSE)</f>
        <v>2070.31</v>
      </c>
      <c r="I90" s="5">
        <f t="shared" ref="I90:I104" si="1">ROUND(F90*H90,2)</f>
        <v>2070.31</v>
      </c>
    </row>
    <row r="91" spans="1:9" x14ac:dyDescent="0.3">
      <c r="A91" s="23" t="s">
        <v>233</v>
      </c>
      <c r="B91" s="23" t="str">
        <f>VLOOKUP(A91,MEMORIA!$A:$N,2,FALSE)</f>
        <v>COMPOS4</v>
      </c>
      <c r="C91" s="23" t="str">
        <f>VLOOKUP(A91,MEMORIA!$A:$N,3,FALSE)</f>
        <v>PRÓPRIA</v>
      </c>
      <c r="D91" s="24" t="str">
        <f>VLOOKUP(A91,MEMORIA!$A:$N,4,FALSE)</f>
        <v>TRANSPORTE DE MÁQUINAS E EQUIPAMENTOS</v>
      </c>
      <c r="E91" s="23" t="str">
        <f>VLOOKUP(A91,MEMORIA!$A:$N,5,FALSE)</f>
        <v>KM</v>
      </c>
      <c r="F91" s="5">
        <f>VLOOKUP(A91,MEMORIA!$A:$N,14,FALSE)</f>
        <v>47.3</v>
      </c>
      <c r="G91" s="5">
        <f>VLOOKUP("TOTAL SEM BDI - "&amp;B91,CPU!$A:$J,9,FALSE)</f>
        <v>5.5</v>
      </c>
      <c r="H91" s="5">
        <f>VLOOKUP("TOTAL COM BDI - "&amp;B91,CPU!$A:$J,9,FALSE)</f>
        <v>6.73</v>
      </c>
      <c r="I91" s="5">
        <f t="shared" si="1"/>
        <v>318.33</v>
      </c>
    </row>
    <row r="92" spans="1:9" x14ac:dyDescent="0.3">
      <c r="A92" s="23" t="s">
        <v>234</v>
      </c>
      <c r="B92" s="23" t="str">
        <f>VLOOKUP(A92,MEMORIA!$A:$N,2,FALSE)</f>
        <v>COMPOS4</v>
      </c>
      <c r="C92" s="23" t="str">
        <f>VLOOKUP(A92,MEMORIA!$A:$N,3,FALSE)</f>
        <v>PRÓPRIA</v>
      </c>
      <c r="D92" s="24" t="str">
        <f>VLOOKUP(A92,MEMORIA!$A:$N,4,FALSE)</f>
        <v>TRANSPORTE DE MÁQUINAS E EQUIPAMENTOS</v>
      </c>
      <c r="E92" s="23" t="str">
        <f>VLOOKUP(A92,MEMORIA!$A:$N,5,FALSE)</f>
        <v>KM</v>
      </c>
      <c r="F92" s="5">
        <f>VLOOKUP(A92,MEMORIA!$A:$N,14,FALSE)</f>
        <v>47.3</v>
      </c>
      <c r="G92" s="5">
        <f>VLOOKUP("TOTAL SEM BDI - "&amp;B92,CPU!$A:$J,9,FALSE)</f>
        <v>5.5</v>
      </c>
      <c r="H92" s="5">
        <f>VLOOKUP("TOTAL COM BDI - "&amp;B92,CPU!$A:$J,9,FALSE)</f>
        <v>6.73</v>
      </c>
      <c r="I92" s="5">
        <f t="shared" si="1"/>
        <v>318.33</v>
      </c>
    </row>
    <row r="93" spans="1:9" x14ac:dyDescent="0.3">
      <c r="A93" s="23" t="s">
        <v>235</v>
      </c>
      <c r="B93" s="23" t="str">
        <f>VLOOKUP(A93,MEMORIA!$A:$N,2,FALSE)</f>
        <v>COMPOS5</v>
      </c>
      <c r="C93" s="23" t="str">
        <f>VLOOKUP(A93,MEMORIA!$A:$N,3,FALSE)</f>
        <v>PRÓPRIA</v>
      </c>
      <c r="D93" s="24" t="str">
        <f>VLOOKUP(A93,MEMORIA!$A:$N,4,FALSE)</f>
        <v>PERFILAGEM ÓTICA</v>
      </c>
      <c r="E93" s="23" t="str">
        <f>VLOOKUP(A93,MEMORIA!$A:$N,5,FALSE)</f>
        <v>UN</v>
      </c>
      <c r="F93" s="5">
        <f>VLOOKUP(A93,MEMORIA!$A:$N,14,FALSE)</f>
        <v>1</v>
      </c>
      <c r="G93" s="5">
        <f>VLOOKUP("TOTAL SEM BDI - "&amp;B93,CPU!$A:$J,9,FALSE)</f>
        <v>2908.88</v>
      </c>
      <c r="H93" s="5">
        <f>VLOOKUP("TOTAL COM BDI - "&amp;B93,CPU!$A:$J,9,FALSE)</f>
        <v>3558.4300000000003</v>
      </c>
      <c r="I93" s="5">
        <f t="shared" si="1"/>
        <v>3558.43</v>
      </c>
    </row>
    <row r="94" spans="1:9" x14ac:dyDescent="0.3">
      <c r="A94" s="23" t="s">
        <v>236</v>
      </c>
      <c r="B94" s="23" t="str">
        <f>VLOOKUP(A94,MEMORIA!$A:$N,2,FALSE)</f>
        <v>COMP197</v>
      </c>
      <c r="C94" s="23" t="str">
        <f>VLOOKUP(A94,MEMORIA!$A:$N,3,FALSE)</f>
        <v>PRÓPRIA</v>
      </c>
      <c r="D94" s="24" t="str">
        <f>VLOOKUP(A94,MEMORIA!$A:$N,4,FALSE)</f>
        <v>PERFURAÇÃO EM ROCHA SEDIMENTAR DN 10" (REF: 06230/ORSE-ORSE-04/2025)</v>
      </c>
      <c r="E94" s="23" t="str">
        <f>VLOOKUP(A94,MEMORIA!$A:$N,5,FALSE)</f>
        <v>M</v>
      </c>
      <c r="F94" s="5">
        <f>VLOOKUP(A94,MEMORIA!$A:$N,14,FALSE)</f>
        <v>20</v>
      </c>
      <c r="G94" s="5">
        <f>VLOOKUP("TOTAL SEM BDI - "&amp;B94,CPU!$A:$J,9,FALSE)</f>
        <v>202.21</v>
      </c>
      <c r="H94" s="5">
        <f>VLOOKUP("TOTAL COM BDI - "&amp;B94,CPU!$A:$J,9,FALSE)</f>
        <v>247.36</v>
      </c>
      <c r="I94" s="5">
        <f t="shared" si="1"/>
        <v>4947.2</v>
      </c>
    </row>
    <row r="95" spans="1:9" x14ac:dyDescent="0.3">
      <c r="A95" s="23" t="s">
        <v>237</v>
      </c>
      <c r="B95" s="23" t="str">
        <f>VLOOKUP(A95,MEMORIA!$A:$N,2,FALSE)</f>
        <v>COMP198</v>
      </c>
      <c r="C95" s="23" t="str">
        <f>VLOOKUP(A95,MEMORIA!$A:$N,3,FALSE)</f>
        <v>PRÓPRIA</v>
      </c>
      <c r="D95" s="24" t="str">
        <f>VLOOKUP(A95,MEMORIA!$A:$N,4,FALSE)</f>
        <v>PERFURAÇÃO EM ROCHA CRISTALINA DN 6" (REF: 06237/ORSE-ORSE-04/2025)</v>
      </c>
      <c r="E95" s="23" t="str">
        <f>VLOOKUP(A95,MEMORIA!$A:$N,5,FALSE)</f>
        <v>M</v>
      </c>
      <c r="F95" s="5">
        <f>VLOOKUP(A95,MEMORIA!$A:$N,14,FALSE)</f>
        <v>100</v>
      </c>
      <c r="G95" s="5">
        <f>VLOOKUP("TOTAL SEM BDI - "&amp;B95,CPU!$A:$J,9,FALSE)</f>
        <v>125.23</v>
      </c>
      <c r="H95" s="5">
        <f>VLOOKUP("TOTAL COM BDI - "&amp;B95,CPU!$A:$J,9,FALSE)</f>
        <v>153.19</v>
      </c>
      <c r="I95" s="5">
        <f t="shared" si="1"/>
        <v>15319</v>
      </c>
    </row>
    <row r="96" spans="1:9" x14ac:dyDescent="0.3">
      <c r="A96" s="23" t="s">
        <v>238</v>
      </c>
      <c r="B96" s="23" t="str">
        <f>VLOOKUP(A96,MEMORIA!$A:$N,2,FALSE)</f>
        <v>COMPOS10</v>
      </c>
      <c r="C96" s="23" t="str">
        <f>VLOOKUP(A96,MEMORIA!$A:$N,3,FALSE)</f>
        <v>PRÓPRIA</v>
      </c>
      <c r="D96" s="24" t="str">
        <f>VLOOKUP(A96,MEMORIA!$A:$N,4,FALSE)</f>
        <v>CIMENTAÇÃO SANITÁRIA</v>
      </c>
      <c r="E96" s="23" t="str">
        <f>VLOOKUP(A96,MEMORIA!$A:$N,5,FALSE)</f>
        <v>M</v>
      </c>
      <c r="F96" s="5">
        <f>VLOOKUP(A96,MEMORIA!$A:$N,14,FALSE)</f>
        <v>10</v>
      </c>
      <c r="G96" s="5">
        <f>VLOOKUP("TOTAL SEM BDI - "&amp;B96,CPU!$A:$J,9,FALSE)</f>
        <v>98.79</v>
      </c>
      <c r="H96" s="5">
        <f>VLOOKUP("TOTAL COM BDI - "&amp;B96,CPU!$A:$J,9,FALSE)</f>
        <v>120.85000000000001</v>
      </c>
      <c r="I96" s="5">
        <f t="shared" si="1"/>
        <v>1208.5</v>
      </c>
    </row>
    <row r="97" spans="1:9" x14ac:dyDescent="0.3">
      <c r="A97" s="23" t="s">
        <v>239</v>
      </c>
      <c r="B97" s="23" t="str">
        <f>VLOOKUP(A97,MEMORIA!$A:$N,2,FALSE)</f>
        <v>COMPOS11</v>
      </c>
      <c r="C97" s="23" t="str">
        <f>VLOOKUP(A97,MEMORIA!$A:$N,3,FALSE)</f>
        <v>PRÓPRIA</v>
      </c>
      <c r="D97" s="24" t="str">
        <f>VLOOKUP(A97,MEMORIA!$A:$N,4,FALSE)</f>
        <v>LAJE DE PROTEÇÃO EM CONCRETO (1,0 M X 1,0 M X 0,15 M)</v>
      </c>
      <c r="E97" s="23" t="str">
        <f>VLOOKUP(A97,MEMORIA!$A:$N,5,FALSE)</f>
        <v>M³</v>
      </c>
      <c r="F97" s="5">
        <f>VLOOKUP(A97,MEMORIA!$A:$N,14,FALSE)</f>
        <v>0.15</v>
      </c>
      <c r="G97" s="5">
        <f>VLOOKUP("TOTAL SEM BDI - "&amp;B97,CPU!$A:$J,9,FALSE)</f>
        <v>1246.81</v>
      </c>
      <c r="H97" s="5">
        <f>VLOOKUP("TOTAL COM BDI - "&amp;B97,CPU!$A:$J,9,FALSE)</f>
        <v>1525.22</v>
      </c>
      <c r="I97" s="5">
        <f t="shared" si="1"/>
        <v>228.78</v>
      </c>
    </row>
    <row r="98" spans="1:9" x14ac:dyDescent="0.3">
      <c r="A98" s="23" t="s">
        <v>240</v>
      </c>
      <c r="B98" s="23" t="str">
        <f>VLOOKUP(A98,MEMORIA!$A:$N,2,FALSE)</f>
        <v>COMPOS12</v>
      </c>
      <c r="C98" s="23" t="str">
        <f>VLOOKUP(A98,MEMORIA!$A:$N,3,FALSE)</f>
        <v>PRÓPRIA</v>
      </c>
      <c r="D98" s="24" t="str">
        <f>VLOOKUP(A98,MEMORIA!$A:$N,4,FALSE)</f>
        <v>DESENVOLVIMENTO COM BOMBA SUBMERSA</v>
      </c>
      <c r="E98" s="23" t="str">
        <f>VLOOKUP(A98,MEMORIA!$A:$N,5,FALSE)</f>
        <v>H</v>
      </c>
      <c r="F98" s="5">
        <f>VLOOKUP(A98,MEMORIA!$A:$N,14,FALSE)</f>
        <v>6</v>
      </c>
      <c r="G98" s="5">
        <f>VLOOKUP("TOTAL SEM BDI - "&amp;B98,CPU!$A:$J,9,FALSE)</f>
        <v>515.70000000000005</v>
      </c>
      <c r="H98" s="5">
        <f>VLOOKUP("TOTAL COM BDI - "&amp;B98,CPU!$A:$J,9,FALSE)</f>
        <v>630.86</v>
      </c>
      <c r="I98" s="5">
        <f t="shared" si="1"/>
        <v>3785.16</v>
      </c>
    </row>
    <row r="99" spans="1:9" x14ac:dyDescent="0.3">
      <c r="A99" s="23" t="s">
        <v>241</v>
      </c>
      <c r="B99" s="23" t="str">
        <f>VLOOKUP(A99,MEMORIA!$A:$N,2,FALSE)</f>
        <v>COMPOS13</v>
      </c>
      <c r="C99" s="23" t="str">
        <f>VLOOKUP(A99,MEMORIA!$A:$N,3,FALSE)</f>
        <v>PRÓPRIA</v>
      </c>
      <c r="D99" s="24" t="str">
        <f>VLOOKUP(A99,MEMORIA!$A:$N,4,FALSE)</f>
        <v>TESTE VAZÃO COM BOMBA SUBMERSA</v>
      </c>
      <c r="E99" s="23" t="str">
        <f>VLOOKUP(A99,MEMORIA!$A:$N,5,FALSE)</f>
        <v>H</v>
      </c>
      <c r="F99" s="5">
        <f>VLOOKUP(A99,MEMORIA!$A:$N,14,FALSE)</f>
        <v>24</v>
      </c>
      <c r="G99" s="5">
        <f>VLOOKUP("TOTAL SEM BDI - "&amp;B99,CPU!$A:$J,9,FALSE)</f>
        <v>97.789999999999992</v>
      </c>
      <c r="H99" s="5">
        <f>VLOOKUP("TOTAL COM BDI - "&amp;B99,CPU!$A:$J,9,FALSE)</f>
        <v>119.63</v>
      </c>
      <c r="I99" s="5">
        <f t="shared" si="1"/>
        <v>2871.12</v>
      </c>
    </row>
    <row r="100" spans="1:9" x14ac:dyDescent="0.3">
      <c r="A100" s="23" t="s">
        <v>242</v>
      </c>
      <c r="B100" s="23" t="str">
        <f>VLOOKUP(A100,MEMORIA!$A:$N,2,FALSE)</f>
        <v>COMPOS14</v>
      </c>
      <c r="C100" s="23" t="str">
        <f>VLOOKUP(A100,MEMORIA!$A:$N,3,FALSE)</f>
        <v>PRÓPRIA</v>
      </c>
      <c r="D100" s="24" t="str">
        <f>VLOOKUP(A100,MEMORIA!$A:$N,4,FALSE)</f>
        <v>DESINFECÇÃO</v>
      </c>
      <c r="E100" s="23" t="str">
        <f>VLOOKUP(A100,MEMORIA!$A:$N,5,FALSE)</f>
        <v>H</v>
      </c>
      <c r="F100" s="5">
        <f>VLOOKUP(A100,MEMORIA!$A:$N,14,FALSE)</f>
        <v>4</v>
      </c>
      <c r="G100" s="5">
        <f>VLOOKUP("TOTAL SEM BDI - "&amp;B100,CPU!$A:$J,9,FALSE)</f>
        <v>102.36000000000003</v>
      </c>
      <c r="H100" s="5">
        <f>VLOOKUP("TOTAL COM BDI - "&amp;B100,CPU!$A:$J,9,FALSE)</f>
        <v>125.22000000000003</v>
      </c>
      <c r="I100" s="5">
        <f t="shared" si="1"/>
        <v>500.88</v>
      </c>
    </row>
    <row r="101" spans="1:9" x14ac:dyDescent="0.3">
      <c r="A101" s="23" t="s">
        <v>243</v>
      </c>
      <c r="B101" s="23" t="str">
        <f>VLOOKUP(A101,MEMORIA!$A:$N,2,FALSE)</f>
        <v>COMPOS15</v>
      </c>
      <c r="C101" s="23" t="str">
        <f>VLOOKUP(A101,MEMORIA!$A:$N,3,FALSE)</f>
        <v>PRÓPRIA</v>
      </c>
      <c r="D101" s="24" t="str">
        <f>VLOOKUP(A101,MEMORIA!$A:$N,4,FALSE)</f>
        <v>RELATÓRIO TÉCNICO</v>
      </c>
      <c r="E101" s="23" t="str">
        <f>VLOOKUP(A101,MEMORIA!$A:$N,5,FALSE)</f>
        <v>UN</v>
      </c>
      <c r="F101" s="5">
        <f>VLOOKUP(A101,MEMORIA!$A:$N,14,FALSE)</f>
        <v>1</v>
      </c>
      <c r="G101" s="5">
        <f>VLOOKUP("TOTAL SEM BDI - "&amp;B101,CPU!$A:$J,9,FALSE)</f>
        <v>1110.2</v>
      </c>
      <c r="H101" s="5">
        <f>VLOOKUP("TOTAL COM BDI - "&amp;B101,CPU!$A:$J,9,FALSE)</f>
        <v>1358.1100000000001</v>
      </c>
      <c r="I101" s="5">
        <f t="shared" si="1"/>
        <v>1358.11</v>
      </c>
    </row>
    <row r="102" spans="1:9" x14ac:dyDescent="0.3">
      <c r="A102" s="23" t="s">
        <v>244</v>
      </c>
      <c r="B102" s="23" t="str">
        <f>VLOOKUP(A102,MEMORIA!$A:$N,2,FALSE)</f>
        <v>COMPOS16</v>
      </c>
      <c r="C102" s="23" t="str">
        <f>VLOOKUP(A102,MEMORIA!$A:$N,3,FALSE)</f>
        <v>PRÓPRIA</v>
      </c>
      <c r="D102" s="24" t="str">
        <f>VLOOKUP(A102,MEMORIA!$A:$N,4,FALSE)</f>
        <v>ANÁLISE FÍSICO-QUÍMICA DA ÁGUA</v>
      </c>
      <c r="E102" s="23" t="str">
        <f>VLOOKUP(A102,MEMORIA!$A:$N,5,FALSE)</f>
        <v>UN</v>
      </c>
      <c r="F102" s="5">
        <f>VLOOKUP(A102,MEMORIA!$A:$N,14,FALSE)</f>
        <v>1</v>
      </c>
      <c r="G102" s="5">
        <f>VLOOKUP("TOTAL SEM BDI - "&amp;B102,CPU!$A:$J,9,FALSE)</f>
        <v>565.21</v>
      </c>
      <c r="H102" s="5">
        <f>VLOOKUP("TOTAL COM BDI - "&amp;B102,CPU!$A:$J,9,FALSE)</f>
        <v>691.42000000000007</v>
      </c>
      <c r="I102" s="5">
        <f t="shared" si="1"/>
        <v>691.42</v>
      </c>
    </row>
    <row r="103" spans="1:9" x14ac:dyDescent="0.3">
      <c r="A103" s="23" t="s">
        <v>245</v>
      </c>
      <c r="B103" s="23" t="str">
        <f>VLOOKUP(A103,MEMORIA!$A:$N,2,FALSE)</f>
        <v>COMPOS1</v>
      </c>
      <c r="C103" s="23" t="str">
        <f>VLOOKUP(A103,MEMORIA!$A:$N,3,FALSE)</f>
        <v>PRÓPRIA</v>
      </c>
      <c r="D103" s="24" t="str">
        <f>VLOOKUP(A103,MEMORIA!$A:$N,4,FALSE)</f>
        <v>FORNECIMENTO E INSTALAÇÃO DE REVESTIMENTO GEOMECÂNICO STANDART DN-154-S</v>
      </c>
      <c r="E103" s="23" t="str">
        <f>VLOOKUP(A103,MEMORIA!$A:$N,5,FALSE)</f>
        <v>M</v>
      </c>
      <c r="F103" s="5">
        <f>VLOOKUP(A103,MEMORIA!$A:$N,14,FALSE)</f>
        <v>21</v>
      </c>
      <c r="G103" s="5">
        <f>VLOOKUP("TOTAL SEM BDI - "&amp;B103,CPU!$A:$J,9,FALSE)</f>
        <v>170.76</v>
      </c>
      <c r="H103" s="5">
        <f>VLOOKUP("TOTAL COM BDI - "&amp;B103,CPU!$A:$J,9,FALSE)</f>
        <v>208.89</v>
      </c>
      <c r="I103" s="5">
        <f t="shared" si="1"/>
        <v>4386.6899999999996</v>
      </c>
    </row>
    <row r="104" spans="1:9" x14ac:dyDescent="0.3">
      <c r="A104" s="23" t="s">
        <v>246</v>
      </c>
      <c r="B104" s="23" t="str">
        <f>VLOOKUP(A104,MEMORIA!$A:$N,2,FALSE)</f>
        <v>COMPOS2</v>
      </c>
      <c r="C104" s="23" t="str">
        <f>VLOOKUP(A104,MEMORIA!$A:$N,3,FALSE)</f>
        <v>PRÓPRIA</v>
      </c>
      <c r="D104" s="24" t="str">
        <f>VLOOKUP(A104,MEMORIA!$A:$N,4,FALSE)</f>
        <v>FORNECIMENTO E INSTALAÇÃO DE TAMPA PARA POÇO</v>
      </c>
      <c r="E104" s="23" t="str">
        <f>VLOOKUP(A104,MEMORIA!$A:$N,5,FALSE)</f>
        <v>UN</v>
      </c>
      <c r="F104" s="5">
        <f>VLOOKUP(A104,MEMORIA!$A:$N,14,FALSE)</f>
        <v>1</v>
      </c>
      <c r="G104" s="5">
        <f>VLOOKUP("TOTAL SEM BDI - "&amp;B104,CPU!$A:$J,9,FALSE)</f>
        <v>109.94</v>
      </c>
      <c r="H104" s="5">
        <f>VLOOKUP("TOTAL COM BDI - "&amp;B104,CPU!$A:$J,9,FALSE)</f>
        <v>134.49</v>
      </c>
      <c r="I104" s="5">
        <f t="shared" si="1"/>
        <v>134.49</v>
      </c>
    </row>
    <row r="105" spans="1:9" x14ac:dyDescent="0.3">
      <c r="A105" s="12" t="s">
        <v>44</v>
      </c>
      <c r="B105" s="51" t="str">
        <f>VLOOKUP(A105,MEMORIA!$A:$N,2,FALSE)</f>
        <v>AQUISIÇÃO E INSTALAÇÃO DE EQUIPAMENTOS DE BOMBEAMENTO, RECALQUE/BARRILETE E CONEXÕES PARA INTERLIGAÇÃO COM RESERVATÓRIO</v>
      </c>
      <c r="C105" s="52"/>
      <c r="D105" s="52"/>
      <c r="E105" s="52"/>
      <c r="F105" s="52"/>
      <c r="G105" s="52"/>
      <c r="H105" s="53"/>
      <c r="I105" s="13">
        <f>SUM($I$106:$I$108)</f>
        <v>10148.990000000002</v>
      </c>
    </row>
    <row r="106" spans="1:9" x14ac:dyDescent="0.3">
      <c r="A106" s="23" t="s">
        <v>247</v>
      </c>
      <c r="B106" s="23" t="str">
        <f>VLOOKUP(A106,MEMORIA!$A:$N,2,FALSE)</f>
        <v>COMPOS19</v>
      </c>
      <c r="C106" s="23" t="str">
        <f>VLOOKUP(A106,MEMORIA!$A:$N,3,FALSE)</f>
        <v>PRÓPRIA</v>
      </c>
      <c r="D106" s="24" t="str">
        <f>VLOOKUP(A106,MEMORIA!$A:$N,4,FALSE)</f>
        <v>FORNECIMENTO E INSTALAÇÃO DE TUBO EDUTOR DE PVC DE 1.1/2'' COM LUVA</v>
      </c>
      <c r="E106" s="23" t="str">
        <f>VLOOKUP(A106,MEMORIA!$A:$N,5,FALSE)</f>
        <v>M</v>
      </c>
      <c r="F106" s="5">
        <f>VLOOKUP(A106,MEMORIA!$A:$N,14,FALSE)</f>
        <v>110</v>
      </c>
      <c r="G106" s="5">
        <f>VLOOKUP("TOTAL SEM BDI - "&amp;B106,CPU!$A:$J,9,FALSE)</f>
        <v>46.25</v>
      </c>
      <c r="H106" s="5">
        <f>VLOOKUP("TOTAL COM BDI - "&amp;B106,CPU!$A:$J,9,FALSE)</f>
        <v>56.58</v>
      </c>
      <c r="I106" s="5">
        <f>ROUND(F106*H106,2)</f>
        <v>6223.8</v>
      </c>
    </row>
    <row r="107" spans="1:9" x14ac:dyDescent="0.3">
      <c r="A107" s="23" t="s">
        <v>248</v>
      </c>
      <c r="B107" s="23" t="str">
        <f>VLOOKUP(A107,MEMORIA!$A:$N,2,FALSE)</f>
        <v>COMPOS21</v>
      </c>
      <c r="C107" s="23" t="str">
        <f>VLOOKUP(A107,MEMORIA!$A:$N,3,FALSE)</f>
        <v>PRÓPRIA</v>
      </c>
      <c r="D107" s="24" t="str">
        <f>VLOOKUP(A107,MEMORIA!$A:$N,4,FALSE)</f>
        <v>BARRILETE (CURVAS E CONEXÕES)</v>
      </c>
      <c r="E107" s="23" t="str">
        <f>VLOOKUP(A107,MEMORIA!$A:$N,5,FALSE)</f>
        <v>UN</v>
      </c>
      <c r="F107" s="5">
        <f>VLOOKUP(A107,MEMORIA!$A:$N,14,FALSE)</f>
        <v>1</v>
      </c>
      <c r="G107" s="5">
        <f>VLOOKUP("TOTAL SEM BDI - "&amp;B107,CPU!$A:$J,9,FALSE)</f>
        <v>2147.0500000000002</v>
      </c>
      <c r="H107" s="5">
        <f>VLOOKUP("TOTAL COM BDI - "&amp;B107,CPU!$A:$J,9,FALSE)</f>
        <v>2626.4900000000002</v>
      </c>
      <c r="I107" s="5">
        <f>ROUND(F107*H107,2)</f>
        <v>2626.49</v>
      </c>
    </row>
    <row r="108" spans="1:9" x14ac:dyDescent="0.3">
      <c r="A108" s="23" t="s">
        <v>249</v>
      </c>
      <c r="B108" s="23" t="str">
        <f>VLOOKUP(A108,MEMORIA!$A:$N,2,FALSE)</f>
        <v>COMPOS26</v>
      </c>
      <c r="C108" s="23" t="str">
        <f>VLOOKUP(A108,MEMORIA!$A:$N,3,FALSE)</f>
        <v>PRÓPRIA</v>
      </c>
      <c r="D108" s="24" t="str">
        <f>VLOOKUP(A108,MEMORIA!$A:$N,4,FALSE)</f>
        <v>AQUISIÇÃO E INSTALAÇÃO DE DOSADOR DE CLORO</v>
      </c>
      <c r="E108" s="23" t="str">
        <f>VLOOKUP(A108,MEMORIA!$A:$N,5,FALSE)</f>
        <v>UND</v>
      </c>
      <c r="F108" s="5">
        <f>VLOOKUP(A108,MEMORIA!$A:$N,14,FALSE)</f>
        <v>1</v>
      </c>
      <c r="G108" s="5">
        <f>VLOOKUP("TOTAL SEM BDI - "&amp;B108,CPU!$A:$J,9,FALSE)</f>
        <v>1061.6399999999999</v>
      </c>
      <c r="H108" s="5">
        <f>VLOOKUP("TOTAL COM BDI - "&amp;B108,CPU!$A:$J,9,FALSE)</f>
        <v>1298.6999999999998</v>
      </c>
      <c r="I108" s="5">
        <f>ROUND(F108*H108,2)</f>
        <v>1298.7</v>
      </c>
    </row>
    <row r="109" spans="1:9" x14ac:dyDescent="0.3">
      <c r="A109" s="12" t="s">
        <v>45</v>
      </c>
      <c r="B109" s="51" t="str">
        <f>VLOOKUP(A109,MEMORIA!$A:$N,2,FALSE)</f>
        <v>CONSTRUÇÃO DA CASA DE COMANDO</v>
      </c>
      <c r="C109" s="52"/>
      <c r="D109" s="52"/>
      <c r="E109" s="52"/>
      <c r="F109" s="52"/>
      <c r="G109" s="52"/>
      <c r="H109" s="53"/>
      <c r="I109" s="13">
        <f>SUM($I$110,$I$113,$I$115,$I$119,$I$122,$I$125,$I$128,$I$132,$I$135,$I$138,$I$141,)</f>
        <v>20274.329999999998</v>
      </c>
    </row>
    <row r="110" spans="1:9" x14ac:dyDescent="0.3">
      <c r="A110" s="15" t="s">
        <v>46</v>
      </c>
      <c r="B110" s="48" t="str">
        <f>VLOOKUP(A110,MEMORIA!$A:$N,2,FALSE)</f>
        <v>SERVIÇOS PRELIMINARES</v>
      </c>
      <c r="C110" s="49"/>
      <c r="D110" s="49"/>
      <c r="E110" s="49"/>
      <c r="F110" s="49"/>
      <c r="G110" s="49"/>
      <c r="H110" s="50"/>
      <c r="I110" s="16">
        <f>SUM($I$111:$I$112)</f>
        <v>1315.92</v>
      </c>
    </row>
    <row r="111" spans="1:9" x14ac:dyDescent="0.3">
      <c r="A111" s="23" t="s">
        <v>250</v>
      </c>
      <c r="B111" s="23">
        <f>VLOOKUP(A111,MEMORIA!$A:$N,2,FALSE)</f>
        <v>98524</v>
      </c>
      <c r="C111" s="23" t="str">
        <f>VLOOKUP(A111,MEMORIA!$A:$N,3,FALSE)</f>
        <v>SINAPI</v>
      </c>
      <c r="D111" s="24" t="str">
        <f>VLOOKUP(A111,MEMORIA!$A:$N,4,FALSE)</f>
        <v>LIMPEZA MANUAL DE VEGETAÇÃO EM TERRENO COM ENXADA. AF_03/2024</v>
      </c>
      <c r="E111" s="23" t="str">
        <f>VLOOKUP(A111,MEMORIA!$A:$N,5,FALSE)</f>
        <v>M2</v>
      </c>
      <c r="F111" s="5">
        <f>VLOOKUP(A111,MEMORIA!$A:$N,14,FALSE)</f>
        <v>100</v>
      </c>
      <c r="G111" s="5">
        <f>VLOOKUP("TOTAL SEM BDI - "&amp;B111,CPU!$A:$J,9,FALSE)</f>
        <v>4.62</v>
      </c>
      <c r="H111" s="5">
        <f>VLOOKUP("TOTAL COM BDI - "&amp;B111,CPU!$A:$J,9,FALSE)</f>
        <v>5.65</v>
      </c>
      <c r="I111" s="5">
        <f>ROUND(F111*H111,2)</f>
        <v>565</v>
      </c>
    </row>
    <row r="112" spans="1:9" ht="28.8" x14ac:dyDescent="0.3">
      <c r="A112" s="23" t="s">
        <v>251</v>
      </c>
      <c r="B112" s="23">
        <f>VLOOKUP(A112,MEMORIA!$A:$N,2,FALSE)</f>
        <v>99059</v>
      </c>
      <c r="C112" s="23" t="str">
        <f>VLOOKUP(A112,MEMORIA!$A:$N,3,FALSE)</f>
        <v>SINAPI</v>
      </c>
      <c r="D112" s="24" t="str">
        <f>VLOOKUP(A112,MEMORIA!$A:$N,4,FALSE)</f>
        <v>LOCAÇÃO CONVENCIONAL DE OBRA, UTILIZANDO GABARITO DE TÁBUAS CORRIDAS PONTALETADAS A CADA 2,00M - 2 UTILIZAÇÕES. AF_03/2024</v>
      </c>
      <c r="E112" s="23" t="str">
        <f>VLOOKUP(A112,MEMORIA!$A:$N,5,FALSE)</f>
        <v>M</v>
      </c>
      <c r="F112" s="5">
        <f>VLOOKUP(A112,MEMORIA!$A:$N,14,FALSE)</f>
        <v>10.199999999999999</v>
      </c>
      <c r="G112" s="5">
        <f>VLOOKUP("TOTAL SEM BDI - "&amp;B112,CPU!$A:$J,9,FALSE)</f>
        <v>60.18</v>
      </c>
      <c r="H112" s="5">
        <f>VLOOKUP("TOTAL COM BDI - "&amp;B112,CPU!$A:$J,9,FALSE)</f>
        <v>73.62</v>
      </c>
      <c r="I112" s="5">
        <f>ROUND(F112*H112,2)</f>
        <v>750.92</v>
      </c>
    </row>
    <row r="113" spans="1:9" x14ac:dyDescent="0.3">
      <c r="A113" s="15" t="s">
        <v>47</v>
      </c>
      <c r="B113" s="48" t="str">
        <f>VLOOKUP(A113,MEMORIA!$A:$N,2,FALSE)</f>
        <v>MOVIMENTO DE TERRA</v>
      </c>
      <c r="C113" s="49"/>
      <c r="D113" s="49"/>
      <c r="E113" s="49"/>
      <c r="F113" s="49"/>
      <c r="G113" s="49"/>
      <c r="H113" s="50"/>
      <c r="I113" s="16">
        <f>SUM($I$114:$I$114)</f>
        <v>161.76</v>
      </c>
    </row>
    <row r="114" spans="1:9" x14ac:dyDescent="0.3">
      <c r="A114" s="23" t="s">
        <v>252</v>
      </c>
      <c r="B114" s="23">
        <f>VLOOKUP(A114,MEMORIA!$A:$N,2,FALSE)</f>
        <v>93358</v>
      </c>
      <c r="C114" s="23" t="str">
        <f>VLOOKUP(A114,MEMORIA!$A:$N,3,FALSE)</f>
        <v>SINAPI</v>
      </c>
      <c r="D114" s="24" t="str">
        <f>VLOOKUP(A114,MEMORIA!$A:$N,4,FALSE)</f>
        <v>ESCAVAÇÃO MANUAL DE VALA. AF_09/2024</v>
      </c>
      <c r="E114" s="23" t="str">
        <f>VLOOKUP(A114,MEMORIA!$A:$N,5,FALSE)</f>
        <v>M3</v>
      </c>
      <c r="F114" s="5">
        <f>VLOOKUP(A114,MEMORIA!$A:$N,14,FALSE)</f>
        <v>1.54</v>
      </c>
      <c r="G114" s="5">
        <f>VLOOKUP("TOTAL SEM BDI - "&amp;B114,CPU!$A:$J,9,FALSE)</f>
        <v>85.87</v>
      </c>
      <c r="H114" s="5">
        <f>VLOOKUP("TOTAL COM BDI - "&amp;B114,CPU!$A:$J,9,FALSE)</f>
        <v>105.04</v>
      </c>
      <c r="I114" s="5">
        <f>ROUND(F114*H114,2)</f>
        <v>161.76</v>
      </c>
    </row>
    <row r="115" spans="1:9" x14ac:dyDescent="0.3">
      <c r="A115" s="15" t="s">
        <v>48</v>
      </c>
      <c r="B115" s="48" t="str">
        <f>VLOOKUP(A115,MEMORIA!$A:$N,2,FALSE)</f>
        <v>INFRAESTRUTURA</v>
      </c>
      <c r="C115" s="49"/>
      <c r="D115" s="49"/>
      <c r="E115" s="49"/>
      <c r="F115" s="49"/>
      <c r="G115" s="49"/>
      <c r="H115" s="50"/>
      <c r="I115" s="16">
        <f>SUM($I$116:$I$118)</f>
        <v>1229.81</v>
      </c>
    </row>
    <row r="116" spans="1:9" ht="28.8" x14ac:dyDescent="0.3">
      <c r="A116" s="23" t="s">
        <v>253</v>
      </c>
      <c r="B116" s="23">
        <f>VLOOKUP(A116,MEMORIA!$A:$N,2,FALSE)</f>
        <v>96617</v>
      </c>
      <c r="C116" s="23" t="str">
        <f>VLOOKUP(A116,MEMORIA!$A:$N,3,FALSE)</f>
        <v>SINAPI</v>
      </c>
      <c r="D116" s="24" t="str">
        <f>VLOOKUP(A116,MEMORIA!$A:$N,4,FALSE)</f>
        <v>LASTRO DE CONCRETO MAGRO, APLICADO EM BLOCOS DE COROAMENTO OU SAPATAS, ESPESSURA DE 3 CM. AF_01/2024</v>
      </c>
      <c r="E116" s="23" t="str">
        <f>VLOOKUP(A116,MEMORIA!$A:$N,5,FALSE)</f>
        <v>M2</v>
      </c>
      <c r="F116" s="5">
        <f>VLOOKUP(A116,MEMORIA!$A:$N,14,FALSE)</f>
        <v>2.58</v>
      </c>
      <c r="G116" s="5">
        <f>VLOOKUP("TOTAL SEM BDI - "&amp;B116,CPU!$A:$J,9,FALSE)</f>
        <v>23.57</v>
      </c>
      <c r="H116" s="5">
        <f>VLOOKUP("TOTAL COM BDI - "&amp;B116,CPU!$A:$J,9,FALSE)</f>
        <v>28.83</v>
      </c>
      <c r="I116" s="5">
        <f>ROUND(F116*H116,2)</f>
        <v>74.38</v>
      </c>
    </row>
    <row r="117" spans="1:9" ht="28.8" x14ac:dyDescent="0.3">
      <c r="A117" s="23" t="s">
        <v>254</v>
      </c>
      <c r="B117" s="23">
        <f>VLOOKUP(A117,MEMORIA!$A:$N,2,FALSE)</f>
        <v>103800</v>
      </c>
      <c r="C117" s="23" t="str">
        <f>VLOOKUP(A117,MEMORIA!$A:$N,3,FALSE)</f>
        <v>SINAPI</v>
      </c>
      <c r="D117" s="24" t="str">
        <f>VLOOKUP(A117,MEMORIA!$A:$N,4,FALSE)</f>
        <v>PEDRA ARGAMASSADA COM CIMENTO E AREIA 1:3, 40% DE ARGAMASSA EM VOLUME - AREIA E PEDRA DE MÃO COMERCIAIS - FORNECIMENTO E ASSENTAMENTO. AF_08/2022</v>
      </c>
      <c r="E117" s="23" t="str">
        <f>VLOOKUP(A117,MEMORIA!$A:$N,5,FALSE)</f>
        <v>M3</v>
      </c>
      <c r="F117" s="5">
        <f>VLOOKUP(A117,MEMORIA!$A:$N,14,FALSE)</f>
        <v>1.04</v>
      </c>
      <c r="G117" s="5">
        <f>VLOOKUP("TOTAL SEM BDI - "&amp;B117,CPU!$A:$J,9,FALSE)</f>
        <v>666</v>
      </c>
      <c r="H117" s="5">
        <f>VLOOKUP("TOTAL COM BDI - "&amp;B117,CPU!$A:$J,9,FALSE)</f>
        <v>814.72</v>
      </c>
      <c r="I117" s="5">
        <f>ROUND(F117*H117,2)</f>
        <v>847.31</v>
      </c>
    </row>
    <row r="118" spans="1:9" ht="43.2" x14ac:dyDescent="0.3">
      <c r="A118" s="23" t="s">
        <v>255</v>
      </c>
      <c r="B118" s="23">
        <f>VLOOKUP(A118,MEMORIA!$A:$N,2,FALSE)</f>
        <v>103335</v>
      </c>
      <c r="C118" s="23" t="str">
        <f>VLOOKUP(A118,MEMORIA!$A:$N,3,FALSE)</f>
        <v>SINAPI</v>
      </c>
      <c r="D118" s="24" t="str">
        <f>VLOOKUP(A118,MEMORIA!$A:$N,4,FALSE)</f>
        <v>ALVENARIA DE VEDAÇÃO DE BLOCOS CERÂMICOS FURADOS NA HORIZONTAL DE 14X9X19 CM (ESPESSURA 14 CM, BLOCO DEITADO) E ARGAMASSA DE ASSENTAMENTO COM PREPARO MANUAL. AF_12/2021</v>
      </c>
      <c r="E118" s="23" t="str">
        <f>VLOOKUP(A118,MEMORIA!$A:$N,5,FALSE)</f>
        <v>M2</v>
      </c>
      <c r="F118" s="5">
        <f>VLOOKUP(A118,MEMORIA!$A:$N,14,FALSE)</f>
        <v>1.7200000000000002</v>
      </c>
      <c r="G118" s="5">
        <f>VLOOKUP("TOTAL SEM BDI - "&amp;B118,CPU!$A:$J,9,FALSE)</f>
        <v>146.44</v>
      </c>
      <c r="H118" s="5">
        <f>VLOOKUP("TOTAL COM BDI - "&amp;B118,CPU!$A:$J,9,FALSE)</f>
        <v>179.14</v>
      </c>
      <c r="I118" s="5">
        <f>ROUND(F118*H118,2)</f>
        <v>308.12</v>
      </c>
    </row>
    <row r="119" spans="1:9" x14ac:dyDescent="0.3">
      <c r="A119" s="15" t="s">
        <v>49</v>
      </c>
      <c r="B119" s="48" t="str">
        <f>VLOOKUP(A119,MEMORIA!$A:$N,2,FALSE)</f>
        <v>SUPERESTRUTURA</v>
      </c>
      <c r="C119" s="49"/>
      <c r="D119" s="49"/>
      <c r="E119" s="49"/>
      <c r="F119" s="49"/>
      <c r="G119" s="49"/>
      <c r="H119" s="50"/>
      <c r="I119" s="16">
        <f>SUM($I$120:$I$121)</f>
        <v>1323.3</v>
      </c>
    </row>
    <row r="120" spans="1:9" x14ac:dyDescent="0.3">
      <c r="A120" s="23" t="s">
        <v>256</v>
      </c>
      <c r="B120" s="23" t="str">
        <f>VLOOKUP(A120,MEMORIA!$A:$N,2,FALSE)</f>
        <v>COMPCOM01</v>
      </c>
      <c r="C120" s="23" t="str">
        <f>VLOOKUP(A120,MEMORIA!$A:$N,3,FALSE)</f>
        <v>PRÓPRIA</v>
      </c>
      <c r="D120" s="24" t="str">
        <f>VLOOKUP(A120,MEMORIA!$A:$N,4,FALSE)</f>
        <v>CINTA DE AMARRAÇÃO DE ALVENARIA MOLDADA IN LOCO EM CONCRETO</v>
      </c>
      <c r="E120" s="23" t="str">
        <f>VLOOKUP(A120,MEMORIA!$A:$N,5,FALSE)</f>
        <v>M</v>
      </c>
      <c r="F120" s="5">
        <f>VLOOKUP(A120,MEMORIA!$A:$N,14,FALSE)</f>
        <v>8.6</v>
      </c>
      <c r="G120" s="5">
        <f>VLOOKUP("TOTAL SEM BDI - "&amp;B120,CPU!$A:$J,9,FALSE)</f>
        <v>81.47999999999999</v>
      </c>
      <c r="H120" s="5">
        <f>VLOOKUP("TOTAL COM BDI - "&amp;B120,CPU!$A:$J,9,FALSE)</f>
        <v>99.669999999999987</v>
      </c>
      <c r="I120" s="5">
        <f>ROUND(F120*H120,2)</f>
        <v>857.16</v>
      </c>
    </row>
    <row r="121" spans="1:9" ht="28.8" x14ac:dyDescent="0.3">
      <c r="A121" s="23" t="s">
        <v>257</v>
      </c>
      <c r="B121" s="23" t="str">
        <f>VLOOKUP(A121,MEMORIA!$A:$N,2,FALSE)</f>
        <v>COMPCOM02</v>
      </c>
      <c r="C121" s="23" t="str">
        <f>VLOOKUP(A121,MEMORIA!$A:$N,3,FALSE)</f>
        <v>PRÓPRIA</v>
      </c>
      <c r="D121" s="24" t="str">
        <f>VLOOKUP(A121,MEMORIA!$A:$N,4,FALSE)</f>
        <v>(COMPOSIÇÃO REPRESENTATIVA) EXECUÇÃO DE ESTRUTURAS DE CONCRETO ARMADO, PARA EDIFICAÇÃO INSTITUCIONAL TÉRREA, FCK = 25 MPA</v>
      </c>
      <c r="E121" s="23" t="str">
        <f>VLOOKUP(A121,MEMORIA!$A:$N,5,FALSE)</f>
        <v>M³</v>
      </c>
      <c r="F121" s="5">
        <f>VLOOKUP(A121,MEMORIA!$A:$N,14,FALSE)</f>
        <v>0.30000000000000004</v>
      </c>
      <c r="G121" s="5">
        <f>VLOOKUP("TOTAL SEM BDI - "&amp;B121,CPU!$A:$J,9,FALSE)</f>
        <v>1270.1599999999999</v>
      </c>
      <c r="H121" s="5">
        <f>VLOOKUP("TOTAL COM BDI - "&amp;B121,CPU!$A:$J,9,FALSE)</f>
        <v>1553.79</v>
      </c>
      <c r="I121" s="5">
        <f>ROUND(F121*H121,2)</f>
        <v>466.14</v>
      </c>
    </row>
    <row r="122" spans="1:9" x14ac:dyDescent="0.3">
      <c r="A122" s="15" t="s">
        <v>50</v>
      </c>
      <c r="B122" s="48" t="str">
        <f>VLOOKUP(A122,MEMORIA!$A:$N,2,FALSE)</f>
        <v>VEDAÇÃO VERTICAL</v>
      </c>
      <c r="C122" s="49"/>
      <c r="D122" s="49"/>
      <c r="E122" s="49"/>
      <c r="F122" s="49"/>
      <c r="G122" s="49"/>
      <c r="H122" s="50"/>
      <c r="I122" s="16">
        <f>SUM($I$123:$I$124)</f>
        <v>2620</v>
      </c>
    </row>
    <row r="123" spans="1:9" ht="43.2" x14ac:dyDescent="0.3">
      <c r="A123" s="23" t="s">
        <v>258</v>
      </c>
      <c r="B123" s="23">
        <f>VLOOKUP(A123,MEMORIA!$A:$N,2,FALSE)</f>
        <v>103329</v>
      </c>
      <c r="C123" s="23" t="str">
        <f>VLOOKUP(A123,MEMORIA!$A:$N,3,FALSE)</f>
        <v>SINAPI</v>
      </c>
      <c r="D123" s="24" t="str">
        <f>VLOOKUP(A123,MEMORIA!$A:$N,4,FALSE)</f>
        <v>ALVENARIA DE VEDAÇÃO DE BLOCOS CERÂMICOS FURADOS NA HORIZONTAL DE 9X19X19 CM (ESPESSURA 9 CM) E ARGAMASSA DE ASSENTAMENTO COM PREPARO MANUAL. AF_12/2021</v>
      </c>
      <c r="E123" s="23" t="str">
        <f>VLOOKUP(A123,MEMORIA!$A:$N,5,FALSE)</f>
        <v>M2</v>
      </c>
      <c r="F123" s="5">
        <f>VLOOKUP(A123,MEMORIA!$A:$N,14,FALSE)</f>
        <v>19.310000000000002</v>
      </c>
      <c r="G123" s="5">
        <f>VLOOKUP("TOTAL SEM BDI - "&amp;B123,CPU!$A:$J,9,FALSE)</f>
        <v>95.039999999999992</v>
      </c>
      <c r="H123" s="5">
        <f>VLOOKUP("TOTAL COM BDI - "&amp;B123,CPU!$A:$J,9,FALSE)</f>
        <v>116.25999999999999</v>
      </c>
      <c r="I123" s="5">
        <f>ROUND(F123*H123,2)</f>
        <v>2244.98</v>
      </c>
    </row>
    <row r="124" spans="1:9" ht="43.2" x14ac:dyDescent="0.3">
      <c r="A124" s="23" t="s">
        <v>259</v>
      </c>
      <c r="B124" s="23">
        <f>VLOOKUP(A124,MEMORIA!$A:$N,2,FALSE)</f>
        <v>101161</v>
      </c>
      <c r="C124" s="23" t="str">
        <f>VLOOKUP(A124,MEMORIA!$A:$N,3,FALSE)</f>
        <v>SINAPI</v>
      </c>
      <c r="D124" s="24" t="str">
        <f>VLOOKUP(A124,MEMORIA!$A:$N,4,FALSE)</f>
        <v>ALVENARIA DE VEDAÇÃO COM ELEMENTO VAZADO DE CONCRETO (COBOGÓ) DE 7X50X50CM E ARGAMASSA DE ASSENTAMENTO COM PREPARO EM BETONEIRA. AF_05/2020</v>
      </c>
      <c r="E124" s="23" t="str">
        <f>VLOOKUP(A124,MEMORIA!$A:$N,5,FALSE)</f>
        <v>M2</v>
      </c>
      <c r="F124" s="5">
        <f>VLOOKUP(A124,MEMORIA!$A:$N,14,FALSE)</f>
        <v>1.5</v>
      </c>
      <c r="G124" s="5">
        <f>VLOOKUP("TOTAL SEM BDI - "&amp;B124,CPU!$A:$J,9,FALSE)</f>
        <v>204.37</v>
      </c>
      <c r="H124" s="5">
        <f>VLOOKUP("TOTAL COM BDI - "&amp;B124,CPU!$A:$J,9,FALSE)</f>
        <v>250.01</v>
      </c>
      <c r="I124" s="5">
        <f>ROUND(F124*H124,2)</f>
        <v>375.02</v>
      </c>
    </row>
    <row r="125" spans="1:9" x14ac:dyDescent="0.3">
      <c r="A125" s="15" t="s">
        <v>51</v>
      </c>
      <c r="B125" s="48" t="str">
        <f>VLOOKUP(A125,MEMORIA!$A:$N,2,FALSE)</f>
        <v>COBERTURA</v>
      </c>
      <c r="C125" s="49"/>
      <c r="D125" s="49"/>
      <c r="E125" s="49"/>
      <c r="F125" s="49"/>
      <c r="G125" s="49"/>
      <c r="H125" s="50"/>
      <c r="I125" s="16">
        <f>SUM($I$126:$I$127)</f>
        <v>1305.45</v>
      </c>
    </row>
    <row r="126" spans="1:9" ht="28.8" x14ac:dyDescent="0.3">
      <c r="A126" s="23" t="s">
        <v>260</v>
      </c>
      <c r="B126" s="23" t="str">
        <f>VLOOKUP(A126,MEMORIA!$A:$N,2,FALSE)</f>
        <v>COMPCOM03</v>
      </c>
      <c r="C126" s="23" t="str">
        <f>VLOOKUP(A126,MEMORIA!$A:$N,3,FALSE)</f>
        <v>PRÓPRIA</v>
      </c>
      <c r="D126" s="24" t="str">
        <f>VLOOKUP(A126,MEMORIA!$A:$N,4,FALSE)</f>
        <v>TELHAMENTO COM TELHA CERÂMICA CAPA-CANAL, TIPO COLONIAL, COM ATÉ 2 ÁGUAS, INCLUSO TRANSPORTE VERTICAL</v>
      </c>
      <c r="E126" s="23" t="str">
        <f>VLOOKUP(A126,MEMORIA!$A:$N,5,FALSE)</f>
        <v>M²</v>
      </c>
      <c r="F126" s="5">
        <f>VLOOKUP(A126,MEMORIA!$A:$N,14,FALSE)</f>
        <v>10.23</v>
      </c>
      <c r="G126" s="5">
        <f>VLOOKUP("TOTAL SEM BDI - "&amp;B126,CPU!$A:$J,9,FALSE)</f>
        <v>37.64</v>
      </c>
      <c r="H126" s="5">
        <f>VLOOKUP("TOTAL COM BDI - "&amp;B126,CPU!$A:$J,9,FALSE)</f>
        <v>46.05</v>
      </c>
      <c r="I126" s="5">
        <f>ROUND(F126*H126,2)</f>
        <v>471.09</v>
      </c>
    </row>
    <row r="127" spans="1:9" ht="28.8" x14ac:dyDescent="0.3">
      <c r="A127" s="23" t="s">
        <v>261</v>
      </c>
      <c r="B127" s="23" t="str">
        <f>VLOOKUP(A127,MEMORIA!$A:$N,2,FALSE)</f>
        <v>COMPCOM04</v>
      </c>
      <c r="C127" s="23" t="str">
        <f>VLOOKUP(A127,MEMORIA!$A:$N,3,FALSE)</f>
        <v>PRÓPRIA</v>
      </c>
      <c r="D127" s="24" t="str">
        <f>VLOOKUP(A127,MEMORIA!$A:$N,4,FALSE)</f>
        <v>TRAMA DE MADEIRA COMPOSTA POR RIPAS, CAIBROS E TERÇAS PARA TELHADOS DE ATÉ 2 ÁGUAS PARA TELHA CERÂMICA CAPA-CANAL, INCLUSO TRANSPORTE VERTICAL</v>
      </c>
      <c r="E127" s="23" t="str">
        <f>VLOOKUP(A127,MEMORIA!$A:$N,5,FALSE)</f>
        <v>M²</v>
      </c>
      <c r="F127" s="5">
        <f>VLOOKUP(A127,MEMORIA!$A:$N,14,FALSE)</f>
        <v>10.23</v>
      </c>
      <c r="G127" s="5">
        <f>VLOOKUP("TOTAL SEM BDI - "&amp;B127,CPU!$A:$J,9,FALSE)</f>
        <v>66.67</v>
      </c>
      <c r="H127" s="5">
        <f>VLOOKUP("TOTAL COM BDI - "&amp;B127,CPU!$A:$J,9,FALSE)</f>
        <v>81.56</v>
      </c>
      <c r="I127" s="5">
        <f>ROUND(F127*H127,2)</f>
        <v>834.36</v>
      </c>
    </row>
    <row r="128" spans="1:9" x14ac:dyDescent="0.3">
      <c r="A128" s="15" t="s">
        <v>52</v>
      </c>
      <c r="B128" s="48" t="str">
        <f>VLOOKUP(A128,MEMORIA!$A:$N,2,FALSE)</f>
        <v>PISO</v>
      </c>
      <c r="C128" s="49"/>
      <c r="D128" s="49"/>
      <c r="E128" s="49"/>
      <c r="F128" s="49"/>
      <c r="G128" s="49"/>
      <c r="H128" s="50"/>
      <c r="I128" s="16">
        <f>SUM($I$129:$I$131)</f>
        <v>1174.01</v>
      </c>
    </row>
    <row r="129" spans="1:9" ht="28.8" x14ac:dyDescent="0.3">
      <c r="A129" s="23" t="s">
        <v>262</v>
      </c>
      <c r="B129" s="23">
        <f>VLOOKUP(A129,MEMORIA!$A:$N,2,FALSE)</f>
        <v>96617</v>
      </c>
      <c r="C129" s="23" t="str">
        <f>VLOOKUP(A129,MEMORIA!$A:$N,3,FALSE)</f>
        <v>SINAPI</v>
      </c>
      <c r="D129" s="24" t="str">
        <f>VLOOKUP(A129,MEMORIA!$A:$N,4,FALSE)</f>
        <v>LASTRO DE CONCRETO MAGRO, APLICADO EM BLOCOS DE COROAMENTO OU SAPATAS, ESPESSURA DE 3 CM. AF_01/2024</v>
      </c>
      <c r="E129" s="23" t="str">
        <f>VLOOKUP(A129,MEMORIA!$A:$N,5,FALSE)</f>
        <v>M2</v>
      </c>
      <c r="F129" s="5">
        <f>VLOOKUP(A129,MEMORIA!$A:$N,14,FALSE)</f>
        <v>4</v>
      </c>
      <c r="G129" s="5">
        <f>VLOOKUP("TOTAL SEM BDI - "&amp;B129,CPU!$A:$J,9,FALSE)</f>
        <v>23.57</v>
      </c>
      <c r="H129" s="5">
        <f>VLOOKUP("TOTAL COM BDI - "&amp;B129,CPU!$A:$J,9,FALSE)</f>
        <v>28.83</v>
      </c>
      <c r="I129" s="5">
        <f>ROUND(F129*H129,2)</f>
        <v>115.32</v>
      </c>
    </row>
    <row r="130" spans="1:9" ht="28.8" x14ac:dyDescent="0.3">
      <c r="A130" s="23" t="s">
        <v>263</v>
      </c>
      <c r="B130" s="23">
        <f>VLOOKUP(A130,MEMORIA!$A:$N,2,FALSE)</f>
        <v>101749</v>
      </c>
      <c r="C130" s="23" t="str">
        <f>VLOOKUP(A130,MEMORIA!$A:$N,3,FALSE)</f>
        <v>SINAPI</v>
      </c>
      <c r="D130" s="24" t="str">
        <f>VLOOKUP(A130,MEMORIA!$A:$N,4,FALSE)</f>
        <v>PISO CIMENTADO, TRAÇO 1:3 (CIMENTO E AREIA), ACABAMENTO LISO, ESPESSURA 4,0 CM, PREPARO MECÂNICO DA ARGAMASSA. AF_09/2020</v>
      </c>
      <c r="E130" s="23" t="str">
        <f>VLOOKUP(A130,MEMORIA!$A:$N,5,FALSE)</f>
        <v>M2</v>
      </c>
      <c r="F130" s="5">
        <f>VLOOKUP(A130,MEMORIA!$A:$N,14,FALSE)</f>
        <v>4</v>
      </c>
      <c r="G130" s="5">
        <f>VLOOKUP("TOTAL SEM BDI - "&amp;B130,CPU!$A:$J,9,FALSE)</f>
        <v>64.739999999999995</v>
      </c>
      <c r="H130" s="5">
        <f>VLOOKUP("TOTAL COM BDI - "&amp;B130,CPU!$A:$J,9,FALSE)</f>
        <v>79.199999999999989</v>
      </c>
      <c r="I130" s="5">
        <f>ROUND(F130*H130,2)</f>
        <v>316.8</v>
      </c>
    </row>
    <row r="131" spans="1:9" ht="43.2" x14ac:dyDescent="0.3">
      <c r="A131" s="23" t="s">
        <v>264</v>
      </c>
      <c r="B131" s="23">
        <f>VLOOKUP(A131,MEMORIA!$A:$N,2,FALSE)</f>
        <v>94994</v>
      </c>
      <c r="C131" s="23" t="str">
        <f>VLOOKUP(A131,MEMORIA!$A:$N,3,FALSE)</f>
        <v>SINAPI</v>
      </c>
      <c r="D131" s="24" t="str">
        <f>VLOOKUP(A131,MEMORIA!$A:$N,4,FALSE)</f>
        <v>EXECUÇÃO DE PASSEIO (CALÇADA) OU PISO DE CONCRETO COM CONCRETO MOLDADO IN LOCO, FEITO EM OBRA, ACABAMENTO CONVENCIONAL, ESPESSURA 8 CM, ARMADO. AF_08/2022</v>
      </c>
      <c r="E131" s="23" t="str">
        <f>VLOOKUP(A131,MEMORIA!$A:$N,5,FALSE)</f>
        <v>M2</v>
      </c>
      <c r="F131" s="5">
        <f>VLOOKUP(A131,MEMORIA!$A:$N,14,FALSE)</f>
        <v>5.6</v>
      </c>
      <c r="G131" s="5">
        <f>VLOOKUP("TOTAL SEM BDI - "&amp;B131,CPU!$A:$J,9,FALSE)</f>
        <v>108.30000000000003</v>
      </c>
      <c r="H131" s="5">
        <f>VLOOKUP("TOTAL COM BDI - "&amp;B131,CPU!$A:$J,9,FALSE)</f>
        <v>132.48000000000002</v>
      </c>
      <c r="I131" s="5">
        <f>ROUND(F131*H131,2)</f>
        <v>741.89</v>
      </c>
    </row>
    <row r="132" spans="1:9" x14ac:dyDescent="0.3">
      <c r="A132" s="15" t="s">
        <v>53</v>
      </c>
      <c r="B132" s="48" t="str">
        <f>VLOOKUP(A132,MEMORIA!$A:$N,2,FALSE)</f>
        <v>REVESTIMENTO</v>
      </c>
      <c r="C132" s="49"/>
      <c r="D132" s="49"/>
      <c r="E132" s="49"/>
      <c r="F132" s="49"/>
      <c r="G132" s="49"/>
      <c r="H132" s="50"/>
      <c r="I132" s="16">
        <f>SUM($I$133:$I$134)</f>
        <v>2341.92</v>
      </c>
    </row>
    <row r="133" spans="1:9" ht="43.2" x14ac:dyDescent="0.3">
      <c r="A133" s="23" t="s">
        <v>265</v>
      </c>
      <c r="B133" s="23">
        <f>VLOOKUP(A133,MEMORIA!$A:$N,2,FALSE)</f>
        <v>87904</v>
      </c>
      <c r="C133" s="23" t="str">
        <f>VLOOKUP(A133,MEMORIA!$A:$N,3,FALSE)</f>
        <v>SINAPI</v>
      </c>
      <c r="D133" s="24" t="str">
        <f>VLOOKUP(A133,MEMORIA!$A:$N,4,FALSE)</f>
        <v>CHAPISCO APLICADO EM ALVENARIA (COM PRESENÇA DE VÃOS) E ESTRUTURAS DE CONCRETO DE FACHADA, COM COLHER DE PEDREIRO. ARGAMASSA TRAÇO 1:3 COM PREPARO MANUAL. AF_10/2022</v>
      </c>
      <c r="E133" s="23" t="str">
        <f>VLOOKUP(A133,MEMORIA!$A:$N,5,FALSE)</f>
        <v>M2</v>
      </c>
      <c r="F133" s="5">
        <f>VLOOKUP(A133,MEMORIA!$A:$N,14,FALSE)</f>
        <v>38.619999999999997</v>
      </c>
      <c r="G133" s="5">
        <f>VLOOKUP("TOTAL SEM BDI - "&amp;B133,CPU!$A:$J,9,FALSE)</f>
        <v>8.7199999999999989</v>
      </c>
      <c r="H133" s="5">
        <f>VLOOKUP("TOTAL COM BDI - "&amp;B133,CPU!$A:$J,9,FALSE)</f>
        <v>10.669999999999998</v>
      </c>
      <c r="I133" s="5">
        <f>ROUND(F133*H133,2)</f>
        <v>412.08</v>
      </c>
    </row>
    <row r="134" spans="1:9" ht="43.2" x14ac:dyDescent="0.3">
      <c r="A134" s="23" t="s">
        <v>266</v>
      </c>
      <c r="B134" s="23">
        <f>VLOOKUP(A134,MEMORIA!$A:$N,2,FALSE)</f>
        <v>87530</v>
      </c>
      <c r="C134" s="23" t="str">
        <f>VLOOKUP(A134,MEMORIA!$A:$N,3,FALSE)</f>
        <v>SINAPI</v>
      </c>
      <c r="D134" s="24" t="str">
        <f>VLOOKUP(A134,MEMORIA!$A:$N,4,FALSE)</f>
        <v>MASSA ÚNICA, EM ARGAMASSA TRAÇO 1:2:8, PREPARO MANUAL, APLICADA MANUALMENTE EM PAREDES INTERNAS DE AMBIENTES COM ÁREA ENTRE 5M² E 10M², E = 17,5MM, COM TALISCAS. AF_03/2024</v>
      </c>
      <c r="E134" s="23" t="str">
        <f>VLOOKUP(A134,MEMORIA!$A:$N,5,FALSE)</f>
        <v>M2</v>
      </c>
      <c r="F134" s="5">
        <f>VLOOKUP(A134,MEMORIA!$A:$N,14,FALSE)</f>
        <v>38.619999999999997</v>
      </c>
      <c r="G134" s="5">
        <f>VLOOKUP("TOTAL SEM BDI - "&amp;B134,CPU!$A:$J,9,FALSE)</f>
        <v>40.85</v>
      </c>
      <c r="H134" s="5">
        <f>VLOOKUP("TOTAL COM BDI - "&amp;B134,CPU!$A:$J,9,FALSE)</f>
        <v>49.97</v>
      </c>
      <c r="I134" s="5">
        <f>ROUND(F134*H134,2)</f>
        <v>1929.84</v>
      </c>
    </row>
    <row r="135" spans="1:9" x14ac:dyDescent="0.3">
      <c r="A135" s="15" t="s">
        <v>54</v>
      </c>
      <c r="B135" s="48" t="str">
        <f>VLOOKUP(A135,MEMORIA!$A:$N,2,FALSE)</f>
        <v>ESQUADRIAS</v>
      </c>
      <c r="C135" s="49"/>
      <c r="D135" s="49"/>
      <c r="E135" s="49"/>
      <c r="F135" s="49"/>
      <c r="G135" s="49"/>
      <c r="H135" s="50"/>
      <c r="I135" s="16">
        <f>SUM($I$136:$I$137)</f>
        <v>2243.75</v>
      </c>
    </row>
    <row r="136" spans="1:9" x14ac:dyDescent="0.3">
      <c r="A136" s="23" t="s">
        <v>267</v>
      </c>
      <c r="B136" s="23">
        <f>VLOOKUP(A136,MEMORIA!$A:$N,2,FALSE)</f>
        <v>100701</v>
      </c>
      <c r="C136" s="23" t="str">
        <f>VLOOKUP(A136,MEMORIA!$A:$N,3,FALSE)</f>
        <v>SINAPI</v>
      </c>
      <c r="D136" s="24" t="str">
        <f>VLOOKUP(A136,MEMORIA!$A:$N,4,FALSE)</f>
        <v>PORTA DE FERRO, DE ABRIR, TIPO GRADE COM CHAPA, COM GUARNIÇÕES. AF_12/2019</v>
      </c>
      <c r="E136" s="23" t="str">
        <f>VLOOKUP(A136,MEMORIA!$A:$N,5,FALSE)</f>
        <v>M2</v>
      </c>
      <c r="F136" s="5">
        <f>VLOOKUP(A136,MEMORIA!$A:$N,14,FALSE)</f>
        <v>1.68</v>
      </c>
      <c r="G136" s="5">
        <f>VLOOKUP("TOTAL SEM BDI - "&amp;B136,CPU!$A:$J,9,FALSE)</f>
        <v>415.24</v>
      </c>
      <c r="H136" s="5">
        <f>VLOOKUP("TOTAL COM BDI - "&amp;B136,CPU!$A:$J,9,FALSE)</f>
        <v>507.96000000000004</v>
      </c>
      <c r="I136" s="5">
        <f>ROUND(F136*H136,2)</f>
        <v>853.37</v>
      </c>
    </row>
    <row r="137" spans="1:9" x14ac:dyDescent="0.3">
      <c r="A137" s="23" t="s">
        <v>268</v>
      </c>
      <c r="B137" s="23" t="str">
        <f>VLOOKUP(A137,MEMORIA!$A:$N,2,FALSE)</f>
        <v>COMP219</v>
      </c>
      <c r="C137" s="23" t="str">
        <f>VLOOKUP(A137,MEMORIA!$A:$N,3,FALSE)</f>
        <v>PRÓPRIA</v>
      </c>
      <c r="D137" s="24" t="str">
        <f>VLOOKUP(A137,MEMORIA!$A:$N,4,FALSE)</f>
        <v>PORTÃO DE FERRO EM BARRA CHATA TIPO TIJOLINHO (REF: C1999-SEINFRA 28)</v>
      </c>
      <c r="E137" s="23" t="str">
        <f>VLOOKUP(A137,MEMORIA!$A:$N,5,FALSE)</f>
        <v>M2</v>
      </c>
      <c r="F137" s="5">
        <f>VLOOKUP(A137,MEMORIA!$A:$N,14,FALSE)</f>
        <v>6</v>
      </c>
      <c r="G137" s="5">
        <f>VLOOKUP("TOTAL SEM BDI - "&amp;B137,CPU!$A:$J,9,FALSE)</f>
        <v>189.43</v>
      </c>
      <c r="H137" s="5">
        <f>VLOOKUP("TOTAL COM BDI - "&amp;B137,CPU!$A:$J,9,FALSE)</f>
        <v>231.73000000000002</v>
      </c>
      <c r="I137" s="5">
        <f>ROUND(F137*H137,2)</f>
        <v>1390.38</v>
      </c>
    </row>
    <row r="138" spans="1:9" x14ac:dyDescent="0.3">
      <c r="A138" s="15" t="s">
        <v>55</v>
      </c>
      <c r="B138" s="48" t="str">
        <f>VLOOKUP(A138,MEMORIA!$A:$N,2,FALSE)</f>
        <v>PINTURA</v>
      </c>
      <c r="C138" s="49"/>
      <c r="D138" s="49"/>
      <c r="E138" s="49"/>
      <c r="F138" s="49"/>
      <c r="G138" s="49"/>
      <c r="H138" s="50"/>
      <c r="I138" s="16">
        <f>SUM($I$139:$I$140)</f>
        <v>649.88</v>
      </c>
    </row>
    <row r="139" spans="1:9" x14ac:dyDescent="0.3">
      <c r="A139" s="23" t="s">
        <v>269</v>
      </c>
      <c r="B139" s="23" t="str">
        <f>VLOOKUP(A139,MEMORIA!$A:$N,2,FALSE)</f>
        <v>COMP205</v>
      </c>
      <c r="C139" s="23" t="str">
        <f>VLOOKUP(A139,MEMORIA!$A:$N,3,FALSE)</f>
        <v>PRÓPRIA</v>
      </c>
      <c r="D139" s="24" t="str">
        <f>VLOOKUP(A139,MEMORIA!$A:$N,4,FALSE)</f>
        <v>CAIAÇÃO EM TRES DEMÃOS EM PAREDES (REF: C0589-SEINFRA 28)</v>
      </c>
      <c r="E139" s="23" t="str">
        <f>VLOOKUP(A139,MEMORIA!$A:$N,5,FALSE)</f>
        <v>M2</v>
      </c>
      <c r="F139" s="5">
        <f>VLOOKUP(A139,MEMORIA!$A:$N,14,FALSE)</f>
        <v>38.619999999999997</v>
      </c>
      <c r="G139" s="5">
        <f>VLOOKUP("TOTAL SEM BDI - "&amp;B139,CPU!$A:$J,9,FALSE)</f>
        <v>9.3800000000000008</v>
      </c>
      <c r="H139" s="5">
        <f>VLOOKUP("TOTAL COM BDI - "&amp;B139,CPU!$A:$J,9,FALSE)</f>
        <v>11.47</v>
      </c>
      <c r="I139" s="5">
        <f>ROUND(F139*H139,2)</f>
        <v>442.97</v>
      </c>
    </row>
    <row r="140" spans="1:9" ht="43.2" x14ac:dyDescent="0.3">
      <c r="A140" s="23" t="s">
        <v>270</v>
      </c>
      <c r="B140" s="23">
        <f>VLOOKUP(A140,MEMORIA!$A:$N,2,FALSE)</f>
        <v>100758</v>
      </c>
      <c r="C140" s="23" t="str">
        <f>VLOOKUP(A140,MEMORIA!$A:$N,3,FALSE)</f>
        <v>SINAPI</v>
      </c>
      <c r="D140" s="24" t="str">
        <f>VLOOKUP(A140,MEMORIA!$A:$N,4,FALSE)</f>
        <v>PINTURA COM TINTA ALQUÍDICA DE ACABAMENTO (ESMALTE SINTÉTICO ACETINADO) APLICADA A ROLO OU PINCEL SOBRE SUPERFÍCIES METÁLICAS (EXCETO PERFIL) EXECUTADO EM OBRA (02 DEMÃOS). AF_01/2020</v>
      </c>
      <c r="E140" s="23" t="str">
        <f>VLOOKUP(A140,MEMORIA!$A:$N,5,FALSE)</f>
        <v>M2</v>
      </c>
      <c r="F140" s="5">
        <f>VLOOKUP(A140,MEMORIA!$A:$N,14,FALSE)</f>
        <v>3.36</v>
      </c>
      <c r="G140" s="5">
        <f>VLOOKUP("TOTAL SEM BDI - "&amp;B140,CPU!$A:$J,9,FALSE)</f>
        <v>50.339999999999996</v>
      </c>
      <c r="H140" s="5">
        <f>VLOOKUP("TOTAL COM BDI - "&amp;B140,CPU!$A:$J,9,FALSE)</f>
        <v>61.58</v>
      </c>
      <c r="I140" s="5">
        <f>ROUND(F140*H140,2)</f>
        <v>206.91</v>
      </c>
    </row>
    <row r="141" spans="1:9" x14ac:dyDescent="0.3">
      <c r="A141" s="15" t="s">
        <v>56</v>
      </c>
      <c r="B141" s="48" t="str">
        <f>VLOOKUP(A141,MEMORIA!$A:$N,2,FALSE)</f>
        <v>CERCAMENTO</v>
      </c>
      <c r="C141" s="49"/>
      <c r="D141" s="49"/>
      <c r="E141" s="49"/>
      <c r="F141" s="49"/>
      <c r="G141" s="49"/>
      <c r="H141" s="50"/>
      <c r="I141" s="16">
        <f>SUM($I$142:$I$142)</f>
        <v>5908.53</v>
      </c>
    </row>
    <row r="142" spans="1:9" ht="43.2" x14ac:dyDescent="0.3">
      <c r="A142" s="23" t="s">
        <v>271</v>
      </c>
      <c r="B142" s="23">
        <f>VLOOKUP(A142,MEMORIA!$A:$N,2,FALSE)</f>
        <v>101197</v>
      </c>
      <c r="C142" s="23" t="str">
        <f>VLOOKUP(A142,MEMORIA!$A:$N,3,FALSE)</f>
        <v>SINAPI</v>
      </c>
      <c r="D142" s="24" t="str">
        <f>VLOOKUP(A142,MEMORIA!$A:$N,4,FALSE)</f>
        <v>CERCA COM MOURÕES DE CONCRETO, SEÇÃO "T" PONTA INCLINADA, 10X10 CM, ESPAÇAMENTO DE 2,5 M, CRAVADOS 0,5 M, COM 11 FIOS DE ARAME FARPADO Nº 14 - FORNECIMENTO E INSTALAÇÃO. AF_05/2020</v>
      </c>
      <c r="E142" s="23" t="str">
        <f>VLOOKUP(A142,MEMORIA!$A:$N,5,FALSE)</f>
        <v>M</v>
      </c>
      <c r="F142" s="5">
        <f>VLOOKUP(A142,MEMORIA!$A:$N,14,FALSE)</f>
        <v>37</v>
      </c>
      <c r="G142" s="5">
        <f>VLOOKUP("TOTAL SEM BDI - "&amp;B142,CPU!$A:$J,9,FALSE)</f>
        <v>130.54</v>
      </c>
      <c r="H142" s="5">
        <f>VLOOKUP("TOTAL COM BDI - "&amp;B142,CPU!$A:$J,9,FALSE)</f>
        <v>159.69</v>
      </c>
      <c r="I142" s="5">
        <f>ROUND(F142*H142,2)</f>
        <v>5908.53</v>
      </c>
    </row>
    <row r="143" spans="1:9" x14ac:dyDescent="0.3">
      <c r="A143" s="12" t="s">
        <v>57</v>
      </c>
      <c r="B143" s="51" t="str">
        <f>VLOOKUP(A143,MEMORIA!$A:$N,2,FALSE)</f>
        <v>INSTALAÇÕES ELÉTRICAS</v>
      </c>
      <c r="C143" s="52"/>
      <c r="D143" s="52"/>
      <c r="E143" s="52"/>
      <c r="F143" s="52"/>
      <c r="G143" s="52"/>
      <c r="H143" s="53"/>
      <c r="I143" s="13">
        <f>SUM($I$144:$I$145)</f>
        <v>18545.48</v>
      </c>
    </row>
    <row r="144" spans="1:9" ht="43.2" x14ac:dyDescent="0.3">
      <c r="A144" s="23" t="s">
        <v>272</v>
      </c>
      <c r="B144" s="23" t="str">
        <f>VLOOKUP(A144,MEMORIA!$A:$N,2,FALSE)</f>
        <v>COMP223</v>
      </c>
      <c r="C144" s="23" t="str">
        <f>VLOOKUP(A144,MEMORIA!$A:$N,3,FALSE)</f>
        <v>PRÓPRIA</v>
      </c>
      <c r="D144" s="24" t="str">
        <f>VLOOKUP(A144,MEMORIA!$A:$N,4,FALSE)</f>
        <v>FORNECIMENTO E INSTALAÇÃO DE KIT DE BOMBEAMENTO SOLAR P/ POÇO COM PROFUNDIDADE DE 100 A 120 M, INCLUSO BOMBA 3CV, INVERSOR, PAINÉIS, QUADRO DE COMANDO, DISJUNTORES, CABOS E CONEXÕES E ESTRUTURA TIPO SOLO</v>
      </c>
      <c r="E144" s="23" t="str">
        <f>VLOOKUP(A144,MEMORIA!$A:$N,5,FALSE)</f>
        <v>UND</v>
      </c>
      <c r="F144" s="5">
        <f>VLOOKUP(A144,MEMORIA!$A:$N,14,FALSE)</f>
        <v>1</v>
      </c>
      <c r="G144" s="5">
        <f>VLOOKUP("TOTAL SEM BDI - "&amp;B144,CPU!$A:$J,9,FALSE)</f>
        <v>12042.74</v>
      </c>
      <c r="H144" s="5">
        <f>VLOOKUP("TOTAL COM BDI - "&amp;B144,CPU!$A:$J,9,FALSE)</f>
        <v>14731.88</v>
      </c>
      <c r="I144" s="5">
        <f>ROUND(F144*H144,2)</f>
        <v>14731.88</v>
      </c>
    </row>
    <row r="145" spans="1:9" x14ac:dyDescent="0.3">
      <c r="A145" s="23" t="s">
        <v>273</v>
      </c>
      <c r="B145" s="23" t="str">
        <f>VLOOKUP(A145,MEMORIA!$A:$N,2,FALSE)</f>
        <v>COMPOS24</v>
      </c>
      <c r="C145" s="23" t="str">
        <f>VLOOKUP(A145,MEMORIA!$A:$N,3,FALSE)</f>
        <v>PRÓPRIA</v>
      </c>
      <c r="D145" s="24" t="str">
        <f>VLOOKUP(A145,MEMORIA!$A:$N,4,FALSE)</f>
        <v>FORNECIMENTO E INSTALAÇÃO DE CABO CHATO SUBMERSO DE 3 X 6 MM²</v>
      </c>
      <c r="E145" s="23" t="str">
        <f>VLOOKUP(A145,MEMORIA!$A:$N,5,FALSE)</f>
        <v>M</v>
      </c>
      <c r="F145" s="5">
        <f>VLOOKUP(A145,MEMORIA!$A:$N,14,FALSE)</f>
        <v>120</v>
      </c>
      <c r="G145" s="5">
        <f>VLOOKUP("TOTAL SEM BDI - "&amp;B145,CPU!$A:$J,9,FALSE)</f>
        <v>25.98</v>
      </c>
      <c r="H145" s="5">
        <f>VLOOKUP("TOTAL COM BDI - "&amp;B145,CPU!$A:$J,9,FALSE)</f>
        <v>31.78</v>
      </c>
      <c r="I145" s="5">
        <f>ROUND(F145*H145,2)</f>
        <v>3813.6</v>
      </c>
    </row>
    <row r="146" spans="1:9" x14ac:dyDescent="0.3">
      <c r="A146" s="12" t="s">
        <v>58</v>
      </c>
      <c r="B146" s="51" t="str">
        <f>VLOOKUP(A146,MEMORIA!$A:$N,2,FALSE)</f>
        <v>ADUÇÃO</v>
      </c>
      <c r="C146" s="52"/>
      <c r="D146" s="52"/>
      <c r="E146" s="52"/>
      <c r="F146" s="52"/>
      <c r="G146" s="52"/>
      <c r="H146" s="53"/>
      <c r="I146" s="13">
        <f>SUM($I$147,$I$150,$I$152,)</f>
        <v>1455.29</v>
      </c>
    </row>
    <row r="147" spans="1:9" x14ac:dyDescent="0.3">
      <c r="A147" s="15" t="s">
        <v>59</v>
      </c>
      <c r="B147" s="48" t="str">
        <f>VLOOKUP(A147,MEMORIA!$A:$N,2,FALSE)</f>
        <v>MOVIMENTO DE TERRA</v>
      </c>
      <c r="C147" s="49"/>
      <c r="D147" s="49"/>
      <c r="E147" s="49"/>
      <c r="F147" s="49"/>
      <c r="G147" s="49"/>
      <c r="H147" s="50"/>
      <c r="I147" s="16">
        <f>SUM($I$148:$I$149)</f>
        <v>485.08</v>
      </c>
    </row>
    <row r="148" spans="1:9" x14ac:dyDescent="0.3">
      <c r="A148" s="23" t="s">
        <v>274</v>
      </c>
      <c r="B148" s="23">
        <f>VLOOKUP(A148,MEMORIA!$A:$N,2,FALSE)</f>
        <v>93358</v>
      </c>
      <c r="C148" s="23" t="str">
        <f>VLOOKUP(A148,MEMORIA!$A:$N,3,FALSE)</f>
        <v>SINAPI</v>
      </c>
      <c r="D148" s="24" t="str">
        <f>VLOOKUP(A148,MEMORIA!$A:$N,4,FALSE)</f>
        <v>ESCAVAÇÃO MANUAL DE VALA. AF_09/2024</v>
      </c>
      <c r="E148" s="23" t="str">
        <f>VLOOKUP(A148,MEMORIA!$A:$N,5,FALSE)</f>
        <v>M3</v>
      </c>
      <c r="F148" s="5">
        <f>VLOOKUP(A148,MEMORIA!$A:$N,14,FALSE)</f>
        <v>3.23</v>
      </c>
      <c r="G148" s="5">
        <f>VLOOKUP("TOTAL SEM BDI - "&amp;B148,CPU!$A:$J,9,FALSE)</f>
        <v>85.87</v>
      </c>
      <c r="H148" s="5">
        <f>VLOOKUP("TOTAL COM BDI - "&amp;B148,CPU!$A:$J,9,FALSE)</f>
        <v>105.04</v>
      </c>
      <c r="I148" s="5">
        <f>ROUND(F148*H148,2)</f>
        <v>339.28</v>
      </c>
    </row>
    <row r="149" spans="1:9" x14ac:dyDescent="0.3">
      <c r="A149" s="23" t="s">
        <v>275</v>
      </c>
      <c r="B149" s="23" t="str">
        <f>VLOOKUP(A149,MEMORIA!$A:$N,2,FALSE)</f>
        <v>COMPOS28</v>
      </c>
      <c r="C149" s="23" t="str">
        <f>VLOOKUP(A149,MEMORIA!$A:$N,3,FALSE)</f>
        <v>PRÓPRIA</v>
      </c>
      <c r="D149" s="24" t="str">
        <f>VLOOKUP(A149,MEMORIA!$A:$N,4,FALSE)</f>
        <v>REATERRO DE VALA COM COMPACTAÇÃO MANUAL</v>
      </c>
      <c r="E149" s="23" t="str">
        <f>VLOOKUP(A149,MEMORIA!$A:$N,5,FALSE)</f>
        <v>M³</v>
      </c>
      <c r="F149" s="5">
        <f>VLOOKUP(A149,MEMORIA!$A:$N,14,FALSE)</f>
        <v>3.23</v>
      </c>
      <c r="G149" s="5">
        <f>VLOOKUP("TOTAL SEM BDI - "&amp;B149,CPU!$A:$J,9,FALSE)</f>
        <v>36.9</v>
      </c>
      <c r="H149" s="5">
        <f>VLOOKUP("TOTAL COM BDI - "&amp;B149,CPU!$A:$J,9,FALSE)</f>
        <v>45.14</v>
      </c>
      <c r="I149" s="5">
        <f>ROUND(F149*H149,2)</f>
        <v>145.80000000000001</v>
      </c>
    </row>
    <row r="150" spans="1:9" x14ac:dyDescent="0.3">
      <c r="A150" s="15" t="s">
        <v>60</v>
      </c>
      <c r="B150" s="48" t="str">
        <f>VLOOKUP(A150,MEMORIA!$A:$N,2,FALSE)</f>
        <v>INFRAESTRUTURA</v>
      </c>
      <c r="C150" s="49"/>
      <c r="D150" s="49"/>
      <c r="E150" s="49"/>
      <c r="F150" s="49"/>
      <c r="G150" s="49"/>
      <c r="H150" s="50"/>
      <c r="I150" s="16">
        <f>SUM($I$151:$I$151)</f>
        <v>264.64</v>
      </c>
    </row>
    <row r="151" spans="1:9" x14ac:dyDescent="0.3">
      <c r="A151" s="23" t="s">
        <v>276</v>
      </c>
      <c r="B151" s="23" t="str">
        <f>VLOOKUP(A151,MEMORIA!$A:$N,2,FALSE)</f>
        <v>COMP216</v>
      </c>
      <c r="C151" s="23" t="str">
        <f>VLOOKUP(A151,MEMORIA!$A:$N,3,FALSE)</f>
        <v>PRÓPRIA</v>
      </c>
      <c r="D151" s="24" t="str">
        <f>VLOOKUP(A151,MEMORIA!$A:$N,4,FALSE)</f>
        <v>BLOCO DE ANCORAGEM EM CONCRETO SIMPLES FCK=10MPA (REF: C3403-SEINFRA 28)</v>
      </c>
      <c r="E151" s="23" t="str">
        <f>VLOOKUP(A151,MEMORIA!$A:$N,5,FALSE)</f>
        <v>M3</v>
      </c>
      <c r="F151" s="5">
        <f>VLOOKUP(A151,MEMORIA!$A:$N,14,FALSE)</f>
        <v>0.26</v>
      </c>
      <c r="G151" s="5">
        <f>VLOOKUP("TOTAL SEM BDI - "&amp;B151,CPU!$A:$J,9,FALSE)</f>
        <v>832.05</v>
      </c>
      <c r="H151" s="5">
        <f>VLOOKUP("TOTAL COM BDI - "&amp;B151,CPU!$A:$J,9,FALSE)</f>
        <v>1017.8499999999999</v>
      </c>
      <c r="I151" s="5">
        <f>ROUND(F151*H151,2)</f>
        <v>264.64</v>
      </c>
    </row>
    <row r="152" spans="1:9" x14ac:dyDescent="0.3">
      <c r="A152" s="15" t="s">
        <v>61</v>
      </c>
      <c r="B152" s="48" t="str">
        <f>VLOOKUP(A152,MEMORIA!$A:$N,2,FALSE)</f>
        <v>INSTALAÇÕES HIDRÁULICAS</v>
      </c>
      <c r="C152" s="49"/>
      <c r="D152" s="49"/>
      <c r="E152" s="49"/>
      <c r="F152" s="49"/>
      <c r="G152" s="49"/>
      <c r="H152" s="50"/>
      <c r="I152" s="16">
        <f>SUM($I$153:$I$154)</f>
        <v>705.57</v>
      </c>
    </row>
    <row r="153" spans="1:9" ht="28.8" x14ac:dyDescent="0.3">
      <c r="A153" s="23" t="s">
        <v>277</v>
      </c>
      <c r="B153" s="23">
        <f>VLOOKUP(A153,MEMORIA!$A:$N,2,FALSE)</f>
        <v>94498</v>
      </c>
      <c r="C153" s="23" t="str">
        <f>VLOOKUP(A153,MEMORIA!$A:$N,3,FALSE)</f>
        <v>SINAPI</v>
      </c>
      <c r="D153" s="24" t="str">
        <f>VLOOKUP(A153,MEMORIA!$A:$N,4,FALSE)</f>
        <v>REGISTRO DE GAVETA BRUTO, LATÃO, ROSCÁVEL, 2" - FORNECIMENTO E INSTALAÇÃO. AF_08/2021</v>
      </c>
      <c r="E153" s="23" t="str">
        <f>VLOOKUP(A153,MEMORIA!$A:$N,5,FALSE)</f>
        <v>UN</v>
      </c>
      <c r="F153" s="5">
        <f>VLOOKUP(A153,MEMORIA!$A:$N,14,FALSE)</f>
        <v>1</v>
      </c>
      <c r="G153" s="5">
        <f>VLOOKUP("TOTAL SEM BDI - "&amp;B153,CPU!$A:$J,9,FALSE)</f>
        <v>164.12</v>
      </c>
      <c r="H153" s="5">
        <f>VLOOKUP("TOTAL COM BDI - "&amp;B153,CPU!$A:$J,9,FALSE)</f>
        <v>200.77</v>
      </c>
      <c r="I153" s="5">
        <f>ROUND(F153*H153,2)</f>
        <v>200.77</v>
      </c>
    </row>
    <row r="154" spans="1:9" ht="28.8" x14ac:dyDescent="0.3">
      <c r="A154" s="23" t="s">
        <v>278</v>
      </c>
      <c r="B154" s="23" t="str">
        <f>VLOOKUP(A154,MEMORIA!$A:$N,2,FALSE)</f>
        <v>COMPOS27</v>
      </c>
      <c r="C154" s="23" t="str">
        <f>VLOOKUP(A154,MEMORIA!$A:$N,3,FALSE)</f>
        <v>PRÓPRIA</v>
      </c>
      <c r="D154" s="24" t="str">
        <f>VLOOKUP(A154,MEMORIA!$A:$N,4,FALSE)</f>
        <v>AQUISIÇÃO E ASSENTAMENTO DE TUBO RÍGIDO PVC, CLASSE 12, DN 50 MM, INCLUSO CONEXÕES</v>
      </c>
      <c r="E154" s="23" t="str">
        <f>VLOOKUP(A154,MEMORIA!$A:$N,5,FALSE)</f>
        <v>M</v>
      </c>
      <c r="F154" s="5">
        <f>VLOOKUP(A154,MEMORIA!$A:$N,14,FALSE)</f>
        <v>16</v>
      </c>
      <c r="G154" s="5">
        <f>VLOOKUP("TOTAL SEM BDI - "&amp;B154,CPU!$A:$J,9,FALSE)</f>
        <v>25.79</v>
      </c>
      <c r="H154" s="5">
        <f>VLOOKUP("TOTAL COM BDI - "&amp;B154,CPU!$A:$J,9,FALSE)</f>
        <v>31.549999999999997</v>
      </c>
      <c r="I154" s="5">
        <f>ROUND(F154*H154,2)</f>
        <v>504.8</v>
      </c>
    </row>
    <row r="155" spans="1:9" x14ac:dyDescent="0.3">
      <c r="A155" s="12" t="s">
        <v>62</v>
      </c>
      <c r="B155" s="51" t="str">
        <f>VLOOKUP(A155,MEMORIA!$A:$N,2,FALSE)</f>
        <v>RESERVAÇÃO</v>
      </c>
      <c r="C155" s="52"/>
      <c r="D155" s="52"/>
      <c r="E155" s="52"/>
      <c r="F155" s="52"/>
      <c r="G155" s="52"/>
      <c r="H155" s="53"/>
      <c r="I155" s="13">
        <f>SUM($I$156:$I$158)</f>
        <v>31488.33</v>
      </c>
    </row>
    <row r="156" spans="1:9" ht="72" x14ac:dyDescent="0.3">
      <c r="A156" s="23" t="s">
        <v>279</v>
      </c>
      <c r="B156" s="23" t="str">
        <f>VLOOKUP(A156,MEMORIA!$A:$N,2,FALSE)</f>
        <v>COMPOS34</v>
      </c>
      <c r="C156" s="23" t="str">
        <f>VLOOKUP(A156,MEMORIA!$A:$N,3,FALSE)</f>
        <v>PRÓPRIA</v>
      </c>
      <c r="D156" s="24" t="str">
        <f>VLOOKUP(A156,MEMORIA!$A:$N,4,FALSE)</f>
        <v>FORNECIMENTO E INSTALAÇÃO DE RESERVATÓRIO ELEVADO C/ CAIXA D'AGUA EM POLIESTER REFORCADO COM FIBRA DE VIDRO DE 10.000 LITROS, APOIADO EM ESTRUTURA PRÉ-MOLDADA EM CONCRETO, COMPOSTA DE CAPITEL P/APOIO DA CAIXA E PILAR C/ALTURA ÚTIL = 10,00M, INCLUSO FRETE E MONTAGEM NO LOCAL, COM FUNDAÇÃO EM CONCRETO SIMPLES FCK=20MPA</v>
      </c>
      <c r="E156" s="23" t="str">
        <f>VLOOKUP(A156,MEMORIA!$A:$N,5,FALSE)</f>
        <v>UND</v>
      </c>
      <c r="F156" s="5">
        <f>VLOOKUP(A156,MEMORIA!$A:$N,14,FALSE)</f>
        <v>1</v>
      </c>
      <c r="G156" s="5">
        <f>VLOOKUP("TOTAL SEM BDI - "&amp;B156,CPU!$A:$J,9,FALSE)</f>
        <v>24798.26</v>
      </c>
      <c r="H156" s="5">
        <f>VLOOKUP("TOTAL COM BDI - "&amp;B156,CPU!$A:$J,9,FALSE)</f>
        <v>30335.71</v>
      </c>
      <c r="I156" s="5">
        <f>ROUND(F156*H156,2)</f>
        <v>30335.71</v>
      </c>
    </row>
    <row r="157" spans="1:9" ht="28.8" x14ac:dyDescent="0.3">
      <c r="A157" s="23" t="s">
        <v>280</v>
      </c>
      <c r="B157" s="23">
        <f>VLOOKUP(A157,MEMORIA!$A:$N,2,FALSE)</f>
        <v>94498</v>
      </c>
      <c r="C157" s="23" t="str">
        <f>VLOOKUP(A157,MEMORIA!$A:$N,3,FALSE)</f>
        <v>SINAPI</v>
      </c>
      <c r="D157" s="24" t="str">
        <f>VLOOKUP(A157,MEMORIA!$A:$N,4,FALSE)</f>
        <v>REGISTRO DE GAVETA BRUTO, LATÃO, ROSCÁVEL, 2" - FORNECIMENTO E INSTALAÇÃO. AF_08/2021</v>
      </c>
      <c r="E157" s="23" t="str">
        <f>VLOOKUP(A157,MEMORIA!$A:$N,5,FALSE)</f>
        <v>UN</v>
      </c>
      <c r="F157" s="5">
        <f>VLOOKUP(A157,MEMORIA!$A:$N,14,FALSE)</f>
        <v>2</v>
      </c>
      <c r="G157" s="5">
        <f>VLOOKUP("TOTAL SEM BDI - "&amp;B157,CPU!$A:$J,9,FALSE)</f>
        <v>164.12</v>
      </c>
      <c r="H157" s="5">
        <f>VLOOKUP("TOTAL COM BDI - "&amp;B157,CPU!$A:$J,9,FALSE)</f>
        <v>200.77</v>
      </c>
      <c r="I157" s="5">
        <f>ROUND(F157*H157,2)</f>
        <v>401.54</v>
      </c>
    </row>
    <row r="158" spans="1:9" ht="28.8" x14ac:dyDescent="0.3">
      <c r="A158" s="23" t="s">
        <v>281</v>
      </c>
      <c r="B158" s="23" t="str">
        <f>VLOOKUP(A158,MEMORIA!$A:$N,2,FALSE)</f>
        <v>COMPOS35</v>
      </c>
      <c r="C158" s="23" t="str">
        <f>VLOOKUP(A158,MEMORIA!$A:$N,3,FALSE)</f>
        <v>PRÓPRIA</v>
      </c>
      <c r="D158" s="24" t="str">
        <f>VLOOKUP(A158,MEMORIA!$A:$N,4,FALSE)</f>
        <v>AQUISIÇÃO E ASSENTAMENTO DE TUBO RÍGIDO PVC, CLASSE 12, DN 60 MM, INCLUSO CONEXÕES</v>
      </c>
      <c r="E158" s="23" t="str">
        <f>VLOOKUP(A158,MEMORIA!$A:$N,5,FALSE)</f>
        <v>M</v>
      </c>
      <c r="F158" s="5">
        <f>VLOOKUP(A158,MEMORIA!$A:$N,14,FALSE)</f>
        <v>22</v>
      </c>
      <c r="G158" s="5">
        <f>VLOOKUP("TOTAL SEM BDI - "&amp;B158,CPU!$A:$J,9,FALSE)</f>
        <v>27.91</v>
      </c>
      <c r="H158" s="5">
        <f>VLOOKUP("TOTAL COM BDI - "&amp;B158,CPU!$A:$J,9,FALSE)</f>
        <v>34.14</v>
      </c>
      <c r="I158" s="5">
        <f>ROUND(F158*H158,2)</f>
        <v>751.08</v>
      </c>
    </row>
    <row r="159" spans="1:9" x14ac:dyDescent="0.3">
      <c r="A159" s="12" t="s">
        <v>63</v>
      </c>
      <c r="B159" s="51" t="str">
        <f>VLOOKUP(A159,MEMORIA!$A:$N,2,FALSE)</f>
        <v>DISTRIBUIÇÃO</v>
      </c>
      <c r="C159" s="52"/>
      <c r="D159" s="52"/>
      <c r="E159" s="52"/>
      <c r="F159" s="52"/>
      <c r="G159" s="52"/>
      <c r="H159" s="53"/>
      <c r="I159" s="13">
        <f>SUM($I$160,$I$163,)</f>
        <v>159345.58000000002</v>
      </c>
    </row>
    <row r="160" spans="1:9" x14ac:dyDescent="0.3">
      <c r="A160" s="15" t="s">
        <v>64</v>
      </c>
      <c r="B160" s="48" t="str">
        <f>VLOOKUP(A160,MEMORIA!$A:$N,2,FALSE)</f>
        <v>MOVIMENTO DE TERRA</v>
      </c>
      <c r="C160" s="49"/>
      <c r="D160" s="49"/>
      <c r="E160" s="49"/>
      <c r="F160" s="49"/>
      <c r="G160" s="49"/>
      <c r="H160" s="50"/>
      <c r="I160" s="16">
        <f>SUM($I$161:$I$162)</f>
        <v>36501.39</v>
      </c>
    </row>
    <row r="161" spans="1:9" ht="57.6" x14ac:dyDescent="0.3">
      <c r="A161" s="23" t="s">
        <v>282</v>
      </c>
      <c r="B161" s="23">
        <f>VLOOKUP(A161,MEMORIA!$A:$N,2,FALSE)</f>
        <v>102314</v>
      </c>
      <c r="C161" s="23" t="str">
        <f>VLOOKUP(A161,MEMORIA!$A:$N,3,FALSE)</f>
        <v>SINAPI</v>
      </c>
      <c r="D161" s="24" t="str">
        <f>VLOOKUP(A161,MEMORIA!$A:$N,4,FALSE)</f>
        <v>ESCAVAÇÃO MECANIZADA DE VALA COM PROF. ATÉ 1,5 M (MÉDIA MONTANTE E JUSANTE/UMA COMPOSIÇÃO POR TRECHO),COM ESCAVADEIRA (0,8 M3), LARG. MENOR QUE 1,5 M, EM SOLO DE 2A CATEGORIA, LOCAIS COM BAIXO NÍVEL DE INTERFERÊNCIA. AF_09/2024</v>
      </c>
      <c r="E161" s="23" t="str">
        <f>VLOOKUP(A161,MEMORIA!$A:$N,5,FALSE)</f>
        <v>M3</v>
      </c>
      <c r="F161" s="5">
        <f>VLOOKUP(A161,MEMORIA!$A:$N,14,FALSE)</f>
        <v>1403.36</v>
      </c>
      <c r="G161" s="5">
        <f>VLOOKUP("TOTAL SEM BDI - "&amp;B161,CPU!$A:$J,9,FALSE)</f>
        <v>8.5</v>
      </c>
      <c r="H161" s="5">
        <f>VLOOKUP("TOTAL COM BDI - "&amp;B161,CPU!$A:$J,9,FALSE)</f>
        <v>10.4</v>
      </c>
      <c r="I161" s="5">
        <f>ROUND(F161*H161,2)</f>
        <v>14594.94</v>
      </c>
    </row>
    <row r="162" spans="1:9" ht="57.6" x14ac:dyDescent="0.3">
      <c r="A162" s="23" t="s">
        <v>283</v>
      </c>
      <c r="B162" s="23" t="str">
        <f>VLOOKUP(A162,MEMORIA!$A:$N,2,FALSE)</f>
        <v>COMP199</v>
      </c>
      <c r="C162" s="23" t="str">
        <f>VLOOKUP(A162,MEMORIA!$A:$N,3,FALSE)</f>
        <v>PRÓPRIA</v>
      </c>
      <c r="D162" s="24" t="str">
        <f>VLOOKUP(A162,MEMORIA!$A:$N,4,FALSE)</f>
        <v>REATERRO MECANIZADO DE VALA COM RETROESCAVADEIRA (CAPACIDADE DA CAÇAMBA DA RETRO: 0,26 M³/POTÊNCIA: 88 HP), LARGURA ATÉ 0,8 M, PROFUNDIDADE ATÉ 1,5 M, COM SOLO (SEM SUBSTITUIÇÃO) DE 1ª CATEGORIA. AF_08/2023 (REF: 104733-SINAPI-05/2025)</v>
      </c>
      <c r="E162" s="23" t="str">
        <f>VLOOKUP(A162,MEMORIA!$A:$N,5,FALSE)</f>
        <v>M3</v>
      </c>
      <c r="F162" s="5">
        <f>VLOOKUP(A162,MEMORIA!$A:$N,14,FALSE)</f>
        <v>1403.36</v>
      </c>
      <c r="G162" s="5">
        <f>VLOOKUP("TOTAL SEM BDI - "&amp;B162,CPU!$A:$J,9,FALSE)</f>
        <v>12.76</v>
      </c>
      <c r="H162" s="5">
        <f>VLOOKUP("TOTAL COM BDI - "&amp;B162,CPU!$A:$J,9,FALSE)</f>
        <v>15.61</v>
      </c>
      <c r="I162" s="5">
        <f>ROUND(F162*H162,2)</f>
        <v>21906.45</v>
      </c>
    </row>
    <row r="163" spans="1:9" x14ac:dyDescent="0.3">
      <c r="A163" s="15" t="s">
        <v>65</v>
      </c>
      <c r="B163" s="48" t="str">
        <f>VLOOKUP(A163,MEMORIA!$A:$N,2,FALSE)</f>
        <v>INSTALAÇÕES HIDRÁULICAS</v>
      </c>
      <c r="C163" s="49"/>
      <c r="D163" s="49"/>
      <c r="E163" s="49"/>
      <c r="F163" s="49"/>
      <c r="G163" s="49"/>
      <c r="H163" s="50"/>
      <c r="I163" s="16">
        <f>SUM($I$164:$I$165)</f>
        <v>122844.19</v>
      </c>
    </row>
    <row r="164" spans="1:9" ht="28.8" x14ac:dyDescent="0.3">
      <c r="A164" s="23" t="s">
        <v>284</v>
      </c>
      <c r="B164" s="23" t="str">
        <f>VLOOKUP(A164,MEMORIA!$A:$N,2,FALSE)</f>
        <v>COMPOS35</v>
      </c>
      <c r="C164" s="23" t="str">
        <f>VLOOKUP(A164,MEMORIA!$A:$N,3,FALSE)</f>
        <v>PRÓPRIA</v>
      </c>
      <c r="D164" s="24" t="str">
        <f>VLOOKUP(A164,MEMORIA!$A:$N,4,FALSE)</f>
        <v>AQUISIÇÃO E ASSENTAMENTO DE TUBO RÍGIDO PVC, CLASSE 12, DN 60 MM, INCLUSO CONEXÕES</v>
      </c>
      <c r="E164" s="23" t="str">
        <f>VLOOKUP(A164,MEMORIA!$A:$N,5,FALSE)</f>
        <v>M</v>
      </c>
      <c r="F164" s="5">
        <f>VLOOKUP(A164,MEMORIA!$A:$N,14,FALSE)</f>
        <v>3472.7</v>
      </c>
      <c r="G164" s="5">
        <f>VLOOKUP("TOTAL SEM BDI - "&amp;B164,CPU!$A:$J,9,FALSE)</f>
        <v>27.91</v>
      </c>
      <c r="H164" s="5">
        <f>VLOOKUP("TOTAL COM BDI - "&amp;B164,CPU!$A:$J,9,FALSE)</f>
        <v>34.14</v>
      </c>
      <c r="I164" s="5">
        <f>ROUND(F164*H164,2)</f>
        <v>118557.98</v>
      </c>
    </row>
    <row r="165" spans="1:9" x14ac:dyDescent="0.3">
      <c r="A165" s="23" t="s">
        <v>285</v>
      </c>
      <c r="B165" s="23" t="str">
        <f>VLOOKUP(A165,MEMORIA!$A:$N,2,FALSE)</f>
        <v>COMPOS36</v>
      </c>
      <c r="C165" s="23" t="str">
        <f>VLOOKUP(A165,MEMORIA!$A:$N,3,FALSE)</f>
        <v>PRÓPRIA</v>
      </c>
      <c r="D165" s="24" t="str">
        <f>VLOOKUP(A165,MEMORIA!$A:$N,4,FALSE)</f>
        <v>LIGAÇÃO DOMICILIAR</v>
      </c>
      <c r="E165" s="23" t="str">
        <f>VLOOKUP(A165,MEMORIA!$A:$N,5,FALSE)</f>
        <v>UND</v>
      </c>
      <c r="F165" s="5">
        <f>VLOOKUP(A165,MEMORIA!$A:$N,14,FALSE)</f>
        <v>17</v>
      </c>
      <c r="G165" s="5">
        <f>VLOOKUP("TOTAL SEM BDI - "&amp;B165,CPU!$A:$J,9,FALSE)</f>
        <v>206.11</v>
      </c>
      <c r="H165" s="5">
        <f>VLOOKUP("TOTAL COM BDI - "&amp;B165,CPU!$A:$J,9,FALSE)</f>
        <v>252.13000000000002</v>
      </c>
      <c r="I165" s="5">
        <f>ROUND(F165*H165,2)</f>
        <v>4286.21</v>
      </c>
    </row>
    <row r="166" spans="1:9" x14ac:dyDescent="0.3">
      <c r="A166" s="9">
        <v>4</v>
      </c>
      <c r="B166" s="54" t="str">
        <f>VLOOKUP(A166,MEMORIA!$A:$N,2,FALSE)</f>
        <v>LOCALIDADE BAIXÃO DA GAMELEIRA II (ANÍSIO DE ABREU-PI)</v>
      </c>
      <c r="C166" s="55"/>
      <c r="D166" s="55"/>
      <c r="E166" s="55"/>
      <c r="F166" s="55"/>
      <c r="G166" s="55"/>
      <c r="H166" s="56"/>
      <c r="I166" s="10">
        <f>SUM($I$167,$I$183,$I$187,$I$221,$I$224,$I$233,$I$237,)</f>
        <v>194268.83000000002</v>
      </c>
    </row>
    <row r="167" spans="1:9" x14ac:dyDescent="0.3">
      <c r="A167" s="12" t="s">
        <v>66</v>
      </c>
      <c r="B167" s="51" t="str">
        <f>VLOOKUP(A167,MEMORIA!$A:$N,2,FALSE)</f>
        <v>PERFURAÇÃO DE POÇO TUBULAR</v>
      </c>
      <c r="C167" s="52"/>
      <c r="D167" s="52"/>
      <c r="E167" s="52"/>
      <c r="F167" s="52"/>
      <c r="G167" s="52"/>
      <c r="H167" s="53"/>
      <c r="I167" s="13">
        <f>SUM($I$168:$I$182)</f>
        <v>41765.089999999997</v>
      </c>
    </row>
    <row r="168" spans="1:9" x14ac:dyDescent="0.3">
      <c r="A168" s="23" t="s">
        <v>286</v>
      </c>
      <c r="B168" s="23" t="str">
        <f>VLOOKUP(A168,MEMORIA!$A:$N,2,FALSE)</f>
        <v>COMPOS3</v>
      </c>
      <c r="C168" s="23" t="str">
        <f>VLOOKUP(A168,MEMORIA!$A:$N,3,FALSE)</f>
        <v>PRÓPRIA</v>
      </c>
      <c r="D168" s="24" t="str">
        <f>VLOOKUP(A168,MEMORIA!$A:$N,4,FALSE)</f>
        <v>LOCAÇÃO DO POÇO COM ESTUDO GEOLÓGICO/HIDROGEOLÓGICO/GEOFÍSICO</v>
      </c>
      <c r="E168" s="23" t="str">
        <f>VLOOKUP(A168,MEMORIA!$A:$N,5,FALSE)</f>
        <v>UN</v>
      </c>
      <c r="F168" s="5">
        <f>VLOOKUP(A168,MEMORIA!$A:$N,14,FALSE)</f>
        <v>1</v>
      </c>
      <c r="G168" s="5">
        <f>VLOOKUP("TOTAL SEM BDI - "&amp;B168,CPU!$A:$J,9,FALSE)</f>
        <v>1692.3999999999999</v>
      </c>
      <c r="H168" s="5">
        <f>VLOOKUP("TOTAL COM BDI - "&amp;B168,CPU!$A:$J,9,FALSE)</f>
        <v>2070.31</v>
      </c>
      <c r="I168" s="5">
        <f t="shared" ref="I168:I182" si="2">ROUND(F168*H168,2)</f>
        <v>2070.31</v>
      </c>
    </row>
    <row r="169" spans="1:9" x14ac:dyDescent="0.3">
      <c r="A169" s="23" t="s">
        <v>287</v>
      </c>
      <c r="B169" s="23" t="str">
        <f>VLOOKUP(A169,MEMORIA!$A:$N,2,FALSE)</f>
        <v>COMPOS4</v>
      </c>
      <c r="C169" s="23" t="str">
        <f>VLOOKUP(A169,MEMORIA!$A:$N,3,FALSE)</f>
        <v>PRÓPRIA</v>
      </c>
      <c r="D169" s="24" t="str">
        <f>VLOOKUP(A169,MEMORIA!$A:$N,4,FALSE)</f>
        <v>TRANSPORTE DE MÁQUINAS E EQUIPAMENTOS</v>
      </c>
      <c r="E169" s="23" t="str">
        <f>VLOOKUP(A169,MEMORIA!$A:$N,5,FALSE)</f>
        <v>KM</v>
      </c>
      <c r="F169" s="5">
        <f>VLOOKUP(A169,MEMORIA!$A:$N,14,FALSE)</f>
        <v>280</v>
      </c>
      <c r="G169" s="5">
        <f>VLOOKUP("TOTAL SEM BDI - "&amp;B169,CPU!$A:$J,9,FALSE)</f>
        <v>5.5</v>
      </c>
      <c r="H169" s="5">
        <f>VLOOKUP("TOTAL COM BDI - "&amp;B169,CPU!$A:$J,9,FALSE)</f>
        <v>6.73</v>
      </c>
      <c r="I169" s="5">
        <f t="shared" si="2"/>
        <v>1884.4</v>
      </c>
    </row>
    <row r="170" spans="1:9" x14ac:dyDescent="0.3">
      <c r="A170" s="23" t="s">
        <v>288</v>
      </c>
      <c r="B170" s="23" t="str">
        <f>VLOOKUP(A170,MEMORIA!$A:$N,2,FALSE)</f>
        <v>COMPOS4</v>
      </c>
      <c r="C170" s="23" t="str">
        <f>VLOOKUP(A170,MEMORIA!$A:$N,3,FALSE)</f>
        <v>PRÓPRIA</v>
      </c>
      <c r="D170" s="24" t="str">
        <f>VLOOKUP(A170,MEMORIA!$A:$N,4,FALSE)</f>
        <v>TRANSPORTE DE MÁQUINAS E EQUIPAMENTOS</v>
      </c>
      <c r="E170" s="23" t="str">
        <f>VLOOKUP(A170,MEMORIA!$A:$N,5,FALSE)</f>
        <v>KM</v>
      </c>
      <c r="F170" s="5">
        <f>VLOOKUP(A170,MEMORIA!$A:$N,14,FALSE)</f>
        <v>280</v>
      </c>
      <c r="G170" s="5">
        <f>VLOOKUP("TOTAL SEM BDI - "&amp;B170,CPU!$A:$J,9,FALSE)</f>
        <v>5.5</v>
      </c>
      <c r="H170" s="5">
        <f>VLOOKUP("TOTAL COM BDI - "&amp;B170,CPU!$A:$J,9,FALSE)</f>
        <v>6.73</v>
      </c>
      <c r="I170" s="5">
        <f t="shared" si="2"/>
        <v>1884.4</v>
      </c>
    </row>
    <row r="171" spans="1:9" x14ac:dyDescent="0.3">
      <c r="A171" s="23" t="s">
        <v>289</v>
      </c>
      <c r="B171" s="23" t="str">
        <f>VLOOKUP(A171,MEMORIA!$A:$N,2,FALSE)</f>
        <v>COMPOS5</v>
      </c>
      <c r="C171" s="23" t="str">
        <f>VLOOKUP(A171,MEMORIA!$A:$N,3,FALSE)</f>
        <v>PRÓPRIA</v>
      </c>
      <c r="D171" s="24" t="str">
        <f>VLOOKUP(A171,MEMORIA!$A:$N,4,FALSE)</f>
        <v>PERFILAGEM ÓTICA</v>
      </c>
      <c r="E171" s="23" t="str">
        <f>VLOOKUP(A171,MEMORIA!$A:$N,5,FALSE)</f>
        <v>UN</v>
      </c>
      <c r="F171" s="5">
        <f>VLOOKUP(A171,MEMORIA!$A:$N,14,FALSE)</f>
        <v>1</v>
      </c>
      <c r="G171" s="5">
        <f>VLOOKUP("TOTAL SEM BDI - "&amp;B171,CPU!$A:$J,9,FALSE)</f>
        <v>2908.88</v>
      </c>
      <c r="H171" s="5">
        <f>VLOOKUP("TOTAL COM BDI - "&amp;B171,CPU!$A:$J,9,FALSE)</f>
        <v>3558.4300000000003</v>
      </c>
      <c r="I171" s="5">
        <f t="shared" si="2"/>
        <v>3558.43</v>
      </c>
    </row>
    <row r="172" spans="1:9" x14ac:dyDescent="0.3">
      <c r="A172" s="23" t="s">
        <v>290</v>
      </c>
      <c r="B172" s="23" t="str">
        <f>VLOOKUP(A172,MEMORIA!$A:$N,2,FALSE)</f>
        <v>COMP197</v>
      </c>
      <c r="C172" s="23" t="str">
        <f>VLOOKUP(A172,MEMORIA!$A:$N,3,FALSE)</f>
        <v>PRÓPRIA</v>
      </c>
      <c r="D172" s="24" t="str">
        <f>VLOOKUP(A172,MEMORIA!$A:$N,4,FALSE)</f>
        <v>PERFURAÇÃO EM ROCHA SEDIMENTAR DN 10" (REF: 06230/ORSE-ORSE-04/2025)</v>
      </c>
      <c r="E172" s="23" t="str">
        <f>VLOOKUP(A172,MEMORIA!$A:$N,5,FALSE)</f>
        <v>M</v>
      </c>
      <c r="F172" s="5">
        <f>VLOOKUP(A172,MEMORIA!$A:$N,14,FALSE)</f>
        <v>20</v>
      </c>
      <c r="G172" s="5">
        <f>VLOOKUP("TOTAL SEM BDI - "&amp;B172,CPU!$A:$J,9,FALSE)</f>
        <v>202.21</v>
      </c>
      <c r="H172" s="5">
        <f>VLOOKUP("TOTAL COM BDI - "&amp;B172,CPU!$A:$J,9,FALSE)</f>
        <v>247.36</v>
      </c>
      <c r="I172" s="5">
        <f t="shared" si="2"/>
        <v>4947.2</v>
      </c>
    </row>
    <row r="173" spans="1:9" x14ac:dyDescent="0.3">
      <c r="A173" s="23" t="s">
        <v>291</v>
      </c>
      <c r="B173" s="23" t="str">
        <f>VLOOKUP(A173,MEMORIA!$A:$N,2,FALSE)</f>
        <v>COMP198</v>
      </c>
      <c r="C173" s="23" t="str">
        <f>VLOOKUP(A173,MEMORIA!$A:$N,3,FALSE)</f>
        <v>PRÓPRIA</v>
      </c>
      <c r="D173" s="24" t="str">
        <f>VLOOKUP(A173,MEMORIA!$A:$N,4,FALSE)</f>
        <v>PERFURAÇÃO EM ROCHA CRISTALINA DN 6" (REF: 06237/ORSE-ORSE-04/2025)</v>
      </c>
      <c r="E173" s="23" t="str">
        <f>VLOOKUP(A173,MEMORIA!$A:$N,5,FALSE)</f>
        <v>M</v>
      </c>
      <c r="F173" s="5">
        <f>VLOOKUP(A173,MEMORIA!$A:$N,14,FALSE)</f>
        <v>80</v>
      </c>
      <c r="G173" s="5">
        <f>VLOOKUP("TOTAL SEM BDI - "&amp;B173,CPU!$A:$J,9,FALSE)</f>
        <v>125.23</v>
      </c>
      <c r="H173" s="5">
        <f>VLOOKUP("TOTAL COM BDI - "&amp;B173,CPU!$A:$J,9,FALSE)</f>
        <v>153.19</v>
      </c>
      <c r="I173" s="5">
        <f t="shared" si="2"/>
        <v>12255.2</v>
      </c>
    </row>
    <row r="174" spans="1:9" x14ac:dyDescent="0.3">
      <c r="A174" s="23" t="s">
        <v>292</v>
      </c>
      <c r="B174" s="23" t="str">
        <f>VLOOKUP(A174,MEMORIA!$A:$N,2,FALSE)</f>
        <v>COMPOS10</v>
      </c>
      <c r="C174" s="23" t="str">
        <f>VLOOKUP(A174,MEMORIA!$A:$N,3,FALSE)</f>
        <v>PRÓPRIA</v>
      </c>
      <c r="D174" s="24" t="str">
        <f>VLOOKUP(A174,MEMORIA!$A:$N,4,FALSE)</f>
        <v>CIMENTAÇÃO SANITÁRIA</v>
      </c>
      <c r="E174" s="23" t="str">
        <f>VLOOKUP(A174,MEMORIA!$A:$N,5,FALSE)</f>
        <v>M</v>
      </c>
      <c r="F174" s="5">
        <f>VLOOKUP(A174,MEMORIA!$A:$N,14,FALSE)</f>
        <v>10</v>
      </c>
      <c r="G174" s="5">
        <f>VLOOKUP("TOTAL SEM BDI - "&amp;B174,CPU!$A:$J,9,FALSE)</f>
        <v>98.79</v>
      </c>
      <c r="H174" s="5">
        <f>VLOOKUP("TOTAL COM BDI - "&amp;B174,CPU!$A:$J,9,FALSE)</f>
        <v>120.85000000000001</v>
      </c>
      <c r="I174" s="5">
        <f t="shared" si="2"/>
        <v>1208.5</v>
      </c>
    </row>
    <row r="175" spans="1:9" x14ac:dyDescent="0.3">
      <c r="A175" s="23" t="s">
        <v>293</v>
      </c>
      <c r="B175" s="23" t="str">
        <f>VLOOKUP(A175,MEMORIA!$A:$N,2,FALSE)</f>
        <v>COMPOS11</v>
      </c>
      <c r="C175" s="23" t="str">
        <f>VLOOKUP(A175,MEMORIA!$A:$N,3,FALSE)</f>
        <v>PRÓPRIA</v>
      </c>
      <c r="D175" s="24" t="str">
        <f>VLOOKUP(A175,MEMORIA!$A:$N,4,FALSE)</f>
        <v>LAJE DE PROTEÇÃO EM CONCRETO (1,0 M X 1,0 M X 0,15 M)</v>
      </c>
      <c r="E175" s="23" t="str">
        <f>VLOOKUP(A175,MEMORIA!$A:$N,5,FALSE)</f>
        <v>M³</v>
      </c>
      <c r="F175" s="5">
        <f>VLOOKUP(A175,MEMORIA!$A:$N,14,FALSE)</f>
        <v>0.15</v>
      </c>
      <c r="G175" s="5">
        <f>VLOOKUP("TOTAL SEM BDI - "&amp;B175,CPU!$A:$J,9,FALSE)</f>
        <v>1246.81</v>
      </c>
      <c r="H175" s="5">
        <f>VLOOKUP("TOTAL COM BDI - "&amp;B175,CPU!$A:$J,9,FALSE)</f>
        <v>1525.22</v>
      </c>
      <c r="I175" s="5">
        <f t="shared" si="2"/>
        <v>228.78</v>
      </c>
    </row>
    <row r="176" spans="1:9" x14ac:dyDescent="0.3">
      <c r="A176" s="23" t="s">
        <v>294</v>
      </c>
      <c r="B176" s="23" t="str">
        <f>VLOOKUP(A176,MEMORIA!$A:$N,2,FALSE)</f>
        <v>COMPOS12</v>
      </c>
      <c r="C176" s="23" t="str">
        <f>VLOOKUP(A176,MEMORIA!$A:$N,3,FALSE)</f>
        <v>PRÓPRIA</v>
      </c>
      <c r="D176" s="24" t="str">
        <f>VLOOKUP(A176,MEMORIA!$A:$N,4,FALSE)</f>
        <v>DESENVOLVIMENTO COM BOMBA SUBMERSA</v>
      </c>
      <c r="E176" s="23" t="str">
        <f>VLOOKUP(A176,MEMORIA!$A:$N,5,FALSE)</f>
        <v>H</v>
      </c>
      <c r="F176" s="5">
        <f>VLOOKUP(A176,MEMORIA!$A:$N,14,FALSE)</f>
        <v>6</v>
      </c>
      <c r="G176" s="5">
        <f>VLOOKUP("TOTAL SEM BDI - "&amp;B176,CPU!$A:$J,9,FALSE)</f>
        <v>515.70000000000005</v>
      </c>
      <c r="H176" s="5">
        <f>VLOOKUP("TOTAL COM BDI - "&amp;B176,CPU!$A:$J,9,FALSE)</f>
        <v>630.86</v>
      </c>
      <c r="I176" s="5">
        <f t="shared" si="2"/>
        <v>3785.16</v>
      </c>
    </row>
    <row r="177" spans="1:9" x14ac:dyDescent="0.3">
      <c r="A177" s="23" t="s">
        <v>295</v>
      </c>
      <c r="B177" s="23" t="str">
        <f>VLOOKUP(A177,MEMORIA!$A:$N,2,FALSE)</f>
        <v>COMPOS13</v>
      </c>
      <c r="C177" s="23" t="str">
        <f>VLOOKUP(A177,MEMORIA!$A:$N,3,FALSE)</f>
        <v>PRÓPRIA</v>
      </c>
      <c r="D177" s="24" t="str">
        <f>VLOOKUP(A177,MEMORIA!$A:$N,4,FALSE)</f>
        <v>TESTE VAZÃO COM BOMBA SUBMERSA</v>
      </c>
      <c r="E177" s="23" t="str">
        <f>VLOOKUP(A177,MEMORIA!$A:$N,5,FALSE)</f>
        <v>H</v>
      </c>
      <c r="F177" s="5">
        <f>VLOOKUP(A177,MEMORIA!$A:$N,14,FALSE)</f>
        <v>24</v>
      </c>
      <c r="G177" s="5">
        <f>VLOOKUP("TOTAL SEM BDI - "&amp;B177,CPU!$A:$J,9,FALSE)</f>
        <v>97.789999999999992</v>
      </c>
      <c r="H177" s="5">
        <f>VLOOKUP("TOTAL COM BDI - "&amp;B177,CPU!$A:$J,9,FALSE)</f>
        <v>119.63</v>
      </c>
      <c r="I177" s="5">
        <f t="shared" si="2"/>
        <v>2871.12</v>
      </c>
    </row>
    <row r="178" spans="1:9" x14ac:dyDescent="0.3">
      <c r="A178" s="23" t="s">
        <v>296</v>
      </c>
      <c r="B178" s="23" t="str">
        <f>VLOOKUP(A178,MEMORIA!$A:$N,2,FALSE)</f>
        <v>COMPOS14</v>
      </c>
      <c r="C178" s="23" t="str">
        <f>VLOOKUP(A178,MEMORIA!$A:$N,3,FALSE)</f>
        <v>PRÓPRIA</v>
      </c>
      <c r="D178" s="24" t="str">
        <f>VLOOKUP(A178,MEMORIA!$A:$N,4,FALSE)</f>
        <v>DESINFECÇÃO</v>
      </c>
      <c r="E178" s="23" t="str">
        <f>VLOOKUP(A178,MEMORIA!$A:$N,5,FALSE)</f>
        <v>H</v>
      </c>
      <c r="F178" s="5">
        <f>VLOOKUP(A178,MEMORIA!$A:$N,14,FALSE)</f>
        <v>4</v>
      </c>
      <c r="G178" s="5">
        <f>VLOOKUP("TOTAL SEM BDI - "&amp;B178,CPU!$A:$J,9,FALSE)</f>
        <v>102.36000000000003</v>
      </c>
      <c r="H178" s="5">
        <f>VLOOKUP("TOTAL COM BDI - "&amp;B178,CPU!$A:$J,9,FALSE)</f>
        <v>125.22000000000003</v>
      </c>
      <c r="I178" s="5">
        <f t="shared" si="2"/>
        <v>500.88</v>
      </c>
    </row>
    <row r="179" spans="1:9" x14ac:dyDescent="0.3">
      <c r="A179" s="23" t="s">
        <v>297</v>
      </c>
      <c r="B179" s="23" t="str">
        <f>VLOOKUP(A179,MEMORIA!$A:$N,2,FALSE)</f>
        <v>COMPOS15</v>
      </c>
      <c r="C179" s="23" t="str">
        <f>VLOOKUP(A179,MEMORIA!$A:$N,3,FALSE)</f>
        <v>PRÓPRIA</v>
      </c>
      <c r="D179" s="24" t="str">
        <f>VLOOKUP(A179,MEMORIA!$A:$N,4,FALSE)</f>
        <v>RELATÓRIO TÉCNICO</v>
      </c>
      <c r="E179" s="23" t="str">
        <f>VLOOKUP(A179,MEMORIA!$A:$N,5,FALSE)</f>
        <v>UN</v>
      </c>
      <c r="F179" s="5">
        <f>VLOOKUP(A179,MEMORIA!$A:$N,14,FALSE)</f>
        <v>1</v>
      </c>
      <c r="G179" s="5">
        <f>VLOOKUP("TOTAL SEM BDI - "&amp;B179,CPU!$A:$J,9,FALSE)</f>
        <v>1110.2</v>
      </c>
      <c r="H179" s="5">
        <f>VLOOKUP("TOTAL COM BDI - "&amp;B179,CPU!$A:$J,9,FALSE)</f>
        <v>1358.1100000000001</v>
      </c>
      <c r="I179" s="5">
        <f t="shared" si="2"/>
        <v>1358.11</v>
      </c>
    </row>
    <row r="180" spans="1:9" x14ac:dyDescent="0.3">
      <c r="A180" s="23" t="s">
        <v>298</v>
      </c>
      <c r="B180" s="23" t="str">
        <f>VLOOKUP(A180,MEMORIA!$A:$N,2,FALSE)</f>
        <v>COMPOS16</v>
      </c>
      <c r="C180" s="23" t="str">
        <f>VLOOKUP(A180,MEMORIA!$A:$N,3,FALSE)</f>
        <v>PRÓPRIA</v>
      </c>
      <c r="D180" s="24" t="str">
        <f>VLOOKUP(A180,MEMORIA!$A:$N,4,FALSE)</f>
        <v>ANÁLISE FÍSICO-QUÍMICA DA ÁGUA</v>
      </c>
      <c r="E180" s="23" t="str">
        <f>VLOOKUP(A180,MEMORIA!$A:$N,5,FALSE)</f>
        <v>UN</v>
      </c>
      <c r="F180" s="5">
        <f>VLOOKUP(A180,MEMORIA!$A:$N,14,FALSE)</f>
        <v>1</v>
      </c>
      <c r="G180" s="5">
        <f>VLOOKUP("TOTAL SEM BDI - "&amp;B180,CPU!$A:$J,9,FALSE)</f>
        <v>565.21</v>
      </c>
      <c r="H180" s="5">
        <f>VLOOKUP("TOTAL COM BDI - "&amp;B180,CPU!$A:$J,9,FALSE)</f>
        <v>691.42000000000007</v>
      </c>
      <c r="I180" s="5">
        <f t="shared" si="2"/>
        <v>691.42</v>
      </c>
    </row>
    <row r="181" spans="1:9" x14ac:dyDescent="0.3">
      <c r="A181" s="23" t="s">
        <v>299</v>
      </c>
      <c r="B181" s="23" t="str">
        <f>VLOOKUP(A181,MEMORIA!$A:$N,2,FALSE)</f>
        <v>COMPOS1</v>
      </c>
      <c r="C181" s="23" t="str">
        <f>VLOOKUP(A181,MEMORIA!$A:$N,3,FALSE)</f>
        <v>PRÓPRIA</v>
      </c>
      <c r="D181" s="24" t="str">
        <f>VLOOKUP(A181,MEMORIA!$A:$N,4,FALSE)</f>
        <v>FORNECIMENTO E INSTALAÇÃO DE REVESTIMENTO GEOMECÂNICO STANDART DN-154-S</v>
      </c>
      <c r="E181" s="23" t="str">
        <f>VLOOKUP(A181,MEMORIA!$A:$N,5,FALSE)</f>
        <v>M</v>
      </c>
      <c r="F181" s="5">
        <f>VLOOKUP(A181,MEMORIA!$A:$N,14,FALSE)</f>
        <v>21</v>
      </c>
      <c r="G181" s="5">
        <f>VLOOKUP("TOTAL SEM BDI - "&amp;B181,CPU!$A:$J,9,FALSE)</f>
        <v>170.76</v>
      </c>
      <c r="H181" s="5">
        <f>VLOOKUP("TOTAL COM BDI - "&amp;B181,CPU!$A:$J,9,FALSE)</f>
        <v>208.89</v>
      </c>
      <c r="I181" s="5">
        <f t="shared" si="2"/>
        <v>4386.6899999999996</v>
      </c>
    </row>
    <row r="182" spans="1:9" x14ac:dyDescent="0.3">
      <c r="A182" s="23" t="s">
        <v>300</v>
      </c>
      <c r="B182" s="23" t="str">
        <f>VLOOKUP(A182,MEMORIA!$A:$N,2,FALSE)</f>
        <v>COMPOS2</v>
      </c>
      <c r="C182" s="23" t="str">
        <f>VLOOKUP(A182,MEMORIA!$A:$N,3,FALSE)</f>
        <v>PRÓPRIA</v>
      </c>
      <c r="D182" s="24" t="str">
        <f>VLOOKUP(A182,MEMORIA!$A:$N,4,FALSE)</f>
        <v>FORNECIMENTO E INSTALAÇÃO DE TAMPA PARA POÇO</v>
      </c>
      <c r="E182" s="23" t="str">
        <f>VLOOKUP(A182,MEMORIA!$A:$N,5,FALSE)</f>
        <v>UN</v>
      </c>
      <c r="F182" s="5">
        <f>VLOOKUP(A182,MEMORIA!$A:$N,14,FALSE)</f>
        <v>1</v>
      </c>
      <c r="G182" s="5">
        <f>VLOOKUP("TOTAL SEM BDI - "&amp;B182,CPU!$A:$J,9,FALSE)</f>
        <v>109.94</v>
      </c>
      <c r="H182" s="5">
        <f>VLOOKUP("TOTAL COM BDI - "&amp;B182,CPU!$A:$J,9,FALSE)</f>
        <v>134.49</v>
      </c>
      <c r="I182" s="5">
        <f t="shared" si="2"/>
        <v>134.49</v>
      </c>
    </row>
    <row r="183" spans="1:9" x14ac:dyDescent="0.3">
      <c r="A183" s="12" t="s">
        <v>67</v>
      </c>
      <c r="B183" s="51" t="str">
        <f>VLOOKUP(A183,MEMORIA!$A:$N,2,FALSE)</f>
        <v>AQUISIÇÃO E INSTALAÇÃO DE EQUIPAMENTOS DE BOMBEAMENTO, RECALQUE/BARRILETE E CONEXÕES PARA INTERLIGAÇÃO COM RESERVATÓRIO</v>
      </c>
      <c r="C183" s="52"/>
      <c r="D183" s="52"/>
      <c r="E183" s="52"/>
      <c r="F183" s="52"/>
      <c r="G183" s="52"/>
      <c r="H183" s="53"/>
      <c r="I183" s="13">
        <f>SUM($I$184:$I$186)</f>
        <v>9017.39</v>
      </c>
    </row>
    <row r="184" spans="1:9" x14ac:dyDescent="0.3">
      <c r="A184" s="23" t="s">
        <v>301</v>
      </c>
      <c r="B184" s="23" t="str">
        <f>VLOOKUP(A184,MEMORIA!$A:$N,2,FALSE)</f>
        <v>COMPOS19</v>
      </c>
      <c r="C184" s="23" t="str">
        <f>VLOOKUP(A184,MEMORIA!$A:$N,3,FALSE)</f>
        <v>PRÓPRIA</v>
      </c>
      <c r="D184" s="24" t="str">
        <f>VLOOKUP(A184,MEMORIA!$A:$N,4,FALSE)</f>
        <v>FORNECIMENTO E INSTALAÇÃO DE TUBO EDUTOR DE PVC DE 1.1/2'' COM LUVA</v>
      </c>
      <c r="E184" s="23" t="str">
        <f>VLOOKUP(A184,MEMORIA!$A:$N,5,FALSE)</f>
        <v>M</v>
      </c>
      <c r="F184" s="5">
        <f>VLOOKUP(A184,MEMORIA!$A:$N,14,FALSE)</f>
        <v>90</v>
      </c>
      <c r="G184" s="5">
        <f>VLOOKUP("TOTAL SEM BDI - "&amp;B184,CPU!$A:$J,9,FALSE)</f>
        <v>46.25</v>
      </c>
      <c r="H184" s="5">
        <f>VLOOKUP("TOTAL COM BDI - "&amp;B184,CPU!$A:$J,9,FALSE)</f>
        <v>56.58</v>
      </c>
      <c r="I184" s="5">
        <f>ROUND(F184*H184,2)</f>
        <v>5092.2</v>
      </c>
    </row>
    <row r="185" spans="1:9" x14ac:dyDescent="0.3">
      <c r="A185" s="23" t="s">
        <v>302</v>
      </c>
      <c r="B185" s="23" t="str">
        <f>VLOOKUP(A185,MEMORIA!$A:$N,2,FALSE)</f>
        <v>COMPOS21</v>
      </c>
      <c r="C185" s="23" t="str">
        <f>VLOOKUP(A185,MEMORIA!$A:$N,3,FALSE)</f>
        <v>PRÓPRIA</v>
      </c>
      <c r="D185" s="24" t="str">
        <f>VLOOKUP(A185,MEMORIA!$A:$N,4,FALSE)</f>
        <v>BARRILETE (CURVAS E CONEXÕES)</v>
      </c>
      <c r="E185" s="23" t="str">
        <f>VLOOKUP(A185,MEMORIA!$A:$N,5,FALSE)</f>
        <v>UN</v>
      </c>
      <c r="F185" s="5">
        <f>VLOOKUP(A185,MEMORIA!$A:$N,14,FALSE)</f>
        <v>1</v>
      </c>
      <c r="G185" s="5">
        <f>VLOOKUP("TOTAL SEM BDI - "&amp;B185,CPU!$A:$J,9,FALSE)</f>
        <v>2147.0500000000002</v>
      </c>
      <c r="H185" s="5">
        <f>VLOOKUP("TOTAL COM BDI - "&amp;B185,CPU!$A:$J,9,FALSE)</f>
        <v>2626.4900000000002</v>
      </c>
      <c r="I185" s="5">
        <f>ROUND(F185*H185,2)</f>
        <v>2626.49</v>
      </c>
    </row>
    <row r="186" spans="1:9" x14ac:dyDescent="0.3">
      <c r="A186" s="23" t="s">
        <v>303</v>
      </c>
      <c r="B186" s="23" t="str">
        <f>VLOOKUP(A186,MEMORIA!$A:$N,2,FALSE)</f>
        <v>COMPOS26</v>
      </c>
      <c r="C186" s="23" t="str">
        <f>VLOOKUP(A186,MEMORIA!$A:$N,3,FALSE)</f>
        <v>PRÓPRIA</v>
      </c>
      <c r="D186" s="24" t="str">
        <f>VLOOKUP(A186,MEMORIA!$A:$N,4,FALSE)</f>
        <v>AQUISIÇÃO E INSTALAÇÃO DE DOSADOR DE CLORO</v>
      </c>
      <c r="E186" s="23" t="str">
        <f>VLOOKUP(A186,MEMORIA!$A:$N,5,FALSE)</f>
        <v>UND</v>
      </c>
      <c r="F186" s="5">
        <f>VLOOKUP(A186,MEMORIA!$A:$N,14,FALSE)</f>
        <v>1</v>
      </c>
      <c r="G186" s="5">
        <f>VLOOKUP("TOTAL SEM BDI - "&amp;B186,CPU!$A:$J,9,FALSE)</f>
        <v>1061.6399999999999</v>
      </c>
      <c r="H186" s="5">
        <f>VLOOKUP("TOTAL COM BDI - "&amp;B186,CPU!$A:$J,9,FALSE)</f>
        <v>1298.6999999999998</v>
      </c>
      <c r="I186" s="5">
        <f>ROUND(F186*H186,2)</f>
        <v>1298.7</v>
      </c>
    </row>
    <row r="187" spans="1:9" x14ac:dyDescent="0.3">
      <c r="A187" s="12" t="s">
        <v>68</v>
      </c>
      <c r="B187" s="51" t="str">
        <f>VLOOKUP(A187,MEMORIA!$A:$N,2,FALSE)</f>
        <v>CONSTRUÇÃO DA CASA DE COMANDO</v>
      </c>
      <c r="C187" s="52"/>
      <c r="D187" s="52"/>
      <c r="E187" s="52"/>
      <c r="F187" s="52"/>
      <c r="G187" s="52"/>
      <c r="H187" s="53"/>
      <c r="I187" s="13">
        <f>SUM($I$188,$I$191,$I$193,$I$197,$I$200,$I$203,$I$206,$I$210,$I$213,$I$216,$I$219,)</f>
        <v>20274.329999999998</v>
      </c>
    </row>
    <row r="188" spans="1:9" x14ac:dyDescent="0.3">
      <c r="A188" s="15" t="s">
        <v>69</v>
      </c>
      <c r="B188" s="48" t="str">
        <f>VLOOKUP(A188,MEMORIA!$A:$N,2,FALSE)</f>
        <v>SERVIÇOS PRELIMINARES</v>
      </c>
      <c r="C188" s="49"/>
      <c r="D188" s="49"/>
      <c r="E188" s="49"/>
      <c r="F188" s="49"/>
      <c r="G188" s="49"/>
      <c r="H188" s="50"/>
      <c r="I188" s="16">
        <f>SUM($I$189:$I$190)</f>
        <v>1315.92</v>
      </c>
    </row>
    <row r="189" spans="1:9" x14ac:dyDescent="0.3">
      <c r="A189" s="23" t="s">
        <v>304</v>
      </c>
      <c r="B189" s="23">
        <f>VLOOKUP(A189,MEMORIA!$A:$N,2,FALSE)</f>
        <v>98524</v>
      </c>
      <c r="C189" s="23" t="str">
        <f>VLOOKUP(A189,MEMORIA!$A:$N,3,FALSE)</f>
        <v>SINAPI</v>
      </c>
      <c r="D189" s="24" t="str">
        <f>VLOOKUP(A189,MEMORIA!$A:$N,4,FALSE)</f>
        <v>LIMPEZA MANUAL DE VEGETAÇÃO EM TERRENO COM ENXADA. AF_03/2024</v>
      </c>
      <c r="E189" s="23" t="str">
        <f>VLOOKUP(A189,MEMORIA!$A:$N,5,FALSE)</f>
        <v>M2</v>
      </c>
      <c r="F189" s="5">
        <f>VLOOKUP(A189,MEMORIA!$A:$N,14,FALSE)</f>
        <v>100</v>
      </c>
      <c r="G189" s="5">
        <f>VLOOKUP("TOTAL SEM BDI - "&amp;B189,CPU!$A:$J,9,FALSE)</f>
        <v>4.62</v>
      </c>
      <c r="H189" s="5">
        <f>VLOOKUP("TOTAL COM BDI - "&amp;B189,CPU!$A:$J,9,FALSE)</f>
        <v>5.65</v>
      </c>
      <c r="I189" s="5">
        <f>ROUND(F189*H189,2)</f>
        <v>565</v>
      </c>
    </row>
    <row r="190" spans="1:9" ht="28.8" x14ac:dyDescent="0.3">
      <c r="A190" s="23" t="s">
        <v>305</v>
      </c>
      <c r="B190" s="23">
        <f>VLOOKUP(A190,MEMORIA!$A:$N,2,FALSE)</f>
        <v>99059</v>
      </c>
      <c r="C190" s="23" t="str">
        <f>VLOOKUP(A190,MEMORIA!$A:$N,3,FALSE)</f>
        <v>SINAPI</v>
      </c>
      <c r="D190" s="24" t="str">
        <f>VLOOKUP(A190,MEMORIA!$A:$N,4,FALSE)</f>
        <v>LOCAÇÃO CONVENCIONAL DE OBRA, UTILIZANDO GABARITO DE TÁBUAS CORRIDAS PONTALETADAS A CADA 2,00M - 2 UTILIZAÇÕES. AF_03/2024</v>
      </c>
      <c r="E190" s="23" t="str">
        <f>VLOOKUP(A190,MEMORIA!$A:$N,5,FALSE)</f>
        <v>M</v>
      </c>
      <c r="F190" s="5">
        <f>VLOOKUP(A190,MEMORIA!$A:$N,14,FALSE)</f>
        <v>10.199999999999999</v>
      </c>
      <c r="G190" s="5">
        <f>VLOOKUP("TOTAL SEM BDI - "&amp;B190,CPU!$A:$J,9,FALSE)</f>
        <v>60.18</v>
      </c>
      <c r="H190" s="5">
        <f>VLOOKUP("TOTAL COM BDI - "&amp;B190,CPU!$A:$J,9,FALSE)</f>
        <v>73.62</v>
      </c>
      <c r="I190" s="5">
        <f>ROUND(F190*H190,2)</f>
        <v>750.92</v>
      </c>
    </row>
    <row r="191" spans="1:9" x14ac:dyDescent="0.3">
      <c r="A191" s="15" t="s">
        <v>70</v>
      </c>
      <c r="B191" s="48" t="str">
        <f>VLOOKUP(A191,MEMORIA!$A:$N,2,FALSE)</f>
        <v>MOVIMENTO DE TERRA</v>
      </c>
      <c r="C191" s="49"/>
      <c r="D191" s="49"/>
      <c r="E191" s="49"/>
      <c r="F191" s="49"/>
      <c r="G191" s="49"/>
      <c r="H191" s="50"/>
      <c r="I191" s="16">
        <f>SUM($I$192:$I$192)</f>
        <v>161.76</v>
      </c>
    </row>
    <row r="192" spans="1:9" x14ac:dyDescent="0.3">
      <c r="A192" s="23" t="s">
        <v>306</v>
      </c>
      <c r="B192" s="23">
        <f>VLOOKUP(A192,MEMORIA!$A:$N,2,FALSE)</f>
        <v>93358</v>
      </c>
      <c r="C192" s="23" t="str">
        <f>VLOOKUP(A192,MEMORIA!$A:$N,3,FALSE)</f>
        <v>SINAPI</v>
      </c>
      <c r="D192" s="24" t="str">
        <f>VLOOKUP(A192,MEMORIA!$A:$N,4,FALSE)</f>
        <v>ESCAVAÇÃO MANUAL DE VALA. AF_09/2024</v>
      </c>
      <c r="E192" s="23" t="str">
        <f>VLOOKUP(A192,MEMORIA!$A:$N,5,FALSE)</f>
        <v>M3</v>
      </c>
      <c r="F192" s="5">
        <f>VLOOKUP(A192,MEMORIA!$A:$N,14,FALSE)</f>
        <v>1.54</v>
      </c>
      <c r="G192" s="5">
        <f>VLOOKUP("TOTAL SEM BDI - "&amp;B192,CPU!$A:$J,9,FALSE)</f>
        <v>85.87</v>
      </c>
      <c r="H192" s="5">
        <f>VLOOKUP("TOTAL COM BDI - "&amp;B192,CPU!$A:$J,9,FALSE)</f>
        <v>105.04</v>
      </c>
      <c r="I192" s="5">
        <f>ROUND(F192*H192,2)</f>
        <v>161.76</v>
      </c>
    </row>
    <row r="193" spans="1:9" x14ac:dyDescent="0.3">
      <c r="A193" s="15" t="s">
        <v>71</v>
      </c>
      <c r="B193" s="48" t="str">
        <f>VLOOKUP(A193,MEMORIA!$A:$N,2,FALSE)</f>
        <v>INFRAESTRUTURA</v>
      </c>
      <c r="C193" s="49"/>
      <c r="D193" s="49"/>
      <c r="E193" s="49"/>
      <c r="F193" s="49"/>
      <c r="G193" s="49"/>
      <c r="H193" s="50"/>
      <c r="I193" s="16">
        <f>SUM($I$194:$I$196)</f>
        <v>1229.81</v>
      </c>
    </row>
    <row r="194" spans="1:9" ht="28.8" x14ac:dyDescent="0.3">
      <c r="A194" s="23" t="s">
        <v>307</v>
      </c>
      <c r="B194" s="23">
        <f>VLOOKUP(A194,MEMORIA!$A:$N,2,FALSE)</f>
        <v>96617</v>
      </c>
      <c r="C194" s="23" t="str">
        <f>VLOOKUP(A194,MEMORIA!$A:$N,3,FALSE)</f>
        <v>SINAPI</v>
      </c>
      <c r="D194" s="24" t="str">
        <f>VLOOKUP(A194,MEMORIA!$A:$N,4,FALSE)</f>
        <v>LASTRO DE CONCRETO MAGRO, APLICADO EM BLOCOS DE COROAMENTO OU SAPATAS, ESPESSURA DE 3 CM. AF_01/2024</v>
      </c>
      <c r="E194" s="23" t="str">
        <f>VLOOKUP(A194,MEMORIA!$A:$N,5,FALSE)</f>
        <v>M2</v>
      </c>
      <c r="F194" s="5">
        <f>VLOOKUP(A194,MEMORIA!$A:$N,14,FALSE)</f>
        <v>2.58</v>
      </c>
      <c r="G194" s="5">
        <f>VLOOKUP("TOTAL SEM BDI - "&amp;B194,CPU!$A:$J,9,FALSE)</f>
        <v>23.57</v>
      </c>
      <c r="H194" s="5">
        <f>VLOOKUP("TOTAL COM BDI - "&amp;B194,CPU!$A:$J,9,FALSE)</f>
        <v>28.83</v>
      </c>
      <c r="I194" s="5">
        <f>ROUND(F194*H194,2)</f>
        <v>74.38</v>
      </c>
    </row>
    <row r="195" spans="1:9" ht="28.8" x14ac:dyDescent="0.3">
      <c r="A195" s="23" t="s">
        <v>308</v>
      </c>
      <c r="B195" s="23">
        <f>VLOOKUP(A195,MEMORIA!$A:$N,2,FALSE)</f>
        <v>103800</v>
      </c>
      <c r="C195" s="23" t="str">
        <f>VLOOKUP(A195,MEMORIA!$A:$N,3,FALSE)</f>
        <v>SINAPI</v>
      </c>
      <c r="D195" s="24" t="str">
        <f>VLOOKUP(A195,MEMORIA!$A:$N,4,FALSE)</f>
        <v>PEDRA ARGAMASSADA COM CIMENTO E AREIA 1:3, 40% DE ARGAMASSA EM VOLUME - AREIA E PEDRA DE MÃO COMERCIAIS - FORNECIMENTO E ASSENTAMENTO. AF_08/2022</v>
      </c>
      <c r="E195" s="23" t="str">
        <f>VLOOKUP(A195,MEMORIA!$A:$N,5,FALSE)</f>
        <v>M3</v>
      </c>
      <c r="F195" s="5">
        <f>VLOOKUP(A195,MEMORIA!$A:$N,14,FALSE)</f>
        <v>1.04</v>
      </c>
      <c r="G195" s="5">
        <f>VLOOKUP("TOTAL SEM BDI - "&amp;B195,CPU!$A:$J,9,FALSE)</f>
        <v>666</v>
      </c>
      <c r="H195" s="5">
        <f>VLOOKUP("TOTAL COM BDI - "&amp;B195,CPU!$A:$J,9,FALSE)</f>
        <v>814.72</v>
      </c>
      <c r="I195" s="5">
        <f>ROUND(F195*H195,2)</f>
        <v>847.31</v>
      </c>
    </row>
    <row r="196" spans="1:9" ht="43.2" x14ac:dyDescent="0.3">
      <c r="A196" s="23" t="s">
        <v>309</v>
      </c>
      <c r="B196" s="23">
        <f>VLOOKUP(A196,MEMORIA!$A:$N,2,FALSE)</f>
        <v>103335</v>
      </c>
      <c r="C196" s="23" t="str">
        <f>VLOOKUP(A196,MEMORIA!$A:$N,3,FALSE)</f>
        <v>SINAPI</v>
      </c>
      <c r="D196" s="24" t="str">
        <f>VLOOKUP(A196,MEMORIA!$A:$N,4,FALSE)</f>
        <v>ALVENARIA DE VEDAÇÃO DE BLOCOS CERÂMICOS FURADOS NA HORIZONTAL DE 14X9X19 CM (ESPESSURA 14 CM, BLOCO DEITADO) E ARGAMASSA DE ASSENTAMENTO COM PREPARO MANUAL. AF_12/2021</v>
      </c>
      <c r="E196" s="23" t="str">
        <f>VLOOKUP(A196,MEMORIA!$A:$N,5,FALSE)</f>
        <v>M2</v>
      </c>
      <c r="F196" s="5">
        <f>VLOOKUP(A196,MEMORIA!$A:$N,14,FALSE)</f>
        <v>1.7200000000000002</v>
      </c>
      <c r="G196" s="5">
        <f>VLOOKUP("TOTAL SEM BDI - "&amp;B196,CPU!$A:$J,9,FALSE)</f>
        <v>146.44</v>
      </c>
      <c r="H196" s="5">
        <f>VLOOKUP("TOTAL COM BDI - "&amp;B196,CPU!$A:$J,9,FALSE)</f>
        <v>179.14</v>
      </c>
      <c r="I196" s="5">
        <f>ROUND(F196*H196,2)</f>
        <v>308.12</v>
      </c>
    </row>
    <row r="197" spans="1:9" x14ac:dyDescent="0.3">
      <c r="A197" s="15" t="s">
        <v>72</v>
      </c>
      <c r="B197" s="48" t="str">
        <f>VLOOKUP(A197,MEMORIA!$A:$N,2,FALSE)</f>
        <v>SUPERESTRUTURA</v>
      </c>
      <c r="C197" s="49"/>
      <c r="D197" s="49"/>
      <c r="E197" s="49"/>
      <c r="F197" s="49"/>
      <c r="G197" s="49"/>
      <c r="H197" s="50"/>
      <c r="I197" s="16">
        <f>SUM($I$198:$I$199)</f>
        <v>1323.3</v>
      </c>
    </row>
    <row r="198" spans="1:9" x14ac:dyDescent="0.3">
      <c r="A198" s="23" t="s">
        <v>310</v>
      </c>
      <c r="B198" s="23" t="str">
        <f>VLOOKUP(A198,MEMORIA!$A:$N,2,FALSE)</f>
        <v>COMPCOM01</v>
      </c>
      <c r="C198" s="23" t="str">
        <f>VLOOKUP(A198,MEMORIA!$A:$N,3,FALSE)</f>
        <v>PRÓPRIA</v>
      </c>
      <c r="D198" s="24" t="str">
        <f>VLOOKUP(A198,MEMORIA!$A:$N,4,FALSE)</f>
        <v>CINTA DE AMARRAÇÃO DE ALVENARIA MOLDADA IN LOCO EM CONCRETO</v>
      </c>
      <c r="E198" s="23" t="str">
        <f>VLOOKUP(A198,MEMORIA!$A:$N,5,FALSE)</f>
        <v>M</v>
      </c>
      <c r="F198" s="5">
        <f>VLOOKUP(A198,MEMORIA!$A:$N,14,FALSE)</f>
        <v>8.6</v>
      </c>
      <c r="G198" s="5">
        <f>VLOOKUP("TOTAL SEM BDI - "&amp;B198,CPU!$A:$J,9,FALSE)</f>
        <v>81.47999999999999</v>
      </c>
      <c r="H198" s="5">
        <f>VLOOKUP("TOTAL COM BDI - "&amp;B198,CPU!$A:$J,9,FALSE)</f>
        <v>99.669999999999987</v>
      </c>
      <c r="I198" s="5">
        <f>ROUND(F198*H198,2)</f>
        <v>857.16</v>
      </c>
    </row>
    <row r="199" spans="1:9" ht="28.8" x14ac:dyDescent="0.3">
      <c r="A199" s="23" t="s">
        <v>311</v>
      </c>
      <c r="B199" s="23" t="str">
        <f>VLOOKUP(A199,MEMORIA!$A:$N,2,FALSE)</f>
        <v>COMPCOM02</v>
      </c>
      <c r="C199" s="23" t="str">
        <f>VLOOKUP(A199,MEMORIA!$A:$N,3,FALSE)</f>
        <v>PRÓPRIA</v>
      </c>
      <c r="D199" s="24" t="str">
        <f>VLOOKUP(A199,MEMORIA!$A:$N,4,FALSE)</f>
        <v>(COMPOSIÇÃO REPRESENTATIVA) EXECUÇÃO DE ESTRUTURAS DE CONCRETO ARMADO, PARA EDIFICAÇÃO INSTITUCIONAL TÉRREA, FCK = 25 MPA</v>
      </c>
      <c r="E199" s="23" t="str">
        <f>VLOOKUP(A199,MEMORIA!$A:$N,5,FALSE)</f>
        <v>M³</v>
      </c>
      <c r="F199" s="5">
        <f>VLOOKUP(A199,MEMORIA!$A:$N,14,FALSE)</f>
        <v>0.30000000000000004</v>
      </c>
      <c r="G199" s="5">
        <f>VLOOKUP("TOTAL SEM BDI - "&amp;B199,CPU!$A:$J,9,FALSE)</f>
        <v>1270.1599999999999</v>
      </c>
      <c r="H199" s="5">
        <f>VLOOKUP("TOTAL COM BDI - "&amp;B199,CPU!$A:$J,9,FALSE)</f>
        <v>1553.79</v>
      </c>
      <c r="I199" s="5">
        <f>ROUND(F199*H199,2)</f>
        <v>466.14</v>
      </c>
    </row>
    <row r="200" spans="1:9" x14ac:dyDescent="0.3">
      <c r="A200" s="15" t="s">
        <v>73</v>
      </c>
      <c r="B200" s="48" t="str">
        <f>VLOOKUP(A200,MEMORIA!$A:$N,2,FALSE)</f>
        <v>VEDAÇÃO VERTICAL</v>
      </c>
      <c r="C200" s="49"/>
      <c r="D200" s="49"/>
      <c r="E200" s="49"/>
      <c r="F200" s="49"/>
      <c r="G200" s="49"/>
      <c r="H200" s="50"/>
      <c r="I200" s="16">
        <f>SUM($I$201:$I$202)</f>
        <v>2620</v>
      </c>
    </row>
    <row r="201" spans="1:9" ht="43.2" x14ac:dyDescent="0.3">
      <c r="A201" s="23" t="s">
        <v>312</v>
      </c>
      <c r="B201" s="23">
        <f>VLOOKUP(A201,MEMORIA!$A:$N,2,FALSE)</f>
        <v>103329</v>
      </c>
      <c r="C201" s="23" t="str">
        <f>VLOOKUP(A201,MEMORIA!$A:$N,3,FALSE)</f>
        <v>SINAPI</v>
      </c>
      <c r="D201" s="24" t="str">
        <f>VLOOKUP(A201,MEMORIA!$A:$N,4,FALSE)</f>
        <v>ALVENARIA DE VEDAÇÃO DE BLOCOS CERÂMICOS FURADOS NA HORIZONTAL DE 9X19X19 CM (ESPESSURA 9 CM) E ARGAMASSA DE ASSENTAMENTO COM PREPARO MANUAL. AF_12/2021</v>
      </c>
      <c r="E201" s="23" t="str">
        <f>VLOOKUP(A201,MEMORIA!$A:$N,5,FALSE)</f>
        <v>M2</v>
      </c>
      <c r="F201" s="5">
        <f>VLOOKUP(A201,MEMORIA!$A:$N,14,FALSE)</f>
        <v>19.310000000000002</v>
      </c>
      <c r="G201" s="5">
        <f>VLOOKUP("TOTAL SEM BDI - "&amp;B201,CPU!$A:$J,9,FALSE)</f>
        <v>95.039999999999992</v>
      </c>
      <c r="H201" s="5">
        <f>VLOOKUP("TOTAL COM BDI - "&amp;B201,CPU!$A:$J,9,FALSE)</f>
        <v>116.25999999999999</v>
      </c>
      <c r="I201" s="5">
        <f>ROUND(F201*H201,2)</f>
        <v>2244.98</v>
      </c>
    </row>
    <row r="202" spans="1:9" ht="43.2" x14ac:dyDescent="0.3">
      <c r="A202" s="23" t="s">
        <v>313</v>
      </c>
      <c r="B202" s="23">
        <f>VLOOKUP(A202,MEMORIA!$A:$N,2,FALSE)</f>
        <v>101161</v>
      </c>
      <c r="C202" s="23" t="str">
        <f>VLOOKUP(A202,MEMORIA!$A:$N,3,FALSE)</f>
        <v>SINAPI</v>
      </c>
      <c r="D202" s="24" t="str">
        <f>VLOOKUP(A202,MEMORIA!$A:$N,4,FALSE)</f>
        <v>ALVENARIA DE VEDAÇÃO COM ELEMENTO VAZADO DE CONCRETO (COBOGÓ) DE 7X50X50CM E ARGAMASSA DE ASSENTAMENTO COM PREPARO EM BETONEIRA. AF_05/2020</v>
      </c>
      <c r="E202" s="23" t="str">
        <f>VLOOKUP(A202,MEMORIA!$A:$N,5,FALSE)</f>
        <v>M2</v>
      </c>
      <c r="F202" s="5">
        <f>VLOOKUP(A202,MEMORIA!$A:$N,14,FALSE)</f>
        <v>1.5</v>
      </c>
      <c r="G202" s="5">
        <f>VLOOKUP("TOTAL SEM BDI - "&amp;B202,CPU!$A:$J,9,FALSE)</f>
        <v>204.37</v>
      </c>
      <c r="H202" s="5">
        <f>VLOOKUP("TOTAL COM BDI - "&amp;B202,CPU!$A:$J,9,FALSE)</f>
        <v>250.01</v>
      </c>
      <c r="I202" s="5">
        <f>ROUND(F202*H202,2)</f>
        <v>375.02</v>
      </c>
    </row>
    <row r="203" spans="1:9" x14ac:dyDescent="0.3">
      <c r="A203" s="15" t="s">
        <v>74</v>
      </c>
      <c r="B203" s="48" t="str">
        <f>VLOOKUP(A203,MEMORIA!$A:$N,2,FALSE)</f>
        <v>COBERTURA</v>
      </c>
      <c r="C203" s="49"/>
      <c r="D203" s="49"/>
      <c r="E203" s="49"/>
      <c r="F203" s="49"/>
      <c r="G203" s="49"/>
      <c r="H203" s="50"/>
      <c r="I203" s="16">
        <f>SUM($I$204:$I$205)</f>
        <v>1305.45</v>
      </c>
    </row>
    <row r="204" spans="1:9" ht="28.8" x14ac:dyDescent="0.3">
      <c r="A204" s="23" t="s">
        <v>314</v>
      </c>
      <c r="B204" s="23" t="str">
        <f>VLOOKUP(A204,MEMORIA!$A:$N,2,FALSE)</f>
        <v>COMPCOM03</v>
      </c>
      <c r="C204" s="23" t="str">
        <f>VLOOKUP(A204,MEMORIA!$A:$N,3,FALSE)</f>
        <v>PRÓPRIA</v>
      </c>
      <c r="D204" s="24" t="str">
        <f>VLOOKUP(A204,MEMORIA!$A:$N,4,FALSE)</f>
        <v>TELHAMENTO COM TELHA CERÂMICA CAPA-CANAL, TIPO COLONIAL, COM ATÉ 2 ÁGUAS, INCLUSO TRANSPORTE VERTICAL</v>
      </c>
      <c r="E204" s="23" t="str">
        <f>VLOOKUP(A204,MEMORIA!$A:$N,5,FALSE)</f>
        <v>M²</v>
      </c>
      <c r="F204" s="5">
        <f>VLOOKUP(A204,MEMORIA!$A:$N,14,FALSE)</f>
        <v>10.23</v>
      </c>
      <c r="G204" s="5">
        <f>VLOOKUP("TOTAL SEM BDI - "&amp;B204,CPU!$A:$J,9,FALSE)</f>
        <v>37.64</v>
      </c>
      <c r="H204" s="5">
        <f>VLOOKUP("TOTAL COM BDI - "&amp;B204,CPU!$A:$J,9,FALSE)</f>
        <v>46.05</v>
      </c>
      <c r="I204" s="5">
        <f>ROUND(F204*H204,2)</f>
        <v>471.09</v>
      </c>
    </row>
    <row r="205" spans="1:9" ht="28.8" x14ac:dyDescent="0.3">
      <c r="A205" s="23" t="s">
        <v>315</v>
      </c>
      <c r="B205" s="23" t="str">
        <f>VLOOKUP(A205,MEMORIA!$A:$N,2,FALSE)</f>
        <v>COMPCOM04</v>
      </c>
      <c r="C205" s="23" t="str">
        <f>VLOOKUP(A205,MEMORIA!$A:$N,3,FALSE)</f>
        <v>PRÓPRIA</v>
      </c>
      <c r="D205" s="24" t="str">
        <f>VLOOKUP(A205,MEMORIA!$A:$N,4,FALSE)</f>
        <v>TRAMA DE MADEIRA COMPOSTA POR RIPAS, CAIBROS E TERÇAS PARA TELHADOS DE ATÉ 2 ÁGUAS PARA TELHA CERÂMICA CAPA-CANAL, INCLUSO TRANSPORTE VERTICAL</v>
      </c>
      <c r="E205" s="23" t="str">
        <f>VLOOKUP(A205,MEMORIA!$A:$N,5,FALSE)</f>
        <v>M²</v>
      </c>
      <c r="F205" s="5">
        <f>VLOOKUP(A205,MEMORIA!$A:$N,14,FALSE)</f>
        <v>10.23</v>
      </c>
      <c r="G205" s="5">
        <f>VLOOKUP("TOTAL SEM BDI - "&amp;B205,CPU!$A:$J,9,FALSE)</f>
        <v>66.67</v>
      </c>
      <c r="H205" s="5">
        <f>VLOOKUP("TOTAL COM BDI - "&amp;B205,CPU!$A:$J,9,FALSE)</f>
        <v>81.56</v>
      </c>
      <c r="I205" s="5">
        <f>ROUND(F205*H205,2)</f>
        <v>834.36</v>
      </c>
    </row>
    <row r="206" spans="1:9" x14ac:dyDescent="0.3">
      <c r="A206" s="15" t="s">
        <v>75</v>
      </c>
      <c r="B206" s="48" t="str">
        <f>VLOOKUP(A206,MEMORIA!$A:$N,2,FALSE)</f>
        <v>PISO</v>
      </c>
      <c r="C206" s="49"/>
      <c r="D206" s="49"/>
      <c r="E206" s="49"/>
      <c r="F206" s="49"/>
      <c r="G206" s="49"/>
      <c r="H206" s="50"/>
      <c r="I206" s="16">
        <f>SUM($I$207:$I$209)</f>
        <v>1174.01</v>
      </c>
    </row>
    <row r="207" spans="1:9" ht="28.8" x14ac:dyDescent="0.3">
      <c r="A207" s="23" t="s">
        <v>316</v>
      </c>
      <c r="B207" s="23">
        <f>VLOOKUP(A207,MEMORIA!$A:$N,2,FALSE)</f>
        <v>96617</v>
      </c>
      <c r="C207" s="23" t="str">
        <f>VLOOKUP(A207,MEMORIA!$A:$N,3,FALSE)</f>
        <v>SINAPI</v>
      </c>
      <c r="D207" s="24" t="str">
        <f>VLOOKUP(A207,MEMORIA!$A:$N,4,FALSE)</f>
        <v>LASTRO DE CONCRETO MAGRO, APLICADO EM BLOCOS DE COROAMENTO OU SAPATAS, ESPESSURA DE 3 CM. AF_01/2024</v>
      </c>
      <c r="E207" s="23" t="str">
        <f>VLOOKUP(A207,MEMORIA!$A:$N,5,FALSE)</f>
        <v>M2</v>
      </c>
      <c r="F207" s="5">
        <f>VLOOKUP(A207,MEMORIA!$A:$N,14,FALSE)</f>
        <v>4</v>
      </c>
      <c r="G207" s="5">
        <f>VLOOKUP("TOTAL SEM BDI - "&amp;B207,CPU!$A:$J,9,FALSE)</f>
        <v>23.57</v>
      </c>
      <c r="H207" s="5">
        <f>VLOOKUP("TOTAL COM BDI - "&amp;B207,CPU!$A:$J,9,FALSE)</f>
        <v>28.83</v>
      </c>
      <c r="I207" s="5">
        <f>ROUND(F207*H207,2)</f>
        <v>115.32</v>
      </c>
    </row>
    <row r="208" spans="1:9" ht="28.8" x14ac:dyDescent="0.3">
      <c r="A208" s="23" t="s">
        <v>317</v>
      </c>
      <c r="B208" s="23">
        <f>VLOOKUP(A208,MEMORIA!$A:$N,2,FALSE)</f>
        <v>101749</v>
      </c>
      <c r="C208" s="23" t="str">
        <f>VLOOKUP(A208,MEMORIA!$A:$N,3,FALSE)</f>
        <v>SINAPI</v>
      </c>
      <c r="D208" s="24" t="str">
        <f>VLOOKUP(A208,MEMORIA!$A:$N,4,FALSE)</f>
        <v>PISO CIMENTADO, TRAÇO 1:3 (CIMENTO E AREIA), ACABAMENTO LISO, ESPESSURA 4,0 CM, PREPARO MECÂNICO DA ARGAMASSA. AF_09/2020</v>
      </c>
      <c r="E208" s="23" t="str">
        <f>VLOOKUP(A208,MEMORIA!$A:$N,5,FALSE)</f>
        <v>M2</v>
      </c>
      <c r="F208" s="5">
        <f>VLOOKUP(A208,MEMORIA!$A:$N,14,FALSE)</f>
        <v>4</v>
      </c>
      <c r="G208" s="5">
        <f>VLOOKUP("TOTAL SEM BDI - "&amp;B208,CPU!$A:$J,9,FALSE)</f>
        <v>64.739999999999995</v>
      </c>
      <c r="H208" s="5">
        <f>VLOOKUP("TOTAL COM BDI - "&amp;B208,CPU!$A:$J,9,FALSE)</f>
        <v>79.199999999999989</v>
      </c>
      <c r="I208" s="5">
        <f>ROUND(F208*H208,2)</f>
        <v>316.8</v>
      </c>
    </row>
    <row r="209" spans="1:9" ht="43.2" x14ac:dyDescent="0.3">
      <c r="A209" s="23" t="s">
        <v>318</v>
      </c>
      <c r="B209" s="23">
        <f>VLOOKUP(A209,MEMORIA!$A:$N,2,FALSE)</f>
        <v>94994</v>
      </c>
      <c r="C209" s="23" t="str">
        <f>VLOOKUP(A209,MEMORIA!$A:$N,3,FALSE)</f>
        <v>SINAPI</v>
      </c>
      <c r="D209" s="24" t="str">
        <f>VLOOKUP(A209,MEMORIA!$A:$N,4,FALSE)</f>
        <v>EXECUÇÃO DE PASSEIO (CALÇADA) OU PISO DE CONCRETO COM CONCRETO MOLDADO IN LOCO, FEITO EM OBRA, ACABAMENTO CONVENCIONAL, ESPESSURA 8 CM, ARMADO. AF_08/2022</v>
      </c>
      <c r="E209" s="23" t="str">
        <f>VLOOKUP(A209,MEMORIA!$A:$N,5,FALSE)</f>
        <v>M2</v>
      </c>
      <c r="F209" s="5">
        <f>VLOOKUP(A209,MEMORIA!$A:$N,14,FALSE)</f>
        <v>5.6</v>
      </c>
      <c r="G209" s="5">
        <f>VLOOKUP("TOTAL SEM BDI - "&amp;B209,CPU!$A:$J,9,FALSE)</f>
        <v>108.30000000000003</v>
      </c>
      <c r="H209" s="5">
        <f>VLOOKUP("TOTAL COM BDI - "&amp;B209,CPU!$A:$J,9,FALSE)</f>
        <v>132.48000000000002</v>
      </c>
      <c r="I209" s="5">
        <f>ROUND(F209*H209,2)</f>
        <v>741.89</v>
      </c>
    </row>
    <row r="210" spans="1:9" x14ac:dyDescent="0.3">
      <c r="A210" s="15" t="s">
        <v>76</v>
      </c>
      <c r="B210" s="48" t="str">
        <f>VLOOKUP(A210,MEMORIA!$A:$N,2,FALSE)</f>
        <v>REVESTIMENTO</v>
      </c>
      <c r="C210" s="49"/>
      <c r="D210" s="49"/>
      <c r="E210" s="49"/>
      <c r="F210" s="49"/>
      <c r="G210" s="49"/>
      <c r="H210" s="50"/>
      <c r="I210" s="16">
        <f>SUM($I$211:$I$212)</f>
        <v>2341.92</v>
      </c>
    </row>
    <row r="211" spans="1:9" ht="43.2" x14ac:dyDescent="0.3">
      <c r="A211" s="23" t="s">
        <v>319</v>
      </c>
      <c r="B211" s="23">
        <f>VLOOKUP(A211,MEMORIA!$A:$N,2,FALSE)</f>
        <v>87904</v>
      </c>
      <c r="C211" s="23" t="str">
        <f>VLOOKUP(A211,MEMORIA!$A:$N,3,FALSE)</f>
        <v>SINAPI</v>
      </c>
      <c r="D211" s="24" t="str">
        <f>VLOOKUP(A211,MEMORIA!$A:$N,4,FALSE)</f>
        <v>CHAPISCO APLICADO EM ALVENARIA (COM PRESENÇA DE VÃOS) E ESTRUTURAS DE CONCRETO DE FACHADA, COM COLHER DE PEDREIRO. ARGAMASSA TRAÇO 1:3 COM PREPARO MANUAL. AF_10/2022</v>
      </c>
      <c r="E211" s="23" t="str">
        <f>VLOOKUP(A211,MEMORIA!$A:$N,5,FALSE)</f>
        <v>M2</v>
      </c>
      <c r="F211" s="5">
        <f>VLOOKUP(A211,MEMORIA!$A:$N,14,FALSE)</f>
        <v>38.619999999999997</v>
      </c>
      <c r="G211" s="5">
        <f>VLOOKUP("TOTAL SEM BDI - "&amp;B211,CPU!$A:$J,9,FALSE)</f>
        <v>8.7199999999999989</v>
      </c>
      <c r="H211" s="5">
        <f>VLOOKUP("TOTAL COM BDI - "&amp;B211,CPU!$A:$J,9,FALSE)</f>
        <v>10.669999999999998</v>
      </c>
      <c r="I211" s="5">
        <f>ROUND(F211*H211,2)</f>
        <v>412.08</v>
      </c>
    </row>
    <row r="212" spans="1:9" ht="43.2" x14ac:dyDescent="0.3">
      <c r="A212" s="23" t="s">
        <v>320</v>
      </c>
      <c r="B212" s="23">
        <f>VLOOKUP(A212,MEMORIA!$A:$N,2,FALSE)</f>
        <v>87530</v>
      </c>
      <c r="C212" s="23" t="str">
        <f>VLOOKUP(A212,MEMORIA!$A:$N,3,FALSE)</f>
        <v>SINAPI</v>
      </c>
      <c r="D212" s="24" t="str">
        <f>VLOOKUP(A212,MEMORIA!$A:$N,4,FALSE)</f>
        <v>MASSA ÚNICA, EM ARGAMASSA TRAÇO 1:2:8, PREPARO MANUAL, APLICADA MANUALMENTE EM PAREDES INTERNAS DE AMBIENTES COM ÁREA ENTRE 5M² E 10M², E = 17,5MM, COM TALISCAS. AF_03/2024</v>
      </c>
      <c r="E212" s="23" t="str">
        <f>VLOOKUP(A212,MEMORIA!$A:$N,5,FALSE)</f>
        <v>M2</v>
      </c>
      <c r="F212" s="5">
        <f>VLOOKUP(A212,MEMORIA!$A:$N,14,FALSE)</f>
        <v>38.619999999999997</v>
      </c>
      <c r="G212" s="5">
        <f>VLOOKUP("TOTAL SEM BDI - "&amp;B212,CPU!$A:$J,9,FALSE)</f>
        <v>40.85</v>
      </c>
      <c r="H212" s="5">
        <f>VLOOKUP("TOTAL COM BDI - "&amp;B212,CPU!$A:$J,9,FALSE)</f>
        <v>49.97</v>
      </c>
      <c r="I212" s="5">
        <f>ROUND(F212*H212,2)</f>
        <v>1929.84</v>
      </c>
    </row>
    <row r="213" spans="1:9" x14ac:dyDescent="0.3">
      <c r="A213" s="15" t="s">
        <v>77</v>
      </c>
      <c r="B213" s="48" t="str">
        <f>VLOOKUP(A213,MEMORIA!$A:$N,2,FALSE)</f>
        <v>ESQUADRIAS</v>
      </c>
      <c r="C213" s="49"/>
      <c r="D213" s="49"/>
      <c r="E213" s="49"/>
      <c r="F213" s="49"/>
      <c r="G213" s="49"/>
      <c r="H213" s="50"/>
      <c r="I213" s="16">
        <f>SUM($I$214:$I$215)</f>
        <v>2243.75</v>
      </c>
    </row>
    <row r="214" spans="1:9" x14ac:dyDescent="0.3">
      <c r="A214" s="23" t="s">
        <v>321</v>
      </c>
      <c r="B214" s="23">
        <f>VLOOKUP(A214,MEMORIA!$A:$N,2,FALSE)</f>
        <v>100701</v>
      </c>
      <c r="C214" s="23" t="str">
        <f>VLOOKUP(A214,MEMORIA!$A:$N,3,FALSE)</f>
        <v>SINAPI</v>
      </c>
      <c r="D214" s="24" t="str">
        <f>VLOOKUP(A214,MEMORIA!$A:$N,4,FALSE)</f>
        <v>PORTA DE FERRO, DE ABRIR, TIPO GRADE COM CHAPA, COM GUARNIÇÕES. AF_12/2019</v>
      </c>
      <c r="E214" s="23" t="str">
        <f>VLOOKUP(A214,MEMORIA!$A:$N,5,FALSE)</f>
        <v>M2</v>
      </c>
      <c r="F214" s="5">
        <f>VLOOKUP(A214,MEMORIA!$A:$N,14,FALSE)</f>
        <v>1.68</v>
      </c>
      <c r="G214" s="5">
        <f>VLOOKUP("TOTAL SEM BDI - "&amp;B214,CPU!$A:$J,9,FALSE)</f>
        <v>415.24</v>
      </c>
      <c r="H214" s="5">
        <f>VLOOKUP("TOTAL COM BDI - "&amp;B214,CPU!$A:$J,9,FALSE)</f>
        <v>507.96000000000004</v>
      </c>
      <c r="I214" s="5">
        <f>ROUND(F214*H214,2)</f>
        <v>853.37</v>
      </c>
    </row>
    <row r="215" spans="1:9" x14ac:dyDescent="0.3">
      <c r="A215" s="23" t="s">
        <v>322</v>
      </c>
      <c r="B215" s="23" t="str">
        <f>VLOOKUP(A215,MEMORIA!$A:$N,2,FALSE)</f>
        <v>COMP219</v>
      </c>
      <c r="C215" s="23" t="str">
        <f>VLOOKUP(A215,MEMORIA!$A:$N,3,FALSE)</f>
        <v>PRÓPRIA</v>
      </c>
      <c r="D215" s="24" t="str">
        <f>VLOOKUP(A215,MEMORIA!$A:$N,4,FALSE)</f>
        <v>PORTÃO DE FERRO EM BARRA CHATA TIPO TIJOLINHO (REF: C1999-SEINFRA 28)</v>
      </c>
      <c r="E215" s="23" t="str">
        <f>VLOOKUP(A215,MEMORIA!$A:$N,5,FALSE)</f>
        <v>M2</v>
      </c>
      <c r="F215" s="5">
        <f>VLOOKUP(A215,MEMORIA!$A:$N,14,FALSE)</f>
        <v>6</v>
      </c>
      <c r="G215" s="5">
        <f>VLOOKUP("TOTAL SEM BDI - "&amp;B215,CPU!$A:$J,9,FALSE)</f>
        <v>189.43</v>
      </c>
      <c r="H215" s="5">
        <f>VLOOKUP("TOTAL COM BDI - "&amp;B215,CPU!$A:$J,9,FALSE)</f>
        <v>231.73000000000002</v>
      </c>
      <c r="I215" s="5">
        <f>ROUND(F215*H215,2)</f>
        <v>1390.38</v>
      </c>
    </row>
    <row r="216" spans="1:9" x14ac:dyDescent="0.3">
      <c r="A216" s="15" t="s">
        <v>78</v>
      </c>
      <c r="B216" s="48" t="str">
        <f>VLOOKUP(A216,MEMORIA!$A:$N,2,FALSE)</f>
        <v>PINTURA</v>
      </c>
      <c r="C216" s="49"/>
      <c r="D216" s="49"/>
      <c r="E216" s="49"/>
      <c r="F216" s="49"/>
      <c r="G216" s="49"/>
      <c r="H216" s="50"/>
      <c r="I216" s="16">
        <f>SUM($I$217:$I$218)</f>
        <v>649.88</v>
      </c>
    </row>
    <row r="217" spans="1:9" x14ac:dyDescent="0.3">
      <c r="A217" s="23" t="s">
        <v>323</v>
      </c>
      <c r="B217" s="23" t="str">
        <f>VLOOKUP(A217,MEMORIA!$A:$N,2,FALSE)</f>
        <v>COMP205</v>
      </c>
      <c r="C217" s="23" t="str">
        <f>VLOOKUP(A217,MEMORIA!$A:$N,3,FALSE)</f>
        <v>PRÓPRIA</v>
      </c>
      <c r="D217" s="24" t="str">
        <f>VLOOKUP(A217,MEMORIA!$A:$N,4,FALSE)</f>
        <v>CAIAÇÃO EM TRES DEMÃOS EM PAREDES (REF: C0589-SEINFRA 28)</v>
      </c>
      <c r="E217" s="23" t="str">
        <f>VLOOKUP(A217,MEMORIA!$A:$N,5,FALSE)</f>
        <v>M2</v>
      </c>
      <c r="F217" s="5">
        <f>VLOOKUP(A217,MEMORIA!$A:$N,14,FALSE)</f>
        <v>38.619999999999997</v>
      </c>
      <c r="G217" s="5">
        <f>VLOOKUP("TOTAL SEM BDI - "&amp;B217,CPU!$A:$J,9,FALSE)</f>
        <v>9.3800000000000008</v>
      </c>
      <c r="H217" s="5">
        <f>VLOOKUP("TOTAL COM BDI - "&amp;B217,CPU!$A:$J,9,FALSE)</f>
        <v>11.47</v>
      </c>
      <c r="I217" s="5">
        <f>ROUND(F217*H217,2)</f>
        <v>442.97</v>
      </c>
    </row>
    <row r="218" spans="1:9" ht="43.2" x14ac:dyDescent="0.3">
      <c r="A218" s="23" t="s">
        <v>324</v>
      </c>
      <c r="B218" s="23">
        <f>VLOOKUP(A218,MEMORIA!$A:$N,2,FALSE)</f>
        <v>100758</v>
      </c>
      <c r="C218" s="23" t="str">
        <f>VLOOKUP(A218,MEMORIA!$A:$N,3,FALSE)</f>
        <v>SINAPI</v>
      </c>
      <c r="D218" s="24" t="str">
        <f>VLOOKUP(A218,MEMORIA!$A:$N,4,FALSE)</f>
        <v>PINTURA COM TINTA ALQUÍDICA DE ACABAMENTO (ESMALTE SINTÉTICO ACETINADO) APLICADA A ROLO OU PINCEL SOBRE SUPERFÍCIES METÁLICAS (EXCETO PERFIL) EXECUTADO EM OBRA (02 DEMÃOS). AF_01/2020</v>
      </c>
      <c r="E218" s="23" t="str">
        <f>VLOOKUP(A218,MEMORIA!$A:$N,5,FALSE)</f>
        <v>M2</v>
      </c>
      <c r="F218" s="5">
        <f>VLOOKUP(A218,MEMORIA!$A:$N,14,FALSE)</f>
        <v>3.36</v>
      </c>
      <c r="G218" s="5">
        <f>VLOOKUP("TOTAL SEM BDI - "&amp;B218,CPU!$A:$J,9,FALSE)</f>
        <v>50.339999999999996</v>
      </c>
      <c r="H218" s="5">
        <f>VLOOKUP("TOTAL COM BDI - "&amp;B218,CPU!$A:$J,9,FALSE)</f>
        <v>61.58</v>
      </c>
      <c r="I218" s="5">
        <f>ROUND(F218*H218,2)</f>
        <v>206.91</v>
      </c>
    </row>
    <row r="219" spans="1:9" x14ac:dyDescent="0.3">
      <c r="A219" s="15" t="s">
        <v>79</v>
      </c>
      <c r="B219" s="48" t="str">
        <f>VLOOKUP(A219,MEMORIA!$A:$N,2,FALSE)</f>
        <v>CERCAMENTO</v>
      </c>
      <c r="C219" s="49"/>
      <c r="D219" s="49"/>
      <c r="E219" s="49"/>
      <c r="F219" s="49"/>
      <c r="G219" s="49"/>
      <c r="H219" s="50"/>
      <c r="I219" s="16">
        <f>SUM($I$220:$I$220)</f>
        <v>5908.53</v>
      </c>
    </row>
    <row r="220" spans="1:9" ht="43.2" x14ac:dyDescent="0.3">
      <c r="A220" s="23" t="s">
        <v>325</v>
      </c>
      <c r="B220" s="23">
        <f>VLOOKUP(A220,MEMORIA!$A:$N,2,FALSE)</f>
        <v>101197</v>
      </c>
      <c r="C220" s="23" t="str">
        <f>VLOOKUP(A220,MEMORIA!$A:$N,3,FALSE)</f>
        <v>SINAPI</v>
      </c>
      <c r="D220" s="24" t="str">
        <f>VLOOKUP(A220,MEMORIA!$A:$N,4,FALSE)</f>
        <v>CERCA COM MOURÕES DE CONCRETO, SEÇÃO "T" PONTA INCLINADA, 10X10 CM, ESPAÇAMENTO DE 2,5 M, CRAVADOS 0,5 M, COM 11 FIOS DE ARAME FARPADO Nº 14 - FORNECIMENTO E INSTALAÇÃO. AF_05/2020</v>
      </c>
      <c r="E220" s="23" t="str">
        <f>VLOOKUP(A220,MEMORIA!$A:$N,5,FALSE)</f>
        <v>M</v>
      </c>
      <c r="F220" s="5">
        <f>VLOOKUP(A220,MEMORIA!$A:$N,14,FALSE)</f>
        <v>37</v>
      </c>
      <c r="G220" s="5">
        <f>VLOOKUP("TOTAL SEM BDI - "&amp;B220,CPU!$A:$J,9,FALSE)</f>
        <v>130.54</v>
      </c>
      <c r="H220" s="5">
        <f>VLOOKUP("TOTAL COM BDI - "&amp;B220,CPU!$A:$J,9,FALSE)</f>
        <v>159.69</v>
      </c>
      <c r="I220" s="5">
        <f>ROUND(F220*H220,2)</f>
        <v>5908.53</v>
      </c>
    </row>
    <row r="221" spans="1:9" x14ac:dyDescent="0.3">
      <c r="A221" s="12" t="s">
        <v>80</v>
      </c>
      <c r="B221" s="51" t="str">
        <f>VLOOKUP(A221,MEMORIA!$A:$N,2,FALSE)</f>
        <v>INSTALAÇÕES ELÉTRICAS</v>
      </c>
      <c r="C221" s="52"/>
      <c r="D221" s="52"/>
      <c r="E221" s="52"/>
      <c r="F221" s="52"/>
      <c r="G221" s="52"/>
      <c r="H221" s="53"/>
      <c r="I221" s="13">
        <f>SUM($I$222:$I$223)</f>
        <v>17909.879999999997</v>
      </c>
    </row>
    <row r="222" spans="1:9" ht="43.2" x14ac:dyDescent="0.3">
      <c r="A222" s="23" t="s">
        <v>326</v>
      </c>
      <c r="B222" s="23" t="str">
        <f>VLOOKUP(A222,MEMORIA!$A:$N,2,FALSE)</f>
        <v>COMP223</v>
      </c>
      <c r="C222" s="23" t="str">
        <f>VLOOKUP(A222,MEMORIA!$A:$N,3,FALSE)</f>
        <v>PRÓPRIA</v>
      </c>
      <c r="D222" s="24" t="str">
        <f>VLOOKUP(A222,MEMORIA!$A:$N,4,FALSE)</f>
        <v>FORNECIMENTO E INSTALAÇÃO DE KIT DE BOMBEAMENTO SOLAR P/ POÇO COM PROFUNDIDADE DE 100 A 120 M, INCLUSO BOMBA 3CV, INVERSOR, PAINÉIS, QUADRO DE COMANDO, DISJUNTORES, CABOS E CONEXÕES E ESTRUTURA TIPO SOLO</v>
      </c>
      <c r="E222" s="23" t="str">
        <f>VLOOKUP(A222,MEMORIA!$A:$N,5,FALSE)</f>
        <v>UND</v>
      </c>
      <c r="F222" s="5">
        <f>VLOOKUP(A222,MEMORIA!$A:$N,14,FALSE)</f>
        <v>1</v>
      </c>
      <c r="G222" s="5">
        <f>VLOOKUP("TOTAL SEM BDI - "&amp;B222,CPU!$A:$J,9,FALSE)</f>
        <v>12042.74</v>
      </c>
      <c r="H222" s="5">
        <f>VLOOKUP("TOTAL COM BDI - "&amp;B222,CPU!$A:$J,9,FALSE)</f>
        <v>14731.88</v>
      </c>
      <c r="I222" s="5">
        <f>ROUND(F222*H222,2)</f>
        <v>14731.88</v>
      </c>
    </row>
    <row r="223" spans="1:9" x14ac:dyDescent="0.3">
      <c r="A223" s="23" t="s">
        <v>327</v>
      </c>
      <c r="B223" s="23" t="str">
        <f>VLOOKUP(A223,MEMORIA!$A:$N,2,FALSE)</f>
        <v>COMPOS24</v>
      </c>
      <c r="C223" s="23" t="str">
        <f>VLOOKUP(A223,MEMORIA!$A:$N,3,FALSE)</f>
        <v>PRÓPRIA</v>
      </c>
      <c r="D223" s="24" t="str">
        <f>VLOOKUP(A223,MEMORIA!$A:$N,4,FALSE)</f>
        <v>FORNECIMENTO E INSTALAÇÃO DE CABO CHATO SUBMERSO DE 3 X 6 MM²</v>
      </c>
      <c r="E223" s="23" t="str">
        <f>VLOOKUP(A223,MEMORIA!$A:$N,5,FALSE)</f>
        <v>M</v>
      </c>
      <c r="F223" s="5">
        <f>VLOOKUP(A223,MEMORIA!$A:$N,14,FALSE)</f>
        <v>100</v>
      </c>
      <c r="G223" s="5">
        <f>VLOOKUP("TOTAL SEM BDI - "&amp;B223,CPU!$A:$J,9,FALSE)</f>
        <v>25.98</v>
      </c>
      <c r="H223" s="5">
        <f>VLOOKUP("TOTAL COM BDI - "&amp;B223,CPU!$A:$J,9,FALSE)</f>
        <v>31.78</v>
      </c>
      <c r="I223" s="5">
        <f>ROUND(F223*H223,2)</f>
        <v>3178</v>
      </c>
    </row>
    <row r="224" spans="1:9" x14ac:dyDescent="0.3">
      <c r="A224" s="12" t="s">
        <v>81</v>
      </c>
      <c r="B224" s="51" t="str">
        <f>VLOOKUP(A224,MEMORIA!$A:$N,2,FALSE)</f>
        <v>ADUÇÃO</v>
      </c>
      <c r="C224" s="52"/>
      <c r="D224" s="52"/>
      <c r="E224" s="52"/>
      <c r="F224" s="52"/>
      <c r="G224" s="52"/>
      <c r="H224" s="53"/>
      <c r="I224" s="13">
        <f>SUM($I$225,$I$228,$I$230,)</f>
        <v>1455.29</v>
      </c>
    </row>
    <row r="225" spans="1:9" x14ac:dyDescent="0.3">
      <c r="A225" s="15" t="s">
        <v>82</v>
      </c>
      <c r="B225" s="48" t="str">
        <f>VLOOKUP(A225,MEMORIA!$A:$N,2,FALSE)</f>
        <v>MOVIMENTO DE TERRA</v>
      </c>
      <c r="C225" s="49"/>
      <c r="D225" s="49"/>
      <c r="E225" s="49"/>
      <c r="F225" s="49"/>
      <c r="G225" s="49"/>
      <c r="H225" s="50"/>
      <c r="I225" s="16">
        <f>SUM($I$226:$I$227)</f>
        <v>485.08</v>
      </c>
    </row>
    <row r="226" spans="1:9" x14ac:dyDescent="0.3">
      <c r="A226" s="23" t="s">
        <v>328</v>
      </c>
      <c r="B226" s="23">
        <f>VLOOKUP(A226,MEMORIA!$A:$N,2,FALSE)</f>
        <v>93358</v>
      </c>
      <c r="C226" s="23" t="str">
        <f>VLOOKUP(A226,MEMORIA!$A:$N,3,FALSE)</f>
        <v>SINAPI</v>
      </c>
      <c r="D226" s="24" t="str">
        <f>VLOOKUP(A226,MEMORIA!$A:$N,4,FALSE)</f>
        <v>ESCAVAÇÃO MANUAL DE VALA. AF_09/2024</v>
      </c>
      <c r="E226" s="23" t="str">
        <f>VLOOKUP(A226,MEMORIA!$A:$N,5,FALSE)</f>
        <v>M3</v>
      </c>
      <c r="F226" s="5">
        <f>VLOOKUP(A226,MEMORIA!$A:$N,14,FALSE)</f>
        <v>3.23</v>
      </c>
      <c r="G226" s="5">
        <f>VLOOKUP("TOTAL SEM BDI - "&amp;B226,CPU!$A:$J,9,FALSE)</f>
        <v>85.87</v>
      </c>
      <c r="H226" s="5">
        <f>VLOOKUP("TOTAL COM BDI - "&amp;B226,CPU!$A:$J,9,FALSE)</f>
        <v>105.04</v>
      </c>
      <c r="I226" s="5">
        <f>ROUND(F226*H226,2)</f>
        <v>339.28</v>
      </c>
    </row>
    <row r="227" spans="1:9" x14ac:dyDescent="0.3">
      <c r="A227" s="23" t="s">
        <v>329</v>
      </c>
      <c r="B227" s="23" t="str">
        <f>VLOOKUP(A227,MEMORIA!$A:$N,2,FALSE)</f>
        <v>COMPOS28</v>
      </c>
      <c r="C227" s="23" t="str">
        <f>VLOOKUP(A227,MEMORIA!$A:$N,3,FALSE)</f>
        <v>PRÓPRIA</v>
      </c>
      <c r="D227" s="24" t="str">
        <f>VLOOKUP(A227,MEMORIA!$A:$N,4,FALSE)</f>
        <v>REATERRO DE VALA COM COMPACTAÇÃO MANUAL</v>
      </c>
      <c r="E227" s="23" t="str">
        <f>VLOOKUP(A227,MEMORIA!$A:$N,5,FALSE)</f>
        <v>M³</v>
      </c>
      <c r="F227" s="5">
        <f>VLOOKUP(A227,MEMORIA!$A:$N,14,FALSE)</f>
        <v>3.23</v>
      </c>
      <c r="G227" s="5">
        <f>VLOOKUP("TOTAL SEM BDI - "&amp;B227,CPU!$A:$J,9,FALSE)</f>
        <v>36.9</v>
      </c>
      <c r="H227" s="5">
        <f>VLOOKUP("TOTAL COM BDI - "&amp;B227,CPU!$A:$J,9,FALSE)</f>
        <v>45.14</v>
      </c>
      <c r="I227" s="5">
        <f>ROUND(F227*H227,2)</f>
        <v>145.80000000000001</v>
      </c>
    </row>
    <row r="228" spans="1:9" x14ac:dyDescent="0.3">
      <c r="A228" s="15" t="s">
        <v>83</v>
      </c>
      <c r="B228" s="48" t="str">
        <f>VLOOKUP(A228,MEMORIA!$A:$N,2,FALSE)</f>
        <v>INFRAESTRUTURA</v>
      </c>
      <c r="C228" s="49"/>
      <c r="D228" s="49"/>
      <c r="E228" s="49"/>
      <c r="F228" s="49"/>
      <c r="G228" s="49"/>
      <c r="H228" s="50"/>
      <c r="I228" s="16">
        <f>SUM($I$229:$I$229)</f>
        <v>264.64</v>
      </c>
    </row>
    <row r="229" spans="1:9" x14ac:dyDescent="0.3">
      <c r="A229" s="23" t="s">
        <v>330</v>
      </c>
      <c r="B229" s="23" t="str">
        <f>VLOOKUP(A229,MEMORIA!$A:$N,2,FALSE)</f>
        <v>COMP216</v>
      </c>
      <c r="C229" s="23" t="str">
        <f>VLOOKUP(A229,MEMORIA!$A:$N,3,FALSE)</f>
        <v>PRÓPRIA</v>
      </c>
      <c r="D229" s="24" t="str">
        <f>VLOOKUP(A229,MEMORIA!$A:$N,4,FALSE)</f>
        <v>BLOCO DE ANCORAGEM EM CONCRETO SIMPLES FCK=10MPA (REF: C3403-SEINFRA 28)</v>
      </c>
      <c r="E229" s="23" t="str">
        <f>VLOOKUP(A229,MEMORIA!$A:$N,5,FALSE)</f>
        <v>M3</v>
      </c>
      <c r="F229" s="5">
        <f>VLOOKUP(A229,MEMORIA!$A:$N,14,FALSE)</f>
        <v>0.26</v>
      </c>
      <c r="G229" s="5">
        <f>VLOOKUP("TOTAL SEM BDI - "&amp;B229,CPU!$A:$J,9,FALSE)</f>
        <v>832.05</v>
      </c>
      <c r="H229" s="5">
        <f>VLOOKUP("TOTAL COM BDI - "&amp;B229,CPU!$A:$J,9,FALSE)</f>
        <v>1017.8499999999999</v>
      </c>
      <c r="I229" s="5">
        <f>ROUND(F229*H229,2)</f>
        <v>264.64</v>
      </c>
    </row>
    <row r="230" spans="1:9" x14ac:dyDescent="0.3">
      <c r="A230" s="15" t="s">
        <v>84</v>
      </c>
      <c r="B230" s="48" t="str">
        <f>VLOOKUP(A230,MEMORIA!$A:$N,2,FALSE)</f>
        <v>INSTALAÇÕES HIDRÁULICAS</v>
      </c>
      <c r="C230" s="49"/>
      <c r="D230" s="49"/>
      <c r="E230" s="49"/>
      <c r="F230" s="49"/>
      <c r="G230" s="49"/>
      <c r="H230" s="50"/>
      <c r="I230" s="16">
        <f>SUM($I$231:$I$232)</f>
        <v>705.57</v>
      </c>
    </row>
    <row r="231" spans="1:9" ht="28.8" x14ac:dyDescent="0.3">
      <c r="A231" s="23" t="s">
        <v>331</v>
      </c>
      <c r="B231" s="23">
        <f>VLOOKUP(A231,MEMORIA!$A:$N,2,FALSE)</f>
        <v>94498</v>
      </c>
      <c r="C231" s="23" t="str">
        <f>VLOOKUP(A231,MEMORIA!$A:$N,3,FALSE)</f>
        <v>SINAPI</v>
      </c>
      <c r="D231" s="24" t="str">
        <f>VLOOKUP(A231,MEMORIA!$A:$N,4,FALSE)</f>
        <v>REGISTRO DE GAVETA BRUTO, LATÃO, ROSCÁVEL, 2" - FORNECIMENTO E INSTALAÇÃO. AF_08/2021</v>
      </c>
      <c r="E231" s="23" t="str">
        <f>VLOOKUP(A231,MEMORIA!$A:$N,5,FALSE)</f>
        <v>UN</v>
      </c>
      <c r="F231" s="5">
        <f>VLOOKUP(A231,MEMORIA!$A:$N,14,FALSE)</f>
        <v>1</v>
      </c>
      <c r="G231" s="5">
        <f>VLOOKUP("TOTAL SEM BDI - "&amp;B231,CPU!$A:$J,9,FALSE)</f>
        <v>164.12</v>
      </c>
      <c r="H231" s="5">
        <f>VLOOKUP("TOTAL COM BDI - "&amp;B231,CPU!$A:$J,9,FALSE)</f>
        <v>200.77</v>
      </c>
      <c r="I231" s="5">
        <f>ROUND(F231*H231,2)</f>
        <v>200.77</v>
      </c>
    </row>
    <row r="232" spans="1:9" ht="28.8" x14ac:dyDescent="0.3">
      <c r="A232" s="23" t="s">
        <v>332</v>
      </c>
      <c r="B232" s="23" t="str">
        <f>VLOOKUP(A232,MEMORIA!$A:$N,2,FALSE)</f>
        <v>COMPOS27</v>
      </c>
      <c r="C232" s="23" t="str">
        <f>VLOOKUP(A232,MEMORIA!$A:$N,3,FALSE)</f>
        <v>PRÓPRIA</v>
      </c>
      <c r="D232" s="24" t="str">
        <f>VLOOKUP(A232,MEMORIA!$A:$N,4,FALSE)</f>
        <v>AQUISIÇÃO E ASSENTAMENTO DE TUBO RÍGIDO PVC, CLASSE 12, DN 50 MM, INCLUSO CONEXÕES</v>
      </c>
      <c r="E232" s="23" t="str">
        <f>VLOOKUP(A232,MEMORIA!$A:$N,5,FALSE)</f>
        <v>M</v>
      </c>
      <c r="F232" s="5">
        <f>VLOOKUP(A232,MEMORIA!$A:$N,14,FALSE)</f>
        <v>16</v>
      </c>
      <c r="G232" s="5">
        <f>VLOOKUP("TOTAL SEM BDI - "&amp;B232,CPU!$A:$J,9,FALSE)</f>
        <v>25.79</v>
      </c>
      <c r="H232" s="5">
        <f>VLOOKUP("TOTAL COM BDI - "&amp;B232,CPU!$A:$J,9,FALSE)</f>
        <v>31.549999999999997</v>
      </c>
      <c r="I232" s="5">
        <f>ROUND(F232*H232,2)</f>
        <v>504.8</v>
      </c>
    </row>
    <row r="233" spans="1:9" x14ac:dyDescent="0.3">
      <c r="A233" s="12" t="s">
        <v>85</v>
      </c>
      <c r="B233" s="51" t="str">
        <f>VLOOKUP(A233,MEMORIA!$A:$N,2,FALSE)</f>
        <v>RESERVAÇÃO</v>
      </c>
      <c r="C233" s="52"/>
      <c r="D233" s="52"/>
      <c r="E233" s="52"/>
      <c r="F233" s="52"/>
      <c r="G233" s="52"/>
      <c r="H233" s="53"/>
      <c r="I233" s="13">
        <f>SUM($I$234:$I$236)</f>
        <v>31488.33</v>
      </c>
    </row>
    <row r="234" spans="1:9" ht="72" x14ac:dyDescent="0.3">
      <c r="A234" s="23" t="s">
        <v>333</v>
      </c>
      <c r="B234" s="23" t="str">
        <f>VLOOKUP(A234,MEMORIA!$A:$N,2,FALSE)</f>
        <v>COMPOS34</v>
      </c>
      <c r="C234" s="23" t="str">
        <f>VLOOKUP(A234,MEMORIA!$A:$N,3,FALSE)</f>
        <v>PRÓPRIA</v>
      </c>
      <c r="D234" s="24" t="str">
        <f>VLOOKUP(A234,MEMORIA!$A:$N,4,FALSE)</f>
        <v>FORNECIMENTO E INSTALAÇÃO DE RESERVATÓRIO ELEVADO C/ CAIXA D'AGUA EM POLIESTER REFORCADO COM FIBRA DE VIDRO DE 10.000 LITROS, APOIADO EM ESTRUTURA PRÉ-MOLDADA EM CONCRETO, COMPOSTA DE CAPITEL P/APOIO DA CAIXA E PILAR C/ALTURA ÚTIL = 10,00M, INCLUSO FRETE E MONTAGEM NO LOCAL, COM FUNDAÇÃO EM CONCRETO SIMPLES FCK=20MPA</v>
      </c>
      <c r="E234" s="23" t="str">
        <f>VLOOKUP(A234,MEMORIA!$A:$N,5,FALSE)</f>
        <v>UND</v>
      </c>
      <c r="F234" s="5">
        <f>VLOOKUP(A234,MEMORIA!$A:$N,14,FALSE)</f>
        <v>1</v>
      </c>
      <c r="G234" s="5">
        <f>VLOOKUP("TOTAL SEM BDI - "&amp;B234,CPU!$A:$J,9,FALSE)</f>
        <v>24798.26</v>
      </c>
      <c r="H234" s="5">
        <f>VLOOKUP("TOTAL COM BDI - "&amp;B234,CPU!$A:$J,9,FALSE)</f>
        <v>30335.71</v>
      </c>
      <c r="I234" s="5">
        <f>ROUND(F234*H234,2)</f>
        <v>30335.71</v>
      </c>
    </row>
    <row r="235" spans="1:9" ht="28.8" x14ac:dyDescent="0.3">
      <c r="A235" s="23" t="s">
        <v>334</v>
      </c>
      <c r="B235" s="23">
        <f>VLOOKUP(A235,MEMORIA!$A:$N,2,FALSE)</f>
        <v>94498</v>
      </c>
      <c r="C235" s="23" t="str">
        <f>VLOOKUP(A235,MEMORIA!$A:$N,3,FALSE)</f>
        <v>SINAPI</v>
      </c>
      <c r="D235" s="24" t="str">
        <f>VLOOKUP(A235,MEMORIA!$A:$N,4,FALSE)</f>
        <v>REGISTRO DE GAVETA BRUTO, LATÃO, ROSCÁVEL, 2" - FORNECIMENTO E INSTALAÇÃO. AF_08/2021</v>
      </c>
      <c r="E235" s="23" t="str">
        <f>VLOOKUP(A235,MEMORIA!$A:$N,5,FALSE)</f>
        <v>UN</v>
      </c>
      <c r="F235" s="5">
        <f>VLOOKUP(A235,MEMORIA!$A:$N,14,FALSE)</f>
        <v>2</v>
      </c>
      <c r="G235" s="5">
        <f>VLOOKUP("TOTAL SEM BDI - "&amp;B235,CPU!$A:$J,9,FALSE)</f>
        <v>164.12</v>
      </c>
      <c r="H235" s="5">
        <f>VLOOKUP("TOTAL COM BDI - "&amp;B235,CPU!$A:$J,9,FALSE)</f>
        <v>200.77</v>
      </c>
      <c r="I235" s="5">
        <f>ROUND(F235*H235,2)</f>
        <v>401.54</v>
      </c>
    </row>
    <row r="236" spans="1:9" ht="28.8" x14ac:dyDescent="0.3">
      <c r="A236" s="23" t="s">
        <v>335</v>
      </c>
      <c r="B236" s="23" t="str">
        <f>VLOOKUP(A236,MEMORIA!$A:$N,2,FALSE)</f>
        <v>COMPOS35</v>
      </c>
      <c r="C236" s="23" t="str">
        <f>VLOOKUP(A236,MEMORIA!$A:$N,3,FALSE)</f>
        <v>PRÓPRIA</v>
      </c>
      <c r="D236" s="24" t="str">
        <f>VLOOKUP(A236,MEMORIA!$A:$N,4,FALSE)</f>
        <v>AQUISIÇÃO E ASSENTAMENTO DE TUBO RÍGIDO PVC, CLASSE 12, DN 60 MM, INCLUSO CONEXÕES</v>
      </c>
      <c r="E236" s="23" t="str">
        <f>VLOOKUP(A236,MEMORIA!$A:$N,5,FALSE)</f>
        <v>M</v>
      </c>
      <c r="F236" s="5">
        <f>VLOOKUP(A236,MEMORIA!$A:$N,14,FALSE)</f>
        <v>22</v>
      </c>
      <c r="G236" s="5">
        <f>VLOOKUP("TOTAL SEM BDI - "&amp;B236,CPU!$A:$J,9,FALSE)</f>
        <v>27.91</v>
      </c>
      <c r="H236" s="5">
        <f>VLOOKUP("TOTAL COM BDI - "&amp;B236,CPU!$A:$J,9,FALSE)</f>
        <v>34.14</v>
      </c>
      <c r="I236" s="5">
        <f>ROUND(F236*H236,2)</f>
        <v>751.08</v>
      </c>
    </row>
    <row r="237" spans="1:9" x14ac:dyDescent="0.3">
      <c r="A237" s="12" t="s">
        <v>86</v>
      </c>
      <c r="B237" s="51" t="str">
        <f>VLOOKUP(A237,MEMORIA!$A:$N,2,FALSE)</f>
        <v>DISTRIBUIÇÃO</v>
      </c>
      <c r="C237" s="52"/>
      <c r="D237" s="52"/>
      <c r="E237" s="52"/>
      <c r="F237" s="52"/>
      <c r="G237" s="52"/>
      <c r="H237" s="53"/>
      <c r="I237" s="13">
        <f>SUM($I$238,$I$241,)</f>
        <v>72358.52</v>
      </c>
    </row>
    <row r="238" spans="1:9" x14ac:dyDescent="0.3">
      <c r="A238" s="15" t="s">
        <v>87</v>
      </c>
      <c r="B238" s="48" t="str">
        <f>VLOOKUP(A238,MEMORIA!$A:$N,2,FALSE)</f>
        <v>MOVIMENTO DE TERRA</v>
      </c>
      <c r="C238" s="49"/>
      <c r="D238" s="49"/>
      <c r="E238" s="49"/>
      <c r="F238" s="49"/>
      <c r="G238" s="49"/>
      <c r="H238" s="50"/>
      <c r="I238" s="16">
        <f>SUM($I$239:$I$240)</f>
        <v>15299.079999999998</v>
      </c>
    </row>
    <row r="239" spans="1:9" ht="57.6" x14ac:dyDescent="0.3">
      <c r="A239" s="23" t="s">
        <v>336</v>
      </c>
      <c r="B239" s="23">
        <f>VLOOKUP(A239,MEMORIA!$A:$N,2,FALSE)</f>
        <v>102314</v>
      </c>
      <c r="C239" s="23" t="str">
        <f>VLOOKUP(A239,MEMORIA!$A:$N,3,FALSE)</f>
        <v>SINAPI</v>
      </c>
      <c r="D239" s="24" t="str">
        <f>VLOOKUP(A239,MEMORIA!$A:$N,4,FALSE)</f>
        <v>ESCAVAÇÃO MECANIZADA DE VALA COM PROF. ATÉ 1,5 M (MÉDIA MONTANTE E JUSANTE/UMA COMPOSIÇÃO POR TRECHO),COM ESCAVADEIRA (0,8 M3), LARG. MENOR QUE 1,5 M, EM SOLO DE 2A CATEGORIA, LOCAIS COM BAIXO NÍVEL DE INTERFERÊNCIA. AF_09/2024</v>
      </c>
      <c r="E239" s="23" t="str">
        <f>VLOOKUP(A239,MEMORIA!$A:$N,5,FALSE)</f>
        <v>M3</v>
      </c>
      <c r="F239" s="5">
        <f>VLOOKUP(A239,MEMORIA!$A:$N,14,FALSE)</f>
        <v>588.19999999999993</v>
      </c>
      <c r="G239" s="5">
        <f>VLOOKUP("TOTAL SEM BDI - "&amp;B239,CPU!$A:$J,9,FALSE)</f>
        <v>8.5</v>
      </c>
      <c r="H239" s="5">
        <f>VLOOKUP("TOTAL COM BDI - "&amp;B239,CPU!$A:$J,9,FALSE)</f>
        <v>10.4</v>
      </c>
      <c r="I239" s="5">
        <f>ROUND(F239*H239,2)</f>
        <v>6117.28</v>
      </c>
    </row>
    <row r="240" spans="1:9" ht="57.6" x14ac:dyDescent="0.3">
      <c r="A240" s="23" t="s">
        <v>337</v>
      </c>
      <c r="B240" s="23" t="str">
        <f>VLOOKUP(A240,MEMORIA!$A:$N,2,FALSE)</f>
        <v>COMP199</v>
      </c>
      <c r="C240" s="23" t="str">
        <f>VLOOKUP(A240,MEMORIA!$A:$N,3,FALSE)</f>
        <v>PRÓPRIA</v>
      </c>
      <c r="D240" s="24" t="str">
        <f>VLOOKUP(A240,MEMORIA!$A:$N,4,FALSE)</f>
        <v>REATERRO MECANIZADO DE VALA COM RETROESCAVADEIRA (CAPACIDADE DA CAÇAMBA DA RETRO: 0,26 M³/POTÊNCIA: 88 HP), LARGURA ATÉ 0,8 M, PROFUNDIDADE ATÉ 1,5 M, COM SOLO (SEM SUBSTITUIÇÃO) DE 1ª CATEGORIA. AF_08/2023 (REF: 104733-SINAPI-05/2025)</v>
      </c>
      <c r="E240" s="23" t="str">
        <f>VLOOKUP(A240,MEMORIA!$A:$N,5,FALSE)</f>
        <v>M3</v>
      </c>
      <c r="F240" s="5">
        <f>VLOOKUP(A240,MEMORIA!$A:$N,14,FALSE)</f>
        <v>588.19999999999993</v>
      </c>
      <c r="G240" s="5">
        <f>VLOOKUP("TOTAL SEM BDI - "&amp;B240,CPU!$A:$J,9,FALSE)</f>
        <v>12.76</v>
      </c>
      <c r="H240" s="5">
        <f>VLOOKUP("TOTAL COM BDI - "&amp;B240,CPU!$A:$J,9,FALSE)</f>
        <v>15.61</v>
      </c>
      <c r="I240" s="5">
        <f>ROUND(F240*H240,2)</f>
        <v>9181.7999999999993</v>
      </c>
    </row>
    <row r="241" spans="1:9" x14ac:dyDescent="0.3">
      <c r="A241" s="15" t="s">
        <v>88</v>
      </c>
      <c r="B241" s="48" t="str">
        <f>VLOOKUP(A241,MEMORIA!$A:$N,2,FALSE)</f>
        <v>INSTALAÇÕES HIDRÁULICAS</v>
      </c>
      <c r="C241" s="49"/>
      <c r="D241" s="49"/>
      <c r="E241" s="49"/>
      <c r="F241" s="49"/>
      <c r="G241" s="49"/>
      <c r="H241" s="50"/>
      <c r="I241" s="16">
        <f>SUM($I$242:$I$243)</f>
        <v>57059.44</v>
      </c>
    </row>
    <row r="242" spans="1:9" ht="28.8" x14ac:dyDescent="0.3">
      <c r="A242" s="23" t="s">
        <v>338</v>
      </c>
      <c r="B242" s="23" t="str">
        <f>VLOOKUP(A242,MEMORIA!$A:$N,2,FALSE)</f>
        <v>COMPOS35</v>
      </c>
      <c r="C242" s="23" t="str">
        <f>VLOOKUP(A242,MEMORIA!$A:$N,3,FALSE)</f>
        <v>PRÓPRIA</v>
      </c>
      <c r="D242" s="24" t="str">
        <f>VLOOKUP(A242,MEMORIA!$A:$N,4,FALSE)</f>
        <v>AQUISIÇÃO E ASSENTAMENTO DE TUBO RÍGIDO PVC, CLASSE 12, DN 60 MM, INCLUSO CONEXÕES</v>
      </c>
      <c r="E242" s="23" t="str">
        <f>VLOOKUP(A242,MEMORIA!$A:$N,5,FALSE)</f>
        <v>M</v>
      </c>
      <c r="F242" s="5">
        <f>VLOOKUP(A242,MEMORIA!$A:$N,14,FALSE)</f>
        <v>1390.7</v>
      </c>
      <c r="G242" s="5">
        <f>VLOOKUP("TOTAL SEM BDI - "&amp;B242,CPU!$A:$J,9,FALSE)</f>
        <v>27.91</v>
      </c>
      <c r="H242" s="5">
        <f>VLOOKUP("TOTAL COM BDI - "&amp;B242,CPU!$A:$J,9,FALSE)</f>
        <v>34.14</v>
      </c>
      <c r="I242" s="5">
        <f>ROUND(F242*H242,2)</f>
        <v>47478.5</v>
      </c>
    </row>
    <row r="243" spans="1:9" x14ac:dyDescent="0.3">
      <c r="A243" s="23" t="s">
        <v>339</v>
      </c>
      <c r="B243" s="23" t="str">
        <f>VLOOKUP(A243,MEMORIA!$A:$N,2,FALSE)</f>
        <v>COMPOS36</v>
      </c>
      <c r="C243" s="23" t="str">
        <f>VLOOKUP(A243,MEMORIA!$A:$N,3,FALSE)</f>
        <v>PRÓPRIA</v>
      </c>
      <c r="D243" s="24" t="str">
        <f>VLOOKUP(A243,MEMORIA!$A:$N,4,FALSE)</f>
        <v>LIGAÇÃO DOMICILIAR</v>
      </c>
      <c r="E243" s="23" t="str">
        <f>VLOOKUP(A243,MEMORIA!$A:$N,5,FALSE)</f>
        <v>UND</v>
      </c>
      <c r="F243" s="5">
        <f>VLOOKUP(A243,MEMORIA!$A:$N,14,FALSE)</f>
        <v>38</v>
      </c>
      <c r="G243" s="5">
        <f>VLOOKUP("TOTAL SEM BDI - "&amp;B243,CPU!$A:$J,9,FALSE)</f>
        <v>206.11</v>
      </c>
      <c r="H243" s="5">
        <f>VLOOKUP("TOTAL COM BDI - "&amp;B243,CPU!$A:$J,9,FALSE)</f>
        <v>252.13000000000002</v>
      </c>
      <c r="I243" s="5">
        <f>ROUND(F243*H243,2)</f>
        <v>9580.94</v>
      </c>
    </row>
    <row r="244" spans="1:9" x14ac:dyDescent="0.3">
      <c r="A244" s="9">
        <v>5</v>
      </c>
      <c r="B244" s="54" t="str">
        <f>VLOOKUP(A244,MEMORIA!$A:$N,2,FALSE)</f>
        <v>LOCALIDADE BARREIRINHO (ANÍSIO DE ABREU-PI)</v>
      </c>
      <c r="C244" s="55"/>
      <c r="D244" s="55"/>
      <c r="E244" s="55"/>
      <c r="F244" s="55"/>
      <c r="G244" s="55"/>
      <c r="H244" s="56"/>
      <c r="I244" s="10">
        <f>SUM($I$245,$I$261,$I$265,$I$299,$I$302,$I$311,$I$315,)</f>
        <v>137728.81</v>
      </c>
    </row>
    <row r="245" spans="1:9" x14ac:dyDescent="0.3">
      <c r="A245" s="12" t="s">
        <v>89</v>
      </c>
      <c r="B245" s="51" t="str">
        <f>VLOOKUP(A245,MEMORIA!$A:$N,2,FALSE)</f>
        <v>PERFURAÇÃO DE POÇO TUBULAR</v>
      </c>
      <c r="C245" s="52"/>
      <c r="D245" s="52"/>
      <c r="E245" s="52"/>
      <c r="F245" s="52"/>
      <c r="G245" s="52"/>
      <c r="H245" s="53"/>
      <c r="I245" s="13">
        <f>SUM($I$246:$I$260)</f>
        <v>45567.549999999996</v>
      </c>
    </row>
    <row r="246" spans="1:9" x14ac:dyDescent="0.3">
      <c r="A246" s="23" t="s">
        <v>340</v>
      </c>
      <c r="B246" s="23" t="str">
        <f>VLOOKUP(A246,MEMORIA!$A:$N,2,FALSE)</f>
        <v>COMPOS3</v>
      </c>
      <c r="C246" s="23" t="str">
        <f>VLOOKUP(A246,MEMORIA!$A:$N,3,FALSE)</f>
        <v>PRÓPRIA</v>
      </c>
      <c r="D246" s="24" t="str">
        <f>VLOOKUP(A246,MEMORIA!$A:$N,4,FALSE)</f>
        <v>LOCAÇÃO DO POÇO COM ESTUDO GEOLÓGICO/HIDROGEOLÓGICO/GEOFÍSICO</v>
      </c>
      <c r="E246" s="23" t="str">
        <f>VLOOKUP(A246,MEMORIA!$A:$N,5,FALSE)</f>
        <v>UN</v>
      </c>
      <c r="F246" s="5">
        <f>VLOOKUP(A246,MEMORIA!$A:$N,14,FALSE)</f>
        <v>1</v>
      </c>
      <c r="G246" s="5">
        <f>VLOOKUP("TOTAL SEM BDI - "&amp;B246,CPU!$A:$J,9,FALSE)</f>
        <v>1692.3999999999999</v>
      </c>
      <c r="H246" s="5">
        <f>VLOOKUP("TOTAL COM BDI - "&amp;B246,CPU!$A:$J,9,FALSE)</f>
        <v>2070.31</v>
      </c>
      <c r="I246" s="5">
        <f t="shared" ref="I246:I260" si="3">ROUND(F246*H246,2)</f>
        <v>2070.31</v>
      </c>
    </row>
    <row r="247" spans="1:9" x14ac:dyDescent="0.3">
      <c r="A247" s="23" t="s">
        <v>341</v>
      </c>
      <c r="B247" s="23" t="str">
        <f>VLOOKUP(A247,MEMORIA!$A:$N,2,FALSE)</f>
        <v>COMPOS4</v>
      </c>
      <c r="C247" s="23" t="str">
        <f>VLOOKUP(A247,MEMORIA!$A:$N,3,FALSE)</f>
        <v>PRÓPRIA</v>
      </c>
      <c r="D247" s="24" t="str">
        <f>VLOOKUP(A247,MEMORIA!$A:$N,4,FALSE)</f>
        <v>TRANSPORTE DE MÁQUINAS E EQUIPAMENTOS</v>
      </c>
      <c r="E247" s="23" t="str">
        <f>VLOOKUP(A247,MEMORIA!$A:$N,5,FALSE)</f>
        <v>KM</v>
      </c>
      <c r="F247" s="5">
        <f>VLOOKUP(A247,MEMORIA!$A:$N,14,FALSE)</f>
        <v>562.5</v>
      </c>
      <c r="G247" s="5">
        <f>VLOOKUP("TOTAL SEM BDI - "&amp;B247,CPU!$A:$J,9,FALSE)</f>
        <v>5.5</v>
      </c>
      <c r="H247" s="5">
        <f>VLOOKUP("TOTAL COM BDI - "&amp;B247,CPU!$A:$J,9,FALSE)</f>
        <v>6.73</v>
      </c>
      <c r="I247" s="5">
        <f t="shared" si="3"/>
        <v>3785.63</v>
      </c>
    </row>
    <row r="248" spans="1:9" x14ac:dyDescent="0.3">
      <c r="A248" s="23" t="s">
        <v>342</v>
      </c>
      <c r="B248" s="23" t="str">
        <f>VLOOKUP(A248,MEMORIA!$A:$N,2,FALSE)</f>
        <v>COMPOS4</v>
      </c>
      <c r="C248" s="23" t="str">
        <f>VLOOKUP(A248,MEMORIA!$A:$N,3,FALSE)</f>
        <v>PRÓPRIA</v>
      </c>
      <c r="D248" s="24" t="str">
        <f>VLOOKUP(A248,MEMORIA!$A:$N,4,FALSE)</f>
        <v>TRANSPORTE DE MÁQUINAS E EQUIPAMENTOS</v>
      </c>
      <c r="E248" s="23" t="str">
        <f>VLOOKUP(A248,MEMORIA!$A:$N,5,FALSE)</f>
        <v>KM</v>
      </c>
      <c r="F248" s="5">
        <f>VLOOKUP(A248,MEMORIA!$A:$N,14,FALSE)</f>
        <v>562.5</v>
      </c>
      <c r="G248" s="5">
        <f>VLOOKUP("TOTAL SEM BDI - "&amp;B248,CPU!$A:$J,9,FALSE)</f>
        <v>5.5</v>
      </c>
      <c r="H248" s="5">
        <f>VLOOKUP("TOTAL COM BDI - "&amp;B248,CPU!$A:$J,9,FALSE)</f>
        <v>6.73</v>
      </c>
      <c r="I248" s="5">
        <f t="shared" si="3"/>
        <v>3785.63</v>
      </c>
    </row>
    <row r="249" spans="1:9" x14ac:dyDescent="0.3">
      <c r="A249" s="23" t="s">
        <v>343</v>
      </c>
      <c r="B249" s="23" t="str">
        <f>VLOOKUP(A249,MEMORIA!$A:$N,2,FALSE)</f>
        <v>COMPOS5</v>
      </c>
      <c r="C249" s="23" t="str">
        <f>VLOOKUP(A249,MEMORIA!$A:$N,3,FALSE)</f>
        <v>PRÓPRIA</v>
      </c>
      <c r="D249" s="24" t="str">
        <f>VLOOKUP(A249,MEMORIA!$A:$N,4,FALSE)</f>
        <v>PERFILAGEM ÓTICA</v>
      </c>
      <c r="E249" s="23" t="str">
        <f>VLOOKUP(A249,MEMORIA!$A:$N,5,FALSE)</f>
        <v>UN</v>
      </c>
      <c r="F249" s="5">
        <f>VLOOKUP(A249,MEMORIA!$A:$N,14,FALSE)</f>
        <v>1</v>
      </c>
      <c r="G249" s="5">
        <f>VLOOKUP("TOTAL SEM BDI - "&amp;B249,CPU!$A:$J,9,FALSE)</f>
        <v>2908.88</v>
      </c>
      <c r="H249" s="5">
        <f>VLOOKUP("TOTAL COM BDI - "&amp;B249,CPU!$A:$J,9,FALSE)</f>
        <v>3558.4300000000003</v>
      </c>
      <c r="I249" s="5">
        <f t="shared" si="3"/>
        <v>3558.43</v>
      </c>
    </row>
    <row r="250" spans="1:9" x14ac:dyDescent="0.3">
      <c r="A250" s="23" t="s">
        <v>344</v>
      </c>
      <c r="B250" s="23" t="str">
        <f>VLOOKUP(A250,MEMORIA!$A:$N,2,FALSE)</f>
        <v>COMP197</v>
      </c>
      <c r="C250" s="23" t="str">
        <f>VLOOKUP(A250,MEMORIA!$A:$N,3,FALSE)</f>
        <v>PRÓPRIA</v>
      </c>
      <c r="D250" s="24" t="str">
        <f>VLOOKUP(A250,MEMORIA!$A:$N,4,FALSE)</f>
        <v>PERFURAÇÃO EM ROCHA SEDIMENTAR DN 10" (REF: 06230/ORSE-ORSE-04/2025)</v>
      </c>
      <c r="E250" s="23" t="str">
        <f>VLOOKUP(A250,MEMORIA!$A:$N,5,FALSE)</f>
        <v>M</v>
      </c>
      <c r="F250" s="5">
        <f>VLOOKUP(A250,MEMORIA!$A:$N,14,FALSE)</f>
        <v>20</v>
      </c>
      <c r="G250" s="5">
        <f>VLOOKUP("TOTAL SEM BDI - "&amp;B250,CPU!$A:$J,9,FALSE)</f>
        <v>202.21</v>
      </c>
      <c r="H250" s="5">
        <f>VLOOKUP("TOTAL COM BDI - "&amp;B250,CPU!$A:$J,9,FALSE)</f>
        <v>247.36</v>
      </c>
      <c r="I250" s="5">
        <f t="shared" si="3"/>
        <v>4947.2</v>
      </c>
    </row>
    <row r="251" spans="1:9" x14ac:dyDescent="0.3">
      <c r="A251" s="23" t="s">
        <v>345</v>
      </c>
      <c r="B251" s="23" t="str">
        <f>VLOOKUP(A251,MEMORIA!$A:$N,2,FALSE)</f>
        <v>COMP198</v>
      </c>
      <c r="C251" s="23" t="str">
        <f>VLOOKUP(A251,MEMORIA!$A:$N,3,FALSE)</f>
        <v>PRÓPRIA</v>
      </c>
      <c r="D251" s="24" t="str">
        <f>VLOOKUP(A251,MEMORIA!$A:$N,4,FALSE)</f>
        <v>PERFURAÇÃO EM ROCHA CRISTALINA DN 6" (REF: 06237/ORSE-ORSE-04/2025)</v>
      </c>
      <c r="E251" s="23" t="str">
        <f>VLOOKUP(A251,MEMORIA!$A:$N,5,FALSE)</f>
        <v>M</v>
      </c>
      <c r="F251" s="5">
        <f>VLOOKUP(A251,MEMORIA!$A:$N,14,FALSE)</f>
        <v>80</v>
      </c>
      <c r="G251" s="5">
        <f>VLOOKUP("TOTAL SEM BDI - "&amp;B251,CPU!$A:$J,9,FALSE)</f>
        <v>125.23</v>
      </c>
      <c r="H251" s="5">
        <f>VLOOKUP("TOTAL COM BDI - "&amp;B251,CPU!$A:$J,9,FALSE)</f>
        <v>153.19</v>
      </c>
      <c r="I251" s="5">
        <f t="shared" si="3"/>
        <v>12255.2</v>
      </c>
    </row>
    <row r="252" spans="1:9" x14ac:dyDescent="0.3">
      <c r="A252" s="23" t="s">
        <v>346</v>
      </c>
      <c r="B252" s="23" t="str">
        <f>VLOOKUP(A252,MEMORIA!$A:$N,2,FALSE)</f>
        <v>COMPOS10</v>
      </c>
      <c r="C252" s="23" t="str">
        <f>VLOOKUP(A252,MEMORIA!$A:$N,3,FALSE)</f>
        <v>PRÓPRIA</v>
      </c>
      <c r="D252" s="24" t="str">
        <f>VLOOKUP(A252,MEMORIA!$A:$N,4,FALSE)</f>
        <v>CIMENTAÇÃO SANITÁRIA</v>
      </c>
      <c r="E252" s="23" t="str">
        <f>VLOOKUP(A252,MEMORIA!$A:$N,5,FALSE)</f>
        <v>M</v>
      </c>
      <c r="F252" s="5">
        <f>VLOOKUP(A252,MEMORIA!$A:$N,14,FALSE)</f>
        <v>10</v>
      </c>
      <c r="G252" s="5">
        <f>VLOOKUP("TOTAL SEM BDI - "&amp;B252,CPU!$A:$J,9,FALSE)</f>
        <v>98.79</v>
      </c>
      <c r="H252" s="5">
        <f>VLOOKUP("TOTAL COM BDI - "&amp;B252,CPU!$A:$J,9,FALSE)</f>
        <v>120.85000000000001</v>
      </c>
      <c r="I252" s="5">
        <f t="shared" si="3"/>
        <v>1208.5</v>
      </c>
    </row>
    <row r="253" spans="1:9" x14ac:dyDescent="0.3">
      <c r="A253" s="23" t="s">
        <v>347</v>
      </c>
      <c r="B253" s="23" t="str">
        <f>VLOOKUP(A253,MEMORIA!$A:$N,2,FALSE)</f>
        <v>COMPOS11</v>
      </c>
      <c r="C253" s="23" t="str">
        <f>VLOOKUP(A253,MEMORIA!$A:$N,3,FALSE)</f>
        <v>PRÓPRIA</v>
      </c>
      <c r="D253" s="24" t="str">
        <f>VLOOKUP(A253,MEMORIA!$A:$N,4,FALSE)</f>
        <v>LAJE DE PROTEÇÃO EM CONCRETO (1,0 M X 1,0 M X 0,15 M)</v>
      </c>
      <c r="E253" s="23" t="str">
        <f>VLOOKUP(A253,MEMORIA!$A:$N,5,FALSE)</f>
        <v>M³</v>
      </c>
      <c r="F253" s="5">
        <f>VLOOKUP(A253,MEMORIA!$A:$N,14,FALSE)</f>
        <v>0.15</v>
      </c>
      <c r="G253" s="5">
        <f>VLOOKUP("TOTAL SEM BDI - "&amp;B253,CPU!$A:$J,9,FALSE)</f>
        <v>1246.81</v>
      </c>
      <c r="H253" s="5">
        <f>VLOOKUP("TOTAL COM BDI - "&amp;B253,CPU!$A:$J,9,FALSE)</f>
        <v>1525.22</v>
      </c>
      <c r="I253" s="5">
        <f t="shared" si="3"/>
        <v>228.78</v>
      </c>
    </row>
    <row r="254" spans="1:9" x14ac:dyDescent="0.3">
      <c r="A254" s="23" t="s">
        <v>348</v>
      </c>
      <c r="B254" s="23" t="str">
        <f>VLOOKUP(A254,MEMORIA!$A:$N,2,FALSE)</f>
        <v>COMPOS12</v>
      </c>
      <c r="C254" s="23" t="str">
        <f>VLOOKUP(A254,MEMORIA!$A:$N,3,FALSE)</f>
        <v>PRÓPRIA</v>
      </c>
      <c r="D254" s="24" t="str">
        <f>VLOOKUP(A254,MEMORIA!$A:$N,4,FALSE)</f>
        <v>DESENVOLVIMENTO COM BOMBA SUBMERSA</v>
      </c>
      <c r="E254" s="23" t="str">
        <f>VLOOKUP(A254,MEMORIA!$A:$N,5,FALSE)</f>
        <v>H</v>
      </c>
      <c r="F254" s="5">
        <f>VLOOKUP(A254,MEMORIA!$A:$N,14,FALSE)</f>
        <v>6</v>
      </c>
      <c r="G254" s="5">
        <f>VLOOKUP("TOTAL SEM BDI - "&amp;B254,CPU!$A:$J,9,FALSE)</f>
        <v>515.70000000000005</v>
      </c>
      <c r="H254" s="5">
        <f>VLOOKUP("TOTAL COM BDI - "&amp;B254,CPU!$A:$J,9,FALSE)</f>
        <v>630.86</v>
      </c>
      <c r="I254" s="5">
        <f t="shared" si="3"/>
        <v>3785.16</v>
      </c>
    </row>
    <row r="255" spans="1:9" x14ac:dyDescent="0.3">
      <c r="A255" s="23" t="s">
        <v>349</v>
      </c>
      <c r="B255" s="23" t="str">
        <f>VLOOKUP(A255,MEMORIA!$A:$N,2,FALSE)</f>
        <v>COMPOS13</v>
      </c>
      <c r="C255" s="23" t="str">
        <f>VLOOKUP(A255,MEMORIA!$A:$N,3,FALSE)</f>
        <v>PRÓPRIA</v>
      </c>
      <c r="D255" s="24" t="str">
        <f>VLOOKUP(A255,MEMORIA!$A:$N,4,FALSE)</f>
        <v>TESTE VAZÃO COM BOMBA SUBMERSA</v>
      </c>
      <c r="E255" s="23" t="str">
        <f>VLOOKUP(A255,MEMORIA!$A:$N,5,FALSE)</f>
        <v>H</v>
      </c>
      <c r="F255" s="5">
        <f>VLOOKUP(A255,MEMORIA!$A:$N,14,FALSE)</f>
        <v>24</v>
      </c>
      <c r="G255" s="5">
        <f>VLOOKUP("TOTAL SEM BDI - "&amp;B255,CPU!$A:$J,9,FALSE)</f>
        <v>97.789999999999992</v>
      </c>
      <c r="H255" s="5">
        <f>VLOOKUP("TOTAL COM BDI - "&amp;B255,CPU!$A:$J,9,FALSE)</f>
        <v>119.63</v>
      </c>
      <c r="I255" s="5">
        <f t="shared" si="3"/>
        <v>2871.12</v>
      </c>
    </row>
    <row r="256" spans="1:9" x14ac:dyDescent="0.3">
      <c r="A256" s="23" t="s">
        <v>350</v>
      </c>
      <c r="B256" s="23" t="str">
        <f>VLOOKUP(A256,MEMORIA!$A:$N,2,FALSE)</f>
        <v>COMPOS14</v>
      </c>
      <c r="C256" s="23" t="str">
        <f>VLOOKUP(A256,MEMORIA!$A:$N,3,FALSE)</f>
        <v>PRÓPRIA</v>
      </c>
      <c r="D256" s="24" t="str">
        <f>VLOOKUP(A256,MEMORIA!$A:$N,4,FALSE)</f>
        <v>DESINFECÇÃO</v>
      </c>
      <c r="E256" s="23" t="str">
        <f>VLOOKUP(A256,MEMORIA!$A:$N,5,FALSE)</f>
        <v>H</v>
      </c>
      <c r="F256" s="5">
        <f>VLOOKUP(A256,MEMORIA!$A:$N,14,FALSE)</f>
        <v>4</v>
      </c>
      <c r="G256" s="5">
        <f>VLOOKUP("TOTAL SEM BDI - "&amp;B256,CPU!$A:$J,9,FALSE)</f>
        <v>102.36000000000003</v>
      </c>
      <c r="H256" s="5">
        <f>VLOOKUP("TOTAL COM BDI - "&amp;B256,CPU!$A:$J,9,FALSE)</f>
        <v>125.22000000000003</v>
      </c>
      <c r="I256" s="5">
        <f t="shared" si="3"/>
        <v>500.88</v>
      </c>
    </row>
    <row r="257" spans="1:9" x14ac:dyDescent="0.3">
      <c r="A257" s="23" t="s">
        <v>351</v>
      </c>
      <c r="B257" s="23" t="str">
        <f>VLOOKUP(A257,MEMORIA!$A:$N,2,FALSE)</f>
        <v>COMPOS15</v>
      </c>
      <c r="C257" s="23" t="str">
        <f>VLOOKUP(A257,MEMORIA!$A:$N,3,FALSE)</f>
        <v>PRÓPRIA</v>
      </c>
      <c r="D257" s="24" t="str">
        <f>VLOOKUP(A257,MEMORIA!$A:$N,4,FALSE)</f>
        <v>RELATÓRIO TÉCNICO</v>
      </c>
      <c r="E257" s="23" t="str">
        <f>VLOOKUP(A257,MEMORIA!$A:$N,5,FALSE)</f>
        <v>UN</v>
      </c>
      <c r="F257" s="5">
        <f>VLOOKUP(A257,MEMORIA!$A:$N,14,FALSE)</f>
        <v>1</v>
      </c>
      <c r="G257" s="5">
        <f>VLOOKUP("TOTAL SEM BDI - "&amp;B257,CPU!$A:$J,9,FALSE)</f>
        <v>1110.2</v>
      </c>
      <c r="H257" s="5">
        <f>VLOOKUP("TOTAL COM BDI - "&amp;B257,CPU!$A:$J,9,FALSE)</f>
        <v>1358.1100000000001</v>
      </c>
      <c r="I257" s="5">
        <f t="shared" si="3"/>
        <v>1358.11</v>
      </c>
    </row>
    <row r="258" spans="1:9" x14ac:dyDescent="0.3">
      <c r="A258" s="23" t="s">
        <v>352</v>
      </c>
      <c r="B258" s="23" t="str">
        <f>VLOOKUP(A258,MEMORIA!$A:$N,2,FALSE)</f>
        <v>COMPOS16</v>
      </c>
      <c r="C258" s="23" t="str">
        <f>VLOOKUP(A258,MEMORIA!$A:$N,3,FALSE)</f>
        <v>PRÓPRIA</v>
      </c>
      <c r="D258" s="24" t="str">
        <f>VLOOKUP(A258,MEMORIA!$A:$N,4,FALSE)</f>
        <v>ANÁLISE FÍSICO-QUÍMICA DA ÁGUA</v>
      </c>
      <c r="E258" s="23" t="str">
        <f>VLOOKUP(A258,MEMORIA!$A:$N,5,FALSE)</f>
        <v>UN</v>
      </c>
      <c r="F258" s="5">
        <f>VLOOKUP(A258,MEMORIA!$A:$N,14,FALSE)</f>
        <v>1</v>
      </c>
      <c r="G258" s="5">
        <f>VLOOKUP("TOTAL SEM BDI - "&amp;B258,CPU!$A:$J,9,FALSE)</f>
        <v>565.21</v>
      </c>
      <c r="H258" s="5">
        <f>VLOOKUP("TOTAL COM BDI - "&amp;B258,CPU!$A:$J,9,FALSE)</f>
        <v>691.42000000000007</v>
      </c>
      <c r="I258" s="5">
        <f t="shared" si="3"/>
        <v>691.42</v>
      </c>
    </row>
    <row r="259" spans="1:9" x14ac:dyDescent="0.3">
      <c r="A259" s="23" t="s">
        <v>353</v>
      </c>
      <c r="B259" s="23" t="str">
        <f>VLOOKUP(A259,MEMORIA!$A:$N,2,FALSE)</f>
        <v>COMPOS1</v>
      </c>
      <c r="C259" s="23" t="str">
        <f>VLOOKUP(A259,MEMORIA!$A:$N,3,FALSE)</f>
        <v>PRÓPRIA</v>
      </c>
      <c r="D259" s="24" t="str">
        <f>VLOOKUP(A259,MEMORIA!$A:$N,4,FALSE)</f>
        <v>FORNECIMENTO E INSTALAÇÃO DE REVESTIMENTO GEOMECÂNICO STANDART DN-154-S</v>
      </c>
      <c r="E259" s="23" t="str">
        <f>VLOOKUP(A259,MEMORIA!$A:$N,5,FALSE)</f>
        <v>M</v>
      </c>
      <c r="F259" s="5">
        <f>VLOOKUP(A259,MEMORIA!$A:$N,14,FALSE)</f>
        <v>21</v>
      </c>
      <c r="G259" s="5">
        <f>VLOOKUP("TOTAL SEM BDI - "&amp;B259,CPU!$A:$J,9,FALSE)</f>
        <v>170.76</v>
      </c>
      <c r="H259" s="5">
        <f>VLOOKUP("TOTAL COM BDI - "&amp;B259,CPU!$A:$J,9,FALSE)</f>
        <v>208.89</v>
      </c>
      <c r="I259" s="5">
        <f t="shared" si="3"/>
        <v>4386.6899999999996</v>
      </c>
    </row>
    <row r="260" spans="1:9" x14ac:dyDescent="0.3">
      <c r="A260" s="23" t="s">
        <v>354</v>
      </c>
      <c r="B260" s="23" t="str">
        <f>VLOOKUP(A260,MEMORIA!$A:$N,2,FALSE)</f>
        <v>COMPOS2</v>
      </c>
      <c r="C260" s="23" t="str">
        <f>VLOOKUP(A260,MEMORIA!$A:$N,3,FALSE)</f>
        <v>PRÓPRIA</v>
      </c>
      <c r="D260" s="24" t="str">
        <f>VLOOKUP(A260,MEMORIA!$A:$N,4,FALSE)</f>
        <v>FORNECIMENTO E INSTALAÇÃO DE TAMPA PARA POÇO</v>
      </c>
      <c r="E260" s="23" t="str">
        <f>VLOOKUP(A260,MEMORIA!$A:$N,5,FALSE)</f>
        <v>UN</v>
      </c>
      <c r="F260" s="5">
        <f>VLOOKUP(A260,MEMORIA!$A:$N,14,FALSE)</f>
        <v>1</v>
      </c>
      <c r="G260" s="5">
        <f>VLOOKUP("TOTAL SEM BDI - "&amp;B260,CPU!$A:$J,9,FALSE)</f>
        <v>109.94</v>
      </c>
      <c r="H260" s="5">
        <f>VLOOKUP("TOTAL COM BDI - "&amp;B260,CPU!$A:$J,9,FALSE)</f>
        <v>134.49</v>
      </c>
      <c r="I260" s="5">
        <f t="shared" si="3"/>
        <v>134.49</v>
      </c>
    </row>
    <row r="261" spans="1:9" x14ac:dyDescent="0.3">
      <c r="A261" s="12" t="s">
        <v>90</v>
      </c>
      <c r="B261" s="51" t="str">
        <f>VLOOKUP(A261,MEMORIA!$A:$N,2,FALSE)</f>
        <v>AQUISIÇÃO E INSTALAÇÃO DE EQUIPAMENTOS DE BOMBEAMENTO, RECALQUE/BARRILETE E CONEXÕES PARA INTERLIGAÇÃO COM RESERVATÓRIO</v>
      </c>
      <c r="C261" s="52"/>
      <c r="D261" s="52"/>
      <c r="E261" s="52"/>
      <c r="F261" s="52"/>
      <c r="G261" s="52"/>
      <c r="H261" s="53"/>
      <c r="I261" s="13">
        <f>SUM($I$262:$I$264)</f>
        <v>9017.39</v>
      </c>
    </row>
    <row r="262" spans="1:9" x14ac:dyDescent="0.3">
      <c r="A262" s="23" t="s">
        <v>355</v>
      </c>
      <c r="B262" s="23" t="str">
        <f>VLOOKUP(A262,MEMORIA!$A:$N,2,FALSE)</f>
        <v>COMPOS19</v>
      </c>
      <c r="C262" s="23" t="str">
        <f>VLOOKUP(A262,MEMORIA!$A:$N,3,FALSE)</f>
        <v>PRÓPRIA</v>
      </c>
      <c r="D262" s="24" t="str">
        <f>VLOOKUP(A262,MEMORIA!$A:$N,4,FALSE)</f>
        <v>FORNECIMENTO E INSTALAÇÃO DE TUBO EDUTOR DE PVC DE 1.1/2'' COM LUVA</v>
      </c>
      <c r="E262" s="23" t="str">
        <f>VLOOKUP(A262,MEMORIA!$A:$N,5,FALSE)</f>
        <v>M</v>
      </c>
      <c r="F262" s="5">
        <f>VLOOKUP(A262,MEMORIA!$A:$N,14,FALSE)</f>
        <v>90</v>
      </c>
      <c r="G262" s="5">
        <f>VLOOKUP("TOTAL SEM BDI - "&amp;B262,CPU!$A:$J,9,FALSE)</f>
        <v>46.25</v>
      </c>
      <c r="H262" s="5">
        <f>VLOOKUP("TOTAL COM BDI - "&amp;B262,CPU!$A:$J,9,FALSE)</f>
        <v>56.58</v>
      </c>
      <c r="I262" s="5">
        <f>ROUND(F262*H262,2)</f>
        <v>5092.2</v>
      </c>
    </row>
    <row r="263" spans="1:9" x14ac:dyDescent="0.3">
      <c r="A263" s="23" t="s">
        <v>356</v>
      </c>
      <c r="B263" s="23" t="str">
        <f>VLOOKUP(A263,MEMORIA!$A:$N,2,FALSE)</f>
        <v>COMPOS21</v>
      </c>
      <c r="C263" s="23" t="str">
        <f>VLOOKUP(A263,MEMORIA!$A:$N,3,FALSE)</f>
        <v>PRÓPRIA</v>
      </c>
      <c r="D263" s="24" t="str">
        <f>VLOOKUP(A263,MEMORIA!$A:$N,4,FALSE)</f>
        <v>BARRILETE (CURVAS E CONEXÕES)</v>
      </c>
      <c r="E263" s="23" t="str">
        <f>VLOOKUP(A263,MEMORIA!$A:$N,5,FALSE)</f>
        <v>UN</v>
      </c>
      <c r="F263" s="5">
        <f>VLOOKUP(A263,MEMORIA!$A:$N,14,FALSE)</f>
        <v>1</v>
      </c>
      <c r="G263" s="5">
        <f>VLOOKUP("TOTAL SEM BDI - "&amp;B263,CPU!$A:$J,9,FALSE)</f>
        <v>2147.0500000000002</v>
      </c>
      <c r="H263" s="5">
        <f>VLOOKUP("TOTAL COM BDI - "&amp;B263,CPU!$A:$J,9,FALSE)</f>
        <v>2626.4900000000002</v>
      </c>
      <c r="I263" s="5">
        <f>ROUND(F263*H263,2)</f>
        <v>2626.49</v>
      </c>
    </row>
    <row r="264" spans="1:9" x14ac:dyDescent="0.3">
      <c r="A264" s="23" t="s">
        <v>357</v>
      </c>
      <c r="B264" s="23" t="str">
        <f>VLOOKUP(A264,MEMORIA!$A:$N,2,FALSE)</f>
        <v>COMPOS26</v>
      </c>
      <c r="C264" s="23" t="str">
        <f>VLOOKUP(A264,MEMORIA!$A:$N,3,FALSE)</f>
        <v>PRÓPRIA</v>
      </c>
      <c r="D264" s="24" t="str">
        <f>VLOOKUP(A264,MEMORIA!$A:$N,4,FALSE)</f>
        <v>AQUISIÇÃO E INSTALAÇÃO DE DOSADOR DE CLORO</v>
      </c>
      <c r="E264" s="23" t="str">
        <f>VLOOKUP(A264,MEMORIA!$A:$N,5,FALSE)</f>
        <v>UND</v>
      </c>
      <c r="F264" s="5">
        <f>VLOOKUP(A264,MEMORIA!$A:$N,14,FALSE)</f>
        <v>1</v>
      </c>
      <c r="G264" s="5">
        <f>VLOOKUP("TOTAL SEM BDI - "&amp;B264,CPU!$A:$J,9,FALSE)</f>
        <v>1061.6399999999999</v>
      </c>
      <c r="H264" s="5">
        <f>VLOOKUP("TOTAL COM BDI - "&amp;B264,CPU!$A:$J,9,FALSE)</f>
        <v>1298.6999999999998</v>
      </c>
      <c r="I264" s="5">
        <f>ROUND(F264*H264,2)</f>
        <v>1298.7</v>
      </c>
    </row>
    <row r="265" spans="1:9" x14ac:dyDescent="0.3">
      <c r="A265" s="12" t="s">
        <v>91</v>
      </c>
      <c r="B265" s="51" t="str">
        <f>VLOOKUP(A265,MEMORIA!$A:$N,2,FALSE)</f>
        <v>CONSTRUÇÃO DA CASA DE COMANDO</v>
      </c>
      <c r="C265" s="52"/>
      <c r="D265" s="52"/>
      <c r="E265" s="52"/>
      <c r="F265" s="52"/>
      <c r="G265" s="52"/>
      <c r="H265" s="53"/>
      <c r="I265" s="13">
        <f>SUM($I$266,$I$269,$I$271,$I$275,$I$278,$I$281,$I$284,$I$288,$I$291,$I$294,$I$297,)</f>
        <v>20274.329999999998</v>
      </c>
    </row>
    <row r="266" spans="1:9" x14ac:dyDescent="0.3">
      <c r="A266" s="15" t="s">
        <v>92</v>
      </c>
      <c r="B266" s="48" t="str">
        <f>VLOOKUP(A266,MEMORIA!$A:$N,2,FALSE)</f>
        <v>SERVIÇOS PRELIMINARES</v>
      </c>
      <c r="C266" s="49"/>
      <c r="D266" s="49"/>
      <c r="E266" s="49"/>
      <c r="F266" s="49"/>
      <c r="G266" s="49"/>
      <c r="H266" s="50"/>
      <c r="I266" s="16">
        <f>SUM($I$267:$I$268)</f>
        <v>1315.92</v>
      </c>
    </row>
    <row r="267" spans="1:9" x14ac:dyDescent="0.3">
      <c r="A267" s="23" t="s">
        <v>358</v>
      </c>
      <c r="B267" s="23">
        <f>VLOOKUP(A267,MEMORIA!$A:$N,2,FALSE)</f>
        <v>98524</v>
      </c>
      <c r="C267" s="23" t="str">
        <f>VLOOKUP(A267,MEMORIA!$A:$N,3,FALSE)</f>
        <v>SINAPI</v>
      </c>
      <c r="D267" s="24" t="str">
        <f>VLOOKUP(A267,MEMORIA!$A:$N,4,FALSE)</f>
        <v>LIMPEZA MANUAL DE VEGETAÇÃO EM TERRENO COM ENXADA. AF_03/2024</v>
      </c>
      <c r="E267" s="23" t="str">
        <f>VLOOKUP(A267,MEMORIA!$A:$N,5,FALSE)</f>
        <v>M2</v>
      </c>
      <c r="F267" s="5">
        <f>VLOOKUP(A267,MEMORIA!$A:$N,14,FALSE)</f>
        <v>100</v>
      </c>
      <c r="G267" s="5">
        <f>VLOOKUP("TOTAL SEM BDI - "&amp;B267,CPU!$A:$J,9,FALSE)</f>
        <v>4.62</v>
      </c>
      <c r="H267" s="5">
        <f>VLOOKUP("TOTAL COM BDI - "&amp;B267,CPU!$A:$J,9,FALSE)</f>
        <v>5.65</v>
      </c>
      <c r="I267" s="5">
        <f>ROUND(F267*H267,2)</f>
        <v>565</v>
      </c>
    </row>
    <row r="268" spans="1:9" ht="28.8" x14ac:dyDescent="0.3">
      <c r="A268" s="23" t="s">
        <v>359</v>
      </c>
      <c r="B268" s="23">
        <f>VLOOKUP(A268,MEMORIA!$A:$N,2,FALSE)</f>
        <v>99059</v>
      </c>
      <c r="C268" s="23" t="str">
        <f>VLOOKUP(A268,MEMORIA!$A:$N,3,FALSE)</f>
        <v>SINAPI</v>
      </c>
      <c r="D268" s="24" t="str">
        <f>VLOOKUP(A268,MEMORIA!$A:$N,4,FALSE)</f>
        <v>LOCAÇÃO CONVENCIONAL DE OBRA, UTILIZANDO GABARITO DE TÁBUAS CORRIDAS PONTALETADAS A CADA 2,00M - 2 UTILIZAÇÕES. AF_03/2024</v>
      </c>
      <c r="E268" s="23" t="str">
        <f>VLOOKUP(A268,MEMORIA!$A:$N,5,FALSE)</f>
        <v>M</v>
      </c>
      <c r="F268" s="5">
        <f>VLOOKUP(A268,MEMORIA!$A:$N,14,FALSE)</f>
        <v>10.199999999999999</v>
      </c>
      <c r="G268" s="5">
        <f>VLOOKUP("TOTAL SEM BDI - "&amp;B268,CPU!$A:$J,9,FALSE)</f>
        <v>60.18</v>
      </c>
      <c r="H268" s="5">
        <f>VLOOKUP("TOTAL COM BDI - "&amp;B268,CPU!$A:$J,9,FALSE)</f>
        <v>73.62</v>
      </c>
      <c r="I268" s="5">
        <f>ROUND(F268*H268,2)</f>
        <v>750.92</v>
      </c>
    </row>
    <row r="269" spans="1:9" x14ac:dyDescent="0.3">
      <c r="A269" s="15" t="s">
        <v>93</v>
      </c>
      <c r="B269" s="48" t="str">
        <f>VLOOKUP(A269,MEMORIA!$A:$N,2,FALSE)</f>
        <v>MOVIMENTO DE TERRA</v>
      </c>
      <c r="C269" s="49"/>
      <c r="D269" s="49"/>
      <c r="E269" s="49"/>
      <c r="F269" s="49"/>
      <c r="G269" s="49"/>
      <c r="H269" s="50"/>
      <c r="I269" s="16">
        <f>SUM($I$270:$I$270)</f>
        <v>161.76</v>
      </c>
    </row>
    <row r="270" spans="1:9" x14ac:dyDescent="0.3">
      <c r="A270" s="23" t="s">
        <v>360</v>
      </c>
      <c r="B270" s="23">
        <f>VLOOKUP(A270,MEMORIA!$A:$N,2,FALSE)</f>
        <v>93358</v>
      </c>
      <c r="C270" s="23" t="str">
        <f>VLOOKUP(A270,MEMORIA!$A:$N,3,FALSE)</f>
        <v>SINAPI</v>
      </c>
      <c r="D270" s="24" t="str">
        <f>VLOOKUP(A270,MEMORIA!$A:$N,4,FALSE)</f>
        <v>ESCAVAÇÃO MANUAL DE VALA. AF_09/2024</v>
      </c>
      <c r="E270" s="23" t="str">
        <f>VLOOKUP(A270,MEMORIA!$A:$N,5,FALSE)</f>
        <v>M3</v>
      </c>
      <c r="F270" s="5">
        <f>VLOOKUP(A270,MEMORIA!$A:$N,14,FALSE)</f>
        <v>1.54</v>
      </c>
      <c r="G270" s="5">
        <f>VLOOKUP("TOTAL SEM BDI - "&amp;B270,CPU!$A:$J,9,FALSE)</f>
        <v>85.87</v>
      </c>
      <c r="H270" s="5">
        <f>VLOOKUP("TOTAL COM BDI - "&amp;B270,CPU!$A:$J,9,FALSE)</f>
        <v>105.04</v>
      </c>
      <c r="I270" s="5">
        <f>ROUND(F270*H270,2)</f>
        <v>161.76</v>
      </c>
    </row>
    <row r="271" spans="1:9" x14ac:dyDescent="0.3">
      <c r="A271" s="15" t="s">
        <v>94</v>
      </c>
      <c r="B271" s="48" t="str">
        <f>VLOOKUP(A271,MEMORIA!$A:$N,2,FALSE)</f>
        <v>INFRAESTRUTURA</v>
      </c>
      <c r="C271" s="49"/>
      <c r="D271" s="49"/>
      <c r="E271" s="49"/>
      <c r="F271" s="49"/>
      <c r="G271" s="49"/>
      <c r="H271" s="50"/>
      <c r="I271" s="16">
        <f>SUM($I$272:$I$274)</f>
        <v>1229.81</v>
      </c>
    </row>
    <row r="272" spans="1:9" ht="28.8" x14ac:dyDescent="0.3">
      <c r="A272" s="23" t="s">
        <v>361</v>
      </c>
      <c r="B272" s="23">
        <f>VLOOKUP(A272,MEMORIA!$A:$N,2,FALSE)</f>
        <v>96617</v>
      </c>
      <c r="C272" s="23" t="str">
        <f>VLOOKUP(A272,MEMORIA!$A:$N,3,FALSE)</f>
        <v>SINAPI</v>
      </c>
      <c r="D272" s="24" t="str">
        <f>VLOOKUP(A272,MEMORIA!$A:$N,4,FALSE)</f>
        <v>LASTRO DE CONCRETO MAGRO, APLICADO EM BLOCOS DE COROAMENTO OU SAPATAS, ESPESSURA DE 3 CM. AF_01/2024</v>
      </c>
      <c r="E272" s="23" t="str">
        <f>VLOOKUP(A272,MEMORIA!$A:$N,5,FALSE)</f>
        <v>M2</v>
      </c>
      <c r="F272" s="5">
        <f>VLOOKUP(A272,MEMORIA!$A:$N,14,FALSE)</f>
        <v>2.58</v>
      </c>
      <c r="G272" s="5">
        <f>VLOOKUP("TOTAL SEM BDI - "&amp;B272,CPU!$A:$J,9,FALSE)</f>
        <v>23.57</v>
      </c>
      <c r="H272" s="5">
        <f>VLOOKUP("TOTAL COM BDI - "&amp;B272,CPU!$A:$J,9,FALSE)</f>
        <v>28.83</v>
      </c>
      <c r="I272" s="5">
        <f>ROUND(F272*H272,2)</f>
        <v>74.38</v>
      </c>
    </row>
    <row r="273" spans="1:9" ht="28.8" x14ac:dyDescent="0.3">
      <c r="A273" s="23" t="s">
        <v>362</v>
      </c>
      <c r="B273" s="23">
        <f>VLOOKUP(A273,MEMORIA!$A:$N,2,FALSE)</f>
        <v>103800</v>
      </c>
      <c r="C273" s="23" t="str">
        <f>VLOOKUP(A273,MEMORIA!$A:$N,3,FALSE)</f>
        <v>SINAPI</v>
      </c>
      <c r="D273" s="24" t="str">
        <f>VLOOKUP(A273,MEMORIA!$A:$N,4,FALSE)</f>
        <v>PEDRA ARGAMASSADA COM CIMENTO E AREIA 1:3, 40% DE ARGAMASSA EM VOLUME - AREIA E PEDRA DE MÃO COMERCIAIS - FORNECIMENTO E ASSENTAMENTO. AF_08/2022</v>
      </c>
      <c r="E273" s="23" t="str">
        <f>VLOOKUP(A273,MEMORIA!$A:$N,5,FALSE)</f>
        <v>M3</v>
      </c>
      <c r="F273" s="5">
        <f>VLOOKUP(A273,MEMORIA!$A:$N,14,FALSE)</f>
        <v>1.04</v>
      </c>
      <c r="G273" s="5">
        <f>VLOOKUP("TOTAL SEM BDI - "&amp;B273,CPU!$A:$J,9,FALSE)</f>
        <v>666</v>
      </c>
      <c r="H273" s="5">
        <f>VLOOKUP("TOTAL COM BDI - "&amp;B273,CPU!$A:$J,9,FALSE)</f>
        <v>814.72</v>
      </c>
      <c r="I273" s="5">
        <f>ROUND(F273*H273,2)</f>
        <v>847.31</v>
      </c>
    </row>
    <row r="274" spans="1:9" ht="43.2" x14ac:dyDescent="0.3">
      <c r="A274" s="23" t="s">
        <v>363</v>
      </c>
      <c r="B274" s="23">
        <f>VLOOKUP(A274,MEMORIA!$A:$N,2,FALSE)</f>
        <v>103335</v>
      </c>
      <c r="C274" s="23" t="str">
        <f>VLOOKUP(A274,MEMORIA!$A:$N,3,FALSE)</f>
        <v>SINAPI</v>
      </c>
      <c r="D274" s="24" t="str">
        <f>VLOOKUP(A274,MEMORIA!$A:$N,4,FALSE)</f>
        <v>ALVENARIA DE VEDAÇÃO DE BLOCOS CERÂMICOS FURADOS NA HORIZONTAL DE 14X9X19 CM (ESPESSURA 14 CM, BLOCO DEITADO) E ARGAMASSA DE ASSENTAMENTO COM PREPARO MANUAL. AF_12/2021</v>
      </c>
      <c r="E274" s="23" t="str">
        <f>VLOOKUP(A274,MEMORIA!$A:$N,5,FALSE)</f>
        <v>M2</v>
      </c>
      <c r="F274" s="5">
        <f>VLOOKUP(A274,MEMORIA!$A:$N,14,FALSE)</f>
        <v>1.7200000000000002</v>
      </c>
      <c r="G274" s="5">
        <f>VLOOKUP("TOTAL SEM BDI - "&amp;B274,CPU!$A:$J,9,FALSE)</f>
        <v>146.44</v>
      </c>
      <c r="H274" s="5">
        <f>VLOOKUP("TOTAL COM BDI - "&amp;B274,CPU!$A:$J,9,FALSE)</f>
        <v>179.14</v>
      </c>
      <c r="I274" s="5">
        <f>ROUND(F274*H274,2)</f>
        <v>308.12</v>
      </c>
    </row>
    <row r="275" spans="1:9" x14ac:dyDescent="0.3">
      <c r="A275" s="15" t="s">
        <v>95</v>
      </c>
      <c r="B275" s="48" t="str">
        <f>VLOOKUP(A275,MEMORIA!$A:$N,2,FALSE)</f>
        <v>SUPERESTRUTURA</v>
      </c>
      <c r="C275" s="49"/>
      <c r="D275" s="49"/>
      <c r="E275" s="49"/>
      <c r="F275" s="49"/>
      <c r="G275" s="49"/>
      <c r="H275" s="50"/>
      <c r="I275" s="16">
        <f>SUM($I$276:$I$277)</f>
        <v>1323.3</v>
      </c>
    </row>
    <row r="276" spans="1:9" x14ac:dyDescent="0.3">
      <c r="A276" s="23" t="s">
        <v>364</v>
      </c>
      <c r="B276" s="23" t="str">
        <f>VLOOKUP(A276,MEMORIA!$A:$N,2,FALSE)</f>
        <v>COMPCOM01</v>
      </c>
      <c r="C276" s="23" t="str">
        <f>VLOOKUP(A276,MEMORIA!$A:$N,3,FALSE)</f>
        <v>PRÓPRIA</v>
      </c>
      <c r="D276" s="24" t="str">
        <f>VLOOKUP(A276,MEMORIA!$A:$N,4,FALSE)</f>
        <v>CINTA DE AMARRAÇÃO DE ALVENARIA MOLDADA IN LOCO EM CONCRETO</v>
      </c>
      <c r="E276" s="23" t="str">
        <f>VLOOKUP(A276,MEMORIA!$A:$N,5,FALSE)</f>
        <v>M</v>
      </c>
      <c r="F276" s="5">
        <f>VLOOKUP(A276,MEMORIA!$A:$N,14,FALSE)</f>
        <v>8.6</v>
      </c>
      <c r="G276" s="5">
        <f>VLOOKUP("TOTAL SEM BDI - "&amp;B276,CPU!$A:$J,9,FALSE)</f>
        <v>81.47999999999999</v>
      </c>
      <c r="H276" s="5">
        <f>VLOOKUP("TOTAL COM BDI - "&amp;B276,CPU!$A:$J,9,FALSE)</f>
        <v>99.669999999999987</v>
      </c>
      <c r="I276" s="5">
        <f>ROUND(F276*H276,2)</f>
        <v>857.16</v>
      </c>
    </row>
    <row r="277" spans="1:9" ht="28.8" x14ac:dyDescent="0.3">
      <c r="A277" s="23" t="s">
        <v>365</v>
      </c>
      <c r="B277" s="23" t="str">
        <f>VLOOKUP(A277,MEMORIA!$A:$N,2,FALSE)</f>
        <v>COMPCOM02</v>
      </c>
      <c r="C277" s="23" t="str">
        <f>VLOOKUP(A277,MEMORIA!$A:$N,3,FALSE)</f>
        <v>PRÓPRIA</v>
      </c>
      <c r="D277" s="24" t="str">
        <f>VLOOKUP(A277,MEMORIA!$A:$N,4,FALSE)</f>
        <v>(COMPOSIÇÃO REPRESENTATIVA) EXECUÇÃO DE ESTRUTURAS DE CONCRETO ARMADO, PARA EDIFICAÇÃO INSTITUCIONAL TÉRREA, FCK = 25 MPA</v>
      </c>
      <c r="E277" s="23" t="str">
        <f>VLOOKUP(A277,MEMORIA!$A:$N,5,FALSE)</f>
        <v>M³</v>
      </c>
      <c r="F277" s="5">
        <f>VLOOKUP(A277,MEMORIA!$A:$N,14,FALSE)</f>
        <v>0.30000000000000004</v>
      </c>
      <c r="G277" s="5">
        <f>VLOOKUP("TOTAL SEM BDI - "&amp;B277,CPU!$A:$J,9,FALSE)</f>
        <v>1270.1599999999999</v>
      </c>
      <c r="H277" s="5">
        <f>VLOOKUP("TOTAL COM BDI - "&amp;B277,CPU!$A:$J,9,FALSE)</f>
        <v>1553.79</v>
      </c>
      <c r="I277" s="5">
        <f>ROUND(F277*H277,2)</f>
        <v>466.14</v>
      </c>
    </row>
    <row r="278" spans="1:9" x14ac:dyDescent="0.3">
      <c r="A278" s="15" t="s">
        <v>96</v>
      </c>
      <c r="B278" s="48" t="str">
        <f>VLOOKUP(A278,MEMORIA!$A:$N,2,FALSE)</f>
        <v>VEDAÇÃO VERTICAL</v>
      </c>
      <c r="C278" s="49"/>
      <c r="D278" s="49"/>
      <c r="E278" s="49"/>
      <c r="F278" s="49"/>
      <c r="G278" s="49"/>
      <c r="H278" s="50"/>
      <c r="I278" s="16">
        <f>SUM($I$279:$I$280)</f>
        <v>2620</v>
      </c>
    </row>
    <row r="279" spans="1:9" ht="43.2" x14ac:dyDescent="0.3">
      <c r="A279" s="23" t="s">
        <v>366</v>
      </c>
      <c r="B279" s="23">
        <f>VLOOKUP(A279,MEMORIA!$A:$N,2,FALSE)</f>
        <v>103329</v>
      </c>
      <c r="C279" s="23" t="str">
        <f>VLOOKUP(A279,MEMORIA!$A:$N,3,FALSE)</f>
        <v>SINAPI</v>
      </c>
      <c r="D279" s="24" t="str">
        <f>VLOOKUP(A279,MEMORIA!$A:$N,4,FALSE)</f>
        <v>ALVENARIA DE VEDAÇÃO DE BLOCOS CERÂMICOS FURADOS NA HORIZONTAL DE 9X19X19 CM (ESPESSURA 9 CM) E ARGAMASSA DE ASSENTAMENTO COM PREPARO MANUAL. AF_12/2021</v>
      </c>
      <c r="E279" s="23" t="str">
        <f>VLOOKUP(A279,MEMORIA!$A:$N,5,FALSE)</f>
        <v>M2</v>
      </c>
      <c r="F279" s="5">
        <f>VLOOKUP(A279,MEMORIA!$A:$N,14,FALSE)</f>
        <v>19.310000000000002</v>
      </c>
      <c r="G279" s="5">
        <f>VLOOKUP("TOTAL SEM BDI - "&amp;B279,CPU!$A:$J,9,FALSE)</f>
        <v>95.039999999999992</v>
      </c>
      <c r="H279" s="5">
        <f>VLOOKUP("TOTAL COM BDI - "&amp;B279,CPU!$A:$J,9,FALSE)</f>
        <v>116.25999999999999</v>
      </c>
      <c r="I279" s="5">
        <f>ROUND(F279*H279,2)</f>
        <v>2244.98</v>
      </c>
    </row>
    <row r="280" spans="1:9" ht="43.2" x14ac:dyDescent="0.3">
      <c r="A280" s="23" t="s">
        <v>367</v>
      </c>
      <c r="B280" s="23">
        <f>VLOOKUP(A280,MEMORIA!$A:$N,2,FALSE)</f>
        <v>101161</v>
      </c>
      <c r="C280" s="23" t="str">
        <f>VLOOKUP(A280,MEMORIA!$A:$N,3,FALSE)</f>
        <v>SINAPI</v>
      </c>
      <c r="D280" s="24" t="str">
        <f>VLOOKUP(A280,MEMORIA!$A:$N,4,FALSE)</f>
        <v>ALVENARIA DE VEDAÇÃO COM ELEMENTO VAZADO DE CONCRETO (COBOGÓ) DE 7X50X50CM E ARGAMASSA DE ASSENTAMENTO COM PREPARO EM BETONEIRA. AF_05/2020</v>
      </c>
      <c r="E280" s="23" t="str">
        <f>VLOOKUP(A280,MEMORIA!$A:$N,5,FALSE)</f>
        <v>M2</v>
      </c>
      <c r="F280" s="5">
        <f>VLOOKUP(A280,MEMORIA!$A:$N,14,FALSE)</f>
        <v>1.5</v>
      </c>
      <c r="G280" s="5">
        <f>VLOOKUP("TOTAL SEM BDI - "&amp;B280,CPU!$A:$J,9,FALSE)</f>
        <v>204.37</v>
      </c>
      <c r="H280" s="5">
        <f>VLOOKUP("TOTAL COM BDI - "&amp;B280,CPU!$A:$J,9,FALSE)</f>
        <v>250.01</v>
      </c>
      <c r="I280" s="5">
        <f>ROUND(F280*H280,2)</f>
        <v>375.02</v>
      </c>
    </row>
    <row r="281" spans="1:9" x14ac:dyDescent="0.3">
      <c r="A281" s="15" t="s">
        <v>97</v>
      </c>
      <c r="B281" s="48" t="str">
        <f>VLOOKUP(A281,MEMORIA!$A:$N,2,FALSE)</f>
        <v>COBERTURA</v>
      </c>
      <c r="C281" s="49"/>
      <c r="D281" s="49"/>
      <c r="E281" s="49"/>
      <c r="F281" s="49"/>
      <c r="G281" s="49"/>
      <c r="H281" s="50"/>
      <c r="I281" s="16">
        <f>SUM($I$282:$I$283)</f>
        <v>1305.45</v>
      </c>
    </row>
    <row r="282" spans="1:9" ht="28.8" x14ac:dyDescent="0.3">
      <c r="A282" s="23" t="s">
        <v>368</v>
      </c>
      <c r="B282" s="23" t="str">
        <f>VLOOKUP(A282,MEMORIA!$A:$N,2,FALSE)</f>
        <v>COMPCOM03</v>
      </c>
      <c r="C282" s="23" t="str">
        <f>VLOOKUP(A282,MEMORIA!$A:$N,3,FALSE)</f>
        <v>PRÓPRIA</v>
      </c>
      <c r="D282" s="24" t="str">
        <f>VLOOKUP(A282,MEMORIA!$A:$N,4,FALSE)</f>
        <v>TELHAMENTO COM TELHA CERÂMICA CAPA-CANAL, TIPO COLONIAL, COM ATÉ 2 ÁGUAS, INCLUSO TRANSPORTE VERTICAL</v>
      </c>
      <c r="E282" s="23" t="str">
        <f>VLOOKUP(A282,MEMORIA!$A:$N,5,FALSE)</f>
        <v>M²</v>
      </c>
      <c r="F282" s="5">
        <f>VLOOKUP(A282,MEMORIA!$A:$N,14,FALSE)</f>
        <v>10.23</v>
      </c>
      <c r="G282" s="5">
        <f>VLOOKUP("TOTAL SEM BDI - "&amp;B282,CPU!$A:$J,9,FALSE)</f>
        <v>37.64</v>
      </c>
      <c r="H282" s="5">
        <f>VLOOKUP("TOTAL COM BDI - "&amp;B282,CPU!$A:$J,9,FALSE)</f>
        <v>46.05</v>
      </c>
      <c r="I282" s="5">
        <f>ROUND(F282*H282,2)</f>
        <v>471.09</v>
      </c>
    </row>
    <row r="283" spans="1:9" ht="28.8" x14ac:dyDescent="0.3">
      <c r="A283" s="23" t="s">
        <v>369</v>
      </c>
      <c r="B283" s="23" t="str">
        <f>VLOOKUP(A283,MEMORIA!$A:$N,2,FALSE)</f>
        <v>COMPCOM04</v>
      </c>
      <c r="C283" s="23" t="str">
        <f>VLOOKUP(A283,MEMORIA!$A:$N,3,FALSE)</f>
        <v>PRÓPRIA</v>
      </c>
      <c r="D283" s="24" t="str">
        <f>VLOOKUP(A283,MEMORIA!$A:$N,4,FALSE)</f>
        <v>TRAMA DE MADEIRA COMPOSTA POR RIPAS, CAIBROS E TERÇAS PARA TELHADOS DE ATÉ 2 ÁGUAS PARA TELHA CERÂMICA CAPA-CANAL, INCLUSO TRANSPORTE VERTICAL</v>
      </c>
      <c r="E283" s="23" t="str">
        <f>VLOOKUP(A283,MEMORIA!$A:$N,5,FALSE)</f>
        <v>M²</v>
      </c>
      <c r="F283" s="5">
        <f>VLOOKUP(A283,MEMORIA!$A:$N,14,FALSE)</f>
        <v>10.23</v>
      </c>
      <c r="G283" s="5">
        <f>VLOOKUP("TOTAL SEM BDI - "&amp;B283,CPU!$A:$J,9,FALSE)</f>
        <v>66.67</v>
      </c>
      <c r="H283" s="5">
        <f>VLOOKUP("TOTAL COM BDI - "&amp;B283,CPU!$A:$J,9,FALSE)</f>
        <v>81.56</v>
      </c>
      <c r="I283" s="5">
        <f>ROUND(F283*H283,2)</f>
        <v>834.36</v>
      </c>
    </row>
    <row r="284" spans="1:9" x14ac:dyDescent="0.3">
      <c r="A284" s="15" t="s">
        <v>98</v>
      </c>
      <c r="B284" s="48" t="str">
        <f>VLOOKUP(A284,MEMORIA!$A:$N,2,FALSE)</f>
        <v>PISO</v>
      </c>
      <c r="C284" s="49"/>
      <c r="D284" s="49"/>
      <c r="E284" s="49"/>
      <c r="F284" s="49"/>
      <c r="G284" s="49"/>
      <c r="H284" s="50"/>
      <c r="I284" s="16">
        <f>SUM($I$285:$I$287)</f>
        <v>1174.01</v>
      </c>
    </row>
    <row r="285" spans="1:9" ht="28.8" x14ac:dyDescent="0.3">
      <c r="A285" s="23" t="s">
        <v>370</v>
      </c>
      <c r="B285" s="23">
        <f>VLOOKUP(A285,MEMORIA!$A:$N,2,FALSE)</f>
        <v>96617</v>
      </c>
      <c r="C285" s="23" t="str">
        <f>VLOOKUP(A285,MEMORIA!$A:$N,3,FALSE)</f>
        <v>SINAPI</v>
      </c>
      <c r="D285" s="24" t="str">
        <f>VLOOKUP(A285,MEMORIA!$A:$N,4,FALSE)</f>
        <v>LASTRO DE CONCRETO MAGRO, APLICADO EM BLOCOS DE COROAMENTO OU SAPATAS, ESPESSURA DE 3 CM. AF_01/2024</v>
      </c>
      <c r="E285" s="23" t="str">
        <f>VLOOKUP(A285,MEMORIA!$A:$N,5,FALSE)</f>
        <v>M2</v>
      </c>
      <c r="F285" s="5">
        <f>VLOOKUP(A285,MEMORIA!$A:$N,14,FALSE)</f>
        <v>4</v>
      </c>
      <c r="G285" s="5">
        <f>VLOOKUP("TOTAL SEM BDI - "&amp;B285,CPU!$A:$J,9,FALSE)</f>
        <v>23.57</v>
      </c>
      <c r="H285" s="5">
        <f>VLOOKUP("TOTAL COM BDI - "&amp;B285,CPU!$A:$J,9,FALSE)</f>
        <v>28.83</v>
      </c>
      <c r="I285" s="5">
        <f>ROUND(F285*H285,2)</f>
        <v>115.32</v>
      </c>
    </row>
    <row r="286" spans="1:9" ht="28.8" x14ac:dyDescent="0.3">
      <c r="A286" s="23" t="s">
        <v>371</v>
      </c>
      <c r="B286" s="23">
        <f>VLOOKUP(A286,MEMORIA!$A:$N,2,FALSE)</f>
        <v>101749</v>
      </c>
      <c r="C286" s="23" t="str">
        <f>VLOOKUP(A286,MEMORIA!$A:$N,3,FALSE)</f>
        <v>SINAPI</v>
      </c>
      <c r="D286" s="24" t="str">
        <f>VLOOKUP(A286,MEMORIA!$A:$N,4,FALSE)</f>
        <v>PISO CIMENTADO, TRAÇO 1:3 (CIMENTO E AREIA), ACABAMENTO LISO, ESPESSURA 4,0 CM, PREPARO MECÂNICO DA ARGAMASSA. AF_09/2020</v>
      </c>
      <c r="E286" s="23" t="str">
        <f>VLOOKUP(A286,MEMORIA!$A:$N,5,FALSE)</f>
        <v>M2</v>
      </c>
      <c r="F286" s="5">
        <f>VLOOKUP(A286,MEMORIA!$A:$N,14,FALSE)</f>
        <v>4</v>
      </c>
      <c r="G286" s="5">
        <f>VLOOKUP("TOTAL SEM BDI - "&amp;B286,CPU!$A:$J,9,FALSE)</f>
        <v>64.739999999999995</v>
      </c>
      <c r="H286" s="5">
        <f>VLOOKUP("TOTAL COM BDI - "&amp;B286,CPU!$A:$J,9,FALSE)</f>
        <v>79.199999999999989</v>
      </c>
      <c r="I286" s="5">
        <f>ROUND(F286*H286,2)</f>
        <v>316.8</v>
      </c>
    </row>
    <row r="287" spans="1:9" ht="43.2" x14ac:dyDescent="0.3">
      <c r="A287" s="23" t="s">
        <v>372</v>
      </c>
      <c r="B287" s="23">
        <f>VLOOKUP(A287,MEMORIA!$A:$N,2,FALSE)</f>
        <v>94994</v>
      </c>
      <c r="C287" s="23" t="str">
        <f>VLOOKUP(A287,MEMORIA!$A:$N,3,FALSE)</f>
        <v>SINAPI</v>
      </c>
      <c r="D287" s="24" t="str">
        <f>VLOOKUP(A287,MEMORIA!$A:$N,4,FALSE)</f>
        <v>EXECUÇÃO DE PASSEIO (CALÇADA) OU PISO DE CONCRETO COM CONCRETO MOLDADO IN LOCO, FEITO EM OBRA, ACABAMENTO CONVENCIONAL, ESPESSURA 8 CM, ARMADO. AF_08/2022</v>
      </c>
      <c r="E287" s="23" t="str">
        <f>VLOOKUP(A287,MEMORIA!$A:$N,5,FALSE)</f>
        <v>M2</v>
      </c>
      <c r="F287" s="5">
        <f>VLOOKUP(A287,MEMORIA!$A:$N,14,FALSE)</f>
        <v>5.6</v>
      </c>
      <c r="G287" s="5">
        <f>VLOOKUP("TOTAL SEM BDI - "&amp;B287,CPU!$A:$J,9,FALSE)</f>
        <v>108.30000000000003</v>
      </c>
      <c r="H287" s="5">
        <f>VLOOKUP("TOTAL COM BDI - "&amp;B287,CPU!$A:$J,9,FALSE)</f>
        <v>132.48000000000002</v>
      </c>
      <c r="I287" s="5">
        <f>ROUND(F287*H287,2)</f>
        <v>741.89</v>
      </c>
    </row>
    <row r="288" spans="1:9" x14ac:dyDescent="0.3">
      <c r="A288" s="15" t="s">
        <v>99</v>
      </c>
      <c r="B288" s="48" t="str">
        <f>VLOOKUP(A288,MEMORIA!$A:$N,2,FALSE)</f>
        <v>REVESTIMENTO</v>
      </c>
      <c r="C288" s="49"/>
      <c r="D288" s="49"/>
      <c r="E288" s="49"/>
      <c r="F288" s="49"/>
      <c r="G288" s="49"/>
      <c r="H288" s="50"/>
      <c r="I288" s="16">
        <f>SUM($I$289:$I$290)</f>
        <v>2341.92</v>
      </c>
    </row>
    <row r="289" spans="1:9" ht="43.2" x14ac:dyDescent="0.3">
      <c r="A289" s="23" t="s">
        <v>373</v>
      </c>
      <c r="B289" s="23">
        <f>VLOOKUP(A289,MEMORIA!$A:$N,2,FALSE)</f>
        <v>87904</v>
      </c>
      <c r="C289" s="23" t="str">
        <f>VLOOKUP(A289,MEMORIA!$A:$N,3,FALSE)</f>
        <v>SINAPI</v>
      </c>
      <c r="D289" s="24" t="str">
        <f>VLOOKUP(A289,MEMORIA!$A:$N,4,FALSE)</f>
        <v>CHAPISCO APLICADO EM ALVENARIA (COM PRESENÇA DE VÃOS) E ESTRUTURAS DE CONCRETO DE FACHADA, COM COLHER DE PEDREIRO. ARGAMASSA TRAÇO 1:3 COM PREPARO MANUAL. AF_10/2022</v>
      </c>
      <c r="E289" s="23" t="str">
        <f>VLOOKUP(A289,MEMORIA!$A:$N,5,FALSE)</f>
        <v>M2</v>
      </c>
      <c r="F289" s="5">
        <f>VLOOKUP(A289,MEMORIA!$A:$N,14,FALSE)</f>
        <v>38.619999999999997</v>
      </c>
      <c r="G289" s="5">
        <f>VLOOKUP("TOTAL SEM BDI - "&amp;B289,CPU!$A:$J,9,FALSE)</f>
        <v>8.7199999999999989</v>
      </c>
      <c r="H289" s="5">
        <f>VLOOKUP("TOTAL COM BDI - "&amp;B289,CPU!$A:$J,9,FALSE)</f>
        <v>10.669999999999998</v>
      </c>
      <c r="I289" s="5">
        <f>ROUND(F289*H289,2)</f>
        <v>412.08</v>
      </c>
    </row>
    <row r="290" spans="1:9" ht="43.2" x14ac:dyDescent="0.3">
      <c r="A290" s="23" t="s">
        <v>374</v>
      </c>
      <c r="B290" s="23">
        <f>VLOOKUP(A290,MEMORIA!$A:$N,2,FALSE)</f>
        <v>87530</v>
      </c>
      <c r="C290" s="23" t="str">
        <f>VLOOKUP(A290,MEMORIA!$A:$N,3,FALSE)</f>
        <v>SINAPI</v>
      </c>
      <c r="D290" s="24" t="str">
        <f>VLOOKUP(A290,MEMORIA!$A:$N,4,FALSE)</f>
        <v>MASSA ÚNICA, EM ARGAMASSA TRAÇO 1:2:8, PREPARO MANUAL, APLICADA MANUALMENTE EM PAREDES INTERNAS DE AMBIENTES COM ÁREA ENTRE 5M² E 10M², E = 17,5MM, COM TALISCAS. AF_03/2024</v>
      </c>
      <c r="E290" s="23" t="str">
        <f>VLOOKUP(A290,MEMORIA!$A:$N,5,FALSE)</f>
        <v>M2</v>
      </c>
      <c r="F290" s="5">
        <f>VLOOKUP(A290,MEMORIA!$A:$N,14,FALSE)</f>
        <v>38.619999999999997</v>
      </c>
      <c r="G290" s="5">
        <f>VLOOKUP("TOTAL SEM BDI - "&amp;B290,CPU!$A:$J,9,FALSE)</f>
        <v>40.85</v>
      </c>
      <c r="H290" s="5">
        <f>VLOOKUP("TOTAL COM BDI - "&amp;B290,CPU!$A:$J,9,FALSE)</f>
        <v>49.97</v>
      </c>
      <c r="I290" s="5">
        <f>ROUND(F290*H290,2)</f>
        <v>1929.84</v>
      </c>
    </row>
    <row r="291" spans="1:9" x14ac:dyDescent="0.3">
      <c r="A291" s="15" t="s">
        <v>100</v>
      </c>
      <c r="B291" s="48" t="str">
        <f>VLOOKUP(A291,MEMORIA!$A:$N,2,FALSE)</f>
        <v>ESQUADRIAS</v>
      </c>
      <c r="C291" s="49"/>
      <c r="D291" s="49"/>
      <c r="E291" s="49"/>
      <c r="F291" s="49"/>
      <c r="G291" s="49"/>
      <c r="H291" s="50"/>
      <c r="I291" s="16">
        <f>SUM($I$292:$I$293)</f>
        <v>2243.75</v>
      </c>
    </row>
    <row r="292" spans="1:9" x14ac:dyDescent="0.3">
      <c r="A292" s="23" t="s">
        <v>375</v>
      </c>
      <c r="B292" s="23">
        <f>VLOOKUP(A292,MEMORIA!$A:$N,2,FALSE)</f>
        <v>100701</v>
      </c>
      <c r="C292" s="23" t="str">
        <f>VLOOKUP(A292,MEMORIA!$A:$N,3,FALSE)</f>
        <v>SINAPI</v>
      </c>
      <c r="D292" s="24" t="str">
        <f>VLOOKUP(A292,MEMORIA!$A:$N,4,FALSE)</f>
        <v>PORTA DE FERRO, DE ABRIR, TIPO GRADE COM CHAPA, COM GUARNIÇÕES. AF_12/2019</v>
      </c>
      <c r="E292" s="23" t="str">
        <f>VLOOKUP(A292,MEMORIA!$A:$N,5,FALSE)</f>
        <v>M2</v>
      </c>
      <c r="F292" s="5">
        <f>VLOOKUP(A292,MEMORIA!$A:$N,14,FALSE)</f>
        <v>1.68</v>
      </c>
      <c r="G292" s="5">
        <f>VLOOKUP("TOTAL SEM BDI - "&amp;B292,CPU!$A:$J,9,FALSE)</f>
        <v>415.24</v>
      </c>
      <c r="H292" s="5">
        <f>VLOOKUP("TOTAL COM BDI - "&amp;B292,CPU!$A:$J,9,FALSE)</f>
        <v>507.96000000000004</v>
      </c>
      <c r="I292" s="5">
        <f>ROUND(F292*H292,2)</f>
        <v>853.37</v>
      </c>
    </row>
    <row r="293" spans="1:9" x14ac:dyDescent="0.3">
      <c r="A293" s="23" t="s">
        <v>376</v>
      </c>
      <c r="B293" s="23" t="str">
        <f>VLOOKUP(A293,MEMORIA!$A:$N,2,FALSE)</f>
        <v>COMP219</v>
      </c>
      <c r="C293" s="23" t="str">
        <f>VLOOKUP(A293,MEMORIA!$A:$N,3,FALSE)</f>
        <v>PRÓPRIA</v>
      </c>
      <c r="D293" s="24" t="str">
        <f>VLOOKUP(A293,MEMORIA!$A:$N,4,FALSE)</f>
        <v>PORTÃO DE FERRO EM BARRA CHATA TIPO TIJOLINHO (REF: C1999-SEINFRA 28)</v>
      </c>
      <c r="E293" s="23" t="str">
        <f>VLOOKUP(A293,MEMORIA!$A:$N,5,FALSE)</f>
        <v>M2</v>
      </c>
      <c r="F293" s="5">
        <f>VLOOKUP(A293,MEMORIA!$A:$N,14,FALSE)</f>
        <v>6</v>
      </c>
      <c r="G293" s="5">
        <f>VLOOKUP("TOTAL SEM BDI - "&amp;B293,CPU!$A:$J,9,FALSE)</f>
        <v>189.43</v>
      </c>
      <c r="H293" s="5">
        <f>VLOOKUP("TOTAL COM BDI - "&amp;B293,CPU!$A:$J,9,FALSE)</f>
        <v>231.73000000000002</v>
      </c>
      <c r="I293" s="5">
        <f>ROUND(F293*H293,2)</f>
        <v>1390.38</v>
      </c>
    </row>
    <row r="294" spans="1:9" x14ac:dyDescent="0.3">
      <c r="A294" s="15" t="s">
        <v>101</v>
      </c>
      <c r="B294" s="48" t="str">
        <f>VLOOKUP(A294,MEMORIA!$A:$N,2,FALSE)</f>
        <v>PINTURA</v>
      </c>
      <c r="C294" s="49"/>
      <c r="D294" s="49"/>
      <c r="E294" s="49"/>
      <c r="F294" s="49"/>
      <c r="G294" s="49"/>
      <c r="H294" s="50"/>
      <c r="I294" s="16">
        <f>SUM($I$295:$I$296)</f>
        <v>649.88</v>
      </c>
    </row>
    <row r="295" spans="1:9" x14ac:dyDescent="0.3">
      <c r="A295" s="23" t="s">
        <v>377</v>
      </c>
      <c r="B295" s="23" t="str">
        <f>VLOOKUP(A295,MEMORIA!$A:$N,2,FALSE)</f>
        <v>COMP205</v>
      </c>
      <c r="C295" s="23" t="str">
        <f>VLOOKUP(A295,MEMORIA!$A:$N,3,FALSE)</f>
        <v>PRÓPRIA</v>
      </c>
      <c r="D295" s="24" t="str">
        <f>VLOOKUP(A295,MEMORIA!$A:$N,4,FALSE)</f>
        <v>CAIAÇÃO EM TRES DEMÃOS EM PAREDES (REF: C0589-SEINFRA 28)</v>
      </c>
      <c r="E295" s="23" t="str">
        <f>VLOOKUP(A295,MEMORIA!$A:$N,5,FALSE)</f>
        <v>M2</v>
      </c>
      <c r="F295" s="5">
        <f>VLOOKUP(A295,MEMORIA!$A:$N,14,FALSE)</f>
        <v>38.619999999999997</v>
      </c>
      <c r="G295" s="5">
        <f>VLOOKUP("TOTAL SEM BDI - "&amp;B295,CPU!$A:$J,9,FALSE)</f>
        <v>9.3800000000000008</v>
      </c>
      <c r="H295" s="5">
        <f>VLOOKUP("TOTAL COM BDI - "&amp;B295,CPU!$A:$J,9,FALSE)</f>
        <v>11.47</v>
      </c>
      <c r="I295" s="5">
        <f>ROUND(F295*H295,2)</f>
        <v>442.97</v>
      </c>
    </row>
    <row r="296" spans="1:9" ht="43.2" x14ac:dyDescent="0.3">
      <c r="A296" s="23" t="s">
        <v>378</v>
      </c>
      <c r="B296" s="23">
        <f>VLOOKUP(A296,MEMORIA!$A:$N,2,FALSE)</f>
        <v>100758</v>
      </c>
      <c r="C296" s="23" t="str">
        <f>VLOOKUP(A296,MEMORIA!$A:$N,3,FALSE)</f>
        <v>SINAPI</v>
      </c>
      <c r="D296" s="24" t="str">
        <f>VLOOKUP(A296,MEMORIA!$A:$N,4,FALSE)</f>
        <v>PINTURA COM TINTA ALQUÍDICA DE ACABAMENTO (ESMALTE SINTÉTICO ACETINADO) APLICADA A ROLO OU PINCEL SOBRE SUPERFÍCIES METÁLICAS (EXCETO PERFIL) EXECUTADO EM OBRA (02 DEMÃOS). AF_01/2020</v>
      </c>
      <c r="E296" s="23" t="str">
        <f>VLOOKUP(A296,MEMORIA!$A:$N,5,FALSE)</f>
        <v>M2</v>
      </c>
      <c r="F296" s="5">
        <f>VLOOKUP(A296,MEMORIA!$A:$N,14,FALSE)</f>
        <v>3.36</v>
      </c>
      <c r="G296" s="5">
        <f>VLOOKUP("TOTAL SEM BDI - "&amp;B296,CPU!$A:$J,9,FALSE)</f>
        <v>50.339999999999996</v>
      </c>
      <c r="H296" s="5">
        <f>VLOOKUP("TOTAL COM BDI - "&amp;B296,CPU!$A:$J,9,FALSE)</f>
        <v>61.58</v>
      </c>
      <c r="I296" s="5">
        <f>ROUND(F296*H296,2)</f>
        <v>206.91</v>
      </c>
    </row>
    <row r="297" spans="1:9" x14ac:dyDescent="0.3">
      <c r="A297" s="15" t="s">
        <v>102</v>
      </c>
      <c r="B297" s="48" t="str">
        <f>VLOOKUP(A297,MEMORIA!$A:$N,2,FALSE)</f>
        <v>CERCAMENTO</v>
      </c>
      <c r="C297" s="49"/>
      <c r="D297" s="49"/>
      <c r="E297" s="49"/>
      <c r="F297" s="49"/>
      <c r="G297" s="49"/>
      <c r="H297" s="50"/>
      <c r="I297" s="16">
        <f>SUM($I$298:$I$298)</f>
        <v>5908.53</v>
      </c>
    </row>
    <row r="298" spans="1:9" ht="43.2" x14ac:dyDescent="0.3">
      <c r="A298" s="23" t="s">
        <v>379</v>
      </c>
      <c r="B298" s="23">
        <f>VLOOKUP(A298,MEMORIA!$A:$N,2,FALSE)</f>
        <v>101197</v>
      </c>
      <c r="C298" s="23" t="str">
        <f>VLOOKUP(A298,MEMORIA!$A:$N,3,FALSE)</f>
        <v>SINAPI</v>
      </c>
      <c r="D298" s="24" t="str">
        <f>VLOOKUP(A298,MEMORIA!$A:$N,4,FALSE)</f>
        <v>CERCA COM MOURÕES DE CONCRETO, SEÇÃO "T" PONTA INCLINADA, 10X10 CM, ESPAÇAMENTO DE 2,5 M, CRAVADOS 0,5 M, COM 11 FIOS DE ARAME FARPADO Nº 14 - FORNECIMENTO E INSTALAÇÃO. AF_05/2020</v>
      </c>
      <c r="E298" s="23" t="str">
        <f>VLOOKUP(A298,MEMORIA!$A:$N,5,FALSE)</f>
        <v>M</v>
      </c>
      <c r="F298" s="5">
        <f>VLOOKUP(A298,MEMORIA!$A:$N,14,FALSE)</f>
        <v>37</v>
      </c>
      <c r="G298" s="5">
        <f>VLOOKUP("TOTAL SEM BDI - "&amp;B298,CPU!$A:$J,9,FALSE)</f>
        <v>130.54</v>
      </c>
      <c r="H298" s="5">
        <f>VLOOKUP("TOTAL COM BDI - "&amp;B298,CPU!$A:$J,9,FALSE)</f>
        <v>159.69</v>
      </c>
      <c r="I298" s="5">
        <f>ROUND(F298*H298,2)</f>
        <v>5908.53</v>
      </c>
    </row>
    <row r="299" spans="1:9" x14ac:dyDescent="0.3">
      <c r="A299" s="12" t="s">
        <v>103</v>
      </c>
      <c r="B299" s="51" t="str">
        <f>VLOOKUP(A299,MEMORIA!$A:$N,2,FALSE)</f>
        <v>INSTALAÇÕES ELÉTRICAS</v>
      </c>
      <c r="C299" s="52"/>
      <c r="D299" s="52"/>
      <c r="E299" s="52"/>
      <c r="F299" s="52"/>
      <c r="G299" s="52"/>
      <c r="H299" s="53"/>
      <c r="I299" s="13">
        <f>SUM($I$300:$I$301)</f>
        <v>17909.879999999997</v>
      </c>
    </row>
    <row r="300" spans="1:9" ht="43.2" x14ac:dyDescent="0.3">
      <c r="A300" s="23" t="s">
        <v>380</v>
      </c>
      <c r="B300" s="23" t="str">
        <f>VLOOKUP(A300,MEMORIA!$A:$N,2,FALSE)</f>
        <v>COMP223</v>
      </c>
      <c r="C300" s="23" t="str">
        <f>VLOOKUP(A300,MEMORIA!$A:$N,3,FALSE)</f>
        <v>PRÓPRIA</v>
      </c>
      <c r="D300" s="24" t="str">
        <f>VLOOKUP(A300,MEMORIA!$A:$N,4,FALSE)</f>
        <v>FORNECIMENTO E INSTALAÇÃO DE KIT DE BOMBEAMENTO SOLAR P/ POÇO COM PROFUNDIDADE DE 100 A 120 M, INCLUSO BOMBA 3CV, INVERSOR, PAINÉIS, QUADRO DE COMANDO, DISJUNTORES, CABOS E CONEXÕES E ESTRUTURA TIPO SOLO</v>
      </c>
      <c r="E300" s="23" t="str">
        <f>VLOOKUP(A300,MEMORIA!$A:$N,5,FALSE)</f>
        <v>UND</v>
      </c>
      <c r="F300" s="5">
        <f>VLOOKUP(A300,MEMORIA!$A:$N,14,FALSE)</f>
        <v>1</v>
      </c>
      <c r="G300" s="5">
        <f>VLOOKUP("TOTAL SEM BDI - "&amp;B300,CPU!$A:$J,9,FALSE)</f>
        <v>12042.74</v>
      </c>
      <c r="H300" s="5">
        <f>VLOOKUP("TOTAL COM BDI - "&amp;B300,CPU!$A:$J,9,FALSE)</f>
        <v>14731.88</v>
      </c>
      <c r="I300" s="5">
        <f>ROUND(F300*H300,2)</f>
        <v>14731.88</v>
      </c>
    </row>
    <row r="301" spans="1:9" x14ac:dyDescent="0.3">
      <c r="A301" s="23" t="s">
        <v>381</v>
      </c>
      <c r="B301" s="23" t="str">
        <f>VLOOKUP(A301,MEMORIA!$A:$N,2,FALSE)</f>
        <v>COMPOS24</v>
      </c>
      <c r="C301" s="23" t="str">
        <f>VLOOKUP(A301,MEMORIA!$A:$N,3,FALSE)</f>
        <v>PRÓPRIA</v>
      </c>
      <c r="D301" s="24" t="str">
        <f>VLOOKUP(A301,MEMORIA!$A:$N,4,FALSE)</f>
        <v>FORNECIMENTO E INSTALAÇÃO DE CABO CHATO SUBMERSO DE 3 X 6 MM²</v>
      </c>
      <c r="E301" s="23" t="str">
        <f>VLOOKUP(A301,MEMORIA!$A:$N,5,FALSE)</f>
        <v>M</v>
      </c>
      <c r="F301" s="5">
        <f>VLOOKUP(A301,MEMORIA!$A:$N,14,FALSE)</f>
        <v>100</v>
      </c>
      <c r="G301" s="5">
        <f>VLOOKUP("TOTAL SEM BDI - "&amp;B301,CPU!$A:$J,9,FALSE)</f>
        <v>25.98</v>
      </c>
      <c r="H301" s="5">
        <f>VLOOKUP("TOTAL COM BDI - "&amp;B301,CPU!$A:$J,9,FALSE)</f>
        <v>31.78</v>
      </c>
      <c r="I301" s="5">
        <f>ROUND(F301*H301,2)</f>
        <v>3178</v>
      </c>
    </row>
    <row r="302" spans="1:9" x14ac:dyDescent="0.3">
      <c r="A302" s="12" t="s">
        <v>104</v>
      </c>
      <c r="B302" s="51" t="str">
        <f>VLOOKUP(A302,MEMORIA!$A:$N,2,FALSE)</f>
        <v>ADUÇÃO</v>
      </c>
      <c r="C302" s="52"/>
      <c r="D302" s="52"/>
      <c r="E302" s="52"/>
      <c r="F302" s="52"/>
      <c r="G302" s="52"/>
      <c r="H302" s="53"/>
      <c r="I302" s="13">
        <f>SUM($I$303,$I$306,$I$308,)</f>
        <v>1455.29</v>
      </c>
    </row>
    <row r="303" spans="1:9" x14ac:dyDescent="0.3">
      <c r="A303" s="15" t="s">
        <v>105</v>
      </c>
      <c r="B303" s="48" t="str">
        <f>VLOOKUP(A303,MEMORIA!$A:$N,2,FALSE)</f>
        <v>MOVIMENTO DE TERRA</v>
      </c>
      <c r="C303" s="49"/>
      <c r="D303" s="49"/>
      <c r="E303" s="49"/>
      <c r="F303" s="49"/>
      <c r="G303" s="49"/>
      <c r="H303" s="50"/>
      <c r="I303" s="16">
        <f>SUM($I$304:$I$305)</f>
        <v>485.08</v>
      </c>
    </row>
    <row r="304" spans="1:9" x14ac:dyDescent="0.3">
      <c r="A304" s="23" t="s">
        <v>382</v>
      </c>
      <c r="B304" s="23">
        <f>VLOOKUP(A304,MEMORIA!$A:$N,2,FALSE)</f>
        <v>93358</v>
      </c>
      <c r="C304" s="23" t="str">
        <f>VLOOKUP(A304,MEMORIA!$A:$N,3,FALSE)</f>
        <v>SINAPI</v>
      </c>
      <c r="D304" s="24" t="str">
        <f>VLOOKUP(A304,MEMORIA!$A:$N,4,FALSE)</f>
        <v>ESCAVAÇÃO MANUAL DE VALA. AF_09/2024</v>
      </c>
      <c r="E304" s="23" t="str">
        <f>VLOOKUP(A304,MEMORIA!$A:$N,5,FALSE)</f>
        <v>M3</v>
      </c>
      <c r="F304" s="5">
        <f>VLOOKUP(A304,MEMORIA!$A:$N,14,FALSE)</f>
        <v>3.23</v>
      </c>
      <c r="G304" s="5">
        <f>VLOOKUP("TOTAL SEM BDI - "&amp;B304,CPU!$A:$J,9,FALSE)</f>
        <v>85.87</v>
      </c>
      <c r="H304" s="5">
        <f>VLOOKUP("TOTAL COM BDI - "&amp;B304,CPU!$A:$J,9,FALSE)</f>
        <v>105.04</v>
      </c>
      <c r="I304" s="5">
        <f>ROUND(F304*H304,2)</f>
        <v>339.28</v>
      </c>
    </row>
    <row r="305" spans="1:9" x14ac:dyDescent="0.3">
      <c r="A305" s="23" t="s">
        <v>383</v>
      </c>
      <c r="B305" s="23" t="str">
        <f>VLOOKUP(A305,MEMORIA!$A:$N,2,FALSE)</f>
        <v>COMPOS28</v>
      </c>
      <c r="C305" s="23" t="str">
        <f>VLOOKUP(A305,MEMORIA!$A:$N,3,FALSE)</f>
        <v>PRÓPRIA</v>
      </c>
      <c r="D305" s="24" t="str">
        <f>VLOOKUP(A305,MEMORIA!$A:$N,4,FALSE)</f>
        <v>REATERRO DE VALA COM COMPACTAÇÃO MANUAL</v>
      </c>
      <c r="E305" s="23" t="str">
        <f>VLOOKUP(A305,MEMORIA!$A:$N,5,FALSE)</f>
        <v>M³</v>
      </c>
      <c r="F305" s="5">
        <f>VLOOKUP(A305,MEMORIA!$A:$N,14,FALSE)</f>
        <v>3.23</v>
      </c>
      <c r="G305" s="5">
        <f>VLOOKUP("TOTAL SEM BDI - "&amp;B305,CPU!$A:$J,9,FALSE)</f>
        <v>36.9</v>
      </c>
      <c r="H305" s="5">
        <f>VLOOKUP("TOTAL COM BDI - "&amp;B305,CPU!$A:$J,9,FALSE)</f>
        <v>45.14</v>
      </c>
      <c r="I305" s="5">
        <f>ROUND(F305*H305,2)</f>
        <v>145.80000000000001</v>
      </c>
    </row>
    <row r="306" spans="1:9" x14ac:dyDescent="0.3">
      <c r="A306" s="15" t="s">
        <v>106</v>
      </c>
      <c r="B306" s="48" t="str">
        <f>VLOOKUP(A306,MEMORIA!$A:$N,2,FALSE)</f>
        <v>INFRAESTRUTURA</v>
      </c>
      <c r="C306" s="49"/>
      <c r="D306" s="49"/>
      <c r="E306" s="49"/>
      <c r="F306" s="49"/>
      <c r="G306" s="49"/>
      <c r="H306" s="50"/>
      <c r="I306" s="16">
        <f>SUM($I$307:$I$307)</f>
        <v>264.64</v>
      </c>
    </row>
    <row r="307" spans="1:9" x14ac:dyDescent="0.3">
      <c r="A307" s="23" t="s">
        <v>384</v>
      </c>
      <c r="B307" s="23" t="str">
        <f>VLOOKUP(A307,MEMORIA!$A:$N,2,FALSE)</f>
        <v>COMP216</v>
      </c>
      <c r="C307" s="23" t="str">
        <f>VLOOKUP(A307,MEMORIA!$A:$N,3,FALSE)</f>
        <v>PRÓPRIA</v>
      </c>
      <c r="D307" s="24" t="str">
        <f>VLOOKUP(A307,MEMORIA!$A:$N,4,FALSE)</f>
        <v>BLOCO DE ANCORAGEM EM CONCRETO SIMPLES FCK=10MPA (REF: C3403-SEINFRA 28)</v>
      </c>
      <c r="E307" s="23" t="str">
        <f>VLOOKUP(A307,MEMORIA!$A:$N,5,FALSE)</f>
        <v>M3</v>
      </c>
      <c r="F307" s="5">
        <f>VLOOKUP(A307,MEMORIA!$A:$N,14,FALSE)</f>
        <v>0.26</v>
      </c>
      <c r="G307" s="5">
        <f>VLOOKUP("TOTAL SEM BDI - "&amp;B307,CPU!$A:$J,9,FALSE)</f>
        <v>832.05</v>
      </c>
      <c r="H307" s="5">
        <f>VLOOKUP("TOTAL COM BDI - "&amp;B307,CPU!$A:$J,9,FALSE)</f>
        <v>1017.8499999999999</v>
      </c>
      <c r="I307" s="5">
        <f>ROUND(F307*H307,2)</f>
        <v>264.64</v>
      </c>
    </row>
    <row r="308" spans="1:9" x14ac:dyDescent="0.3">
      <c r="A308" s="15" t="s">
        <v>107</v>
      </c>
      <c r="B308" s="48" t="str">
        <f>VLOOKUP(A308,MEMORIA!$A:$N,2,FALSE)</f>
        <v>INSTALAÇÕES HIDRÁULICAS</v>
      </c>
      <c r="C308" s="49"/>
      <c r="D308" s="49"/>
      <c r="E308" s="49"/>
      <c r="F308" s="49"/>
      <c r="G308" s="49"/>
      <c r="H308" s="50"/>
      <c r="I308" s="16">
        <f>SUM($I$309:$I$310)</f>
        <v>705.57</v>
      </c>
    </row>
    <row r="309" spans="1:9" ht="28.8" x14ac:dyDescent="0.3">
      <c r="A309" s="23" t="s">
        <v>385</v>
      </c>
      <c r="B309" s="23">
        <f>VLOOKUP(A309,MEMORIA!$A:$N,2,FALSE)</f>
        <v>94498</v>
      </c>
      <c r="C309" s="23" t="str">
        <f>VLOOKUP(A309,MEMORIA!$A:$N,3,FALSE)</f>
        <v>SINAPI</v>
      </c>
      <c r="D309" s="24" t="str">
        <f>VLOOKUP(A309,MEMORIA!$A:$N,4,FALSE)</f>
        <v>REGISTRO DE GAVETA BRUTO, LATÃO, ROSCÁVEL, 2" - FORNECIMENTO E INSTALAÇÃO. AF_08/2021</v>
      </c>
      <c r="E309" s="23" t="str">
        <f>VLOOKUP(A309,MEMORIA!$A:$N,5,FALSE)</f>
        <v>UN</v>
      </c>
      <c r="F309" s="5">
        <f>VLOOKUP(A309,MEMORIA!$A:$N,14,FALSE)</f>
        <v>1</v>
      </c>
      <c r="G309" s="5">
        <f>VLOOKUP("TOTAL SEM BDI - "&amp;B309,CPU!$A:$J,9,FALSE)</f>
        <v>164.12</v>
      </c>
      <c r="H309" s="5">
        <f>VLOOKUP("TOTAL COM BDI - "&amp;B309,CPU!$A:$J,9,FALSE)</f>
        <v>200.77</v>
      </c>
      <c r="I309" s="5">
        <f>ROUND(F309*H309,2)</f>
        <v>200.77</v>
      </c>
    </row>
    <row r="310" spans="1:9" ht="28.8" x14ac:dyDescent="0.3">
      <c r="A310" s="23" t="s">
        <v>386</v>
      </c>
      <c r="B310" s="23" t="str">
        <f>VLOOKUP(A310,MEMORIA!$A:$N,2,FALSE)</f>
        <v>COMPOS27</v>
      </c>
      <c r="C310" s="23" t="str">
        <f>VLOOKUP(A310,MEMORIA!$A:$N,3,FALSE)</f>
        <v>PRÓPRIA</v>
      </c>
      <c r="D310" s="24" t="str">
        <f>VLOOKUP(A310,MEMORIA!$A:$N,4,FALSE)</f>
        <v>AQUISIÇÃO E ASSENTAMENTO DE TUBO RÍGIDO PVC, CLASSE 12, DN 50 MM, INCLUSO CONEXÕES</v>
      </c>
      <c r="E310" s="23" t="str">
        <f>VLOOKUP(A310,MEMORIA!$A:$N,5,FALSE)</f>
        <v>M</v>
      </c>
      <c r="F310" s="5">
        <f>VLOOKUP(A310,MEMORIA!$A:$N,14,FALSE)</f>
        <v>16</v>
      </c>
      <c r="G310" s="5">
        <f>VLOOKUP("TOTAL SEM BDI - "&amp;B310,CPU!$A:$J,9,FALSE)</f>
        <v>25.79</v>
      </c>
      <c r="H310" s="5">
        <f>VLOOKUP("TOTAL COM BDI - "&amp;B310,CPU!$A:$J,9,FALSE)</f>
        <v>31.549999999999997</v>
      </c>
      <c r="I310" s="5">
        <f>ROUND(F310*H310,2)</f>
        <v>504.8</v>
      </c>
    </row>
    <row r="311" spans="1:9" x14ac:dyDescent="0.3">
      <c r="A311" s="12" t="s">
        <v>108</v>
      </c>
      <c r="B311" s="51" t="str">
        <f>VLOOKUP(A311,MEMORIA!$A:$N,2,FALSE)</f>
        <v>RESERVAÇÃO</v>
      </c>
      <c r="C311" s="52"/>
      <c r="D311" s="52"/>
      <c r="E311" s="52"/>
      <c r="F311" s="52"/>
      <c r="G311" s="52"/>
      <c r="H311" s="53"/>
      <c r="I311" s="13">
        <f>SUM($I$312:$I$314)</f>
        <v>21782.2</v>
      </c>
    </row>
    <row r="312" spans="1:9" ht="72" x14ac:dyDescent="0.3">
      <c r="A312" s="23" t="s">
        <v>387</v>
      </c>
      <c r="B312" s="23" t="str">
        <f>VLOOKUP(A312,MEMORIA!$A:$N,2,FALSE)</f>
        <v>COMPS35</v>
      </c>
      <c r="C312" s="23" t="str">
        <f>VLOOKUP(A312,MEMORIA!$A:$N,3,FALSE)</f>
        <v>PRÓPRIA</v>
      </c>
      <c r="D312" s="24" t="str">
        <f>VLOOKUP(A312,MEMORIA!$A:$N,4,FALSE)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312" s="23" t="str">
        <f>VLOOKUP(A312,MEMORIA!$A:$N,5,FALSE)</f>
        <v>UND</v>
      </c>
      <c r="F312" s="5">
        <f>VLOOKUP(A312,MEMORIA!$A:$N,14,FALSE)</f>
        <v>1</v>
      </c>
      <c r="G312" s="5">
        <f>VLOOKUP("TOTAL SEM BDI - "&amp;B312,CPU!$A:$J,9,FALSE)</f>
        <v>16919.690000000002</v>
      </c>
      <c r="H312" s="5">
        <f>VLOOKUP("TOTAL COM BDI - "&amp;B312,CPU!$A:$J,9,FALSE)</f>
        <v>20697.86</v>
      </c>
      <c r="I312" s="5">
        <f>ROUND(F312*H312,2)</f>
        <v>20697.86</v>
      </c>
    </row>
    <row r="313" spans="1:9" ht="28.8" x14ac:dyDescent="0.3">
      <c r="A313" s="23" t="s">
        <v>388</v>
      </c>
      <c r="B313" s="23">
        <f>VLOOKUP(A313,MEMORIA!$A:$N,2,FALSE)</f>
        <v>94498</v>
      </c>
      <c r="C313" s="23" t="str">
        <f>VLOOKUP(A313,MEMORIA!$A:$N,3,FALSE)</f>
        <v>SINAPI</v>
      </c>
      <c r="D313" s="24" t="str">
        <f>VLOOKUP(A313,MEMORIA!$A:$N,4,FALSE)</f>
        <v>REGISTRO DE GAVETA BRUTO, LATÃO, ROSCÁVEL, 2" - FORNECIMENTO E INSTALAÇÃO. AF_08/2021</v>
      </c>
      <c r="E313" s="23" t="str">
        <f>VLOOKUP(A313,MEMORIA!$A:$N,5,FALSE)</f>
        <v>UN</v>
      </c>
      <c r="F313" s="5">
        <f>VLOOKUP(A313,MEMORIA!$A:$N,14,FALSE)</f>
        <v>2</v>
      </c>
      <c r="G313" s="5">
        <f>VLOOKUP("TOTAL SEM BDI - "&amp;B313,CPU!$A:$J,9,FALSE)</f>
        <v>164.12</v>
      </c>
      <c r="H313" s="5">
        <f>VLOOKUP("TOTAL COM BDI - "&amp;B313,CPU!$A:$J,9,FALSE)</f>
        <v>200.77</v>
      </c>
      <c r="I313" s="5">
        <f>ROUND(F313*H313,2)</f>
        <v>401.54</v>
      </c>
    </row>
    <row r="314" spans="1:9" ht="28.8" x14ac:dyDescent="0.3">
      <c r="A314" s="23" t="s">
        <v>389</v>
      </c>
      <c r="B314" s="23" t="str">
        <f>VLOOKUP(A314,MEMORIA!$A:$N,2,FALSE)</f>
        <v>COMPOS35</v>
      </c>
      <c r="C314" s="23" t="str">
        <f>VLOOKUP(A314,MEMORIA!$A:$N,3,FALSE)</f>
        <v>PRÓPRIA</v>
      </c>
      <c r="D314" s="24" t="str">
        <f>VLOOKUP(A314,MEMORIA!$A:$N,4,FALSE)</f>
        <v>AQUISIÇÃO E ASSENTAMENTO DE TUBO RÍGIDO PVC, CLASSE 12, DN 60 MM, INCLUSO CONEXÕES</v>
      </c>
      <c r="E314" s="23" t="str">
        <f>VLOOKUP(A314,MEMORIA!$A:$N,5,FALSE)</f>
        <v>M</v>
      </c>
      <c r="F314" s="5">
        <f>VLOOKUP(A314,MEMORIA!$A:$N,14,FALSE)</f>
        <v>20</v>
      </c>
      <c r="G314" s="5">
        <f>VLOOKUP("TOTAL SEM BDI - "&amp;B314,CPU!$A:$J,9,FALSE)</f>
        <v>27.91</v>
      </c>
      <c r="H314" s="5">
        <f>VLOOKUP("TOTAL COM BDI - "&amp;B314,CPU!$A:$J,9,FALSE)</f>
        <v>34.14</v>
      </c>
      <c r="I314" s="5">
        <f>ROUND(F314*H314,2)</f>
        <v>682.8</v>
      </c>
    </row>
    <row r="315" spans="1:9" x14ac:dyDescent="0.3">
      <c r="A315" s="12" t="s">
        <v>109</v>
      </c>
      <c r="B315" s="51" t="str">
        <f>VLOOKUP(A315,MEMORIA!$A:$N,2,FALSE)</f>
        <v>DISTRIBUIÇÃO</v>
      </c>
      <c r="C315" s="52"/>
      <c r="D315" s="52"/>
      <c r="E315" s="52"/>
      <c r="F315" s="52"/>
      <c r="G315" s="52"/>
      <c r="H315" s="53"/>
      <c r="I315" s="13">
        <f>SUM($I$316,$I$319,)</f>
        <v>21722.17</v>
      </c>
    </row>
    <row r="316" spans="1:9" x14ac:dyDescent="0.3">
      <c r="A316" s="15" t="s">
        <v>110</v>
      </c>
      <c r="B316" s="48" t="str">
        <f>VLOOKUP(A316,MEMORIA!$A:$N,2,FALSE)</f>
        <v>MOVIMENTO DE TERRA</v>
      </c>
      <c r="C316" s="49"/>
      <c r="D316" s="49"/>
      <c r="E316" s="49"/>
      <c r="F316" s="49"/>
      <c r="G316" s="49"/>
      <c r="H316" s="50"/>
      <c r="I316" s="16">
        <f>SUM($I$317:$I$318)</f>
        <v>4694.28</v>
      </c>
    </row>
    <row r="317" spans="1:9" ht="57.6" x14ac:dyDescent="0.3">
      <c r="A317" s="23" t="s">
        <v>390</v>
      </c>
      <c r="B317" s="23">
        <f>VLOOKUP(A317,MEMORIA!$A:$N,2,FALSE)</f>
        <v>102314</v>
      </c>
      <c r="C317" s="23" t="str">
        <f>VLOOKUP(A317,MEMORIA!$A:$N,3,FALSE)</f>
        <v>SINAPI</v>
      </c>
      <c r="D317" s="24" t="str">
        <f>VLOOKUP(A317,MEMORIA!$A:$N,4,FALSE)</f>
        <v>ESCAVAÇÃO MECANIZADA DE VALA COM PROF. ATÉ 1,5 M (MÉDIA MONTANTE E JUSANTE/UMA COMPOSIÇÃO POR TRECHO),COM ESCAVADEIRA (0,8 M3), LARG. MENOR QUE 1,5 M, EM SOLO DE 2A CATEGORIA, LOCAIS COM BAIXO NÍVEL DE INTERFERÊNCIA. AF_09/2024</v>
      </c>
      <c r="E317" s="23" t="str">
        <f>VLOOKUP(A317,MEMORIA!$A:$N,5,FALSE)</f>
        <v>M3</v>
      </c>
      <c r="F317" s="5">
        <f>VLOOKUP(A317,MEMORIA!$A:$N,14,FALSE)</f>
        <v>180.48</v>
      </c>
      <c r="G317" s="5">
        <f>VLOOKUP("TOTAL SEM BDI - "&amp;B317,CPU!$A:$J,9,FALSE)</f>
        <v>8.5</v>
      </c>
      <c r="H317" s="5">
        <f>VLOOKUP("TOTAL COM BDI - "&amp;B317,CPU!$A:$J,9,FALSE)</f>
        <v>10.4</v>
      </c>
      <c r="I317" s="5">
        <f>ROUND(F317*H317,2)</f>
        <v>1876.99</v>
      </c>
    </row>
    <row r="318" spans="1:9" ht="57.6" x14ac:dyDescent="0.3">
      <c r="A318" s="23" t="s">
        <v>391</v>
      </c>
      <c r="B318" s="23" t="str">
        <f>VLOOKUP(A318,MEMORIA!$A:$N,2,FALSE)</f>
        <v>COMP199</v>
      </c>
      <c r="C318" s="23" t="str">
        <f>VLOOKUP(A318,MEMORIA!$A:$N,3,FALSE)</f>
        <v>PRÓPRIA</v>
      </c>
      <c r="D318" s="24" t="str">
        <f>VLOOKUP(A318,MEMORIA!$A:$N,4,FALSE)</f>
        <v>REATERRO MECANIZADO DE VALA COM RETROESCAVADEIRA (CAPACIDADE DA CAÇAMBA DA RETRO: 0,26 M³/POTÊNCIA: 88 HP), LARGURA ATÉ 0,8 M, PROFUNDIDADE ATÉ 1,5 M, COM SOLO (SEM SUBSTITUIÇÃO) DE 1ª CATEGORIA. AF_08/2023 (REF: 104733-SINAPI-05/2025)</v>
      </c>
      <c r="E318" s="23" t="str">
        <f>VLOOKUP(A318,MEMORIA!$A:$N,5,FALSE)</f>
        <v>M3</v>
      </c>
      <c r="F318" s="5">
        <f>VLOOKUP(A318,MEMORIA!$A:$N,14,FALSE)</f>
        <v>180.48</v>
      </c>
      <c r="G318" s="5">
        <f>VLOOKUP("TOTAL SEM BDI - "&amp;B318,CPU!$A:$J,9,FALSE)</f>
        <v>12.76</v>
      </c>
      <c r="H318" s="5">
        <f>VLOOKUP("TOTAL COM BDI - "&amp;B318,CPU!$A:$J,9,FALSE)</f>
        <v>15.61</v>
      </c>
      <c r="I318" s="5">
        <f>ROUND(F318*H318,2)</f>
        <v>2817.29</v>
      </c>
    </row>
    <row r="319" spans="1:9" x14ac:dyDescent="0.3">
      <c r="A319" s="15" t="s">
        <v>111</v>
      </c>
      <c r="B319" s="48" t="str">
        <f>VLOOKUP(A319,MEMORIA!$A:$N,2,FALSE)</f>
        <v>INSTALAÇÕES HIDRÁULICAS</v>
      </c>
      <c r="C319" s="49"/>
      <c r="D319" s="49"/>
      <c r="E319" s="49"/>
      <c r="F319" s="49"/>
      <c r="G319" s="49"/>
      <c r="H319" s="50"/>
      <c r="I319" s="16">
        <f>SUM($I$320:$I$321)</f>
        <v>17027.89</v>
      </c>
    </row>
    <row r="320" spans="1:9" ht="28.8" x14ac:dyDescent="0.3">
      <c r="A320" s="23" t="s">
        <v>392</v>
      </c>
      <c r="B320" s="23" t="str">
        <f>VLOOKUP(A320,MEMORIA!$A:$N,2,FALSE)</f>
        <v>COMPOS35</v>
      </c>
      <c r="C320" s="23" t="str">
        <f>VLOOKUP(A320,MEMORIA!$A:$N,3,FALSE)</f>
        <v>PRÓPRIA</v>
      </c>
      <c r="D320" s="24" t="str">
        <f>VLOOKUP(A320,MEMORIA!$A:$N,4,FALSE)</f>
        <v>AQUISIÇÃO E ASSENTAMENTO DE TUBO RÍGIDO PVC, CLASSE 12, DN 60 MM, INCLUSO CONEXÕES</v>
      </c>
      <c r="E320" s="23" t="str">
        <f>VLOOKUP(A320,MEMORIA!$A:$N,5,FALSE)</f>
        <v>M</v>
      </c>
      <c r="F320" s="5">
        <f>VLOOKUP(A320,MEMORIA!$A:$N,14,FALSE)</f>
        <v>432.3</v>
      </c>
      <c r="G320" s="5">
        <f>VLOOKUP("TOTAL SEM BDI - "&amp;B320,CPU!$A:$J,9,FALSE)</f>
        <v>27.91</v>
      </c>
      <c r="H320" s="5">
        <f>VLOOKUP("TOTAL COM BDI - "&amp;B320,CPU!$A:$J,9,FALSE)</f>
        <v>34.14</v>
      </c>
      <c r="I320" s="5">
        <f>ROUND(F320*H320,2)</f>
        <v>14758.72</v>
      </c>
    </row>
    <row r="321" spans="1:9" x14ac:dyDescent="0.3">
      <c r="A321" s="23" t="s">
        <v>393</v>
      </c>
      <c r="B321" s="23" t="str">
        <f>VLOOKUP(A321,MEMORIA!$A:$N,2,FALSE)</f>
        <v>COMPOS36</v>
      </c>
      <c r="C321" s="23" t="str">
        <f>VLOOKUP(A321,MEMORIA!$A:$N,3,FALSE)</f>
        <v>PRÓPRIA</v>
      </c>
      <c r="D321" s="24" t="str">
        <f>VLOOKUP(A321,MEMORIA!$A:$N,4,FALSE)</f>
        <v>LIGAÇÃO DOMICILIAR</v>
      </c>
      <c r="E321" s="23" t="str">
        <f>VLOOKUP(A321,MEMORIA!$A:$N,5,FALSE)</f>
        <v>UND</v>
      </c>
      <c r="F321" s="5">
        <f>VLOOKUP(A321,MEMORIA!$A:$N,14,FALSE)</f>
        <v>9</v>
      </c>
      <c r="G321" s="5">
        <f>VLOOKUP("TOTAL SEM BDI - "&amp;B321,CPU!$A:$J,9,FALSE)</f>
        <v>206.11</v>
      </c>
      <c r="H321" s="5">
        <f>VLOOKUP("TOTAL COM BDI - "&amp;B321,CPU!$A:$J,9,FALSE)</f>
        <v>252.13000000000002</v>
      </c>
      <c r="I321" s="5">
        <f>ROUND(F321*H321,2)</f>
        <v>2269.17</v>
      </c>
    </row>
    <row r="322" spans="1:9" x14ac:dyDescent="0.3">
      <c r="A322" s="9">
        <v>6</v>
      </c>
      <c r="B322" s="54" t="str">
        <f>VLOOKUP(A322,MEMORIA!$A:$N,2,FALSE)</f>
        <v>LOCALIDADE LAGOA DO CABOCLO (ANÍSIO DE ABREU-PI)</v>
      </c>
      <c r="C322" s="55"/>
      <c r="D322" s="55"/>
      <c r="E322" s="55"/>
      <c r="F322" s="55"/>
      <c r="G322" s="55"/>
      <c r="H322" s="56"/>
      <c r="I322" s="10">
        <f>SUM($I$323,$I$339,$I$343,$I$377,$I$380,$I$389,$I$393,)</f>
        <v>168867.97</v>
      </c>
    </row>
    <row r="323" spans="1:9" x14ac:dyDescent="0.3">
      <c r="A323" s="12" t="s">
        <v>112</v>
      </c>
      <c r="B323" s="51" t="str">
        <f>VLOOKUP(A323,MEMORIA!$A:$N,2,FALSE)</f>
        <v>PERFURAÇÃO DE POÇO TUBULAR</v>
      </c>
      <c r="C323" s="52"/>
      <c r="D323" s="52"/>
      <c r="E323" s="52"/>
      <c r="F323" s="52"/>
      <c r="G323" s="52"/>
      <c r="H323" s="53"/>
      <c r="I323" s="13">
        <f>SUM($I$324:$I$338)</f>
        <v>38113.39</v>
      </c>
    </row>
    <row r="324" spans="1:9" x14ac:dyDescent="0.3">
      <c r="A324" s="23" t="s">
        <v>394</v>
      </c>
      <c r="B324" s="23" t="str">
        <f>VLOOKUP(A324,MEMORIA!$A:$N,2,FALSE)</f>
        <v>COMPOS3</v>
      </c>
      <c r="C324" s="23" t="str">
        <f>VLOOKUP(A324,MEMORIA!$A:$N,3,FALSE)</f>
        <v>PRÓPRIA</v>
      </c>
      <c r="D324" s="24" t="str">
        <f>VLOOKUP(A324,MEMORIA!$A:$N,4,FALSE)</f>
        <v>LOCAÇÃO DO POÇO COM ESTUDO GEOLÓGICO/HIDROGEOLÓGICO/GEOFÍSICO</v>
      </c>
      <c r="E324" s="23" t="str">
        <f>VLOOKUP(A324,MEMORIA!$A:$N,5,FALSE)</f>
        <v>UN</v>
      </c>
      <c r="F324" s="5">
        <f>VLOOKUP(A324,MEMORIA!$A:$N,14,FALSE)</f>
        <v>1</v>
      </c>
      <c r="G324" s="5">
        <f>VLOOKUP("TOTAL SEM BDI - "&amp;B324,CPU!$A:$J,9,FALSE)</f>
        <v>1692.3999999999999</v>
      </c>
      <c r="H324" s="5">
        <f>VLOOKUP("TOTAL COM BDI - "&amp;B324,CPU!$A:$J,9,FALSE)</f>
        <v>2070.31</v>
      </c>
      <c r="I324" s="5">
        <f t="shared" ref="I324:I338" si="4">ROUND(F324*H324,2)</f>
        <v>2070.31</v>
      </c>
    </row>
    <row r="325" spans="1:9" x14ac:dyDescent="0.3">
      <c r="A325" s="23" t="s">
        <v>395</v>
      </c>
      <c r="B325" s="23" t="str">
        <f>VLOOKUP(A325,MEMORIA!$A:$N,2,FALSE)</f>
        <v>COMPOS4</v>
      </c>
      <c r="C325" s="23" t="str">
        <f>VLOOKUP(A325,MEMORIA!$A:$N,3,FALSE)</f>
        <v>PRÓPRIA</v>
      </c>
      <c r="D325" s="24" t="str">
        <f>VLOOKUP(A325,MEMORIA!$A:$N,4,FALSE)</f>
        <v>TRANSPORTE DE MÁQUINAS E EQUIPAMENTOS</v>
      </c>
      <c r="E325" s="23" t="str">
        <f>VLOOKUP(A325,MEMORIA!$A:$N,5,FALSE)</f>
        <v>KM</v>
      </c>
      <c r="F325" s="5">
        <f>VLOOKUP(A325,MEMORIA!$A:$N,14,FALSE)</f>
        <v>8.6999999999999993</v>
      </c>
      <c r="G325" s="5">
        <f>VLOOKUP("TOTAL SEM BDI - "&amp;B325,CPU!$A:$J,9,FALSE)</f>
        <v>5.5</v>
      </c>
      <c r="H325" s="5">
        <f>VLOOKUP("TOTAL COM BDI - "&amp;B325,CPU!$A:$J,9,FALSE)</f>
        <v>6.73</v>
      </c>
      <c r="I325" s="5">
        <f t="shared" si="4"/>
        <v>58.55</v>
      </c>
    </row>
    <row r="326" spans="1:9" x14ac:dyDescent="0.3">
      <c r="A326" s="23" t="s">
        <v>396</v>
      </c>
      <c r="B326" s="23" t="str">
        <f>VLOOKUP(A326,MEMORIA!$A:$N,2,FALSE)</f>
        <v>COMPOS4</v>
      </c>
      <c r="C326" s="23" t="str">
        <f>VLOOKUP(A326,MEMORIA!$A:$N,3,FALSE)</f>
        <v>PRÓPRIA</v>
      </c>
      <c r="D326" s="24" t="str">
        <f>VLOOKUP(A326,MEMORIA!$A:$N,4,FALSE)</f>
        <v>TRANSPORTE DE MÁQUINAS E EQUIPAMENTOS</v>
      </c>
      <c r="E326" s="23" t="str">
        <f>VLOOKUP(A326,MEMORIA!$A:$N,5,FALSE)</f>
        <v>KM</v>
      </c>
      <c r="F326" s="5">
        <f>VLOOKUP(A326,MEMORIA!$A:$N,14,FALSE)</f>
        <v>8.6999999999999993</v>
      </c>
      <c r="G326" s="5">
        <f>VLOOKUP("TOTAL SEM BDI - "&amp;B326,CPU!$A:$J,9,FALSE)</f>
        <v>5.5</v>
      </c>
      <c r="H326" s="5">
        <f>VLOOKUP("TOTAL COM BDI - "&amp;B326,CPU!$A:$J,9,FALSE)</f>
        <v>6.73</v>
      </c>
      <c r="I326" s="5">
        <f t="shared" si="4"/>
        <v>58.55</v>
      </c>
    </row>
    <row r="327" spans="1:9" x14ac:dyDescent="0.3">
      <c r="A327" s="23" t="s">
        <v>397</v>
      </c>
      <c r="B327" s="23" t="str">
        <f>VLOOKUP(A327,MEMORIA!$A:$N,2,FALSE)</f>
        <v>COMPOS5</v>
      </c>
      <c r="C327" s="23" t="str">
        <f>VLOOKUP(A327,MEMORIA!$A:$N,3,FALSE)</f>
        <v>PRÓPRIA</v>
      </c>
      <c r="D327" s="24" t="str">
        <f>VLOOKUP(A327,MEMORIA!$A:$N,4,FALSE)</f>
        <v>PERFILAGEM ÓTICA</v>
      </c>
      <c r="E327" s="23" t="str">
        <f>VLOOKUP(A327,MEMORIA!$A:$N,5,FALSE)</f>
        <v>UN</v>
      </c>
      <c r="F327" s="5">
        <f>VLOOKUP(A327,MEMORIA!$A:$N,14,FALSE)</f>
        <v>1</v>
      </c>
      <c r="G327" s="5">
        <f>VLOOKUP("TOTAL SEM BDI - "&amp;B327,CPU!$A:$J,9,FALSE)</f>
        <v>2908.88</v>
      </c>
      <c r="H327" s="5">
        <f>VLOOKUP("TOTAL COM BDI - "&amp;B327,CPU!$A:$J,9,FALSE)</f>
        <v>3558.4300000000003</v>
      </c>
      <c r="I327" s="5">
        <f t="shared" si="4"/>
        <v>3558.43</v>
      </c>
    </row>
    <row r="328" spans="1:9" x14ac:dyDescent="0.3">
      <c r="A328" s="23" t="s">
        <v>398</v>
      </c>
      <c r="B328" s="23" t="str">
        <f>VLOOKUP(A328,MEMORIA!$A:$N,2,FALSE)</f>
        <v>COMP197</v>
      </c>
      <c r="C328" s="23" t="str">
        <f>VLOOKUP(A328,MEMORIA!$A:$N,3,FALSE)</f>
        <v>PRÓPRIA</v>
      </c>
      <c r="D328" s="24" t="str">
        <f>VLOOKUP(A328,MEMORIA!$A:$N,4,FALSE)</f>
        <v>PERFURAÇÃO EM ROCHA SEDIMENTAR DN 10" (REF: 06230/ORSE-ORSE-04/2025)</v>
      </c>
      <c r="E328" s="23" t="str">
        <f>VLOOKUP(A328,MEMORIA!$A:$N,5,FALSE)</f>
        <v>M</v>
      </c>
      <c r="F328" s="5">
        <f>VLOOKUP(A328,MEMORIA!$A:$N,14,FALSE)</f>
        <v>20</v>
      </c>
      <c r="G328" s="5">
        <f>VLOOKUP("TOTAL SEM BDI - "&amp;B328,CPU!$A:$J,9,FALSE)</f>
        <v>202.21</v>
      </c>
      <c r="H328" s="5">
        <f>VLOOKUP("TOTAL COM BDI - "&amp;B328,CPU!$A:$J,9,FALSE)</f>
        <v>247.36</v>
      </c>
      <c r="I328" s="5">
        <f t="shared" si="4"/>
        <v>4947.2</v>
      </c>
    </row>
    <row r="329" spans="1:9" x14ac:dyDescent="0.3">
      <c r="A329" s="23" t="s">
        <v>399</v>
      </c>
      <c r="B329" s="23" t="str">
        <f>VLOOKUP(A329,MEMORIA!$A:$N,2,FALSE)</f>
        <v>COMP198</v>
      </c>
      <c r="C329" s="23" t="str">
        <f>VLOOKUP(A329,MEMORIA!$A:$N,3,FALSE)</f>
        <v>PRÓPRIA</v>
      </c>
      <c r="D329" s="24" t="str">
        <f>VLOOKUP(A329,MEMORIA!$A:$N,4,FALSE)</f>
        <v>PERFURAÇÃO EM ROCHA CRISTALINA DN 6" (REF: 06237/ORSE-ORSE-04/2025)</v>
      </c>
      <c r="E329" s="23" t="str">
        <f>VLOOKUP(A329,MEMORIA!$A:$N,5,FALSE)</f>
        <v>M</v>
      </c>
      <c r="F329" s="5">
        <f>VLOOKUP(A329,MEMORIA!$A:$N,14,FALSE)</f>
        <v>80</v>
      </c>
      <c r="G329" s="5">
        <f>VLOOKUP("TOTAL SEM BDI - "&amp;B329,CPU!$A:$J,9,FALSE)</f>
        <v>125.23</v>
      </c>
      <c r="H329" s="5">
        <f>VLOOKUP("TOTAL COM BDI - "&amp;B329,CPU!$A:$J,9,FALSE)</f>
        <v>153.19</v>
      </c>
      <c r="I329" s="5">
        <f t="shared" si="4"/>
        <v>12255.2</v>
      </c>
    </row>
    <row r="330" spans="1:9" x14ac:dyDescent="0.3">
      <c r="A330" s="23" t="s">
        <v>400</v>
      </c>
      <c r="B330" s="23" t="str">
        <f>VLOOKUP(A330,MEMORIA!$A:$N,2,FALSE)</f>
        <v>COMPOS10</v>
      </c>
      <c r="C330" s="23" t="str">
        <f>VLOOKUP(A330,MEMORIA!$A:$N,3,FALSE)</f>
        <v>PRÓPRIA</v>
      </c>
      <c r="D330" s="24" t="str">
        <f>VLOOKUP(A330,MEMORIA!$A:$N,4,FALSE)</f>
        <v>CIMENTAÇÃO SANITÁRIA</v>
      </c>
      <c r="E330" s="23" t="str">
        <f>VLOOKUP(A330,MEMORIA!$A:$N,5,FALSE)</f>
        <v>M</v>
      </c>
      <c r="F330" s="5">
        <f>VLOOKUP(A330,MEMORIA!$A:$N,14,FALSE)</f>
        <v>10</v>
      </c>
      <c r="G330" s="5">
        <f>VLOOKUP("TOTAL SEM BDI - "&amp;B330,CPU!$A:$J,9,FALSE)</f>
        <v>98.79</v>
      </c>
      <c r="H330" s="5">
        <f>VLOOKUP("TOTAL COM BDI - "&amp;B330,CPU!$A:$J,9,FALSE)</f>
        <v>120.85000000000001</v>
      </c>
      <c r="I330" s="5">
        <f t="shared" si="4"/>
        <v>1208.5</v>
      </c>
    </row>
    <row r="331" spans="1:9" x14ac:dyDescent="0.3">
      <c r="A331" s="23" t="s">
        <v>401</v>
      </c>
      <c r="B331" s="23" t="str">
        <f>VLOOKUP(A331,MEMORIA!$A:$N,2,FALSE)</f>
        <v>COMPOS11</v>
      </c>
      <c r="C331" s="23" t="str">
        <f>VLOOKUP(A331,MEMORIA!$A:$N,3,FALSE)</f>
        <v>PRÓPRIA</v>
      </c>
      <c r="D331" s="24" t="str">
        <f>VLOOKUP(A331,MEMORIA!$A:$N,4,FALSE)</f>
        <v>LAJE DE PROTEÇÃO EM CONCRETO (1,0 M X 1,0 M X 0,15 M)</v>
      </c>
      <c r="E331" s="23" t="str">
        <f>VLOOKUP(A331,MEMORIA!$A:$N,5,FALSE)</f>
        <v>M³</v>
      </c>
      <c r="F331" s="5">
        <f>VLOOKUP(A331,MEMORIA!$A:$N,14,FALSE)</f>
        <v>0.15</v>
      </c>
      <c r="G331" s="5">
        <f>VLOOKUP("TOTAL SEM BDI - "&amp;B331,CPU!$A:$J,9,FALSE)</f>
        <v>1246.81</v>
      </c>
      <c r="H331" s="5">
        <f>VLOOKUP("TOTAL COM BDI - "&amp;B331,CPU!$A:$J,9,FALSE)</f>
        <v>1525.22</v>
      </c>
      <c r="I331" s="5">
        <f t="shared" si="4"/>
        <v>228.78</v>
      </c>
    </row>
    <row r="332" spans="1:9" x14ac:dyDescent="0.3">
      <c r="A332" s="23" t="s">
        <v>402</v>
      </c>
      <c r="B332" s="23" t="str">
        <f>VLOOKUP(A332,MEMORIA!$A:$N,2,FALSE)</f>
        <v>COMPOS12</v>
      </c>
      <c r="C332" s="23" t="str">
        <f>VLOOKUP(A332,MEMORIA!$A:$N,3,FALSE)</f>
        <v>PRÓPRIA</v>
      </c>
      <c r="D332" s="24" t="str">
        <f>VLOOKUP(A332,MEMORIA!$A:$N,4,FALSE)</f>
        <v>DESENVOLVIMENTO COM BOMBA SUBMERSA</v>
      </c>
      <c r="E332" s="23" t="str">
        <f>VLOOKUP(A332,MEMORIA!$A:$N,5,FALSE)</f>
        <v>H</v>
      </c>
      <c r="F332" s="5">
        <f>VLOOKUP(A332,MEMORIA!$A:$N,14,FALSE)</f>
        <v>6</v>
      </c>
      <c r="G332" s="5">
        <f>VLOOKUP("TOTAL SEM BDI - "&amp;B332,CPU!$A:$J,9,FALSE)</f>
        <v>515.70000000000005</v>
      </c>
      <c r="H332" s="5">
        <f>VLOOKUP("TOTAL COM BDI - "&amp;B332,CPU!$A:$J,9,FALSE)</f>
        <v>630.86</v>
      </c>
      <c r="I332" s="5">
        <f t="shared" si="4"/>
        <v>3785.16</v>
      </c>
    </row>
    <row r="333" spans="1:9" x14ac:dyDescent="0.3">
      <c r="A333" s="23" t="s">
        <v>403</v>
      </c>
      <c r="B333" s="23" t="str">
        <f>VLOOKUP(A333,MEMORIA!$A:$N,2,FALSE)</f>
        <v>COMPOS13</v>
      </c>
      <c r="C333" s="23" t="str">
        <f>VLOOKUP(A333,MEMORIA!$A:$N,3,FALSE)</f>
        <v>PRÓPRIA</v>
      </c>
      <c r="D333" s="24" t="str">
        <f>VLOOKUP(A333,MEMORIA!$A:$N,4,FALSE)</f>
        <v>TESTE VAZÃO COM BOMBA SUBMERSA</v>
      </c>
      <c r="E333" s="23" t="str">
        <f>VLOOKUP(A333,MEMORIA!$A:$N,5,FALSE)</f>
        <v>H</v>
      </c>
      <c r="F333" s="5">
        <f>VLOOKUP(A333,MEMORIA!$A:$N,14,FALSE)</f>
        <v>24</v>
      </c>
      <c r="G333" s="5">
        <f>VLOOKUP("TOTAL SEM BDI - "&amp;B333,CPU!$A:$J,9,FALSE)</f>
        <v>97.789999999999992</v>
      </c>
      <c r="H333" s="5">
        <f>VLOOKUP("TOTAL COM BDI - "&amp;B333,CPU!$A:$J,9,FALSE)</f>
        <v>119.63</v>
      </c>
      <c r="I333" s="5">
        <f t="shared" si="4"/>
        <v>2871.12</v>
      </c>
    </row>
    <row r="334" spans="1:9" x14ac:dyDescent="0.3">
      <c r="A334" s="23" t="s">
        <v>404</v>
      </c>
      <c r="B334" s="23" t="str">
        <f>VLOOKUP(A334,MEMORIA!$A:$N,2,FALSE)</f>
        <v>COMPOS14</v>
      </c>
      <c r="C334" s="23" t="str">
        <f>VLOOKUP(A334,MEMORIA!$A:$N,3,FALSE)</f>
        <v>PRÓPRIA</v>
      </c>
      <c r="D334" s="24" t="str">
        <f>VLOOKUP(A334,MEMORIA!$A:$N,4,FALSE)</f>
        <v>DESINFECÇÃO</v>
      </c>
      <c r="E334" s="23" t="str">
        <f>VLOOKUP(A334,MEMORIA!$A:$N,5,FALSE)</f>
        <v>H</v>
      </c>
      <c r="F334" s="5">
        <f>VLOOKUP(A334,MEMORIA!$A:$N,14,FALSE)</f>
        <v>4</v>
      </c>
      <c r="G334" s="5">
        <f>VLOOKUP("TOTAL SEM BDI - "&amp;B334,CPU!$A:$J,9,FALSE)</f>
        <v>102.36000000000003</v>
      </c>
      <c r="H334" s="5">
        <f>VLOOKUP("TOTAL COM BDI - "&amp;B334,CPU!$A:$J,9,FALSE)</f>
        <v>125.22000000000003</v>
      </c>
      <c r="I334" s="5">
        <f t="shared" si="4"/>
        <v>500.88</v>
      </c>
    </row>
    <row r="335" spans="1:9" x14ac:dyDescent="0.3">
      <c r="A335" s="23" t="s">
        <v>405</v>
      </c>
      <c r="B335" s="23" t="str">
        <f>VLOOKUP(A335,MEMORIA!$A:$N,2,FALSE)</f>
        <v>COMPOS15</v>
      </c>
      <c r="C335" s="23" t="str">
        <f>VLOOKUP(A335,MEMORIA!$A:$N,3,FALSE)</f>
        <v>PRÓPRIA</v>
      </c>
      <c r="D335" s="24" t="str">
        <f>VLOOKUP(A335,MEMORIA!$A:$N,4,FALSE)</f>
        <v>RELATÓRIO TÉCNICO</v>
      </c>
      <c r="E335" s="23" t="str">
        <f>VLOOKUP(A335,MEMORIA!$A:$N,5,FALSE)</f>
        <v>UN</v>
      </c>
      <c r="F335" s="5">
        <f>VLOOKUP(A335,MEMORIA!$A:$N,14,FALSE)</f>
        <v>1</v>
      </c>
      <c r="G335" s="5">
        <f>VLOOKUP("TOTAL SEM BDI - "&amp;B335,CPU!$A:$J,9,FALSE)</f>
        <v>1110.2</v>
      </c>
      <c r="H335" s="5">
        <f>VLOOKUP("TOTAL COM BDI - "&amp;B335,CPU!$A:$J,9,FALSE)</f>
        <v>1358.1100000000001</v>
      </c>
      <c r="I335" s="5">
        <f t="shared" si="4"/>
        <v>1358.11</v>
      </c>
    </row>
    <row r="336" spans="1:9" x14ac:dyDescent="0.3">
      <c r="A336" s="23" t="s">
        <v>406</v>
      </c>
      <c r="B336" s="23" t="str">
        <f>VLOOKUP(A336,MEMORIA!$A:$N,2,FALSE)</f>
        <v>COMPOS16</v>
      </c>
      <c r="C336" s="23" t="str">
        <f>VLOOKUP(A336,MEMORIA!$A:$N,3,FALSE)</f>
        <v>PRÓPRIA</v>
      </c>
      <c r="D336" s="24" t="str">
        <f>VLOOKUP(A336,MEMORIA!$A:$N,4,FALSE)</f>
        <v>ANÁLISE FÍSICO-QUÍMICA DA ÁGUA</v>
      </c>
      <c r="E336" s="23" t="str">
        <f>VLOOKUP(A336,MEMORIA!$A:$N,5,FALSE)</f>
        <v>UN</v>
      </c>
      <c r="F336" s="5">
        <f>VLOOKUP(A336,MEMORIA!$A:$N,14,FALSE)</f>
        <v>1</v>
      </c>
      <c r="G336" s="5">
        <f>VLOOKUP("TOTAL SEM BDI - "&amp;B336,CPU!$A:$J,9,FALSE)</f>
        <v>565.21</v>
      </c>
      <c r="H336" s="5">
        <f>VLOOKUP("TOTAL COM BDI - "&amp;B336,CPU!$A:$J,9,FALSE)</f>
        <v>691.42000000000007</v>
      </c>
      <c r="I336" s="5">
        <f t="shared" si="4"/>
        <v>691.42</v>
      </c>
    </row>
    <row r="337" spans="1:9" x14ac:dyDescent="0.3">
      <c r="A337" s="23" t="s">
        <v>407</v>
      </c>
      <c r="B337" s="23" t="str">
        <f>VLOOKUP(A337,MEMORIA!$A:$N,2,FALSE)</f>
        <v>COMPOS1</v>
      </c>
      <c r="C337" s="23" t="str">
        <f>VLOOKUP(A337,MEMORIA!$A:$N,3,FALSE)</f>
        <v>PRÓPRIA</v>
      </c>
      <c r="D337" s="24" t="str">
        <f>VLOOKUP(A337,MEMORIA!$A:$N,4,FALSE)</f>
        <v>FORNECIMENTO E INSTALAÇÃO DE REVESTIMENTO GEOMECÂNICO STANDART DN-154-S</v>
      </c>
      <c r="E337" s="23" t="str">
        <f>VLOOKUP(A337,MEMORIA!$A:$N,5,FALSE)</f>
        <v>M</v>
      </c>
      <c r="F337" s="5">
        <f>VLOOKUP(A337,MEMORIA!$A:$N,14,FALSE)</f>
        <v>21</v>
      </c>
      <c r="G337" s="5">
        <f>VLOOKUP("TOTAL SEM BDI - "&amp;B337,CPU!$A:$J,9,FALSE)</f>
        <v>170.76</v>
      </c>
      <c r="H337" s="5">
        <f>VLOOKUP("TOTAL COM BDI - "&amp;B337,CPU!$A:$J,9,FALSE)</f>
        <v>208.89</v>
      </c>
      <c r="I337" s="5">
        <f t="shared" si="4"/>
        <v>4386.6899999999996</v>
      </c>
    </row>
    <row r="338" spans="1:9" x14ac:dyDescent="0.3">
      <c r="A338" s="23" t="s">
        <v>408</v>
      </c>
      <c r="B338" s="23" t="str">
        <f>VLOOKUP(A338,MEMORIA!$A:$N,2,FALSE)</f>
        <v>COMPOS2</v>
      </c>
      <c r="C338" s="23" t="str">
        <f>VLOOKUP(A338,MEMORIA!$A:$N,3,FALSE)</f>
        <v>PRÓPRIA</v>
      </c>
      <c r="D338" s="24" t="str">
        <f>VLOOKUP(A338,MEMORIA!$A:$N,4,FALSE)</f>
        <v>FORNECIMENTO E INSTALAÇÃO DE TAMPA PARA POÇO</v>
      </c>
      <c r="E338" s="23" t="str">
        <f>VLOOKUP(A338,MEMORIA!$A:$N,5,FALSE)</f>
        <v>UN</v>
      </c>
      <c r="F338" s="5">
        <f>VLOOKUP(A338,MEMORIA!$A:$N,14,FALSE)</f>
        <v>1</v>
      </c>
      <c r="G338" s="5">
        <f>VLOOKUP("TOTAL SEM BDI - "&amp;B338,CPU!$A:$J,9,FALSE)</f>
        <v>109.94</v>
      </c>
      <c r="H338" s="5">
        <f>VLOOKUP("TOTAL COM BDI - "&amp;B338,CPU!$A:$J,9,FALSE)</f>
        <v>134.49</v>
      </c>
      <c r="I338" s="5">
        <f t="shared" si="4"/>
        <v>134.49</v>
      </c>
    </row>
    <row r="339" spans="1:9" x14ac:dyDescent="0.3">
      <c r="A339" s="12" t="s">
        <v>113</v>
      </c>
      <c r="B339" s="51" t="str">
        <f>VLOOKUP(A339,MEMORIA!$A:$N,2,FALSE)</f>
        <v>AQUISIÇÃO E INSTALAÇÃO DE EQUIPAMENTOS DE BOMBEAMENTO, RECALQUE/BARRILETE E CONEXÕES PARA INTERLIGAÇÃO COM RESERVATÓRIO</v>
      </c>
      <c r="C339" s="52"/>
      <c r="D339" s="52"/>
      <c r="E339" s="52"/>
      <c r="F339" s="52"/>
      <c r="G339" s="52"/>
      <c r="H339" s="53"/>
      <c r="I339" s="13">
        <f>SUM($I$340:$I$342)</f>
        <v>9017.39</v>
      </c>
    </row>
    <row r="340" spans="1:9" x14ac:dyDescent="0.3">
      <c r="A340" s="23" t="s">
        <v>409</v>
      </c>
      <c r="B340" s="23" t="str">
        <f>VLOOKUP(A340,MEMORIA!$A:$N,2,FALSE)</f>
        <v>COMPOS19</v>
      </c>
      <c r="C340" s="23" t="str">
        <f>VLOOKUP(A340,MEMORIA!$A:$N,3,FALSE)</f>
        <v>PRÓPRIA</v>
      </c>
      <c r="D340" s="24" t="str">
        <f>VLOOKUP(A340,MEMORIA!$A:$N,4,FALSE)</f>
        <v>FORNECIMENTO E INSTALAÇÃO DE TUBO EDUTOR DE PVC DE 1.1/2'' COM LUVA</v>
      </c>
      <c r="E340" s="23" t="str">
        <f>VLOOKUP(A340,MEMORIA!$A:$N,5,FALSE)</f>
        <v>M</v>
      </c>
      <c r="F340" s="5">
        <f>VLOOKUP(A340,MEMORIA!$A:$N,14,FALSE)</f>
        <v>90</v>
      </c>
      <c r="G340" s="5">
        <f>VLOOKUP("TOTAL SEM BDI - "&amp;B340,CPU!$A:$J,9,FALSE)</f>
        <v>46.25</v>
      </c>
      <c r="H340" s="5">
        <f>VLOOKUP("TOTAL COM BDI - "&amp;B340,CPU!$A:$J,9,FALSE)</f>
        <v>56.58</v>
      </c>
      <c r="I340" s="5">
        <f>ROUND(F340*H340,2)</f>
        <v>5092.2</v>
      </c>
    </row>
    <row r="341" spans="1:9" x14ac:dyDescent="0.3">
      <c r="A341" s="23" t="s">
        <v>410</v>
      </c>
      <c r="B341" s="23" t="str">
        <f>VLOOKUP(A341,MEMORIA!$A:$N,2,FALSE)</f>
        <v>COMPOS21</v>
      </c>
      <c r="C341" s="23" t="str">
        <f>VLOOKUP(A341,MEMORIA!$A:$N,3,FALSE)</f>
        <v>PRÓPRIA</v>
      </c>
      <c r="D341" s="24" t="str">
        <f>VLOOKUP(A341,MEMORIA!$A:$N,4,FALSE)</f>
        <v>BARRILETE (CURVAS E CONEXÕES)</v>
      </c>
      <c r="E341" s="23" t="str">
        <f>VLOOKUP(A341,MEMORIA!$A:$N,5,FALSE)</f>
        <v>UN</v>
      </c>
      <c r="F341" s="5">
        <f>VLOOKUP(A341,MEMORIA!$A:$N,14,FALSE)</f>
        <v>1</v>
      </c>
      <c r="G341" s="5">
        <f>VLOOKUP("TOTAL SEM BDI - "&amp;B341,CPU!$A:$J,9,FALSE)</f>
        <v>2147.0500000000002</v>
      </c>
      <c r="H341" s="5">
        <f>VLOOKUP("TOTAL COM BDI - "&amp;B341,CPU!$A:$J,9,FALSE)</f>
        <v>2626.4900000000002</v>
      </c>
      <c r="I341" s="5">
        <f>ROUND(F341*H341,2)</f>
        <v>2626.49</v>
      </c>
    </row>
    <row r="342" spans="1:9" x14ac:dyDescent="0.3">
      <c r="A342" s="23" t="s">
        <v>411</v>
      </c>
      <c r="B342" s="23" t="str">
        <f>VLOOKUP(A342,MEMORIA!$A:$N,2,FALSE)</f>
        <v>COMPOS26</v>
      </c>
      <c r="C342" s="23" t="str">
        <f>VLOOKUP(A342,MEMORIA!$A:$N,3,FALSE)</f>
        <v>PRÓPRIA</v>
      </c>
      <c r="D342" s="24" t="str">
        <f>VLOOKUP(A342,MEMORIA!$A:$N,4,FALSE)</f>
        <v>AQUISIÇÃO E INSTALAÇÃO DE DOSADOR DE CLORO</v>
      </c>
      <c r="E342" s="23" t="str">
        <f>VLOOKUP(A342,MEMORIA!$A:$N,5,FALSE)</f>
        <v>UND</v>
      </c>
      <c r="F342" s="5">
        <f>VLOOKUP(A342,MEMORIA!$A:$N,14,FALSE)</f>
        <v>1</v>
      </c>
      <c r="G342" s="5">
        <f>VLOOKUP("TOTAL SEM BDI - "&amp;B342,CPU!$A:$J,9,FALSE)</f>
        <v>1061.6399999999999</v>
      </c>
      <c r="H342" s="5">
        <f>VLOOKUP("TOTAL COM BDI - "&amp;B342,CPU!$A:$J,9,FALSE)</f>
        <v>1298.6999999999998</v>
      </c>
      <c r="I342" s="5">
        <f>ROUND(F342*H342,2)</f>
        <v>1298.7</v>
      </c>
    </row>
    <row r="343" spans="1:9" x14ac:dyDescent="0.3">
      <c r="A343" s="12" t="s">
        <v>114</v>
      </c>
      <c r="B343" s="51" t="str">
        <f>VLOOKUP(A343,MEMORIA!$A:$N,2,FALSE)</f>
        <v>CONSTRUÇÃO DA CASA DE COMANDO</v>
      </c>
      <c r="C343" s="52"/>
      <c r="D343" s="52"/>
      <c r="E343" s="52"/>
      <c r="F343" s="52"/>
      <c r="G343" s="52"/>
      <c r="H343" s="53"/>
      <c r="I343" s="13">
        <f>SUM($I$344,$I$347,$I$349,$I$353,$I$356,$I$359,$I$362,$I$366,$I$369,$I$372,$I$375,)</f>
        <v>20274.329999999998</v>
      </c>
    </row>
    <row r="344" spans="1:9" x14ac:dyDescent="0.3">
      <c r="A344" s="15" t="s">
        <v>115</v>
      </c>
      <c r="B344" s="48" t="str">
        <f>VLOOKUP(A344,MEMORIA!$A:$N,2,FALSE)</f>
        <v>SERVIÇOS PRELIMINARES</v>
      </c>
      <c r="C344" s="49"/>
      <c r="D344" s="49"/>
      <c r="E344" s="49"/>
      <c r="F344" s="49"/>
      <c r="G344" s="49"/>
      <c r="H344" s="50"/>
      <c r="I344" s="16">
        <f>SUM($I$345:$I$346)</f>
        <v>1315.92</v>
      </c>
    </row>
    <row r="345" spans="1:9" x14ac:dyDescent="0.3">
      <c r="A345" s="23" t="s">
        <v>412</v>
      </c>
      <c r="B345" s="23">
        <f>VLOOKUP(A345,MEMORIA!$A:$N,2,FALSE)</f>
        <v>98524</v>
      </c>
      <c r="C345" s="23" t="str">
        <f>VLOOKUP(A345,MEMORIA!$A:$N,3,FALSE)</f>
        <v>SINAPI</v>
      </c>
      <c r="D345" s="24" t="str">
        <f>VLOOKUP(A345,MEMORIA!$A:$N,4,FALSE)</f>
        <v>LIMPEZA MANUAL DE VEGETAÇÃO EM TERRENO COM ENXADA. AF_03/2024</v>
      </c>
      <c r="E345" s="23" t="str">
        <f>VLOOKUP(A345,MEMORIA!$A:$N,5,FALSE)</f>
        <v>M2</v>
      </c>
      <c r="F345" s="5">
        <f>VLOOKUP(A345,MEMORIA!$A:$N,14,FALSE)</f>
        <v>100</v>
      </c>
      <c r="G345" s="5">
        <f>VLOOKUP("TOTAL SEM BDI - "&amp;B345,CPU!$A:$J,9,FALSE)</f>
        <v>4.62</v>
      </c>
      <c r="H345" s="5">
        <f>VLOOKUP("TOTAL COM BDI - "&amp;B345,CPU!$A:$J,9,FALSE)</f>
        <v>5.65</v>
      </c>
      <c r="I345" s="5">
        <f>ROUND(F345*H345,2)</f>
        <v>565</v>
      </c>
    </row>
    <row r="346" spans="1:9" ht="28.8" x14ac:dyDescent="0.3">
      <c r="A346" s="23" t="s">
        <v>413</v>
      </c>
      <c r="B346" s="23">
        <f>VLOOKUP(A346,MEMORIA!$A:$N,2,FALSE)</f>
        <v>99059</v>
      </c>
      <c r="C346" s="23" t="str">
        <f>VLOOKUP(A346,MEMORIA!$A:$N,3,FALSE)</f>
        <v>SINAPI</v>
      </c>
      <c r="D346" s="24" t="str">
        <f>VLOOKUP(A346,MEMORIA!$A:$N,4,FALSE)</f>
        <v>LOCAÇÃO CONVENCIONAL DE OBRA, UTILIZANDO GABARITO DE TÁBUAS CORRIDAS PONTALETADAS A CADA 2,00M - 2 UTILIZAÇÕES. AF_03/2024</v>
      </c>
      <c r="E346" s="23" t="str">
        <f>VLOOKUP(A346,MEMORIA!$A:$N,5,FALSE)</f>
        <v>M</v>
      </c>
      <c r="F346" s="5">
        <f>VLOOKUP(A346,MEMORIA!$A:$N,14,FALSE)</f>
        <v>10.199999999999999</v>
      </c>
      <c r="G346" s="5">
        <f>VLOOKUP("TOTAL SEM BDI - "&amp;B346,CPU!$A:$J,9,FALSE)</f>
        <v>60.18</v>
      </c>
      <c r="H346" s="5">
        <f>VLOOKUP("TOTAL COM BDI - "&amp;B346,CPU!$A:$J,9,FALSE)</f>
        <v>73.62</v>
      </c>
      <c r="I346" s="5">
        <f>ROUND(F346*H346,2)</f>
        <v>750.92</v>
      </c>
    </row>
    <row r="347" spans="1:9" x14ac:dyDescent="0.3">
      <c r="A347" s="15" t="s">
        <v>116</v>
      </c>
      <c r="B347" s="48" t="str">
        <f>VLOOKUP(A347,MEMORIA!$A:$N,2,FALSE)</f>
        <v>MOVIMENTO DE TERRA</v>
      </c>
      <c r="C347" s="49"/>
      <c r="D347" s="49"/>
      <c r="E347" s="49"/>
      <c r="F347" s="49"/>
      <c r="G347" s="49"/>
      <c r="H347" s="50"/>
      <c r="I347" s="16">
        <f>SUM($I$348:$I$348)</f>
        <v>161.76</v>
      </c>
    </row>
    <row r="348" spans="1:9" x14ac:dyDescent="0.3">
      <c r="A348" s="23" t="s">
        <v>414</v>
      </c>
      <c r="B348" s="23">
        <f>VLOOKUP(A348,MEMORIA!$A:$N,2,FALSE)</f>
        <v>93358</v>
      </c>
      <c r="C348" s="23" t="str">
        <f>VLOOKUP(A348,MEMORIA!$A:$N,3,FALSE)</f>
        <v>SINAPI</v>
      </c>
      <c r="D348" s="24" t="str">
        <f>VLOOKUP(A348,MEMORIA!$A:$N,4,FALSE)</f>
        <v>ESCAVAÇÃO MANUAL DE VALA. AF_09/2024</v>
      </c>
      <c r="E348" s="23" t="str">
        <f>VLOOKUP(A348,MEMORIA!$A:$N,5,FALSE)</f>
        <v>M3</v>
      </c>
      <c r="F348" s="5">
        <f>VLOOKUP(A348,MEMORIA!$A:$N,14,FALSE)</f>
        <v>1.54</v>
      </c>
      <c r="G348" s="5">
        <f>VLOOKUP("TOTAL SEM BDI - "&amp;B348,CPU!$A:$J,9,FALSE)</f>
        <v>85.87</v>
      </c>
      <c r="H348" s="5">
        <f>VLOOKUP("TOTAL COM BDI - "&amp;B348,CPU!$A:$J,9,FALSE)</f>
        <v>105.04</v>
      </c>
      <c r="I348" s="5">
        <f>ROUND(F348*H348,2)</f>
        <v>161.76</v>
      </c>
    </row>
    <row r="349" spans="1:9" x14ac:dyDescent="0.3">
      <c r="A349" s="15" t="s">
        <v>117</v>
      </c>
      <c r="B349" s="48" t="str">
        <f>VLOOKUP(A349,MEMORIA!$A:$N,2,FALSE)</f>
        <v>INFRAESTRUTURA</v>
      </c>
      <c r="C349" s="49"/>
      <c r="D349" s="49"/>
      <c r="E349" s="49"/>
      <c r="F349" s="49"/>
      <c r="G349" s="49"/>
      <c r="H349" s="50"/>
      <c r="I349" s="16">
        <f>SUM($I$350:$I$352)</f>
        <v>1229.81</v>
      </c>
    </row>
    <row r="350" spans="1:9" ht="28.8" x14ac:dyDescent="0.3">
      <c r="A350" s="23" t="s">
        <v>415</v>
      </c>
      <c r="B350" s="23">
        <f>VLOOKUP(A350,MEMORIA!$A:$N,2,FALSE)</f>
        <v>96617</v>
      </c>
      <c r="C350" s="23" t="str">
        <f>VLOOKUP(A350,MEMORIA!$A:$N,3,FALSE)</f>
        <v>SINAPI</v>
      </c>
      <c r="D350" s="24" t="str">
        <f>VLOOKUP(A350,MEMORIA!$A:$N,4,FALSE)</f>
        <v>LASTRO DE CONCRETO MAGRO, APLICADO EM BLOCOS DE COROAMENTO OU SAPATAS, ESPESSURA DE 3 CM. AF_01/2024</v>
      </c>
      <c r="E350" s="23" t="str">
        <f>VLOOKUP(A350,MEMORIA!$A:$N,5,FALSE)</f>
        <v>M2</v>
      </c>
      <c r="F350" s="5">
        <f>VLOOKUP(A350,MEMORIA!$A:$N,14,FALSE)</f>
        <v>2.58</v>
      </c>
      <c r="G350" s="5">
        <f>VLOOKUP("TOTAL SEM BDI - "&amp;B350,CPU!$A:$J,9,FALSE)</f>
        <v>23.57</v>
      </c>
      <c r="H350" s="5">
        <f>VLOOKUP("TOTAL COM BDI - "&amp;B350,CPU!$A:$J,9,FALSE)</f>
        <v>28.83</v>
      </c>
      <c r="I350" s="5">
        <f>ROUND(F350*H350,2)</f>
        <v>74.38</v>
      </c>
    </row>
    <row r="351" spans="1:9" ht="28.8" x14ac:dyDescent="0.3">
      <c r="A351" s="23" t="s">
        <v>416</v>
      </c>
      <c r="B351" s="23">
        <f>VLOOKUP(A351,MEMORIA!$A:$N,2,FALSE)</f>
        <v>103800</v>
      </c>
      <c r="C351" s="23" t="str">
        <f>VLOOKUP(A351,MEMORIA!$A:$N,3,FALSE)</f>
        <v>SINAPI</v>
      </c>
      <c r="D351" s="24" t="str">
        <f>VLOOKUP(A351,MEMORIA!$A:$N,4,FALSE)</f>
        <v>PEDRA ARGAMASSADA COM CIMENTO E AREIA 1:3, 40% DE ARGAMASSA EM VOLUME - AREIA E PEDRA DE MÃO COMERCIAIS - FORNECIMENTO E ASSENTAMENTO. AF_08/2022</v>
      </c>
      <c r="E351" s="23" t="str">
        <f>VLOOKUP(A351,MEMORIA!$A:$N,5,FALSE)</f>
        <v>M3</v>
      </c>
      <c r="F351" s="5">
        <f>VLOOKUP(A351,MEMORIA!$A:$N,14,FALSE)</f>
        <v>1.04</v>
      </c>
      <c r="G351" s="5">
        <f>VLOOKUP("TOTAL SEM BDI - "&amp;B351,CPU!$A:$J,9,FALSE)</f>
        <v>666</v>
      </c>
      <c r="H351" s="5">
        <f>VLOOKUP("TOTAL COM BDI - "&amp;B351,CPU!$A:$J,9,FALSE)</f>
        <v>814.72</v>
      </c>
      <c r="I351" s="5">
        <f>ROUND(F351*H351,2)</f>
        <v>847.31</v>
      </c>
    </row>
    <row r="352" spans="1:9" ht="43.2" x14ac:dyDescent="0.3">
      <c r="A352" s="23" t="s">
        <v>417</v>
      </c>
      <c r="B352" s="23">
        <f>VLOOKUP(A352,MEMORIA!$A:$N,2,FALSE)</f>
        <v>103335</v>
      </c>
      <c r="C352" s="23" t="str">
        <f>VLOOKUP(A352,MEMORIA!$A:$N,3,FALSE)</f>
        <v>SINAPI</v>
      </c>
      <c r="D352" s="24" t="str">
        <f>VLOOKUP(A352,MEMORIA!$A:$N,4,FALSE)</f>
        <v>ALVENARIA DE VEDAÇÃO DE BLOCOS CERÂMICOS FURADOS NA HORIZONTAL DE 14X9X19 CM (ESPESSURA 14 CM, BLOCO DEITADO) E ARGAMASSA DE ASSENTAMENTO COM PREPARO MANUAL. AF_12/2021</v>
      </c>
      <c r="E352" s="23" t="str">
        <f>VLOOKUP(A352,MEMORIA!$A:$N,5,FALSE)</f>
        <v>M2</v>
      </c>
      <c r="F352" s="5">
        <f>VLOOKUP(A352,MEMORIA!$A:$N,14,FALSE)</f>
        <v>1.7200000000000002</v>
      </c>
      <c r="G352" s="5">
        <f>VLOOKUP("TOTAL SEM BDI - "&amp;B352,CPU!$A:$J,9,FALSE)</f>
        <v>146.44</v>
      </c>
      <c r="H352" s="5">
        <f>VLOOKUP("TOTAL COM BDI - "&amp;B352,CPU!$A:$J,9,FALSE)</f>
        <v>179.14</v>
      </c>
      <c r="I352" s="5">
        <f>ROUND(F352*H352,2)</f>
        <v>308.12</v>
      </c>
    </row>
    <row r="353" spans="1:9" x14ac:dyDescent="0.3">
      <c r="A353" s="15" t="s">
        <v>118</v>
      </c>
      <c r="B353" s="48" t="str">
        <f>VLOOKUP(A353,MEMORIA!$A:$N,2,FALSE)</f>
        <v>SUPERESTRUTURA</v>
      </c>
      <c r="C353" s="49"/>
      <c r="D353" s="49"/>
      <c r="E353" s="49"/>
      <c r="F353" s="49"/>
      <c r="G353" s="49"/>
      <c r="H353" s="50"/>
      <c r="I353" s="16">
        <f>SUM($I$354:$I$355)</f>
        <v>1323.3</v>
      </c>
    </row>
    <row r="354" spans="1:9" x14ac:dyDescent="0.3">
      <c r="A354" s="23" t="s">
        <v>418</v>
      </c>
      <c r="B354" s="23" t="str">
        <f>VLOOKUP(A354,MEMORIA!$A:$N,2,FALSE)</f>
        <v>COMPCOM01</v>
      </c>
      <c r="C354" s="23" t="str">
        <f>VLOOKUP(A354,MEMORIA!$A:$N,3,FALSE)</f>
        <v>PRÓPRIA</v>
      </c>
      <c r="D354" s="24" t="str">
        <f>VLOOKUP(A354,MEMORIA!$A:$N,4,FALSE)</f>
        <v>CINTA DE AMARRAÇÃO DE ALVENARIA MOLDADA IN LOCO EM CONCRETO</v>
      </c>
      <c r="E354" s="23" t="str">
        <f>VLOOKUP(A354,MEMORIA!$A:$N,5,FALSE)</f>
        <v>M</v>
      </c>
      <c r="F354" s="5">
        <f>VLOOKUP(A354,MEMORIA!$A:$N,14,FALSE)</f>
        <v>8.6</v>
      </c>
      <c r="G354" s="5">
        <f>VLOOKUP("TOTAL SEM BDI - "&amp;B354,CPU!$A:$J,9,FALSE)</f>
        <v>81.47999999999999</v>
      </c>
      <c r="H354" s="5">
        <f>VLOOKUP("TOTAL COM BDI - "&amp;B354,CPU!$A:$J,9,FALSE)</f>
        <v>99.669999999999987</v>
      </c>
      <c r="I354" s="5">
        <f>ROUND(F354*H354,2)</f>
        <v>857.16</v>
      </c>
    </row>
    <row r="355" spans="1:9" ht="28.8" x14ac:dyDescent="0.3">
      <c r="A355" s="23" t="s">
        <v>419</v>
      </c>
      <c r="B355" s="23" t="str">
        <f>VLOOKUP(A355,MEMORIA!$A:$N,2,FALSE)</f>
        <v>COMPCOM02</v>
      </c>
      <c r="C355" s="23" t="str">
        <f>VLOOKUP(A355,MEMORIA!$A:$N,3,FALSE)</f>
        <v>PRÓPRIA</v>
      </c>
      <c r="D355" s="24" t="str">
        <f>VLOOKUP(A355,MEMORIA!$A:$N,4,FALSE)</f>
        <v>(COMPOSIÇÃO REPRESENTATIVA) EXECUÇÃO DE ESTRUTURAS DE CONCRETO ARMADO, PARA EDIFICAÇÃO INSTITUCIONAL TÉRREA, FCK = 25 MPA</v>
      </c>
      <c r="E355" s="23" t="str">
        <f>VLOOKUP(A355,MEMORIA!$A:$N,5,FALSE)</f>
        <v>M³</v>
      </c>
      <c r="F355" s="5">
        <f>VLOOKUP(A355,MEMORIA!$A:$N,14,FALSE)</f>
        <v>0.30000000000000004</v>
      </c>
      <c r="G355" s="5">
        <f>VLOOKUP("TOTAL SEM BDI - "&amp;B355,CPU!$A:$J,9,FALSE)</f>
        <v>1270.1599999999999</v>
      </c>
      <c r="H355" s="5">
        <f>VLOOKUP("TOTAL COM BDI - "&amp;B355,CPU!$A:$J,9,FALSE)</f>
        <v>1553.79</v>
      </c>
      <c r="I355" s="5">
        <f>ROUND(F355*H355,2)</f>
        <v>466.14</v>
      </c>
    </row>
    <row r="356" spans="1:9" x14ac:dyDescent="0.3">
      <c r="A356" s="15" t="s">
        <v>119</v>
      </c>
      <c r="B356" s="48" t="str">
        <f>VLOOKUP(A356,MEMORIA!$A:$N,2,FALSE)</f>
        <v>VEDAÇÃO VERTICAL</v>
      </c>
      <c r="C356" s="49"/>
      <c r="D356" s="49"/>
      <c r="E356" s="49"/>
      <c r="F356" s="49"/>
      <c r="G356" s="49"/>
      <c r="H356" s="50"/>
      <c r="I356" s="16">
        <f>SUM($I$357:$I$358)</f>
        <v>2620</v>
      </c>
    </row>
    <row r="357" spans="1:9" ht="43.2" x14ac:dyDescent="0.3">
      <c r="A357" s="23" t="s">
        <v>420</v>
      </c>
      <c r="B357" s="23">
        <f>VLOOKUP(A357,MEMORIA!$A:$N,2,FALSE)</f>
        <v>103329</v>
      </c>
      <c r="C357" s="23" t="str">
        <f>VLOOKUP(A357,MEMORIA!$A:$N,3,FALSE)</f>
        <v>SINAPI</v>
      </c>
      <c r="D357" s="24" t="str">
        <f>VLOOKUP(A357,MEMORIA!$A:$N,4,FALSE)</f>
        <v>ALVENARIA DE VEDAÇÃO DE BLOCOS CERÂMICOS FURADOS NA HORIZONTAL DE 9X19X19 CM (ESPESSURA 9 CM) E ARGAMASSA DE ASSENTAMENTO COM PREPARO MANUAL. AF_12/2021</v>
      </c>
      <c r="E357" s="23" t="str">
        <f>VLOOKUP(A357,MEMORIA!$A:$N,5,FALSE)</f>
        <v>M2</v>
      </c>
      <c r="F357" s="5">
        <f>VLOOKUP(A357,MEMORIA!$A:$N,14,FALSE)</f>
        <v>19.310000000000002</v>
      </c>
      <c r="G357" s="5">
        <f>VLOOKUP("TOTAL SEM BDI - "&amp;B357,CPU!$A:$J,9,FALSE)</f>
        <v>95.039999999999992</v>
      </c>
      <c r="H357" s="5">
        <f>VLOOKUP("TOTAL COM BDI - "&amp;B357,CPU!$A:$J,9,FALSE)</f>
        <v>116.25999999999999</v>
      </c>
      <c r="I357" s="5">
        <f>ROUND(F357*H357,2)</f>
        <v>2244.98</v>
      </c>
    </row>
    <row r="358" spans="1:9" ht="43.2" x14ac:dyDescent="0.3">
      <c r="A358" s="23" t="s">
        <v>421</v>
      </c>
      <c r="B358" s="23">
        <f>VLOOKUP(A358,MEMORIA!$A:$N,2,FALSE)</f>
        <v>101161</v>
      </c>
      <c r="C358" s="23" t="str">
        <f>VLOOKUP(A358,MEMORIA!$A:$N,3,FALSE)</f>
        <v>SINAPI</v>
      </c>
      <c r="D358" s="24" t="str">
        <f>VLOOKUP(A358,MEMORIA!$A:$N,4,FALSE)</f>
        <v>ALVENARIA DE VEDAÇÃO COM ELEMENTO VAZADO DE CONCRETO (COBOGÓ) DE 7X50X50CM E ARGAMASSA DE ASSENTAMENTO COM PREPARO EM BETONEIRA. AF_05/2020</v>
      </c>
      <c r="E358" s="23" t="str">
        <f>VLOOKUP(A358,MEMORIA!$A:$N,5,FALSE)</f>
        <v>M2</v>
      </c>
      <c r="F358" s="5">
        <f>VLOOKUP(A358,MEMORIA!$A:$N,14,FALSE)</f>
        <v>1.5</v>
      </c>
      <c r="G358" s="5">
        <f>VLOOKUP("TOTAL SEM BDI - "&amp;B358,CPU!$A:$J,9,FALSE)</f>
        <v>204.37</v>
      </c>
      <c r="H358" s="5">
        <f>VLOOKUP("TOTAL COM BDI - "&amp;B358,CPU!$A:$J,9,FALSE)</f>
        <v>250.01</v>
      </c>
      <c r="I358" s="5">
        <f>ROUND(F358*H358,2)</f>
        <v>375.02</v>
      </c>
    </row>
    <row r="359" spans="1:9" x14ac:dyDescent="0.3">
      <c r="A359" s="15" t="s">
        <v>120</v>
      </c>
      <c r="B359" s="48" t="str">
        <f>VLOOKUP(A359,MEMORIA!$A:$N,2,FALSE)</f>
        <v>COBERTURA</v>
      </c>
      <c r="C359" s="49"/>
      <c r="D359" s="49"/>
      <c r="E359" s="49"/>
      <c r="F359" s="49"/>
      <c r="G359" s="49"/>
      <c r="H359" s="50"/>
      <c r="I359" s="16">
        <f>SUM($I$360:$I$361)</f>
        <v>1305.45</v>
      </c>
    </row>
    <row r="360" spans="1:9" ht="28.8" x14ac:dyDescent="0.3">
      <c r="A360" s="23" t="s">
        <v>422</v>
      </c>
      <c r="B360" s="23" t="str">
        <f>VLOOKUP(A360,MEMORIA!$A:$N,2,FALSE)</f>
        <v>COMPCOM03</v>
      </c>
      <c r="C360" s="23" t="str">
        <f>VLOOKUP(A360,MEMORIA!$A:$N,3,FALSE)</f>
        <v>PRÓPRIA</v>
      </c>
      <c r="D360" s="24" t="str">
        <f>VLOOKUP(A360,MEMORIA!$A:$N,4,FALSE)</f>
        <v>TELHAMENTO COM TELHA CERÂMICA CAPA-CANAL, TIPO COLONIAL, COM ATÉ 2 ÁGUAS, INCLUSO TRANSPORTE VERTICAL</v>
      </c>
      <c r="E360" s="23" t="str">
        <f>VLOOKUP(A360,MEMORIA!$A:$N,5,FALSE)</f>
        <v>M²</v>
      </c>
      <c r="F360" s="5">
        <f>VLOOKUP(A360,MEMORIA!$A:$N,14,FALSE)</f>
        <v>10.23</v>
      </c>
      <c r="G360" s="5">
        <f>VLOOKUP("TOTAL SEM BDI - "&amp;B360,CPU!$A:$J,9,FALSE)</f>
        <v>37.64</v>
      </c>
      <c r="H360" s="5">
        <f>VLOOKUP("TOTAL COM BDI - "&amp;B360,CPU!$A:$J,9,FALSE)</f>
        <v>46.05</v>
      </c>
      <c r="I360" s="5">
        <f>ROUND(F360*H360,2)</f>
        <v>471.09</v>
      </c>
    </row>
    <row r="361" spans="1:9" ht="28.8" x14ac:dyDescent="0.3">
      <c r="A361" s="23" t="s">
        <v>423</v>
      </c>
      <c r="B361" s="23" t="str">
        <f>VLOOKUP(A361,MEMORIA!$A:$N,2,FALSE)</f>
        <v>COMPCOM04</v>
      </c>
      <c r="C361" s="23" t="str">
        <f>VLOOKUP(A361,MEMORIA!$A:$N,3,FALSE)</f>
        <v>PRÓPRIA</v>
      </c>
      <c r="D361" s="24" t="str">
        <f>VLOOKUP(A361,MEMORIA!$A:$N,4,FALSE)</f>
        <v>TRAMA DE MADEIRA COMPOSTA POR RIPAS, CAIBROS E TERÇAS PARA TELHADOS DE ATÉ 2 ÁGUAS PARA TELHA CERÂMICA CAPA-CANAL, INCLUSO TRANSPORTE VERTICAL</v>
      </c>
      <c r="E361" s="23" t="str">
        <f>VLOOKUP(A361,MEMORIA!$A:$N,5,FALSE)</f>
        <v>M²</v>
      </c>
      <c r="F361" s="5">
        <f>VLOOKUP(A361,MEMORIA!$A:$N,14,FALSE)</f>
        <v>10.23</v>
      </c>
      <c r="G361" s="5">
        <f>VLOOKUP("TOTAL SEM BDI - "&amp;B361,CPU!$A:$J,9,FALSE)</f>
        <v>66.67</v>
      </c>
      <c r="H361" s="5">
        <f>VLOOKUP("TOTAL COM BDI - "&amp;B361,CPU!$A:$J,9,FALSE)</f>
        <v>81.56</v>
      </c>
      <c r="I361" s="5">
        <f>ROUND(F361*H361,2)</f>
        <v>834.36</v>
      </c>
    </row>
    <row r="362" spans="1:9" x14ac:dyDescent="0.3">
      <c r="A362" s="15" t="s">
        <v>121</v>
      </c>
      <c r="B362" s="48" t="str">
        <f>VLOOKUP(A362,MEMORIA!$A:$N,2,FALSE)</f>
        <v>PISO</v>
      </c>
      <c r="C362" s="49"/>
      <c r="D362" s="49"/>
      <c r="E362" s="49"/>
      <c r="F362" s="49"/>
      <c r="G362" s="49"/>
      <c r="H362" s="50"/>
      <c r="I362" s="16">
        <f>SUM($I$363:$I$365)</f>
        <v>1174.01</v>
      </c>
    </row>
    <row r="363" spans="1:9" ht="28.8" x14ac:dyDescent="0.3">
      <c r="A363" s="23" t="s">
        <v>424</v>
      </c>
      <c r="B363" s="23">
        <f>VLOOKUP(A363,MEMORIA!$A:$N,2,FALSE)</f>
        <v>96617</v>
      </c>
      <c r="C363" s="23" t="str">
        <f>VLOOKUP(A363,MEMORIA!$A:$N,3,FALSE)</f>
        <v>SINAPI</v>
      </c>
      <c r="D363" s="24" t="str">
        <f>VLOOKUP(A363,MEMORIA!$A:$N,4,FALSE)</f>
        <v>LASTRO DE CONCRETO MAGRO, APLICADO EM BLOCOS DE COROAMENTO OU SAPATAS, ESPESSURA DE 3 CM. AF_01/2024</v>
      </c>
      <c r="E363" s="23" t="str">
        <f>VLOOKUP(A363,MEMORIA!$A:$N,5,FALSE)</f>
        <v>M2</v>
      </c>
      <c r="F363" s="5">
        <f>VLOOKUP(A363,MEMORIA!$A:$N,14,FALSE)</f>
        <v>4</v>
      </c>
      <c r="G363" s="5">
        <f>VLOOKUP("TOTAL SEM BDI - "&amp;B363,CPU!$A:$J,9,FALSE)</f>
        <v>23.57</v>
      </c>
      <c r="H363" s="5">
        <f>VLOOKUP("TOTAL COM BDI - "&amp;B363,CPU!$A:$J,9,FALSE)</f>
        <v>28.83</v>
      </c>
      <c r="I363" s="5">
        <f>ROUND(F363*H363,2)</f>
        <v>115.32</v>
      </c>
    </row>
    <row r="364" spans="1:9" ht="28.8" x14ac:dyDescent="0.3">
      <c r="A364" s="23" t="s">
        <v>425</v>
      </c>
      <c r="B364" s="23">
        <f>VLOOKUP(A364,MEMORIA!$A:$N,2,FALSE)</f>
        <v>101749</v>
      </c>
      <c r="C364" s="23" t="str">
        <f>VLOOKUP(A364,MEMORIA!$A:$N,3,FALSE)</f>
        <v>SINAPI</v>
      </c>
      <c r="D364" s="24" t="str">
        <f>VLOOKUP(A364,MEMORIA!$A:$N,4,FALSE)</f>
        <v>PISO CIMENTADO, TRAÇO 1:3 (CIMENTO E AREIA), ACABAMENTO LISO, ESPESSURA 4,0 CM, PREPARO MECÂNICO DA ARGAMASSA. AF_09/2020</v>
      </c>
      <c r="E364" s="23" t="str">
        <f>VLOOKUP(A364,MEMORIA!$A:$N,5,FALSE)</f>
        <v>M2</v>
      </c>
      <c r="F364" s="5">
        <f>VLOOKUP(A364,MEMORIA!$A:$N,14,FALSE)</f>
        <v>4</v>
      </c>
      <c r="G364" s="5">
        <f>VLOOKUP("TOTAL SEM BDI - "&amp;B364,CPU!$A:$J,9,FALSE)</f>
        <v>64.739999999999995</v>
      </c>
      <c r="H364" s="5">
        <f>VLOOKUP("TOTAL COM BDI - "&amp;B364,CPU!$A:$J,9,FALSE)</f>
        <v>79.199999999999989</v>
      </c>
      <c r="I364" s="5">
        <f>ROUND(F364*H364,2)</f>
        <v>316.8</v>
      </c>
    </row>
    <row r="365" spans="1:9" ht="43.2" x14ac:dyDescent="0.3">
      <c r="A365" s="23" t="s">
        <v>426</v>
      </c>
      <c r="B365" s="23">
        <f>VLOOKUP(A365,MEMORIA!$A:$N,2,FALSE)</f>
        <v>94994</v>
      </c>
      <c r="C365" s="23" t="str">
        <f>VLOOKUP(A365,MEMORIA!$A:$N,3,FALSE)</f>
        <v>SINAPI</v>
      </c>
      <c r="D365" s="24" t="str">
        <f>VLOOKUP(A365,MEMORIA!$A:$N,4,FALSE)</f>
        <v>EXECUÇÃO DE PASSEIO (CALÇADA) OU PISO DE CONCRETO COM CONCRETO MOLDADO IN LOCO, FEITO EM OBRA, ACABAMENTO CONVENCIONAL, ESPESSURA 8 CM, ARMADO. AF_08/2022</v>
      </c>
      <c r="E365" s="23" t="str">
        <f>VLOOKUP(A365,MEMORIA!$A:$N,5,FALSE)</f>
        <v>M2</v>
      </c>
      <c r="F365" s="5">
        <f>VLOOKUP(A365,MEMORIA!$A:$N,14,FALSE)</f>
        <v>5.6</v>
      </c>
      <c r="G365" s="5">
        <f>VLOOKUP("TOTAL SEM BDI - "&amp;B365,CPU!$A:$J,9,FALSE)</f>
        <v>108.30000000000003</v>
      </c>
      <c r="H365" s="5">
        <f>VLOOKUP("TOTAL COM BDI - "&amp;B365,CPU!$A:$J,9,FALSE)</f>
        <v>132.48000000000002</v>
      </c>
      <c r="I365" s="5">
        <f>ROUND(F365*H365,2)</f>
        <v>741.89</v>
      </c>
    </row>
    <row r="366" spans="1:9" x14ac:dyDescent="0.3">
      <c r="A366" s="15" t="s">
        <v>122</v>
      </c>
      <c r="B366" s="48" t="str">
        <f>VLOOKUP(A366,MEMORIA!$A:$N,2,FALSE)</f>
        <v>REVESTIMENTO</v>
      </c>
      <c r="C366" s="49"/>
      <c r="D366" s="49"/>
      <c r="E366" s="49"/>
      <c r="F366" s="49"/>
      <c r="G366" s="49"/>
      <c r="H366" s="50"/>
      <c r="I366" s="16">
        <f>SUM($I$367:$I$368)</f>
        <v>2341.92</v>
      </c>
    </row>
    <row r="367" spans="1:9" ht="43.2" x14ac:dyDescent="0.3">
      <c r="A367" s="23" t="s">
        <v>427</v>
      </c>
      <c r="B367" s="23">
        <f>VLOOKUP(A367,MEMORIA!$A:$N,2,FALSE)</f>
        <v>87904</v>
      </c>
      <c r="C367" s="23" t="str">
        <f>VLOOKUP(A367,MEMORIA!$A:$N,3,FALSE)</f>
        <v>SINAPI</v>
      </c>
      <c r="D367" s="24" t="str">
        <f>VLOOKUP(A367,MEMORIA!$A:$N,4,FALSE)</f>
        <v>CHAPISCO APLICADO EM ALVENARIA (COM PRESENÇA DE VÃOS) E ESTRUTURAS DE CONCRETO DE FACHADA, COM COLHER DE PEDREIRO. ARGAMASSA TRAÇO 1:3 COM PREPARO MANUAL. AF_10/2022</v>
      </c>
      <c r="E367" s="23" t="str">
        <f>VLOOKUP(A367,MEMORIA!$A:$N,5,FALSE)</f>
        <v>M2</v>
      </c>
      <c r="F367" s="5">
        <f>VLOOKUP(A367,MEMORIA!$A:$N,14,FALSE)</f>
        <v>38.619999999999997</v>
      </c>
      <c r="G367" s="5">
        <f>VLOOKUP("TOTAL SEM BDI - "&amp;B367,CPU!$A:$J,9,FALSE)</f>
        <v>8.7199999999999989</v>
      </c>
      <c r="H367" s="5">
        <f>VLOOKUP("TOTAL COM BDI - "&amp;B367,CPU!$A:$J,9,FALSE)</f>
        <v>10.669999999999998</v>
      </c>
      <c r="I367" s="5">
        <f>ROUND(F367*H367,2)</f>
        <v>412.08</v>
      </c>
    </row>
    <row r="368" spans="1:9" ht="43.2" x14ac:dyDescent="0.3">
      <c r="A368" s="23" t="s">
        <v>428</v>
      </c>
      <c r="B368" s="23">
        <f>VLOOKUP(A368,MEMORIA!$A:$N,2,FALSE)</f>
        <v>87530</v>
      </c>
      <c r="C368" s="23" t="str">
        <f>VLOOKUP(A368,MEMORIA!$A:$N,3,FALSE)</f>
        <v>SINAPI</v>
      </c>
      <c r="D368" s="24" t="str">
        <f>VLOOKUP(A368,MEMORIA!$A:$N,4,FALSE)</f>
        <v>MASSA ÚNICA, EM ARGAMASSA TRAÇO 1:2:8, PREPARO MANUAL, APLICADA MANUALMENTE EM PAREDES INTERNAS DE AMBIENTES COM ÁREA ENTRE 5M² E 10M², E = 17,5MM, COM TALISCAS. AF_03/2024</v>
      </c>
      <c r="E368" s="23" t="str">
        <f>VLOOKUP(A368,MEMORIA!$A:$N,5,FALSE)</f>
        <v>M2</v>
      </c>
      <c r="F368" s="5">
        <f>VLOOKUP(A368,MEMORIA!$A:$N,14,FALSE)</f>
        <v>38.619999999999997</v>
      </c>
      <c r="G368" s="5">
        <f>VLOOKUP("TOTAL SEM BDI - "&amp;B368,CPU!$A:$J,9,FALSE)</f>
        <v>40.85</v>
      </c>
      <c r="H368" s="5">
        <f>VLOOKUP("TOTAL COM BDI - "&amp;B368,CPU!$A:$J,9,FALSE)</f>
        <v>49.97</v>
      </c>
      <c r="I368" s="5">
        <f>ROUND(F368*H368,2)</f>
        <v>1929.84</v>
      </c>
    </row>
    <row r="369" spans="1:9" x14ac:dyDescent="0.3">
      <c r="A369" s="15" t="s">
        <v>123</v>
      </c>
      <c r="B369" s="48" t="str">
        <f>VLOOKUP(A369,MEMORIA!$A:$N,2,FALSE)</f>
        <v>ESQUADRIAS</v>
      </c>
      <c r="C369" s="49"/>
      <c r="D369" s="49"/>
      <c r="E369" s="49"/>
      <c r="F369" s="49"/>
      <c r="G369" s="49"/>
      <c r="H369" s="50"/>
      <c r="I369" s="16">
        <f>SUM($I$370:$I$371)</f>
        <v>2243.75</v>
      </c>
    </row>
    <row r="370" spans="1:9" x14ac:dyDescent="0.3">
      <c r="A370" s="23" t="s">
        <v>429</v>
      </c>
      <c r="B370" s="23">
        <f>VLOOKUP(A370,MEMORIA!$A:$N,2,FALSE)</f>
        <v>100701</v>
      </c>
      <c r="C370" s="23" t="str">
        <f>VLOOKUP(A370,MEMORIA!$A:$N,3,FALSE)</f>
        <v>SINAPI</v>
      </c>
      <c r="D370" s="24" t="str">
        <f>VLOOKUP(A370,MEMORIA!$A:$N,4,FALSE)</f>
        <v>PORTA DE FERRO, DE ABRIR, TIPO GRADE COM CHAPA, COM GUARNIÇÕES. AF_12/2019</v>
      </c>
      <c r="E370" s="23" t="str">
        <f>VLOOKUP(A370,MEMORIA!$A:$N,5,FALSE)</f>
        <v>M2</v>
      </c>
      <c r="F370" s="5">
        <f>VLOOKUP(A370,MEMORIA!$A:$N,14,FALSE)</f>
        <v>1.68</v>
      </c>
      <c r="G370" s="5">
        <f>VLOOKUP("TOTAL SEM BDI - "&amp;B370,CPU!$A:$J,9,FALSE)</f>
        <v>415.24</v>
      </c>
      <c r="H370" s="5">
        <f>VLOOKUP("TOTAL COM BDI - "&amp;B370,CPU!$A:$J,9,FALSE)</f>
        <v>507.96000000000004</v>
      </c>
      <c r="I370" s="5">
        <f>ROUND(F370*H370,2)</f>
        <v>853.37</v>
      </c>
    </row>
    <row r="371" spans="1:9" x14ac:dyDescent="0.3">
      <c r="A371" s="23" t="s">
        <v>430</v>
      </c>
      <c r="B371" s="23" t="str">
        <f>VLOOKUP(A371,MEMORIA!$A:$N,2,FALSE)</f>
        <v>COMP219</v>
      </c>
      <c r="C371" s="23" t="str">
        <f>VLOOKUP(A371,MEMORIA!$A:$N,3,FALSE)</f>
        <v>PRÓPRIA</v>
      </c>
      <c r="D371" s="24" t="str">
        <f>VLOOKUP(A371,MEMORIA!$A:$N,4,FALSE)</f>
        <v>PORTÃO DE FERRO EM BARRA CHATA TIPO TIJOLINHO (REF: C1999-SEINFRA 28)</v>
      </c>
      <c r="E371" s="23" t="str">
        <f>VLOOKUP(A371,MEMORIA!$A:$N,5,FALSE)</f>
        <v>M2</v>
      </c>
      <c r="F371" s="5">
        <f>VLOOKUP(A371,MEMORIA!$A:$N,14,FALSE)</f>
        <v>6</v>
      </c>
      <c r="G371" s="5">
        <f>VLOOKUP("TOTAL SEM BDI - "&amp;B371,CPU!$A:$J,9,FALSE)</f>
        <v>189.43</v>
      </c>
      <c r="H371" s="5">
        <f>VLOOKUP("TOTAL COM BDI - "&amp;B371,CPU!$A:$J,9,FALSE)</f>
        <v>231.73000000000002</v>
      </c>
      <c r="I371" s="5">
        <f>ROUND(F371*H371,2)</f>
        <v>1390.38</v>
      </c>
    </row>
    <row r="372" spans="1:9" x14ac:dyDescent="0.3">
      <c r="A372" s="15" t="s">
        <v>124</v>
      </c>
      <c r="B372" s="48" t="str">
        <f>VLOOKUP(A372,MEMORIA!$A:$N,2,FALSE)</f>
        <v>PINTURA</v>
      </c>
      <c r="C372" s="49"/>
      <c r="D372" s="49"/>
      <c r="E372" s="49"/>
      <c r="F372" s="49"/>
      <c r="G372" s="49"/>
      <c r="H372" s="50"/>
      <c r="I372" s="16">
        <f>SUM($I$373:$I$374)</f>
        <v>649.88</v>
      </c>
    </row>
    <row r="373" spans="1:9" x14ac:dyDescent="0.3">
      <c r="A373" s="23" t="s">
        <v>431</v>
      </c>
      <c r="B373" s="23" t="str">
        <f>VLOOKUP(A373,MEMORIA!$A:$N,2,FALSE)</f>
        <v>COMP205</v>
      </c>
      <c r="C373" s="23" t="str">
        <f>VLOOKUP(A373,MEMORIA!$A:$N,3,FALSE)</f>
        <v>PRÓPRIA</v>
      </c>
      <c r="D373" s="24" t="str">
        <f>VLOOKUP(A373,MEMORIA!$A:$N,4,FALSE)</f>
        <v>CAIAÇÃO EM TRES DEMÃOS EM PAREDES (REF: C0589-SEINFRA 28)</v>
      </c>
      <c r="E373" s="23" t="str">
        <f>VLOOKUP(A373,MEMORIA!$A:$N,5,FALSE)</f>
        <v>M2</v>
      </c>
      <c r="F373" s="5">
        <f>VLOOKUP(A373,MEMORIA!$A:$N,14,FALSE)</f>
        <v>38.619999999999997</v>
      </c>
      <c r="G373" s="5">
        <f>VLOOKUP("TOTAL SEM BDI - "&amp;B373,CPU!$A:$J,9,FALSE)</f>
        <v>9.3800000000000008</v>
      </c>
      <c r="H373" s="5">
        <f>VLOOKUP("TOTAL COM BDI - "&amp;B373,CPU!$A:$J,9,FALSE)</f>
        <v>11.47</v>
      </c>
      <c r="I373" s="5">
        <f>ROUND(F373*H373,2)</f>
        <v>442.97</v>
      </c>
    </row>
    <row r="374" spans="1:9" ht="43.2" x14ac:dyDescent="0.3">
      <c r="A374" s="23" t="s">
        <v>432</v>
      </c>
      <c r="B374" s="23">
        <f>VLOOKUP(A374,MEMORIA!$A:$N,2,FALSE)</f>
        <v>100758</v>
      </c>
      <c r="C374" s="23" t="str">
        <f>VLOOKUP(A374,MEMORIA!$A:$N,3,FALSE)</f>
        <v>SINAPI</v>
      </c>
      <c r="D374" s="24" t="str">
        <f>VLOOKUP(A374,MEMORIA!$A:$N,4,FALSE)</f>
        <v>PINTURA COM TINTA ALQUÍDICA DE ACABAMENTO (ESMALTE SINTÉTICO ACETINADO) APLICADA A ROLO OU PINCEL SOBRE SUPERFÍCIES METÁLICAS (EXCETO PERFIL) EXECUTADO EM OBRA (02 DEMÃOS). AF_01/2020</v>
      </c>
      <c r="E374" s="23" t="str">
        <f>VLOOKUP(A374,MEMORIA!$A:$N,5,FALSE)</f>
        <v>M2</v>
      </c>
      <c r="F374" s="5">
        <f>VLOOKUP(A374,MEMORIA!$A:$N,14,FALSE)</f>
        <v>3.36</v>
      </c>
      <c r="G374" s="5">
        <f>VLOOKUP("TOTAL SEM BDI - "&amp;B374,CPU!$A:$J,9,FALSE)</f>
        <v>50.339999999999996</v>
      </c>
      <c r="H374" s="5">
        <f>VLOOKUP("TOTAL COM BDI - "&amp;B374,CPU!$A:$J,9,FALSE)</f>
        <v>61.58</v>
      </c>
      <c r="I374" s="5">
        <f>ROUND(F374*H374,2)</f>
        <v>206.91</v>
      </c>
    </row>
    <row r="375" spans="1:9" x14ac:dyDescent="0.3">
      <c r="A375" s="15" t="s">
        <v>125</v>
      </c>
      <c r="B375" s="48" t="str">
        <f>VLOOKUP(A375,MEMORIA!$A:$N,2,FALSE)</f>
        <v>CERCAMENTO</v>
      </c>
      <c r="C375" s="49"/>
      <c r="D375" s="49"/>
      <c r="E375" s="49"/>
      <c r="F375" s="49"/>
      <c r="G375" s="49"/>
      <c r="H375" s="50"/>
      <c r="I375" s="16">
        <f>SUM($I$376:$I$376)</f>
        <v>5908.53</v>
      </c>
    </row>
    <row r="376" spans="1:9" ht="43.2" x14ac:dyDescent="0.3">
      <c r="A376" s="23" t="s">
        <v>433</v>
      </c>
      <c r="B376" s="23">
        <f>VLOOKUP(A376,MEMORIA!$A:$N,2,FALSE)</f>
        <v>101197</v>
      </c>
      <c r="C376" s="23" t="str">
        <f>VLOOKUP(A376,MEMORIA!$A:$N,3,FALSE)</f>
        <v>SINAPI</v>
      </c>
      <c r="D376" s="24" t="str">
        <f>VLOOKUP(A376,MEMORIA!$A:$N,4,FALSE)</f>
        <v>CERCA COM MOURÕES DE CONCRETO, SEÇÃO "T" PONTA INCLINADA, 10X10 CM, ESPAÇAMENTO DE 2,5 M, CRAVADOS 0,5 M, COM 11 FIOS DE ARAME FARPADO Nº 14 - FORNECIMENTO E INSTALAÇÃO. AF_05/2020</v>
      </c>
      <c r="E376" s="23" t="str">
        <f>VLOOKUP(A376,MEMORIA!$A:$N,5,FALSE)</f>
        <v>M</v>
      </c>
      <c r="F376" s="5">
        <f>VLOOKUP(A376,MEMORIA!$A:$N,14,FALSE)</f>
        <v>37</v>
      </c>
      <c r="G376" s="5">
        <f>VLOOKUP("TOTAL SEM BDI - "&amp;B376,CPU!$A:$J,9,FALSE)</f>
        <v>130.54</v>
      </c>
      <c r="H376" s="5">
        <f>VLOOKUP("TOTAL COM BDI - "&amp;B376,CPU!$A:$J,9,FALSE)</f>
        <v>159.69</v>
      </c>
      <c r="I376" s="5">
        <f>ROUND(F376*H376,2)</f>
        <v>5908.53</v>
      </c>
    </row>
    <row r="377" spans="1:9" x14ac:dyDescent="0.3">
      <c r="A377" s="12" t="s">
        <v>126</v>
      </c>
      <c r="B377" s="51" t="str">
        <f>VLOOKUP(A377,MEMORIA!$A:$N,2,FALSE)</f>
        <v>INSTALAÇÕES ELÉTRICAS</v>
      </c>
      <c r="C377" s="52"/>
      <c r="D377" s="52"/>
      <c r="E377" s="52"/>
      <c r="F377" s="52"/>
      <c r="G377" s="52"/>
      <c r="H377" s="53"/>
      <c r="I377" s="13">
        <f>SUM($I$378:$I$379)</f>
        <v>17909.879999999997</v>
      </c>
    </row>
    <row r="378" spans="1:9" ht="43.2" x14ac:dyDescent="0.3">
      <c r="A378" s="23" t="s">
        <v>434</v>
      </c>
      <c r="B378" s="23" t="str">
        <f>VLOOKUP(A378,MEMORIA!$A:$N,2,FALSE)</f>
        <v>COMP223</v>
      </c>
      <c r="C378" s="23" t="str">
        <f>VLOOKUP(A378,MEMORIA!$A:$N,3,FALSE)</f>
        <v>PRÓPRIA</v>
      </c>
      <c r="D378" s="24" t="str">
        <f>VLOOKUP(A378,MEMORIA!$A:$N,4,FALSE)</f>
        <v>FORNECIMENTO E INSTALAÇÃO DE KIT DE BOMBEAMENTO SOLAR P/ POÇO COM PROFUNDIDADE DE 100 A 120 M, INCLUSO BOMBA 3CV, INVERSOR, PAINÉIS, QUADRO DE COMANDO, DISJUNTORES, CABOS E CONEXÕES E ESTRUTURA TIPO SOLO</v>
      </c>
      <c r="E378" s="23" t="str">
        <f>VLOOKUP(A378,MEMORIA!$A:$N,5,FALSE)</f>
        <v>UND</v>
      </c>
      <c r="F378" s="5">
        <f>VLOOKUP(A378,MEMORIA!$A:$N,14,FALSE)</f>
        <v>1</v>
      </c>
      <c r="G378" s="5">
        <f>VLOOKUP("TOTAL SEM BDI - "&amp;B378,CPU!$A:$J,9,FALSE)</f>
        <v>12042.74</v>
      </c>
      <c r="H378" s="5">
        <f>VLOOKUP("TOTAL COM BDI - "&amp;B378,CPU!$A:$J,9,FALSE)</f>
        <v>14731.88</v>
      </c>
      <c r="I378" s="5">
        <f>ROUND(F378*H378,2)</f>
        <v>14731.88</v>
      </c>
    </row>
    <row r="379" spans="1:9" x14ac:dyDescent="0.3">
      <c r="A379" s="23" t="s">
        <v>435</v>
      </c>
      <c r="B379" s="23" t="str">
        <f>VLOOKUP(A379,MEMORIA!$A:$N,2,FALSE)</f>
        <v>COMPOS24</v>
      </c>
      <c r="C379" s="23" t="str">
        <f>VLOOKUP(A379,MEMORIA!$A:$N,3,FALSE)</f>
        <v>PRÓPRIA</v>
      </c>
      <c r="D379" s="24" t="str">
        <f>VLOOKUP(A379,MEMORIA!$A:$N,4,FALSE)</f>
        <v>FORNECIMENTO E INSTALAÇÃO DE CABO CHATO SUBMERSO DE 3 X 6 MM²</v>
      </c>
      <c r="E379" s="23" t="str">
        <f>VLOOKUP(A379,MEMORIA!$A:$N,5,FALSE)</f>
        <v>M</v>
      </c>
      <c r="F379" s="5">
        <f>VLOOKUP(A379,MEMORIA!$A:$N,14,FALSE)</f>
        <v>100</v>
      </c>
      <c r="G379" s="5">
        <f>VLOOKUP("TOTAL SEM BDI - "&amp;B379,CPU!$A:$J,9,FALSE)</f>
        <v>25.98</v>
      </c>
      <c r="H379" s="5">
        <f>VLOOKUP("TOTAL COM BDI - "&amp;B379,CPU!$A:$J,9,FALSE)</f>
        <v>31.78</v>
      </c>
      <c r="I379" s="5">
        <f>ROUND(F379*H379,2)</f>
        <v>3178</v>
      </c>
    </row>
    <row r="380" spans="1:9" x14ac:dyDescent="0.3">
      <c r="A380" s="12" t="s">
        <v>127</v>
      </c>
      <c r="B380" s="51" t="str">
        <f>VLOOKUP(A380,MEMORIA!$A:$N,2,FALSE)</f>
        <v>ADUÇÃO</v>
      </c>
      <c r="C380" s="52"/>
      <c r="D380" s="52"/>
      <c r="E380" s="52"/>
      <c r="F380" s="52"/>
      <c r="G380" s="52"/>
      <c r="H380" s="53"/>
      <c r="I380" s="13">
        <f>SUM($I$381,$I$384,$I$386,)</f>
        <v>1455.29</v>
      </c>
    </row>
    <row r="381" spans="1:9" x14ac:dyDescent="0.3">
      <c r="A381" s="15" t="s">
        <v>128</v>
      </c>
      <c r="B381" s="48" t="str">
        <f>VLOOKUP(A381,MEMORIA!$A:$N,2,FALSE)</f>
        <v>MOVIMENTO DE TERRA</v>
      </c>
      <c r="C381" s="49"/>
      <c r="D381" s="49"/>
      <c r="E381" s="49"/>
      <c r="F381" s="49"/>
      <c r="G381" s="49"/>
      <c r="H381" s="50"/>
      <c r="I381" s="16">
        <f>SUM($I$382:$I$383)</f>
        <v>485.08</v>
      </c>
    </row>
    <row r="382" spans="1:9" x14ac:dyDescent="0.3">
      <c r="A382" s="23" t="s">
        <v>436</v>
      </c>
      <c r="B382" s="23">
        <f>VLOOKUP(A382,MEMORIA!$A:$N,2,FALSE)</f>
        <v>93358</v>
      </c>
      <c r="C382" s="23" t="str">
        <f>VLOOKUP(A382,MEMORIA!$A:$N,3,FALSE)</f>
        <v>SINAPI</v>
      </c>
      <c r="D382" s="24" t="str">
        <f>VLOOKUP(A382,MEMORIA!$A:$N,4,FALSE)</f>
        <v>ESCAVAÇÃO MANUAL DE VALA. AF_09/2024</v>
      </c>
      <c r="E382" s="23" t="str">
        <f>VLOOKUP(A382,MEMORIA!$A:$N,5,FALSE)</f>
        <v>M3</v>
      </c>
      <c r="F382" s="5">
        <f>VLOOKUP(A382,MEMORIA!$A:$N,14,FALSE)</f>
        <v>3.23</v>
      </c>
      <c r="G382" s="5">
        <f>VLOOKUP("TOTAL SEM BDI - "&amp;B382,CPU!$A:$J,9,FALSE)</f>
        <v>85.87</v>
      </c>
      <c r="H382" s="5">
        <f>VLOOKUP("TOTAL COM BDI - "&amp;B382,CPU!$A:$J,9,FALSE)</f>
        <v>105.04</v>
      </c>
      <c r="I382" s="5">
        <f>ROUND(F382*H382,2)</f>
        <v>339.28</v>
      </c>
    </row>
    <row r="383" spans="1:9" x14ac:dyDescent="0.3">
      <c r="A383" s="23" t="s">
        <v>437</v>
      </c>
      <c r="B383" s="23" t="str">
        <f>VLOOKUP(A383,MEMORIA!$A:$N,2,FALSE)</f>
        <v>COMPOS28</v>
      </c>
      <c r="C383" s="23" t="str">
        <f>VLOOKUP(A383,MEMORIA!$A:$N,3,FALSE)</f>
        <v>PRÓPRIA</v>
      </c>
      <c r="D383" s="24" t="str">
        <f>VLOOKUP(A383,MEMORIA!$A:$N,4,FALSE)</f>
        <v>REATERRO DE VALA COM COMPACTAÇÃO MANUAL</v>
      </c>
      <c r="E383" s="23" t="str">
        <f>VLOOKUP(A383,MEMORIA!$A:$N,5,FALSE)</f>
        <v>M³</v>
      </c>
      <c r="F383" s="5">
        <f>VLOOKUP(A383,MEMORIA!$A:$N,14,FALSE)</f>
        <v>3.23</v>
      </c>
      <c r="G383" s="5">
        <f>VLOOKUP("TOTAL SEM BDI - "&amp;B383,CPU!$A:$J,9,FALSE)</f>
        <v>36.9</v>
      </c>
      <c r="H383" s="5">
        <f>VLOOKUP("TOTAL COM BDI - "&amp;B383,CPU!$A:$J,9,FALSE)</f>
        <v>45.14</v>
      </c>
      <c r="I383" s="5">
        <f>ROUND(F383*H383,2)</f>
        <v>145.80000000000001</v>
      </c>
    </row>
    <row r="384" spans="1:9" x14ac:dyDescent="0.3">
      <c r="A384" s="15" t="s">
        <v>129</v>
      </c>
      <c r="B384" s="48" t="str">
        <f>VLOOKUP(A384,MEMORIA!$A:$N,2,FALSE)</f>
        <v>INFRAESTRUTURA</v>
      </c>
      <c r="C384" s="49"/>
      <c r="D384" s="49"/>
      <c r="E384" s="49"/>
      <c r="F384" s="49"/>
      <c r="G384" s="49"/>
      <c r="H384" s="50"/>
      <c r="I384" s="16">
        <f>SUM($I$385:$I$385)</f>
        <v>264.64</v>
      </c>
    </row>
    <row r="385" spans="1:9" x14ac:dyDescent="0.3">
      <c r="A385" s="23" t="s">
        <v>438</v>
      </c>
      <c r="B385" s="23" t="str">
        <f>VLOOKUP(A385,MEMORIA!$A:$N,2,FALSE)</f>
        <v>COMP216</v>
      </c>
      <c r="C385" s="23" t="str">
        <f>VLOOKUP(A385,MEMORIA!$A:$N,3,FALSE)</f>
        <v>PRÓPRIA</v>
      </c>
      <c r="D385" s="24" t="str">
        <f>VLOOKUP(A385,MEMORIA!$A:$N,4,FALSE)</f>
        <v>BLOCO DE ANCORAGEM EM CONCRETO SIMPLES FCK=10MPA (REF: C3403-SEINFRA 28)</v>
      </c>
      <c r="E385" s="23" t="str">
        <f>VLOOKUP(A385,MEMORIA!$A:$N,5,FALSE)</f>
        <v>M3</v>
      </c>
      <c r="F385" s="5">
        <f>VLOOKUP(A385,MEMORIA!$A:$N,14,FALSE)</f>
        <v>0.26</v>
      </c>
      <c r="G385" s="5">
        <f>VLOOKUP("TOTAL SEM BDI - "&amp;B385,CPU!$A:$J,9,FALSE)</f>
        <v>832.05</v>
      </c>
      <c r="H385" s="5">
        <f>VLOOKUP("TOTAL COM BDI - "&amp;B385,CPU!$A:$J,9,FALSE)</f>
        <v>1017.8499999999999</v>
      </c>
      <c r="I385" s="5">
        <f>ROUND(F385*H385,2)</f>
        <v>264.64</v>
      </c>
    </row>
    <row r="386" spans="1:9" x14ac:dyDescent="0.3">
      <c r="A386" s="15" t="s">
        <v>130</v>
      </c>
      <c r="B386" s="48" t="str">
        <f>VLOOKUP(A386,MEMORIA!$A:$N,2,FALSE)</f>
        <v>INSTALAÇÕES HIDRÁULICAS</v>
      </c>
      <c r="C386" s="49"/>
      <c r="D386" s="49"/>
      <c r="E386" s="49"/>
      <c r="F386" s="49"/>
      <c r="G386" s="49"/>
      <c r="H386" s="50"/>
      <c r="I386" s="16">
        <f>SUM($I$387:$I$388)</f>
        <v>705.57</v>
      </c>
    </row>
    <row r="387" spans="1:9" ht="28.8" x14ac:dyDescent="0.3">
      <c r="A387" s="23" t="s">
        <v>439</v>
      </c>
      <c r="B387" s="23">
        <f>VLOOKUP(A387,MEMORIA!$A:$N,2,FALSE)</f>
        <v>94498</v>
      </c>
      <c r="C387" s="23" t="str">
        <f>VLOOKUP(A387,MEMORIA!$A:$N,3,FALSE)</f>
        <v>SINAPI</v>
      </c>
      <c r="D387" s="24" t="str">
        <f>VLOOKUP(A387,MEMORIA!$A:$N,4,FALSE)</f>
        <v>REGISTRO DE GAVETA BRUTO, LATÃO, ROSCÁVEL, 2" - FORNECIMENTO E INSTALAÇÃO. AF_08/2021</v>
      </c>
      <c r="E387" s="23" t="str">
        <f>VLOOKUP(A387,MEMORIA!$A:$N,5,FALSE)</f>
        <v>UN</v>
      </c>
      <c r="F387" s="5">
        <f>VLOOKUP(A387,MEMORIA!$A:$N,14,FALSE)</f>
        <v>1</v>
      </c>
      <c r="G387" s="5">
        <f>VLOOKUP("TOTAL SEM BDI - "&amp;B387,CPU!$A:$J,9,FALSE)</f>
        <v>164.12</v>
      </c>
      <c r="H387" s="5">
        <f>VLOOKUP("TOTAL COM BDI - "&amp;B387,CPU!$A:$J,9,FALSE)</f>
        <v>200.77</v>
      </c>
      <c r="I387" s="5">
        <f>ROUND(F387*H387,2)</f>
        <v>200.77</v>
      </c>
    </row>
    <row r="388" spans="1:9" ht="28.8" x14ac:dyDescent="0.3">
      <c r="A388" s="23" t="s">
        <v>440</v>
      </c>
      <c r="B388" s="23" t="str">
        <f>VLOOKUP(A388,MEMORIA!$A:$N,2,FALSE)</f>
        <v>COMPOS27</v>
      </c>
      <c r="C388" s="23" t="str">
        <f>VLOOKUP(A388,MEMORIA!$A:$N,3,FALSE)</f>
        <v>PRÓPRIA</v>
      </c>
      <c r="D388" s="24" t="str">
        <f>VLOOKUP(A388,MEMORIA!$A:$N,4,FALSE)</f>
        <v>AQUISIÇÃO E ASSENTAMENTO DE TUBO RÍGIDO PVC, CLASSE 12, DN 50 MM, INCLUSO CONEXÕES</v>
      </c>
      <c r="E388" s="23" t="str">
        <f>VLOOKUP(A388,MEMORIA!$A:$N,5,FALSE)</f>
        <v>M</v>
      </c>
      <c r="F388" s="5">
        <f>VLOOKUP(A388,MEMORIA!$A:$N,14,FALSE)</f>
        <v>16</v>
      </c>
      <c r="G388" s="5">
        <f>VLOOKUP("TOTAL SEM BDI - "&amp;B388,CPU!$A:$J,9,FALSE)</f>
        <v>25.79</v>
      </c>
      <c r="H388" s="5">
        <f>VLOOKUP("TOTAL COM BDI - "&amp;B388,CPU!$A:$J,9,FALSE)</f>
        <v>31.549999999999997</v>
      </c>
      <c r="I388" s="5">
        <f>ROUND(F388*H388,2)</f>
        <v>504.8</v>
      </c>
    </row>
    <row r="389" spans="1:9" x14ac:dyDescent="0.3">
      <c r="A389" s="12" t="s">
        <v>131</v>
      </c>
      <c r="B389" s="51" t="str">
        <f>VLOOKUP(A389,MEMORIA!$A:$N,2,FALSE)</f>
        <v>RESERVAÇÃO</v>
      </c>
      <c r="C389" s="52"/>
      <c r="D389" s="52"/>
      <c r="E389" s="52"/>
      <c r="F389" s="52"/>
      <c r="G389" s="52"/>
      <c r="H389" s="53"/>
      <c r="I389" s="13">
        <f>SUM($I$390:$I$392)</f>
        <v>31488.33</v>
      </c>
    </row>
    <row r="390" spans="1:9" ht="72" x14ac:dyDescent="0.3">
      <c r="A390" s="23" t="s">
        <v>441</v>
      </c>
      <c r="B390" s="23" t="str">
        <f>VLOOKUP(A390,MEMORIA!$A:$N,2,FALSE)</f>
        <v>COMPOS34</v>
      </c>
      <c r="C390" s="23" t="str">
        <f>VLOOKUP(A390,MEMORIA!$A:$N,3,FALSE)</f>
        <v>PRÓPRIA</v>
      </c>
      <c r="D390" s="24" t="str">
        <f>VLOOKUP(A390,MEMORIA!$A:$N,4,FALSE)</f>
        <v>FORNECIMENTO E INSTALAÇÃO DE RESERVATÓRIO ELEVADO C/ CAIXA D'AGUA EM POLIESTER REFORCADO COM FIBRA DE VIDRO DE 10.000 LITROS, APOIADO EM ESTRUTURA PRÉ-MOLDADA EM CONCRETO, COMPOSTA DE CAPITEL P/APOIO DA CAIXA E PILAR C/ALTURA ÚTIL = 10,00M, INCLUSO FRETE E MONTAGEM NO LOCAL, COM FUNDAÇÃO EM CONCRETO SIMPLES FCK=20MPA</v>
      </c>
      <c r="E390" s="23" t="str">
        <f>VLOOKUP(A390,MEMORIA!$A:$N,5,FALSE)</f>
        <v>UND</v>
      </c>
      <c r="F390" s="5">
        <f>VLOOKUP(A390,MEMORIA!$A:$N,14,FALSE)</f>
        <v>1</v>
      </c>
      <c r="G390" s="5">
        <f>VLOOKUP("TOTAL SEM BDI - "&amp;B390,CPU!$A:$J,9,FALSE)</f>
        <v>24798.26</v>
      </c>
      <c r="H390" s="5">
        <f>VLOOKUP("TOTAL COM BDI - "&amp;B390,CPU!$A:$J,9,FALSE)</f>
        <v>30335.71</v>
      </c>
      <c r="I390" s="5">
        <f>ROUND(F390*H390,2)</f>
        <v>30335.71</v>
      </c>
    </row>
    <row r="391" spans="1:9" ht="28.8" x14ac:dyDescent="0.3">
      <c r="A391" s="23" t="s">
        <v>442</v>
      </c>
      <c r="B391" s="23">
        <f>VLOOKUP(A391,MEMORIA!$A:$N,2,FALSE)</f>
        <v>94498</v>
      </c>
      <c r="C391" s="23" t="str">
        <f>VLOOKUP(A391,MEMORIA!$A:$N,3,FALSE)</f>
        <v>SINAPI</v>
      </c>
      <c r="D391" s="24" t="str">
        <f>VLOOKUP(A391,MEMORIA!$A:$N,4,FALSE)</f>
        <v>REGISTRO DE GAVETA BRUTO, LATÃO, ROSCÁVEL, 2" - FORNECIMENTO E INSTALAÇÃO. AF_08/2021</v>
      </c>
      <c r="E391" s="23" t="str">
        <f>VLOOKUP(A391,MEMORIA!$A:$N,5,FALSE)</f>
        <v>UN</v>
      </c>
      <c r="F391" s="5">
        <f>VLOOKUP(A391,MEMORIA!$A:$N,14,FALSE)</f>
        <v>2</v>
      </c>
      <c r="G391" s="5">
        <f>VLOOKUP("TOTAL SEM BDI - "&amp;B391,CPU!$A:$J,9,FALSE)</f>
        <v>164.12</v>
      </c>
      <c r="H391" s="5">
        <f>VLOOKUP("TOTAL COM BDI - "&amp;B391,CPU!$A:$J,9,FALSE)</f>
        <v>200.77</v>
      </c>
      <c r="I391" s="5">
        <f>ROUND(F391*H391,2)</f>
        <v>401.54</v>
      </c>
    </row>
    <row r="392" spans="1:9" ht="28.8" x14ac:dyDescent="0.3">
      <c r="A392" s="23" t="s">
        <v>443</v>
      </c>
      <c r="B392" s="23" t="str">
        <f>VLOOKUP(A392,MEMORIA!$A:$N,2,FALSE)</f>
        <v>COMPOS35</v>
      </c>
      <c r="C392" s="23" t="str">
        <f>VLOOKUP(A392,MEMORIA!$A:$N,3,FALSE)</f>
        <v>PRÓPRIA</v>
      </c>
      <c r="D392" s="24" t="str">
        <f>VLOOKUP(A392,MEMORIA!$A:$N,4,FALSE)</f>
        <v>AQUISIÇÃO E ASSENTAMENTO DE TUBO RÍGIDO PVC, CLASSE 12, DN 60 MM, INCLUSO CONEXÕES</v>
      </c>
      <c r="E392" s="23" t="str">
        <f>VLOOKUP(A392,MEMORIA!$A:$N,5,FALSE)</f>
        <v>M</v>
      </c>
      <c r="F392" s="5">
        <f>VLOOKUP(A392,MEMORIA!$A:$N,14,FALSE)</f>
        <v>22</v>
      </c>
      <c r="G392" s="5">
        <f>VLOOKUP("TOTAL SEM BDI - "&amp;B392,CPU!$A:$J,9,FALSE)</f>
        <v>27.91</v>
      </c>
      <c r="H392" s="5">
        <f>VLOOKUP("TOTAL COM BDI - "&amp;B392,CPU!$A:$J,9,FALSE)</f>
        <v>34.14</v>
      </c>
      <c r="I392" s="5">
        <f>ROUND(F392*H392,2)</f>
        <v>751.08</v>
      </c>
    </row>
    <row r="393" spans="1:9" x14ac:dyDescent="0.3">
      <c r="A393" s="12" t="s">
        <v>132</v>
      </c>
      <c r="B393" s="51" t="str">
        <f>VLOOKUP(A393,MEMORIA!$A:$N,2,FALSE)</f>
        <v>DISTRIBUIÇÃO</v>
      </c>
      <c r="C393" s="52"/>
      <c r="D393" s="52"/>
      <c r="E393" s="52"/>
      <c r="F393" s="52"/>
      <c r="G393" s="52"/>
      <c r="H393" s="53"/>
      <c r="I393" s="13">
        <f>SUM($I$394,$I$397,)</f>
        <v>50609.360000000008</v>
      </c>
    </row>
    <row r="394" spans="1:9" x14ac:dyDescent="0.3">
      <c r="A394" s="15" t="s">
        <v>133</v>
      </c>
      <c r="B394" s="48" t="str">
        <f>VLOOKUP(A394,MEMORIA!$A:$N,2,FALSE)</f>
        <v>MOVIMENTO DE TERRA</v>
      </c>
      <c r="C394" s="49"/>
      <c r="D394" s="49"/>
      <c r="E394" s="49"/>
      <c r="F394" s="49"/>
      <c r="G394" s="49"/>
      <c r="H394" s="50"/>
      <c r="I394" s="16">
        <f>SUM($I$395:$I$396)</f>
        <v>10935.65</v>
      </c>
    </row>
    <row r="395" spans="1:9" ht="57.6" x14ac:dyDescent="0.3">
      <c r="A395" s="23" t="s">
        <v>444</v>
      </c>
      <c r="B395" s="23">
        <f>VLOOKUP(A395,MEMORIA!$A:$N,2,FALSE)</f>
        <v>102314</v>
      </c>
      <c r="C395" s="23" t="str">
        <f>VLOOKUP(A395,MEMORIA!$A:$N,3,FALSE)</f>
        <v>SINAPI</v>
      </c>
      <c r="D395" s="24" t="str">
        <f>VLOOKUP(A395,MEMORIA!$A:$N,4,FALSE)</f>
        <v>ESCAVAÇÃO MECANIZADA DE VALA COM PROF. ATÉ 1,5 M (MÉDIA MONTANTE E JUSANTE/UMA COMPOSIÇÃO POR TRECHO),COM ESCAVADEIRA (0,8 M3), LARG. MENOR QUE 1,5 M, EM SOLO DE 2A CATEGORIA, LOCAIS COM BAIXO NÍVEL DE INTERFERÊNCIA. AF_09/2024</v>
      </c>
      <c r="E395" s="23" t="str">
        <f>VLOOKUP(A395,MEMORIA!$A:$N,5,FALSE)</f>
        <v>M3</v>
      </c>
      <c r="F395" s="5">
        <f>VLOOKUP(A395,MEMORIA!$A:$N,14,FALSE)</f>
        <v>420.44</v>
      </c>
      <c r="G395" s="5">
        <f>VLOOKUP("TOTAL SEM BDI - "&amp;B395,CPU!$A:$J,9,FALSE)</f>
        <v>8.5</v>
      </c>
      <c r="H395" s="5">
        <f>VLOOKUP("TOTAL COM BDI - "&amp;B395,CPU!$A:$J,9,FALSE)</f>
        <v>10.4</v>
      </c>
      <c r="I395" s="5">
        <f>ROUND(F395*H395,2)</f>
        <v>4372.58</v>
      </c>
    </row>
    <row r="396" spans="1:9" ht="57.6" x14ac:dyDescent="0.3">
      <c r="A396" s="23" t="s">
        <v>445</v>
      </c>
      <c r="B396" s="23" t="str">
        <f>VLOOKUP(A396,MEMORIA!$A:$N,2,FALSE)</f>
        <v>COMP199</v>
      </c>
      <c r="C396" s="23" t="str">
        <f>VLOOKUP(A396,MEMORIA!$A:$N,3,FALSE)</f>
        <v>PRÓPRIA</v>
      </c>
      <c r="D396" s="24" t="str">
        <f>VLOOKUP(A396,MEMORIA!$A:$N,4,FALSE)</f>
        <v>REATERRO MECANIZADO DE VALA COM RETROESCAVADEIRA (CAPACIDADE DA CAÇAMBA DA RETRO: 0,26 M³/POTÊNCIA: 88 HP), LARGURA ATÉ 0,8 M, PROFUNDIDADE ATÉ 1,5 M, COM SOLO (SEM SUBSTITUIÇÃO) DE 1ª CATEGORIA. AF_08/2023 (REF: 104733-SINAPI-05/2025)</v>
      </c>
      <c r="E396" s="23" t="str">
        <f>VLOOKUP(A396,MEMORIA!$A:$N,5,FALSE)</f>
        <v>M3</v>
      </c>
      <c r="F396" s="5">
        <f>VLOOKUP(A396,MEMORIA!$A:$N,14,FALSE)</f>
        <v>420.44</v>
      </c>
      <c r="G396" s="5">
        <f>VLOOKUP("TOTAL SEM BDI - "&amp;B396,CPU!$A:$J,9,FALSE)</f>
        <v>12.76</v>
      </c>
      <c r="H396" s="5">
        <f>VLOOKUP("TOTAL COM BDI - "&amp;B396,CPU!$A:$J,9,FALSE)</f>
        <v>15.61</v>
      </c>
      <c r="I396" s="5">
        <f>ROUND(F396*H396,2)</f>
        <v>6563.07</v>
      </c>
    </row>
    <row r="397" spans="1:9" x14ac:dyDescent="0.3">
      <c r="A397" s="15" t="s">
        <v>134</v>
      </c>
      <c r="B397" s="48" t="str">
        <f>VLOOKUP(A397,MEMORIA!$A:$N,2,FALSE)</f>
        <v>INSTALAÇÕES HIDRÁULICAS</v>
      </c>
      <c r="C397" s="49"/>
      <c r="D397" s="49"/>
      <c r="E397" s="49"/>
      <c r="F397" s="49"/>
      <c r="G397" s="49"/>
      <c r="H397" s="50"/>
      <c r="I397" s="16">
        <f>SUM($I$398:$I$399)</f>
        <v>39673.710000000006</v>
      </c>
    </row>
    <row r="398" spans="1:9" ht="28.8" x14ac:dyDescent="0.3">
      <c r="A398" s="23" t="s">
        <v>446</v>
      </c>
      <c r="B398" s="23" t="str">
        <f>VLOOKUP(A398,MEMORIA!$A:$N,2,FALSE)</f>
        <v>COMPOS35</v>
      </c>
      <c r="C398" s="23" t="str">
        <f>VLOOKUP(A398,MEMORIA!$A:$N,3,FALSE)</f>
        <v>PRÓPRIA</v>
      </c>
      <c r="D398" s="24" t="str">
        <f>VLOOKUP(A398,MEMORIA!$A:$N,4,FALSE)</f>
        <v>AQUISIÇÃO E ASSENTAMENTO DE TUBO RÍGIDO PVC, CLASSE 12, DN 60 MM, INCLUSO CONEXÕES</v>
      </c>
      <c r="E398" s="23" t="str">
        <f>VLOOKUP(A398,MEMORIA!$A:$N,5,FALSE)</f>
        <v>M</v>
      </c>
      <c r="F398" s="5">
        <f>VLOOKUP(A398,MEMORIA!$A:$N,14,FALSE)</f>
        <v>1007</v>
      </c>
      <c r="G398" s="5">
        <f>VLOOKUP("TOTAL SEM BDI - "&amp;B398,CPU!$A:$J,9,FALSE)</f>
        <v>27.91</v>
      </c>
      <c r="H398" s="5">
        <f>VLOOKUP("TOTAL COM BDI - "&amp;B398,CPU!$A:$J,9,FALSE)</f>
        <v>34.14</v>
      </c>
      <c r="I398" s="5">
        <f>ROUND(F398*H398,2)</f>
        <v>34378.980000000003</v>
      </c>
    </row>
    <row r="399" spans="1:9" x14ac:dyDescent="0.3">
      <c r="A399" s="23" t="s">
        <v>447</v>
      </c>
      <c r="B399" s="23" t="str">
        <f>VLOOKUP(A399,MEMORIA!$A:$N,2,FALSE)</f>
        <v>COMPOS36</v>
      </c>
      <c r="C399" s="23" t="str">
        <f>VLOOKUP(A399,MEMORIA!$A:$N,3,FALSE)</f>
        <v>PRÓPRIA</v>
      </c>
      <c r="D399" s="24" t="str">
        <f>VLOOKUP(A399,MEMORIA!$A:$N,4,FALSE)</f>
        <v>LIGAÇÃO DOMICILIAR</v>
      </c>
      <c r="E399" s="23" t="str">
        <f>VLOOKUP(A399,MEMORIA!$A:$N,5,FALSE)</f>
        <v>UND</v>
      </c>
      <c r="F399" s="5">
        <f>VLOOKUP(A399,MEMORIA!$A:$N,14,FALSE)</f>
        <v>21</v>
      </c>
      <c r="G399" s="5">
        <f>VLOOKUP("TOTAL SEM BDI - "&amp;B399,CPU!$A:$J,9,FALSE)</f>
        <v>206.11</v>
      </c>
      <c r="H399" s="5">
        <f>VLOOKUP("TOTAL COM BDI - "&amp;B399,CPU!$A:$J,9,FALSE)</f>
        <v>252.13000000000002</v>
      </c>
      <c r="I399" s="5">
        <f>ROUND(F399*H399,2)</f>
        <v>5294.73</v>
      </c>
    </row>
    <row r="400" spans="1:9" x14ac:dyDescent="0.3">
      <c r="A400" s="9">
        <v>7</v>
      </c>
      <c r="B400" s="54" t="str">
        <f>VLOOKUP(A400,MEMORIA!$A:$N,2,FALSE)</f>
        <v>LOCALIDADE SANTA MADALENA (ANÍSIO DE ABREU-PI)</v>
      </c>
      <c r="C400" s="55"/>
      <c r="D400" s="55"/>
      <c r="E400" s="55"/>
      <c r="F400" s="55"/>
      <c r="G400" s="55"/>
      <c r="H400" s="56"/>
      <c r="I400" s="10">
        <f>SUM($I$401,$I$417,$I$421,$I$455,$I$458,$I$467,$I$471,)</f>
        <v>189183.56999999998</v>
      </c>
    </row>
    <row r="401" spans="1:9" x14ac:dyDescent="0.3">
      <c r="A401" s="12" t="s">
        <v>135</v>
      </c>
      <c r="B401" s="51" t="str">
        <f>VLOOKUP(A401,MEMORIA!$A:$N,2,FALSE)</f>
        <v>PERFURAÇÃO DE POÇO TUBULAR</v>
      </c>
      <c r="C401" s="52"/>
      <c r="D401" s="52"/>
      <c r="E401" s="52"/>
      <c r="F401" s="52"/>
      <c r="G401" s="52"/>
      <c r="H401" s="53"/>
      <c r="I401" s="13">
        <f>SUM($I$402:$I$416)</f>
        <v>38218.39</v>
      </c>
    </row>
    <row r="402" spans="1:9" x14ac:dyDescent="0.3">
      <c r="A402" s="23" t="s">
        <v>448</v>
      </c>
      <c r="B402" s="23" t="str">
        <f>VLOOKUP(A402,MEMORIA!$A:$N,2,FALSE)</f>
        <v>COMPOS3</v>
      </c>
      <c r="C402" s="23" t="str">
        <f>VLOOKUP(A402,MEMORIA!$A:$N,3,FALSE)</f>
        <v>PRÓPRIA</v>
      </c>
      <c r="D402" s="24" t="str">
        <f>VLOOKUP(A402,MEMORIA!$A:$N,4,FALSE)</f>
        <v>LOCAÇÃO DO POÇO COM ESTUDO GEOLÓGICO/HIDROGEOLÓGICO/GEOFÍSICO</v>
      </c>
      <c r="E402" s="23" t="str">
        <f>VLOOKUP(A402,MEMORIA!$A:$N,5,FALSE)</f>
        <v>UN</v>
      </c>
      <c r="F402" s="5">
        <f>VLOOKUP(A402,MEMORIA!$A:$N,14,FALSE)</f>
        <v>1</v>
      </c>
      <c r="G402" s="5">
        <f>VLOOKUP("TOTAL SEM BDI - "&amp;B402,CPU!$A:$J,9,FALSE)</f>
        <v>1692.3999999999999</v>
      </c>
      <c r="H402" s="5">
        <f>VLOOKUP("TOTAL COM BDI - "&amp;B402,CPU!$A:$J,9,FALSE)</f>
        <v>2070.31</v>
      </c>
      <c r="I402" s="5">
        <f t="shared" ref="I402:I416" si="5">ROUND(F402*H402,2)</f>
        <v>2070.31</v>
      </c>
    </row>
    <row r="403" spans="1:9" x14ac:dyDescent="0.3">
      <c r="A403" s="23" t="s">
        <v>449</v>
      </c>
      <c r="B403" s="23" t="str">
        <f>VLOOKUP(A403,MEMORIA!$A:$N,2,FALSE)</f>
        <v>COMPOS4</v>
      </c>
      <c r="C403" s="23" t="str">
        <f>VLOOKUP(A403,MEMORIA!$A:$N,3,FALSE)</f>
        <v>PRÓPRIA</v>
      </c>
      <c r="D403" s="24" t="str">
        <f>VLOOKUP(A403,MEMORIA!$A:$N,4,FALSE)</f>
        <v>TRANSPORTE DE MÁQUINAS E EQUIPAMENTOS</v>
      </c>
      <c r="E403" s="23" t="str">
        <f>VLOOKUP(A403,MEMORIA!$A:$N,5,FALSE)</f>
        <v>KM</v>
      </c>
      <c r="F403" s="5">
        <f>VLOOKUP(A403,MEMORIA!$A:$N,14,FALSE)</f>
        <v>16.5</v>
      </c>
      <c r="G403" s="5">
        <f>VLOOKUP("TOTAL SEM BDI - "&amp;B403,CPU!$A:$J,9,FALSE)</f>
        <v>5.5</v>
      </c>
      <c r="H403" s="5">
        <f>VLOOKUP("TOTAL COM BDI - "&amp;B403,CPU!$A:$J,9,FALSE)</f>
        <v>6.73</v>
      </c>
      <c r="I403" s="5">
        <f t="shared" si="5"/>
        <v>111.05</v>
      </c>
    </row>
    <row r="404" spans="1:9" x14ac:dyDescent="0.3">
      <c r="A404" s="23" t="s">
        <v>450</v>
      </c>
      <c r="B404" s="23" t="str">
        <f>VLOOKUP(A404,MEMORIA!$A:$N,2,FALSE)</f>
        <v>COMPOS4</v>
      </c>
      <c r="C404" s="23" t="str">
        <f>VLOOKUP(A404,MEMORIA!$A:$N,3,FALSE)</f>
        <v>PRÓPRIA</v>
      </c>
      <c r="D404" s="24" t="str">
        <f>VLOOKUP(A404,MEMORIA!$A:$N,4,FALSE)</f>
        <v>TRANSPORTE DE MÁQUINAS E EQUIPAMENTOS</v>
      </c>
      <c r="E404" s="23" t="str">
        <f>VLOOKUP(A404,MEMORIA!$A:$N,5,FALSE)</f>
        <v>KM</v>
      </c>
      <c r="F404" s="5">
        <f>VLOOKUP(A404,MEMORIA!$A:$N,14,FALSE)</f>
        <v>16.5</v>
      </c>
      <c r="G404" s="5">
        <f>VLOOKUP("TOTAL SEM BDI - "&amp;B404,CPU!$A:$J,9,FALSE)</f>
        <v>5.5</v>
      </c>
      <c r="H404" s="5">
        <f>VLOOKUP("TOTAL COM BDI - "&amp;B404,CPU!$A:$J,9,FALSE)</f>
        <v>6.73</v>
      </c>
      <c r="I404" s="5">
        <f t="shared" si="5"/>
        <v>111.05</v>
      </c>
    </row>
    <row r="405" spans="1:9" x14ac:dyDescent="0.3">
      <c r="A405" s="23" t="s">
        <v>451</v>
      </c>
      <c r="B405" s="23" t="str">
        <f>VLOOKUP(A405,MEMORIA!$A:$N,2,FALSE)</f>
        <v>COMPOS5</v>
      </c>
      <c r="C405" s="23" t="str">
        <f>VLOOKUP(A405,MEMORIA!$A:$N,3,FALSE)</f>
        <v>PRÓPRIA</v>
      </c>
      <c r="D405" s="24" t="str">
        <f>VLOOKUP(A405,MEMORIA!$A:$N,4,FALSE)</f>
        <v>PERFILAGEM ÓTICA</v>
      </c>
      <c r="E405" s="23" t="str">
        <f>VLOOKUP(A405,MEMORIA!$A:$N,5,FALSE)</f>
        <v>UN</v>
      </c>
      <c r="F405" s="5">
        <f>VLOOKUP(A405,MEMORIA!$A:$N,14,FALSE)</f>
        <v>1</v>
      </c>
      <c r="G405" s="5">
        <f>VLOOKUP("TOTAL SEM BDI - "&amp;B405,CPU!$A:$J,9,FALSE)</f>
        <v>2908.88</v>
      </c>
      <c r="H405" s="5">
        <f>VLOOKUP("TOTAL COM BDI - "&amp;B405,CPU!$A:$J,9,FALSE)</f>
        <v>3558.4300000000003</v>
      </c>
      <c r="I405" s="5">
        <f t="shared" si="5"/>
        <v>3558.43</v>
      </c>
    </row>
    <row r="406" spans="1:9" x14ac:dyDescent="0.3">
      <c r="A406" s="23" t="s">
        <v>452</v>
      </c>
      <c r="B406" s="23" t="str">
        <f>VLOOKUP(A406,MEMORIA!$A:$N,2,FALSE)</f>
        <v>COMP197</v>
      </c>
      <c r="C406" s="23" t="str">
        <f>VLOOKUP(A406,MEMORIA!$A:$N,3,FALSE)</f>
        <v>PRÓPRIA</v>
      </c>
      <c r="D406" s="24" t="str">
        <f>VLOOKUP(A406,MEMORIA!$A:$N,4,FALSE)</f>
        <v>PERFURAÇÃO EM ROCHA SEDIMENTAR DN 10" (REF: 06230/ORSE-ORSE-04/2025)</v>
      </c>
      <c r="E406" s="23" t="str">
        <f>VLOOKUP(A406,MEMORIA!$A:$N,5,FALSE)</f>
        <v>M</v>
      </c>
      <c r="F406" s="5">
        <f>VLOOKUP(A406,MEMORIA!$A:$N,14,FALSE)</f>
        <v>20</v>
      </c>
      <c r="G406" s="5">
        <f>VLOOKUP("TOTAL SEM BDI - "&amp;B406,CPU!$A:$J,9,FALSE)</f>
        <v>202.21</v>
      </c>
      <c r="H406" s="5">
        <f>VLOOKUP("TOTAL COM BDI - "&amp;B406,CPU!$A:$J,9,FALSE)</f>
        <v>247.36</v>
      </c>
      <c r="I406" s="5">
        <f t="shared" si="5"/>
        <v>4947.2</v>
      </c>
    </row>
    <row r="407" spans="1:9" x14ac:dyDescent="0.3">
      <c r="A407" s="23" t="s">
        <v>453</v>
      </c>
      <c r="B407" s="23" t="str">
        <f>VLOOKUP(A407,MEMORIA!$A:$N,2,FALSE)</f>
        <v>COMP198</v>
      </c>
      <c r="C407" s="23" t="str">
        <f>VLOOKUP(A407,MEMORIA!$A:$N,3,FALSE)</f>
        <v>PRÓPRIA</v>
      </c>
      <c r="D407" s="24" t="str">
        <f>VLOOKUP(A407,MEMORIA!$A:$N,4,FALSE)</f>
        <v>PERFURAÇÃO EM ROCHA CRISTALINA DN 6" (REF: 06237/ORSE-ORSE-04/2025)</v>
      </c>
      <c r="E407" s="23" t="str">
        <f>VLOOKUP(A407,MEMORIA!$A:$N,5,FALSE)</f>
        <v>M</v>
      </c>
      <c r="F407" s="5">
        <f>VLOOKUP(A407,MEMORIA!$A:$N,14,FALSE)</f>
        <v>80</v>
      </c>
      <c r="G407" s="5">
        <f>VLOOKUP("TOTAL SEM BDI - "&amp;B407,CPU!$A:$J,9,FALSE)</f>
        <v>125.23</v>
      </c>
      <c r="H407" s="5">
        <f>VLOOKUP("TOTAL COM BDI - "&amp;B407,CPU!$A:$J,9,FALSE)</f>
        <v>153.19</v>
      </c>
      <c r="I407" s="5">
        <f t="shared" si="5"/>
        <v>12255.2</v>
      </c>
    </row>
    <row r="408" spans="1:9" x14ac:dyDescent="0.3">
      <c r="A408" s="23" t="s">
        <v>454</v>
      </c>
      <c r="B408" s="23" t="str">
        <f>VLOOKUP(A408,MEMORIA!$A:$N,2,FALSE)</f>
        <v>COMPOS10</v>
      </c>
      <c r="C408" s="23" t="str">
        <f>VLOOKUP(A408,MEMORIA!$A:$N,3,FALSE)</f>
        <v>PRÓPRIA</v>
      </c>
      <c r="D408" s="24" t="str">
        <f>VLOOKUP(A408,MEMORIA!$A:$N,4,FALSE)</f>
        <v>CIMENTAÇÃO SANITÁRIA</v>
      </c>
      <c r="E408" s="23" t="str">
        <f>VLOOKUP(A408,MEMORIA!$A:$N,5,FALSE)</f>
        <v>M</v>
      </c>
      <c r="F408" s="5">
        <f>VLOOKUP(A408,MEMORIA!$A:$N,14,FALSE)</f>
        <v>10</v>
      </c>
      <c r="G408" s="5">
        <f>VLOOKUP("TOTAL SEM BDI - "&amp;B408,CPU!$A:$J,9,FALSE)</f>
        <v>98.79</v>
      </c>
      <c r="H408" s="5">
        <f>VLOOKUP("TOTAL COM BDI - "&amp;B408,CPU!$A:$J,9,FALSE)</f>
        <v>120.85000000000001</v>
      </c>
      <c r="I408" s="5">
        <f t="shared" si="5"/>
        <v>1208.5</v>
      </c>
    </row>
    <row r="409" spans="1:9" x14ac:dyDescent="0.3">
      <c r="A409" s="23" t="s">
        <v>455</v>
      </c>
      <c r="B409" s="23" t="str">
        <f>VLOOKUP(A409,MEMORIA!$A:$N,2,FALSE)</f>
        <v>COMPOS11</v>
      </c>
      <c r="C409" s="23" t="str">
        <f>VLOOKUP(A409,MEMORIA!$A:$N,3,FALSE)</f>
        <v>PRÓPRIA</v>
      </c>
      <c r="D409" s="24" t="str">
        <f>VLOOKUP(A409,MEMORIA!$A:$N,4,FALSE)</f>
        <v>LAJE DE PROTEÇÃO EM CONCRETO (1,0 M X 1,0 M X 0,15 M)</v>
      </c>
      <c r="E409" s="23" t="str">
        <f>VLOOKUP(A409,MEMORIA!$A:$N,5,FALSE)</f>
        <v>M³</v>
      </c>
      <c r="F409" s="5">
        <f>VLOOKUP(A409,MEMORIA!$A:$N,14,FALSE)</f>
        <v>0.15</v>
      </c>
      <c r="G409" s="5">
        <f>VLOOKUP("TOTAL SEM BDI - "&amp;B409,CPU!$A:$J,9,FALSE)</f>
        <v>1246.81</v>
      </c>
      <c r="H409" s="5">
        <f>VLOOKUP("TOTAL COM BDI - "&amp;B409,CPU!$A:$J,9,FALSE)</f>
        <v>1525.22</v>
      </c>
      <c r="I409" s="5">
        <f t="shared" si="5"/>
        <v>228.78</v>
      </c>
    </row>
    <row r="410" spans="1:9" x14ac:dyDescent="0.3">
      <c r="A410" s="23" t="s">
        <v>456</v>
      </c>
      <c r="B410" s="23" t="str">
        <f>VLOOKUP(A410,MEMORIA!$A:$N,2,FALSE)</f>
        <v>COMPOS12</v>
      </c>
      <c r="C410" s="23" t="str">
        <f>VLOOKUP(A410,MEMORIA!$A:$N,3,FALSE)</f>
        <v>PRÓPRIA</v>
      </c>
      <c r="D410" s="24" t="str">
        <f>VLOOKUP(A410,MEMORIA!$A:$N,4,FALSE)</f>
        <v>DESENVOLVIMENTO COM BOMBA SUBMERSA</v>
      </c>
      <c r="E410" s="23" t="str">
        <f>VLOOKUP(A410,MEMORIA!$A:$N,5,FALSE)</f>
        <v>H</v>
      </c>
      <c r="F410" s="5">
        <f>VLOOKUP(A410,MEMORIA!$A:$N,14,FALSE)</f>
        <v>6</v>
      </c>
      <c r="G410" s="5">
        <f>VLOOKUP("TOTAL SEM BDI - "&amp;B410,CPU!$A:$J,9,FALSE)</f>
        <v>515.70000000000005</v>
      </c>
      <c r="H410" s="5">
        <f>VLOOKUP("TOTAL COM BDI - "&amp;B410,CPU!$A:$J,9,FALSE)</f>
        <v>630.86</v>
      </c>
      <c r="I410" s="5">
        <f t="shared" si="5"/>
        <v>3785.16</v>
      </c>
    </row>
    <row r="411" spans="1:9" x14ac:dyDescent="0.3">
      <c r="A411" s="23" t="s">
        <v>457</v>
      </c>
      <c r="B411" s="23" t="str">
        <f>VLOOKUP(A411,MEMORIA!$A:$N,2,FALSE)</f>
        <v>COMPOS13</v>
      </c>
      <c r="C411" s="23" t="str">
        <f>VLOOKUP(A411,MEMORIA!$A:$N,3,FALSE)</f>
        <v>PRÓPRIA</v>
      </c>
      <c r="D411" s="24" t="str">
        <f>VLOOKUP(A411,MEMORIA!$A:$N,4,FALSE)</f>
        <v>TESTE VAZÃO COM BOMBA SUBMERSA</v>
      </c>
      <c r="E411" s="23" t="str">
        <f>VLOOKUP(A411,MEMORIA!$A:$N,5,FALSE)</f>
        <v>H</v>
      </c>
      <c r="F411" s="5">
        <f>VLOOKUP(A411,MEMORIA!$A:$N,14,FALSE)</f>
        <v>24</v>
      </c>
      <c r="G411" s="5">
        <f>VLOOKUP("TOTAL SEM BDI - "&amp;B411,CPU!$A:$J,9,FALSE)</f>
        <v>97.789999999999992</v>
      </c>
      <c r="H411" s="5">
        <f>VLOOKUP("TOTAL COM BDI - "&amp;B411,CPU!$A:$J,9,FALSE)</f>
        <v>119.63</v>
      </c>
      <c r="I411" s="5">
        <f t="shared" si="5"/>
        <v>2871.12</v>
      </c>
    </row>
    <row r="412" spans="1:9" x14ac:dyDescent="0.3">
      <c r="A412" s="23" t="s">
        <v>458</v>
      </c>
      <c r="B412" s="23" t="str">
        <f>VLOOKUP(A412,MEMORIA!$A:$N,2,FALSE)</f>
        <v>COMPOS14</v>
      </c>
      <c r="C412" s="23" t="str">
        <f>VLOOKUP(A412,MEMORIA!$A:$N,3,FALSE)</f>
        <v>PRÓPRIA</v>
      </c>
      <c r="D412" s="24" t="str">
        <f>VLOOKUP(A412,MEMORIA!$A:$N,4,FALSE)</f>
        <v>DESINFECÇÃO</v>
      </c>
      <c r="E412" s="23" t="str">
        <f>VLOOKUP(A412,MEMORIA!$A:$N,5,FALSE)</f>
        <v>H</v>
      </c>
      <c r="F412" s="5">
        <f>VLOOKUP(A412,MEMORIA!$A:$N,14,FALSE)</f>
        <v>4</v>
      </c>
      <c r="G412" s="5">
        <f>VLOOKUP("TOTAL SEM BDI - "&amp;B412,CPU!$A:$J,9,FALSE)</f>
        <v>102.36000000000003</v>
      </c>
      <c r="H412" s="5">
        <f>VLOOKUP("TOTAL COM BDI - "&amp;B412,CPU!$A:$J,9,FALSE)</f>
        <v>125.22000000000003</v>
      </c>
      <c r="I412" s="5">
        <f t="shared" si="5"/>
        <v>500.88</v>
      </c>
    </row>
    <row r="413" spans="1:9" x14ac:dyDescent="0.3">
      <c r="A413" s="23" t="s">
        <v>459</v>
      </c>
      <c r="B413" s="23" t="str">
        <f>VLOOKUP(A413,MEMORIA!$A:$N,2,FALSE)</f>
        <v>COMPOS15</v>
      </c>
      <c r="C413" s="23" t="str">
        <f>VLOOKUP(A413,MEMORIA!$A:$N,3,FALSE)</f>
        <v>PRÓPRIA</v>
      </c>
      <c r="D413" s="24" t="str">
        <f>VLOOKUP(A413,MEMORIA!$A:$N,4,FALSE)</f>
        <v>RELATÓRIO TÉCNICO</v>
      </c>
      <c r="E413" s="23" t="str">
        <f>VLOOKUP(A413,MEMORIA!$A:$N,5,FALSE)</f>
        <v>UN</v>
      </c>
      <c r="F413" s="5">
        <f>VLOOKUP(A413,MEMORIA!$A:$N,14,FALSE)</f>
        <v>1</v>
      </c>
      <c r="G413" s="5">
        <f>VLOOKUP("TOTAL SEM BDI - "&amp;B413,CPU!$A:$J,9,FALSE)</f>
        <v>1110.2</v>
      </c>
      <c r="H413" s="5">
        <f>VLOOKUP("TOTAL COM BDI - "&amp;B413,CPU!$A:$J,9,FALSE)</f>
        <v>1358.1100000000001</v>
      </c>
      <c r="I413" s="5">
        <f t="shared" si="5"/>
        <v>1358.11</v>
      </c>
    </row>
    <row r="414" spans="1:9" x14ac:dyDescent="0.3">
      <c r="A414" s="23" t="s">
        <v>460</v>
      </c>
      <c r="B414" s="23" t="str">
        <f>VLOOKUP(A414,MEMORIA!$A:$N,2,FALSE)</f>
        <v>COMPOS16</v>
      </c>
      <c r="C414" s="23" t="str">
        <f>VLOOKUP(A414,MEMORIA!$A:$N,3,FALSE)</f>
        <v>PRÓPRIA</v>
      </c>
      <c r="D414" s="24" t="str">
        <f>VLOOKUP(A414,MEMORIA!$A:$N,4,FALSE)</f>
        <v>ANÁLISE FÍSICO-QUÍMICA DA ÁGUA</v>
      </c>
      <c r="E414" s="23" t="str">
        <f>VLOOKUP(A414,MEMORIA!$A:$N,5,FALSE)</f>
        <v>UN</v>
      </c>
      <c r="F414" s="5">
        <f>VLOOKUP(A414,MEMORIA!$A:$N,14,FALSE)</f>
        <v>1</v>
      </c>
      <c r="G414" s="5">
        <f>VLOOKUP("TOTAL SEM BDI - "&amp;B414,CPU!$A:$J,9,FALSE)</f>
        <v>565.21</v>
      </c>
      <c r="H414" s="5">
        <f>VLOOKUP("TOTAL COM BDI - "&amp;B414,CPU!$A:$J,9,FALSE)</f>
        <v>691.42000000000007</v>
      </c>
      <c r="I414" s="5">
        <f t="shared" si="5"/>
        <v>691.42</v>
      </c>
    </row>
    <row r="415" spans="1:9" x14ac:dyDescent="0.3">
      <c r="A415" s="23" t="s">
        <v>461</v>
      </c>
      <c r="B415" s="23" t="str">
        <f>VLOOKUP(A415,MEMORIA!$A:$N,2,FALSE)</f>
        <v>COMPOS1</v>
      </c>
      <c r="C415" s="23" t="str">
        <f>VLOOKUP(A415,MEMORIA!$A:$N,3,FALSE)</f>
        <v>PRÓPRIA</v>
      </c>
      <c r="D415" s="24" t="str">
        <f>VLOOKUP(A415,MEMORIA!$A:$N,4,FALSE)</f>
        <v>FORNECIMENTO E INSTALAÇÃO DE REVESTIMENTO GEOMECÂNICO STANDART DN-154-S</v>
      </c>
      <c r="E415" s="23" t="str">
        <f>VLOOKUP(A415,MEMORIA!$A:$N,5,FALSE)</f>
        <v>M</v>
      </c>
      <c r="F415" s="5">
        <f>VLOOKUP(A415,MEMORIA!$A:$N,14,FALSE)</f>
        <v>21</v>
      </c>
      <c r="G415" s="5">
        <f>VLOOKUP("TOTAL SEM BDI - "&amp;B415,CPU!$A:$J,9,FALSE)</f>
        <v>170.76</v>
      </c>
      <c r="H415" s="5">
        <f>VLOOKUP("TOTAL COM BDI - "&amp;B415,CPU!$A:$J,9,FALSE)</f>
        <v>208.89</v>
      </c>
      <c r="I415" s="5">
        <f t="shared" si="5"/>
        <v>4386.6899999999996</v>
      </c>
    </row>
    <row r="416" spans="1:9" x14ac:dyDescent="0.3">
      <c r="A416" s="23" t="s">
        <v>462</v>
      </c>
      <c r="B416" s="23" t="str">
        <f>VLOOKUP(A416,MEMORIA!$A:$N,2,FALSE)</f>
        <v>COMPOS2</v>
      </c>
      <c r="C416" s="23" t="str">
        <f>VLOOKUP(A416,MEMORIA!$A:$N,3,FALSE)</f>
        <v>PRÓPRIA</v>
      </c>
      <c r="D416" s="24" t="str">
        <f>VLOOKUP(A416,MEMORIA!$A:$N,4,FALSE)</f>
        <v>FORNECIMENTO E INSTALAÇÃO DE TAMPA PARA POÇO</v>
      </c>
      <c r="E416" s="23" t="str">
        <f>VLOOKUP(A416,MEMORIA!$A:$N,5,FALSE)</f>
        <v>UN</v>
      </c>
      <c r="F416" s="5">
        <f>VLOOKUP(A416,MEMORIA!$A:$N,14,FALSE)</f>
        <v>1</v>
      </c>
      <c r="G416" s="5">
        <f>VLOOKUP("TOTAL SEM BDI - "&amp;B416,CPU!$A:$J,9,FALSE)</f>
        <v>109.94</v>
      </c>
      <c r="H416" s="5">
        <f>VLOOKUP("TOTAL COM BDI - "&amp;B416,CPU!$A:$J,9,FALSE)</f>
        <v>134.49</v>
      </c>
      <c r="I416" s="5">
        <f t="shared" si="5"/>
        <v>134.49</v>
      </c>
    </row>
    <row r="417" spans="1:9" x14ac:dyDescent="0.3">
      <c r="A417" s="12" t="s">
        <v>136</v>
      </c>
      <c r="B417" s="51" t="str">
        <f>VLOOKUP(A417,MEMORIA!$A:$N,2,FALSE)</f>
        <v>AQUISIÇÃO E INSTALAÇÃO DE EQUIPAMENTOS DE BOMBEAMENTO, RECALQUE/BARRILETE E CONEXÕES PARA INTERLIGAÇÃO COM RESERVATÓRIO</v>
      </c>
      <c r="C417" s="52"/>
      <c r="D417" s="52"/>
      <c r="E417" s="52"/>
      <c r="F417" s="52"/>
      <c r="G417" s="52"/>
      <c r="H417" s="53"/>
      <c r="I417" s="13">
        <f>SUM($I$418:$I$420)</f>
        <v>9017.39</v>
      </c>
    </row>
    <row r="418" spans="1:9" x14ac:dyDescent="0.3">
      <c r="A418" s="23" t="s">
        <v>463</v>
      </c>
      <c r="B418" s="23" t="str">
        <f>VLOOKUP(A418,MEMORIA!$A:$N,2,FALSE)</f>
        <v>COMPOS19</v>
      </c>
      <c r="C418" s="23" t="str">
        <f>VLOOKUP(A418,MEMORIA!$A:$N,3,FALSE)</f>
        <v>PRÓPRIA</v>
      </c>
      <c r="D418" s="24" t="str">
        <f>VLOOKUP(A418,MEMORIA!$A:$N,4,FALSE)</f>
        <v>FORNECIMENTO E INSTALAÇÃO DE TUBO EDUTOR DE PVC DE 1.1/2'' COM LUVA</v>
      </c>
      <c r="E418" s="23" t="str">
        <f>VLOOKUP(A418,MEMORIA!$A:$N,5,FALSE)</f>
        <v>M</v>
      </c>
      <c r="F418" s="5">
        <f>VLOOKUP(A418,MEMORIA!$A:$N,14,FALSE)</f>
        <v>90</v>
      </c>
      <c r="G418" s="5">
        <f>VLOOKUP("TOTAL SEM BDI - "&amp;B418,CPU!$A:$J,9,FALSE)</f>
        <v>46.25</v>
      </c>
      <c r="H418" s="5">
        <f>VLOOKUP("TOTAL COM BDI - "&amp;B418,CPU!$A:$J,9,FALSE)</f>
        <v>56.58</v>
      </c>
      <c r="I418" s="5">
        <f>ROUND(F418*H418,2)</f>
        <v>5092.2</v>
      </c>
    </row>
    <row r="419" spans="1:9" x14ac:dyDescent="0.3">
      <c r="A419" s="23" t="s">
        <v>464</v>
      </c>
      <c r="B419" s="23" t="str">
        <f>VLOOKUP(A419,MEMORIA!$A:$N,2,FALSE)</f>
        <v>COMPOS21</v>
      </c>
      <c r="C419" s="23" t="str">
        <f>VLOOKUP(A419,MEMORIA!$A:$N,3,FALSE)</f>
        <v>PRÓPRIA</v>
      </c>
      <c r="D419" s="24" t="str">
        <f>VLOOKUP(A419,MEMORIA!$A:$N,4,FALSE)</f>
        <v>BARRILETE (CURVAS E CONEXÕES)</v>
      </c>
      <c r="E419" s="23" t="str">
        <f>VLOOKUP(A419,MEMORIA!$A:$N,5,FALSE)</f>
        <v>UN</v>
      </c>
      <c r="F419" s="5">
        <f>VLOOKUP(A419,MEMORIA!$A:$N,14,FALSE)</f>
        <v>1</v>
      </c>
      <c r="G419" s="5">
        <f>VLOOKUP("TOTAL SEM BDI - "&amp;B419,CPU!$A:$J,9,FALSE)</f>
        <v>2147.0500000000002</v>
      </c>
      <c r="H419" s="5">
        <f>VLOOKUP("TOTAL COM BDI - "&amp;B419,CPU!$A:$J,9,FALSE)</f>
        <v>2626.4900000000002</v>
      </c>
      <c r="I419" s="5">
        <f>ROUND(F419*H419,2)</f>
        <v>2626.49</v>
      </c>
    </row>
    <row r="420" spans="1:9" x14ac:dyDescent="0.3">
      <c r="A420" s="23" t="s">
        <v>465</v>
      </c>
      <c r="B420" s="23" t="str">
        <f>VLOOKUP(A420,MEMORIA!$A:$N,2,FALSE)</f>
        <v>COMPOS26</v>
      </c>
      <c r="C420" s="23" t="str">
        <f>VLOOKUP(A420,MEMORIA!$A:$N,3,FALSE)</f>
        <v>PRÓPRIA</v>
      </c>
      <c r="D420" s="24" t="str">
        <f>VLOOKUP(A420,MEMORIA!$A:$N,4,FALSE)</f>
        <v>AQUISIÇÃO E INSTALAÇÃO DE DOSADOR DE CLORO</v>
      </c>
      <c r="E420" s="23" t="str">
        <f>VLOOKUP(A420,MEMORIA!$A:$N,5,FALSE)</f>
        <v>UND</v>
      </c>
      <c r="F420" s="5">
        <f>VLOOKUP(A420,MEMORIA!$A:$N,14,FALSE)</f>
        <v>1</v>
      </c>
      <c r="G420" s="5">
        <f>VLOOKUP("TOTAL SEM BDI - "&amp;B420,CPU!$A:$J,9,FALSE)</f>
        <v>1061.6399999999999</v>
      </c>
      <c r="H420" s="5">
        <f>VLOOKUP("TOTAL COM BDI - "&amp;B420,CPU!$A:$J,9,FALSE)</f>
        <v>1298.6999999999998</v>
      </c>
      <c r="I420" s="5">
        <f>ROUND(F420*H420,2)</f>
        <v>1298.7</v>
      </c>
    </row>
    <row r="421" spans="1:9" x14ac:dyDescent="0.3">
      <c r="A421" s="12" t="s">
        <v>137</v>
      </c>
      <c r="B421" s="51" t="str">
        <f>VLOOKUP(A421,MEMORIA!$A:$N,2,FALSE)</f>
        <v>CONSTRUÇÃO DA CASA DE COMANDO</v>
      </c>
      <c r="C421" s="52"/>
      <c r="D421" s="52"/>
      <c r="E421" s="52"/>
      <c r="F421" s="52"/>
      <c r="G421" s="52"/>
      <c r="H421" s="53"/>
      <c r="I421" s="13">
        <f>SUM($I$422,$I$425,$I$427,$I$431,$I$434,$I$437,$I$440,$I$444,$I$447,$I$450,$I$453,)</f>
        <v>20274.329999999998</v>
      </c>
    </row>
    <row r="422" spans="1:9" x14ac:dyDescent="0.3">
      <c r="A422" s="15" t="s">
        <v>138</v>
      </c>
      <c r="B422" s="48" t="str">
        <f>VLOOKUP(A422,MEMORIA!$A:$N,2,FALSE)</f>
        <v>SERVIÇOS PRELIMINARES</v>
      </c>
      <c r="C422" s="49"/>
      <c r="D422" s="49"/>
      <c r="E422" s="49"/>
      <c r="F422" s="49"/>
      <c r="G422" s="49"/>
      <c r="H422" s="50"/>
      <c r="I422" s="16">
        <f>SUM($I$423:$I$424)</f>
        <v>1315.92</v>
      </c>
    </row>
    <row r="423" spans="1:9" x14ac:dyDescent="0.3">
      <c r="A423" s="23" t="s">
        <v>466</v>
      </c>
      <c r="B423" s="23">
        <f>VLOOKUP(A423,MEMORIA!$A:$N,2,FALSE)</f>
        <v>98524</v>
      </c>
      <c r="C423" s="23" t="str">
        <f>VLOOKUP(A423,MEMORIA!$A:$N,3,FALSE)</f>
        <v>SINAPI</v>
      </c>
      <c r="D423" s="24" t="str">
        <f>VLOOKUP(A423,MEMORIA!$A:$N,4,FALSE)</f>
        <v>LIMPEZA MANUAL DE VEGETAÇÃO EM TERRENO COM ENXADA. AF_03/2024</v>
      </c>
      <c r="E423" s="23" t="str">
        <f>VLOOKUP(A423,MEMORIA!$A:$N,5,FALSE)</f>
        <v>M2</v>
      </c>
      <c r="F423" s="5">
        <f>VLOOKUP(A423,MEMORIA!$A:$N,14,FALSE)</f>
        <v>100</v>
      </c>
      <c r="G423" s="5">
        <f>VLOOKUP("TOTAL SEM BDI - "&amp;B423,CPU!$A:$J,9,FALSE)</f>
        <v>4.62</v>
      </c>
      <c r="H423" s="5">
        <f>VLOOKUP("TOTAL COM BDI - "&amp;B423,CPU!$A:$J,9,FALSE)</f>
        <v>5.65</v>
      </c>
      <c r="I423" s="5">
        <f>ROUND(F423*H423,2)</f>
        <v>565</v>
      </c>
    </row>
    <row r="424" spans="1:9" ht="28.8" x14ac:dyDescent="0.3">
      <c r="A424" s="23" t="s">
        <v>467</v>
      </c>
      <c r="B424" s="23">
        <f>VLOOKUP(A424,MEMORIA!$A:$N,2,FALSE)</f>
        <v>99059</v>
      </c>
      <c r="C424" s="23" t="str">
        <f>VLOOKUP(A424,MEMORIA!$A:$N,3,FALSE)</f>
        <v>SINAPI</v>
      </c>
      <c r="D424" s="24" t="str">
        <f>VLOOKUP(A424,MEMORIA!$A:$N,4,FALSE)</f>
        <v>LOCAÇÃO CONVENCIONAL DE OBRA, UTILIZANDO GABARITO DE TÁBUAS CORRIDAS PONTALETADAS A CADA 2,00M - 2 UTILIZAÇÕES. AF_03/2024</v>
      </c>
      <c r="E424" s="23" t="str">
        <f>VLOOKUP(A424,MEMORIA!$A:$N,5,FALSE)</f>
        <v>M</v>
      </c>
      <c r="F424" s="5">
        <f>VLOOKUP(A424,MEMORIA!$A:$N,14,FALSE)</f>
        <v>10.199999999999999</v>
      </c>
      <c r="G424" s="5">
        <f>VLOOKUP("TOTAL SEM BDI - "&amp;B424,CPU!$A:$J,9,FALSE)</f>
        <v>60.18</v>
      </c>
      <c r="H424" s="5">
        <f>VLOOKUP("TOTAL COM BDI - "&amp;B424,CPU!$A:$J,9,FALSE)</f>
        <v>73.62</v>
      </c>
      <c r="I424" s="5">
        <f>ROUND(F424*H424,2)</f>
        <v>750.92</v>
      </c>
    </row>
    <row r="425" spans="1:9" x14ac:dyDescent="0.3">
      <c r="A425" s="15" t="s">
        <v>139</v>
      </c>
      <c r="B425" s="48" t="str">
        <f>VLOOKUP(A425,MEMORIA!$A:$N,2,FALSE)</f>
        <v>MOVIMENTO DE TERRA</v>
      </c>
      <c r="C425" s="49"/>
      <c r="D425" s="49"/>
      <c r="E425" s="49"/>
      <c r="F425" s="49"/>
      <c r="G425" s="49"/>
      <c r="H425" s="50"/>
      <c r="I425" s="16">
        <f>SUM($I$426:$I$426)</f>
        <v>161.76</v>
      </c>
    </row>
    <row r="426" spans="1:9" x14ac:dyDescent="0.3">
      <c r="A426" s="23" t="s">
        <v>468</v>
      </c>
      <c r="B426" s="23">
        <f>VLOOKUP(A426,MEMORIA!$A:$N,2,FALSE)</f>
        <v>93358</v>
      </c>
      <c r="C426" s="23" t="str">
        <f>VLOOKUP(A426,MEMORIA!$A:$N,3,FALSE)</f>
        <v>SINAPI</v>
      </c>
      <c r="D426" s="24" t="str">
        <f>VLOOKUP(A426,MEMORIA!$A:$N,4,FALSE)</f>
        <v>ESCAVAÇÃO MANUAL DE VALA. AF_09/2024</v>
      </c>
      <c r="E426" s="23" t="str">
        <f>VLOOKUP(A426,MEMORIA!$A:$N,5,FALSE)</f>
        <v>M3</v>
      </c>
      <c r="F426" s="5">
        <f>VLOOKUP(A426,MEMORIA!$A:$N,14,FALSE)</f>
        <v>1.54</v>
      </c>
      <c r="G426" s="5">
        <f>VLOOKUP("TOTAL SEM BDI - "&amp;B426,CPU!$A:$J,9,FALSE)</f>
        <v>85.87</v>
      </c>
      <c r="H426" s="5">
        <f>VLOOKUP("TOTAL COM BDI - "&amp;B426,CPU!$A:$J,9,FALSE)</f>
        <v>105.04</v>
      </c>
      <c r="I426" s="5">
        <f>ROUND(F426*H426,2)</f>
        <v>161.76</v>
      </c>
    </row>
    <row r="427" spans="1:9" x14ac:dyDescent="0.3">
      <c r="A427" s="15" t="s">
        <v>140</v>
      </c>
      <c r="B427" s="48" t="str">
        <f>VLOOKUP(A427,MEMORIA!$A:$N,2,FALSE)</f>
        <v>INFRAESTRUTURA</v>
      </c>
      <c r="C427" s="49"/>
      <c r="D427" s="49"/>
      <c r="E427" s="49"/>
      <c r="F427" s="49"/>
      <c r="G427" s="49"/>
      <c r="H427" s="50"/>
      <c r="I427" s="16">
        <f>SUM($I$428:$I$430)</f>
        <v>1229.81</v>
      </c>
    </row>
    <row r="428" spans="1:9" ht="28.8" x14ac:dyDescent="0.3">
      <c r="A428" s="23" t="s">
        <v>469</v>
      </c>
      <c r="B428" s="23">
        <f>VLOOKUP(A428,MEMORIA!$A:$N,2,FALSE)</f>
        <v>96617</v>
      </c>
      <c r="C428" s="23" t="str">
        <f>VLOOKUP(A428,MEMORIA!$A:$N,3,FALSE)</f>
        <v>SINAPI</v>
      </c>
      <c r="D428" s="24" t="str">
        <f>VLOOKUP(A428,MEMORIA!$A:$N,4,FALSE)</f>
        <v>LASTRO DE CONCRETO MAGRO, APLICADO EM BLOCOS DE COROAMENTO OU SAPATAS, ESPESSURA DE 3 CM. AF_01/2024</v>
      </c>
      <c r="E428" s="23" t="str">
        <f>VLOOKUP(A428,MEMORIA!$A:$N,5,FALSE)</f>
        <v>M2</v>
      </c>
      <c r="F428" s="5">
        <f>VLOOKUP(A428,MEMORIA!$A:$N,14,FALSE)</f>
        <v>2.58</v>
      </c>
      <c r="G428" s="5">
        <f>VLOOKUP("TOTAL SEM BDI - "&amp;B428,CPU!$A:$J,9,FALSE)</f>
        <v>23.57</v>
      </c>
      <c r="H428" s="5">
        <f>VLOOKUP("TOTAL COM BDI - "&amp;B428,CPU!$A:$J,9,FALSE)</f>
        <v>28.83</v>
      </c>
      <c r="I428" s="5">
        <f>ROUND(F428*H428,2)</f>
        <v>74.38</v>
      </c>
    </row>
    <row r="429" spans="1:9" ht="28.8" x14ac:dyDescent="0.3">
      <c r="A429" s="23" t="s">
        <v>470</v>
      </c>
      <c r="B429" s="23">
        <f>VLOOKUP(A429,MEMORIA!$A:$N,2,FALSE)</f>
        <v>103800</v>
      </c>
      <c r="C429" s="23" t="str">
        <f>VLOOKUP(A429,MEMORIA!$A:$N,3,FALSE)</f>
        <v>SINAPI</v>
      </c>
      <c r="D429" s="24" t="str">
        <f>VLOOKUP(A429,MEMORIA!$A:$N,4,FALSE)</f>
        <v>PEDRA ARGAMASSADA COM CIMENTO E AREIA 1:3, 40% DE ARGAMASSA EM VOLUME - AREIA E PEDRA DE MÃO COMERCIAIS - FORNECIMENTO E ASSENTAMENTO. AF_08/2022</v>
      </c>
      <c r="E429" s="23" t="str">
        <f>VLOOKUP(A429,MEMORIA!$A:$N,5,FALSE)</f>
        <v>M3</v>
      </c>
      <c r="F429" s="5">
        <f>VLOOKUP(A429,MEMORIA!$A:$N,14,FALSE)</f>
        <v>1.04</v>
      </c>
      <c r="G429" s="5">
        <f>VLOOKUP("TOTAL SEM BDI - "&amp;B429,CPU!$A:$J,9,FALSE)</f>
        <v>666</v>
      </c>
      <c r="H429" s="5">
        <f>VLOOKUP("TOTAL COM BDI - "&amp;B429,CPU!$A:$J,9,FALSE)</f>
        <v>814.72</v>
      </c>
      <c r="I429" s="5">
        <f>ROUND(F429*H429,2)</f>
        <v>847.31</v>
      </c>
    </row>
    <row r="430" spans="1:9" ht="43.2" x14ac:dyDescent="0.3">
      <c r="A430" s="23" t="s">
        <v>471</v>
      </c>
      <c r="B430" s="23">
        <f>VLOOKUP(A430,MEMORIA!$A:$N,2,FALSE)</f>
        <v>103335</v>
      </c>
      <c r="C430" s="23" t="str">
        <f>VLOOKUP(A430,MEMORIA!$A:$N,3,FALSE)</f>
        <v>SINAPI</v>
      </c>
      <c r="D430" s="24" t="str">
        <f>VLOOKUP(A430,MEMORIA!$A:$N,4,FALSE)</f>
        <v>ALVENARIA DE VEDAÇÃO DE BLOCOS CERÂMICOS FURADOS NA HORIZONTAL DE 14X9X19 CM (ESPESSURA 14 CM, BLOCO DEITADO) E ARGAMASSA DE ASSENTAMENTO COM PREPARO MANUAL. AF_12/2021</v>
      </c>
      <c r="E430" s="23" t="str">
        <f>VLOOKUP(A430,MEMORIA!$A:$N,5,FALSE)</f>
        <v>M2</v>
      </c>
      <c r="F430" s="5">
        <f>VLOOKUP(A430,MEMORIA!$A:$N,14,FALSE)</f>
        <v>1.7200000000000002</v>
      </c>
      <c r="G430" s="5">
        <f>VLOOKUP("TOTAL SEM BDI - "&amp;B430,CPU!$A:$J,9,FALSE)</f>
        <v>146.44</v>
      </c>
      <c r="H430" s="5">
        <f>VLOOKUP("TOTAL COM BDI - "&amp;B430,CPU!$A:$J,9,FALSE)</f>
        <v>179.14</v>
      </c>
      <c r="I430" s="5">
        <f>ROUND(F430*H430,2)</f>
        <v>308.12</v>
      </c>
    </row>
    <row r="431" spans="1:9" x14ac:dyDescent="0.3">
      <c r="A431" s="15" t="s">
        <v>141</v>
      </c>
      <c r="B431" s="48" t="str">
        <f>VLOOKUP(A431,MEMORIA!$A:$N,2,FALSE)</f>
        <v>SUPERESTRUTURA</v>
      </c>
      <c r="C431" s="49"/>
      <c r="D431" s="49"/>
      <c r="E431" s="49"/>
      <c r="F431" s="49"/>
      <c r="G431" s="49"/>
      <c r="H431" s="50"/>
      <c r="I431" s="16">
        <f>SUM($I$432:$I$433)</f>
        <v>1323.3</v>
      </c>
    </row>
    <row r="432" spans="1:9" x14ac:dyDescent="0.3">
      <c r="A432" s="23" t="s">
        <v>472</v>
      </c>
      <c r="B432" s="23" t="str">
        <f>VLOOKUP(A432,MEMORIA!$A:$N,2,FALSE)</f>
        <v>COMPCOM01</v>
      </c>
      <c r="C432" s="23" t="str">
        <f>VLOOKUP(A432,MEMORIA!$A:$N,3,FALSE)</f>
        <v>PRÓPRIA</v>
      </c>
      <c r="D432" s="24" t="str">
        <f>VLOOKUP(A432,MEMORIA!$A:$N,4,FALSE)</f>
        <v>CINTA DE AMARRAÇÃO DE ALVENARIA MOLDADA IN LOCO EM CONCRETO</v>
      </c>
      <c r="E432" s="23" t="str">
        <f>VLOOKUP(A432,MEMORIA!$A:$N,5,FALSE)</f>
        <v>M</v>
      </c>
      <c r="F432" s="5">
        <f>VLOOKUP(A432,MEMORIA!$A:$N,14,FALSE)</f>
        <v>8.6</v>
      </c>
      <c r="G432" s="5">
        <f>VLOOKUP("TOTAL SEM BDI - "&amp;B432,CPU!$A:$J,9,FALSE)</f>
        <v>81.47999999999999</v>
      </c>
      <c r="H432" s="5">
        <f>VLOOKUP("TOTAL COM BDI - "&amp;B432,CPU!$A:$J,9,FALSE)</f>
        <v>99.669999999999987</v>
      </c>
      <c r="I432" s="5">
        <f>ROUND(F432*H432,2)</f>
        <v>857.16</v>
      </c>
    </row>
    <row r="433" spans="1:9" ht="28.8" x14ac:dyDescent="0.3">
      <c r="A433" s="23" t="s">
        <v>473</v>
      </c>
      <c r="B433" s="23" t="str">
        <f>VLOOKUP(A433,MEMORIA!$A:$N,2,FALSE)</f>
        <v>COMPCOM02</v>
      </c>
      <c r="C433" s="23" t="str">
        <f>VLOOKUP(A433,MEMORIA!$A:$N,3,FALSE)</f>
        <v>PRÓPRIA</v>
      </c>
      <c r="D433" s="24" t="str">
        <f>VLOOKUP(A433,MEMORIA!$A:$N,4,FALSE)</f>
        <v>(COMPOSIÇÃO REPRESENTATIVA) EXECUÇÃO DE ESTRUTURAS DE CONCRETO ARMADO, PARA EDIFICAÇÃO INSTITUCIONAL TÉRREA, FCK = 25 MPA</v>
      </c>
      <c r="E433" s="23" t="str">
        <f>VLOOKUP(A433,MEMORIA!$A:$N,5,FALSE)</f>
        <v>M³</v>
      </c>
      <c r="F433" s="5">
        <f>VLOOKUP(A433,MEMORIA!$A:$N,14,FALSE)</f>
        <v>0.30000000000000004</v>
      </c>
      <c r="G433" s="5">
        <f>VLOOKUP("TOTAL SEM BDI - "&amp;B433,CPU!$A:$J,9,FALSE)</f>
        <v>1270.1599999999999</v>
      </c>
      <c r="H433" s="5">
        <f>VLOOKUP("TOTAL COM BDI - "&amp;B433,CPU!$A:$J,9,FALSE)</f>
        <v>1553.79</v>
      </c>
      <c r="I433" s="5">
        <f>ROUND(F433*H433,2)</f>
        <v>466.14</v>
      </c>
    </row>
    <row r="434" spans="1:9" x14ac:dyDescent="0.3">
      <c r="A434" s="15" t="s">
        <v>142</v>
      </c>
      <c r="B434" s="48" t="str">
        <f>VLOOKUP(A434,MEMORIA!$A:$N,2,FALSE)</f>
        <v>VEDAÇÃO VERTICAL</v>
      </c>
      <c r="C434" s="49"/>
      <c r="D434" s="49"/>
      <c r="E434" s="49"/>
      <c r="F434" s="49"/>
      <c r="G434" s="49"/>
      <c r="H434" s="50"/>
      <c r="I434" s="16">
        <f>SUM($I$435:$I$436)</f>
        <v>2620</v>
      </c>
    </row>
    <row r="435" spans="1:9" ht="43.2" x14ac:dyDescent="0.3">
      <c r="A435" s="23" t="s">
        <v>474</v>
      </c>
      <c r="B435" s="23">
        <f>VLOOKUP(A435,MEMORIA!$A:$N,2,FALSE)</f>
        <v>103329</v>
      </c>
      <c r="C435" s="23" t="str">
        <f>VLOOKUP(A435,MEMORIA!$A:$N,3,FALSE)</f>
        <v>SINAPI</v>
      </c>
      <c r="D435" s="24" t="str">
        <f>VLOOKUP(A435,MEMORIA!$A:$N,4,FALSE)</f>
        <v>ALVENARIA DE VEDAÇÃO DE BLOCOS CERÂMICOS FURADOS NA HORIZONTAL DE 9X19X19 CM (ESPESSURA 9 CM) E ARGAMASSA DE ASSENTAMENTO COM PREPARO MANUAL. AF_12/2021</v>
      </c>
      <c r="E435" s="23" t="str">
        <f>VLOOKUP(A435,MEMORIA!$A:$N,5,FALSE)</f>
        <v>M2</v>
      </c>
      <c r="F435" s="5">
        <f>VLOOKUP(A435,MEMORIA!$A:$N,14,FALSE)</f>
        <v>19.310000000000002</v>
      </c>
      <c r="G435" s="5">
        <f>VLOOKUP("TOTAL SEM BDI - "&amp;B435,CPU!$A:$J,9,FALSE)</f>
        <v>95.039999999999992</v>
      </c>
      <c r="H435" s="5">
        <f>VLOOKUP("TOTAL COM BDI - "&amp;B435,CPU!$A:$J,9,FALSE)</f>
        <v>116.25999999999999</v>
      </c>
      <c r="I435" s="5">
        <f>ROUND(F435*H435,2)</f>
        <v>2244.98</v>
      </c>
    </row>
    <row r="436" spans="1:9" ht="43.2" x14ac:dyDescent="0.3">
      <c r="A436" s="23" t="s">
        <v>475</v>
      </c>
      <c r="B436" s="23">
        <f>VLOOKUP(A436,MEMORIA!$A:$N,2,FALSE)</f>
        <v>101161</v>
      </c>
      <c r="C436" s="23" t="str">
        <f>VLOOKUP(A436,MEMORIA!$A:$N,3,FALSE)</f>
        <v>SINAPI</v>
      </c>
      <c r="D436" s="24" t="str">
        <f>VLOOKUP(A436,MEMORIA!$A:$N,4,FALSE)</f>
        <v>ALVENARIA DE VEDAÇÃO COM ELEMENTO VAZADO DE CONCRETO (COBOGÓ) DE 7X50X50CM E ARGAMASSA DE ASSENTAMENTO COM PREPARO EM BETONEIRA. AF_05/2020</v>
      </c>
      <c r="E436" s="23" t="str">
        <f>VLOOKUP(A436,MEMORIA!$A:$N,5,FALSE)</f>
        <v>M2</v>
      </c>
      <c r="F436" s="5">
        <f>VLOOKUP(A436,MEMORIA!$A:$N,14,FALSE)</f>
        <v>1.5</v>
      </c>
      <c r="G436" s="5">
        <f>VLOOKUP("TOTAL SEM BDI - "&amp;B436,CPU!$A:$J,9,FALSE)</f>
        <v>204.37</v>
      </c>
      <c r="H436" s="5">
        <f>VLOOKUP("TOTAL COM BDI - "&amp;B436,CPU!$A:$J,9,FALSE)</f>
        <v>250.01</v>
      </c>
      <c r="I436" s="5">
        <f>ROUND(F436*H436,2)</f>
        <v>375.02</v>
      </c>
    </row>
    <row r="437" spans="1:9" x14ac:dyDescent="0.3">
      <c r="A437" s="15" t="s">
        <v>143</v>
      </c>
      <c r="B437" s="48" t="str">
        <f>VLOOKUP(A437,MEMORIA!$A:$N,2,FALSE)</f>
        <v>COBERTURA</v>
      </c>
      <c r="C437" s="49"/>
      <c r="D437" s="49"/>
      <c r="E437" s="49"/>
      <c r="F437" s="49"/>
      <c r="G437" s="49"/>
      <c r="H437" s="50"/>
      <c r="I437" s="16">
        <f>SUM($I$438:$I$439)</f>
        <v>1305.45</v>
      </c>
    </row>
    <row r="438" spans="1:9" ht="28.8" x14ac:dyDescent="0.3">
      <c r="A438" s="23" t="s">
        <v>476</v>
      </c>
      <c r="B438" s="23" t="str">
        <f>VLOOKUP(A438,MEMORIA!$A:$N,2,FALSE)</f>
        <v>COMPCOM03</v>
      </c>
      <c r="C438" s="23" t="str">
        <f>VLOOKUP(A438,MEMORIA!$A:$N,3,FALSE)</f>
        <v>PRÓPRIA</v>
      </c>
      <c r="D438" s="24" t="str">
        <f>VLOOKUP(A438,MEMORIA!$A:$N,4,FALSE)</f>
        <v>TELHAMENTO COM TELHA CERÂMICA CAPA-CANAL, TIPO COLONIAL, COM ATÉ 2 ÁGUAS, INCLUSO TRANSPORTE VERTICAL</v>
      </c>
      <c r="E438" s="23" t="str">
        <f>VLOOKUP(A438,MEMORIA!$A:$N,5,FALSE)</f>
        <v>M²</v>
      </c>
      <c r="F438" s="5">
        <f>VLOOKUP(A438,MEMORIA!$A:$N,14,FALSE)</f>
        <v>10.23</v>
      </c>
      <c r="G438" s="5">
        <f>VLOOKUP("TOTAL SEM BDI - "&amp;B438,CPU!$A:$J,9,FALSE)</f>
        <v>37.64</v>
      </c>
      <c r="H438" s="5">
        <f>VLOOKUP("TOTAL COM BDI - "&amp;B438,CPU!$A:$J,9,FALSE)</f>
        <v>46.05</v>
      </c>
      <c r="I438" s="5">
        <f>ROUND(F438*H438,2)</f>
        <v>471.09</v>
      </c>
    </row>
    <row r="439" spans="1:9" ht="28.8" x14ac:dyDescent="0.3">
      <c r="A439" s="23" t="s">
        <v>477</v>
      </c>
      <c r="B439" s="23" t="str">
        <f>VLOOKUP(A439,MEMORIA!$A:$N,2,FALSE)</f>
        <v>COMPCOM04</v>
      </c>
      <c r="C439" s="23" t="str">
        <f>VLOOKUP(A439,MEMORIA!$A:$N,3,FALSE)</f>
        <v>PRÓPRIA</v>
      </c>
      <c r="D439" s="24" t="str">
        <f>VLOOKUP(A439,MEMORIA!$A:$N,4,FALSE)</f>
        <v>TRAMA DE MADEIRA COMPOSTA POR RIPAS, CAIBROS E TERÇAS PARA TELHADOS DE ATÉ 2 ÁGUAS PARA TELHA CERÂMICA CAPA-CANAL, INCLUSO TRANSPORTE VERTICAL</v>
      </c>
      <c r="E439" s="23" t="str">
        <f>VLOOKUP(A439,MEMORIA!$A:$N,5,FALSE)</f>
        <v>M²</v>
      </c>
      <c r="F439" s="5">
        <f>VLOOKUP(A439,MEMORIA!$A:$N,14,FALSE)</f>
        <v>10.23</v>
      </c>
      <c r="G439" s="5">
        <f>VLOOKUP("TOTAL SEM BDI - "&amp;B439,CPU!$A:$J,9,FALSE)</f>
        <v>66.67</v>
      </c>
      <c r="H439" s="5">
        <f>VLOOKUP("TOTAL COM BDI - "&amp;B439,CPU!$A:$J,9,FALSE)</f>
        <v>81.56</v>
      </c>
      <c r="I439" s="5">
        <f>ROUND(F439*H439,2)</f>
        <v>834.36</v>
      </c>
    </row>
    <row r="440" spans="1:9" x14ac:dyDescent="0.3">
      <c r="A440" s="15" t="s">
        <v>144</v>
      </c>
      <c r="B440" s="48" t="str">
        <f>VLOOKUP(A440,MEMORIA!$A:$N,2,FALSE)</f>
        <v>PISO</v>
      </c>
      <c r="C440" s="49"/>
      <c r="D440" s="49"/>
      <c r="E440" s="49"/>
      <c r="F440" s="49"/>
      <c r="G440" s="49"/>
      <c r="H440" s="50"/>
      <c r="I440" s="16">
        <f>SUM($I$441:$I$443)</f>
        <v>1174.01</v>
      </c>
    </row>
    <row r="441" spans="1:9" ht="28.8" x14ac:dyDescent="0.3">
      <c r="A441" s="23" t="s">
        <v>478</v>
      </c>
      <c r="B441" s="23">
        <f>VLOOKUP(A441,MEMORIA!$A:$N,2,FALSE)</f>
        <v>96617</v>
      </c>
      <c r="C441" s="23" t="str">
        <f>VLOOKUP(A441,MEMORIA!$A:$N,3,FALSE)</f>
        <v>SINAPI</v>
      </c>
      <c r="D441" s="24" t="str">
        <f>VLOOKUP(A441,MEMORIA!$A:$N,4,FALSE)</f>
        <v>LASTRO DE CONCRETO MAGRO, APLICADO EM BLOCOS DE COROAMENTO OU SAPATAS, ESPESSURA DE 3 CM. AF_01/2024</v>
      </c>
      <c r="E441" s="23" t="str">
        <f>VLOOKUP(A441,MEMORIA!$A:$N,5,FALSE)</f>
        <v>M2</v>
      </c>
      <c r="F441" s="5">
        <f>VLOOKUP(A441,MEMORIA!$A:$N,14,FALSE)</f>
        <v>4</v>
      </c>
      <c r="G441" s="5">
        <f>VLOOKUP("TOTAL SEM BDI - "&amp;B441,CPU!$A:$J,9,FALSE)</f>
        <v>23.57</v>
      </c>
      <c r="H441" s="5">
        <f>VLOOKUP("TOTAL COM BDI - "&amp;B441,CPU!$A:$J,9,FALSE)</f>
        <v>28.83</v>
      </c>
      <c r="I441" s="5">
        <f>ROUND(F441*H441,2)</f>
        <v>115.32</v>
      </c>
    </row>
    <row r="442" spans="1:9" ht="28.8" x14ac:dyDescent="0.3">
      <c r="A442" s="23" t="s">
        <v>479</v>
      </c>
      <c r="B442" s="23">
        <f>VLOOKUP(A442,MEMORIA!$A:$N,2,FALSE)</f>
        <v>101749</v>
      </c>
      <c r="C442" s="23" t="str">
        <f>VLOOKUP(A442,MEMORIA!$A:$N,3,FALSE)</f>
        <v>SINAPI</v>
      </c>
      <c r="D442" s="24" t="str">
        <f>VLOOKUP(A442,MEMORIA!$A:$N,4,FALSE)</f>
        <v>PISO CIMENTADO, TRAÇO 1:3 (CIMENTO E AREIA), ACABAMENTO LISO, ESPESSURA 4,0 CM, PREPARO MECÂNICO DA ARGAMASSA. AF_09/2020</v>
      </c>
      <c r="E442" s="23" t="str">
        <f>VLOOKUP(A442,MEMORIA!$A:$N,5,FALSE)</f>
        <v>M2</v>
      </c>
      <c r="F442" s="5">
        <f>VLOOKUP(A442,MEMORIA!$A:$N,14,FALSE)</f>
        <v>4</v>
      </c>
      <c r="G442" s="5">
        <f>VLOOKUP("TOTAL SEM BDI - "&amp;B442,CPU!$A:$J,9,FALSE)</f>
        <v>64.739999999999995</v>
      </c>
      <c r="H442" s="5">
        <f>VLOOKUP("TOTAL COM BDI - "&amp;B442,CPU!$A:$J,9,FALSE)</f>
        <v>79.199999999999989</v>
      </c>
      <c r="I442" s="5">
        <f>ROUND(F442*H442,2)</f>
        <v>316.8</v>
      </c>
    </row>
    <row r="443" spans="1:9" ht="43.2" x14ac:dyDescent="0.3">
      <c r="A443" s="23" t="s">
        <v>480</v>
      </c>
      <c r="B443" s="23">
        <f>VLOOKUP(A443,MEMORIA!$A:$N,2,FALSE)</f>
        <v>94994</v>
      </c>
      <c r="C443" s="23" t="str">
        <f>VLOOKUP(A443,MEMORIA!$A:$N,3,FALSE)</f>
        <v>SINAPI</v>
      </c>
      <c r="D443" s="24" t="str">
        <f>VLOOKUP(A443,MEMORIA!$A:$N,4,FALSE)</f>
        <v>EXECUÇÃO DE PASSEIO (CALÇADA) OU PISO DE CONCRETO COM CONCRETO MOLDADO IN LOCO, FEITO EM OBRA, ACABAMENTO CONVENCIONAL, ESPESSURA 8 CM, ARMADO. AF_08/2022</v>
      </c>
      <c r="E443" s="23" t="str">
        <f>VLOOKUP(A443,MEMORIA!$A:$N,5,FALSE)</f>
        <v>M2</v>
      </c>
      <c r="F443" s="5">
        <f>VLOOKUP(A443,MEMORIA!$A:$N,14,FALSE)</f>
        <v>5.6</v>
      </c>
      <c r="G443" s="5">
        <f>VLOOKUP("TOTAL SEM BDI - "&amp;B443,CPU!$A:$J,9,FALSE)</f>
        <v>108.30000000000003</v>
      </c>
      <c r="H443" s="5">
        <f>VLOOKUP("TOTAL COM BDI - "&amp;B443,CPU!$A:$J,9,FALSE)</f>
        <v>132.48000000000002</v>
      </c>
      <c r="I443" s="5">
        <f>ROUND(F443*H443,2)</f>
        <v>741.89</v>
      </c>
    </row>
    <row r="444" spans="1:9" x14ac:dyDescent="0.3">
      <c r="A444" s="15" t="s">
        <v>145</v>
      </c>
      <c r="B444" s="48" t="str">
        <f>VLOOKUP(A444,MEMORIA!$A:$N,2,FALSE)</f>
        <v>REVESTIMENTO</v>
      </c>
      <c r="C444" s="49"/>
      <c r="D444" s="49"/>
      <c r="E444" s="49"/>
      <c r="F444" s="49"/>
      <c r="G444" s="49"/>
      <c r="H444" s="50"/>
      <c r="I444" s="16">
        <f>SUM($I$445:$I$446)</f>
        <v>2341.92</v>
      </c>
    </row>
    <row r="445" spans="1:9" ht="43.2" x14ac:dyDescent="0.3">
      <c r="A445" s="23" t="s">
        <v>481</v>
      </c>
      <c r="B445" s="23">
        <f>VLOOKUP(A445,MEMORIA!$A:$N,2,FALSE)</f>
        <v>87904</v>
      </c>
      <c r="C445" s="23" t="str">
        <f>VLOOKUP(A445,MEMORIA!$A:$N,3,FALSE)</f>
        <v>SINAPI</v>
      </c>
      <c r="D445" s="24" t="str">
        <f>VLOOKUP(A445,MEMORIA!$A:$N,4,FALSE)</f>
        <v>CHAPISCO APLICADO EM ALVENARIA (COM PRESENÇA DE VÃOS) E ESTRUTURAS DE CONCRETO DE FACHADA, COM COLHER DE PEDREIRO. ARGAMASSA TRAÇO 1:3 COM PREPARO MANUAL. AF_10/2022</v>
      </c>
      <c r="E445" s="23" t="str">
        <f>VLOOKUP(A445,MEMORIA!$A:$N,5,FALSE)</f>
        <v>M2</v>
      </c>
      <c r="F445" s="5">
        <f>VLOOKUP(A445,MEMORIA!$A:$N,14,FALSE)</f>
        <v>38.619999999999997</v>
      </c>
      <c r="G445" s="5">
        <f>VLOOKUP("TOTAL SEM BDI - "&amp;B445,CPU!$A:$J,9,FALSE)</f>
        <v>8.7199999999999989</v>
      </c>
      <c r="H445" s="5">
        <f>VLOOKUP("TOTAL COM BDI - "&amp;B445,CPU!$A:$J,9,FALSE)</f>
        <v>10.669999999999998</v>
      </c>
      <c r="I445" s="5">
        <f>ROUND(F445*H445,2)</f>
        <v>412.08</v>
      </c>
    </row>
    <row r="446" spans="1:9" ht="43.2" x14ac:dyDescent="0.3">
      <c r="A446" s="23" t="s">
        <v>482</v>
      </c>
      <c r="B446" s="23">
        <f>VLOOKUP(A446,MEMORIA!$A:$N,2,FALSE)</f>
        <v>87530</v>
      </c>
      <c r="C446" s="23" t="str">
        <f>VLOOKUP(A446,MEMORIA!$A:$N,3,FALSE)</f>
        <v>SINAPI</v>
      </c>
      <c r="D446" s="24" t="str">
        <f>VLOOKUP(A446,MEMORIA!$A:$N,4,FALSE)</f>
        <v>MASSA ÚNICA, EM ARGAMASSA TRAÇO 1:2:8, PREPARO MANUAL, APLICADA MANUALMENTE EM PAREDES INTERNAS DE AMBIENTES COM ÁREA ENTRE 5M² E 10M², E = 17,5MM, COM TALISCAS. AF_03/2024</v>
      </c>
      <c r="E446" s="23" t="str">
        <f>VLOOKUP(A446,MEMORIA!$A:$N,5,FALSE)</f>
        <v>M2</v>
      </c>
      <c r="F446" s="5">
        <f>VLOOKUP(A446,MEMORIA!$A:$N,14,FALSE)</f>
        <v>38.619999999999997</v>
      </c>
      <c r="G446" s="5">
        <f>VLOOKUP("TOTAL SEM BDI - "&amp;B446,CPU!$A:$J,9,FALSE)</f>
        <v>40.85</v>
      </c>
      <c r="H446" s="5">
        <f>VLOOKUP("TOTAL COM BDI - "&amp;B446,CPU!$A:$J,9,FALSE)</f>
        <v>49.97</v>
      </c>
      <c r="I446" s="5">
        <f>ROUND(F446*H446,2)</f>
        <v>1929.84</v>
      </c>
    </row>
    <row r="447" spans="1:9" x14ac:dyDescent="0.3">
      <c r="A447" s="15" t="s">
        <v>146</v>
      </c>
      <c r="B447" s="48" t="str">
        <f>VLOOKUP(A447,MEMORIA!$A:$N,2,FALSE)</f>
        <v>ESQUADRIAS</v>
      </c>
      <c r="C447" s="49"/>
      <c r="D447" s="49"/>
      <c r="E447" s="49"/>
      <c r="F447" s="49"/>
      <c r="G447" s="49"/>
      <c r="H447" s="50"/>
      <c r="I447" s="16">
        <f>SUM($I$448:$I$449)</f>
        <v>2243.75</v>
      </c>
    </row>
    <row r="448" spans="1:9" x14ac:dyDescent="0.3">
      <c r="A448" s="23" t="s">
        <v>483</v>
      </c>
      <c r="B448" s="23">
        <f>VLOOKUP(A448,MEMORIA!$A:$N,2,FALSE)</f>
        <v>100701</v>
      </c>
      <c r="C448" s="23" t="str">
        <f>VLOOKUP(A448,MEMORIA!$A:$N,3,FALSE)</f>
        <v>SINAPI</v>
      </c>
      <c r="D448" s="24" t="str">
        <f>VLOOKUP(A448,MEMORIA!$A:$N,4,FALSE)</f>
        <v>PORTA DE FERRO, DE ABRIR, TIPO GRADE COM CHAPA, COM GUARNIÇÕES. AF_12/2019</v>
      </c>
      <c r="E448" s="23" t="str">
        <f>VLOOKUP(A448,MEMORIA!$A:$N,5,FALSE)</f>
        <v>M2</v>
      </c>
      <c r="F448" s="5">
        <f>VLOOKUP(A448,MEMORIA!$A:$N,14,FALSE)</f>
        <v>1.68</v>
      </c>
      <c r="G448" s="5">
        <f>VLOOKUP("TOTAL SEM BDI - "&amp;B448,CPU!$A:$J,9,FALSE)</f>
        <v>415.24</v>
      </c>
      <c r="H448" s="5">
        <f>VLOOKUP("TOTAL COM BDI - "&amp;B448,CPU!$A:$J,9,FALSE)</f>
        <v>507.96000000000004</v>
      </c>
      <c r="I448" s="5">
        <f>ROUND(F448*H448,2)</f>
        <v>853.37</v>
      </c>
    </row>
    <row r="449" spans="1:9" x14ac:dyDescent="0.3">
      <c r="A449" s="23" t="s">
        <v>484</v>
      </c>
      <c r="B449" s="23" t="str">
        <f>VLOOKUP(A449,MEMORIA!$A:$N,2,FALSE)</f>
        <v>COMP219</v>
      </c>
      <c r="C449" s="23" t="str">
        <f>VLOOKUP(A449,MEMORIA!$A:$N,3,FALSE)</f>
        <v>PRÓPRIA</v>
      </c>
      <c r="D449" s="24" t="str">
        <f>VLOOKUP(A449,MEMORIA!$A:$N,4,FALSE)</f>
        <v>PORTÃO DE FERRO EM BARRA CHATA TIPO TIJOLINHO (REF: C1999-SEINFRA 28)</v>
      </c>
      <c r="E449" s="23" t="str">
        <f>VLOOKUP(A449,MEMORIA!$A:$N,5,FALSE)</f>
        <v>M2</v>
      </c>
      <c r="F449" s="5">
        <f>VLOOKUP(A449,MEMORIA!$A:$N,14,FALSE)</f>
        <v>6</v>
      </c>
      <c r="G449" s="5">
        <f>VLOOKUP("TOTAL SEM BDI - "&amp;B449,CPU!$A:$J,9,FALSE)</f>
        <v>189.43</v>
      </c>
      <c r="H449" s="5">
        <f>VLOOKUP("TOTAL COM BDI - "&amp;B449,CPU!$A:$J,9,FALSE)</f>
        <v>231.73000000000002</v>
      </c>
      <c r="I449" s="5">
        <f>ROUND(F449*H449,2)</f>
        <v>1390.38</v>
      </c>
    </row>
    <row r="450" spans="1:9" x14ac:dyDescent="0.3">
      <c r="A450" s="15" t="s">
        <v>147</v>
      </c>
      <c r="B450" s="48" t="str">
        <f>VLOOKUP(A450,MEMORIA!$A:$N,2,FALSE)</f>
        <v>PINTURA</v>
      </c>
      <c r="C450" s="49"/>
      <c r="D450" s="49"/>
      <c r="E450" s="49"/>
      <c r="F450" s="49"/>
      <c r="G450" s="49"/>
      <c r="H450" s="50"/>
      <c r="I450" s="16">
        <f>SUM($I$451:$I$452)</f>
        <v>649.88</v>
      </c>
    </row>
    <row r="451" spans="1:9" x14ac:dyDescent="0.3">
      <c r="A451" s="23" t="s">
        <v>485</v>
      </c>
      <c r="B451" s="23" t="str">
        <f>VLOOKUP(A451,MEMORIA!$A:$N,2,FALSE)</f>
        <v>COMP205</v>
      </c>
      <c r="C451" s="23" t="str">
        <f>VLOOKUP(A451,MEMORIA!$A:$N,3,FALSE)</f>
        <v>PRÓPRIA</v>
      </c>
      <c r="D451" s="24" t="str">
        <f>VLOOKUP(A451,MEMORIA!$A:$N,4,FALSE)</f>
        <v>CAIAÇÃO EM TRES DEMÃOS EM PAREDES (REF: C0589-SEINFRA 28)</v>
      </c>
      <c r="E451" s="23" t="str">
        <f>VLOOKUP(A451,MEMORIA!$A:$N,5,FALSE)</f>
        <v>M2</v>
      </c>
      <c r="F451" s="5">
        <f>VLOOKUP(A451,MEMORIA!$A:$N,14,FALSE)</f>
        <v>38.619999999999997</v>
      </c>
      <c r="G451" s="5">
        <f>VLOOKUP("TOTAL SEM BDI - "&amp;B451,CPU!$A:$J,9,FALSE)</f>
        <v>9.3800000000000008</v>
      </c>
      <c r="H451" s="5">
        <f>VLOOKUP("TOTAL COM BDI - "&amp;B451,CPU!$A:$J,9,FALSE)</f>
        <v>11.47</v>
      </c>
      <c r="I451" s="5">
        <f>ROUND(F451*H451,2)</f>
        <v>442.97</v>
      </c>
    </row>
    <row r="452" spans="1:9" ht="43.2" x14ac:dyDescent="0.3">
      <c r="A452" s="23" t="s">
        <v>486</v>
      </c>
      <c r="B452" s="23">
        <f>VLOOKUP(A452,MEMORIA!$A:$N,2,FALSE)</f>
        <v>100758</v>
      </c>
      <c r="C452" s="23" t="str">
        <f>VLOOKUP(A452,MEMORIA!$A:$N,3,FALSE)</f>
        <v>SINAPI</v>
      </c>
      <c r="D452" s="24" t="str">
        <f>VLOOKUP(A452,MEMORIA!$A:$N,4,FALSE)</f>
        <v>PINTURA COM TINTA ALQUÍDICA DE ACABAMENTO (ESMALTE SINTÉTICO ACETINADO) APLICADA A ROLO OU PINCEL SOBRE SUPERFÍCIES METÁLICAS (EXCETO PERFIL) EXECUTADO EM OBRA (02 DEMÃOS). AF_01/2020</v>
      </c>
      <c r="E452" s="23" t="str">
        <f>VLOOKUP(A452,MEMORIA!$A:$N,5,FALSE)</f>
        <v>M2</v>
      </c>
      <c r="F452" s="5">
        <f>VLOOKUP(A452,MEMORIA!$A:$N,14,FALSE)</f>
        <v>3.36</v>
      </c>
      <c r="G452" s="5">
        <f>VLOOKUP("TOTAL SEM BDI - "&amp;B452,CPU!$A:$J,9,FALSE)</f>
        <v>50.339999999999996</v>
      </c>
      <c r="H452" s="5">
        <f>VLOOKUP("TOTAL COM BDI - "&amp;B452,CPU!$A:$J,9,FALSE)</f>
        <v>61.58</v>
      </c>
      <c r="I452" s="5">
        <f>ROUND(F452*H452,2)</f>
        <v>206.91</v>
      </c>
    </row>
    <row r="453" spans="1:9" x14ac:dyDescent="0.3">
      <c r="A453" s="15" t="s">
        <v>148</v>
      </c>
      <c r="B453" s="48" t="str">
        <f>VLOOKUP(A453,MEMORIA!$A:$N,2,FALSE)</f>
        <v>CERCAMENTO</v>
      </c>
      <c r="C453" s="49"/>
      <c r="D453" s="49"/>
      <c r="E453" s="49"/>
      <c r="F453" s="49"/>
      <c r="G453" s="49"/>
      <c r="H453" s="50"/>
      <c r="I453" s="16">
        <f>SUM($I$454:$I$454)</f>
        <v>5908.53</v>
      </c>
    </row>
    <row r="454" spans="1:9" ht="43.2" x14ac:dyDescent="0.3">
      <c r="A454" s="23" t="s">
        <v>487</v>
      </c>
      <c r="B454" s="23">
        <f>VLOOKUP(A454,MEMORIA!$A:$N,2,FALSE)</f>
        <v>101197</v>
      </c>
      <c r="C454" s="23" t="str">
        <f>VLOOKUP(A454,MEMORIA!$A:$N,3,FALSE)</f>
        <v>SINAPI</v>
      </c>
      <c r="D454" s="24" t="str">
        <f>VLOOKUP(A454,MEMORIA!$A:$N,4,FALSE)</f>
        <v>CERCA COM MOURÕES DE CONCRETO, SEÇÃO "T" PONTA INCLINADA, 10X10 CM, ESPAÇAMENTO DE 2,5 M, CRAVADOS 0,5 M, COM 11 FIOS DE ARAME FARPADO Nº 14 - FORNECIMENTO E INSTALAÇÃO. AF_05/2020</v>
      </c>
      <c r="E454" s="23" t="str">
        <f>VLOOKUP(A454,MEMORIA!$A:$N,5,FALSE)</f>
        <v>M</v>
      </c>
      <c r="F454" s="5">
        <f>VLOOKUP(A454,MEMORIA!$A:$N,14,FALSE)</f>
        <v>37</v>
      </c>
      <c r="G454" s="5">
        <f>VLOOKUP("TOTAL SEM BDI - "&amp;B454,CPU!$A:$J,9,FALSE)</f>
        <v>130.54</v>
      </c>
      <c r="H454" s="5">
        <f>VLOOKUP("TOTAL COM BDI - "&amp;B454,CPU!$A:$J,9,FALSE)</f>
        <v>159.69</v>
      </c>
      <c r="I454" s="5">
        <f>ROUND(F454*H454,2)</f>
        <v>5908.53</v>
      </c>
    </row>
    <row r="455" spans="1:9" x14ac:dyDescent="0.3">
      <c r="A455" s="12" t="s">
        <v>149</v>
      </c>
      <c r="B455" s="51" t="str">
        <f>VLOOKUP(A455,MEMORIA!$A:$N,2,FALSE)</f>
        <v>INSTALAÇÕES ELÉTRICAS</v>
      </c>
      <c r="C455" s="52"/>
      <c r="D455" s="52"/>
      <c r="E455" s="52"/>
      <c r="F455" s="52"/>
      <c r="G455" s="52"/>
      <c r="H455" s="53"/>
      <c r="I455" s="13">
        <f>SUM($I$456:$I$457)</f>
        <v>17909.879999999997</v>
      </c>
    </row>
    <row r="456" spans="1:9" ht="43.2" x14ac:dyDescent="0.3">
      <c r="A456" s="23" t="s">
        <v>488</v>
      </c>
      <c r="B456" s="23" t="str">
        <f>VLOOKUP(A456,MEMORIA!$A:$N,2,FALSE)</f>
        <v>COMP223</v>
      </c>
      <c r="C456" s="23" t="str">
        <f>VLOOKUP(A456,MEMORIA!$A:$N,3,FALSE)</f>
        <v>PRÓPRIA</v>
      </c>
      <c r="D456" s="24" t="str">
        <f>VLOOKUP(A456,MEMORIA!$A:$N,4,FALSE)</f>
        <v>FORNECIMENTO E INSTALAÇÃO DE KIT DE BOMBEAMENTO SOLAR P/ POÇO COM PROFUNDIDADE DE 100 A 120 M, INCLUSO BOMBA 3CV, INVERSOR, PAINÉIS, QUADRO DE COMANDO, DISJUNTORES, CABOS E CONEXÕES E ESTRUTURA TIPO SOLO</v>
      </c>
      <c r="E456" s="23" t="str">
        <f>VLOOKUP(A456,MEMORIA!$A:$N,5,FALSE)</f>
        <v>UND</v>
      </c>
      <c r="F456" s="5">
        <f>VLOOKUP(A456,MEMORIA!$A:$N,14,FALSE)</f>
        <v>1</v>
      </c>
      <c r="G456" s="5">
        <f>VLOOKUP("TOTAL SEM BDI - "&amp;B456,CPU!$A:$J,9,FALSE)</f>
        <v>12042.74</v>
      </c>
      <c r="H456" s="5">
        <f>VLOOKUP("TOTAL COM BDI - "&amp;B456,CPU!$A:$J,9,FALSE)</f>
        <v>14731.88</v>
      </c>
      <c r="I456" s="5">
        <f>ROUND(F456*H456,2)</f>
        <v>14731.88</v>
      </c>
    </row>
    <row r="457" spans="1:9" x14ac:dyDescent="0.3">
      <c r="A457" s="23" t="s">
        <v>489</v>
      </c>
      <c r="B457" s="23" t="str">
        <f>VLOOKUP(A457,MEMORIA!$A:$N,2,FALSE)</f>
        <v>COMPOS24</v>
      </c>
      <c r="C457" s="23" t="str">
        <f>VLOOKUP(A457,MEMORIA!$A:$N,3,FALSE)</f>
        <v>PRÓPRIA</v>
      </c>
      <c r="D457" s="24" t="str">
        <f>VLOOKUP(A457,MEMORIA!$A:$N,4,FALSE)</f>
        <v>FORNECIMENTO E INSTALAÇÃO DE CABO CHATO SUBMERSO DE 3 X 6 MM²</v>
      </c>
      <c r="E457" s="23" t="str">
        <f>VLOOKUP(A457,MEMORIA!$A:$N,5,FALSE)</f>
        <v>M</v>
      </c>
      <c r="F457" s="5">
        <f>VLOOKUP(A457,MEMORIA!$A:$N,14,FALSE)</f>
        <v>100</v>
      </c>
      <c r="G457" s="5">
        <f>VLOOKUP("TOTAL SEM BDI - "&amp;B457,CPU!$A:$J,9,FALSE)</f>
        <v>25.98</v>
      </c>
      <c r="H457" s="5">
        <f>VLOOKUP("TOTAL COM BDI - "&amp;B457,CPU!$A:$J,9,FALSE)</f>
        <v>31.78</v>
      </c>
      <c r="I457" s="5">
        <f>ROUND(F457*H457,2)</f>
        <v>3178</v>
      </c>
    </row>
    <row r="458" spans="1:9" x14ac:dyDescent="0.3">
      <c r="A458" s="12" t="s">
        <v>150</v>
      </c>
      <c r="B458" s="51" t="str">
        <f>VLOOKUP(A458,MEMORIA!$A:$N,2,FALSE)</f>
        <v>ADUÇÃO</v>
      </c>
      <c r="C458" s="52"/>
      <c r="D458" s="52"/>
      <c r="E458" s="52"/>
      <c r="F458" s="52"/>
      <c r="G458" s="52"/>
      <c r="H458" s="53"/>
      <c r="I458" s="13">
        <f>SUM($I$459,$I$462,$I$464,)</f>
        <v>1455.29</v>
      </c>
    </row>
    <row r="459" spans="1:9" x14ac:dyDescent="0.3">
      <c r="A459" s="15" t="s">
        <v>151</v>
      </c>
      <c r="B459" s="48" t="str">
        <f>VLOOKUP(A459,MEMORIA!$A:$N,2,FALSE)</f>
        <v>MOVIMENTO DE TERRA</v>
      </c>
      <c r="C459" s="49"/>
      <c r="D459" s="49"/>
      <c r="E459" s="49"/>
      <c r="F459" s="49"/>
      <c r="G459" s="49"/>
      <c r="H459" s="50"/>
      <c r="I459" s="16">
        <f>SUM($I$460:$I$461)</f>
        <v>485.08</v>
      </c>
    </row>
    <row r="460" spans="1:9" x14ac:dyDescent="0.3">
      <c r="A460" s="23" t="s">
        <v>490</v>
      </c>
      <c r="B460" s="23">
        <f>VLOOKUP(A460,MEMORIA!$A:$N,2,FALSE)</f>
        <v>93358</v>
      </c>
      <c r="C460" s="23" t="str">
        <f>VLOOKUP(A460,MEMORIA!$A:$N,3,FALSE)</f>
        <v>SINAPI</v>
      </c>
      <c r="D460" s="24" t="str">
        <f>VLOOKUP(A460,MEMORIA!$A:$N,4,FALSE)</f>
        <v>ESCAVAÇÃO MANUAL DE VALA. AF_09/2024</v>
      </c>
      <c r="E460" s="23" t="str">
        <f>VLOOKUP(A460,MEMORIA!$A:$N,5,FALSE)</f>
        <v>M3</v>
      </c>
      <c r="F460" s="5">
        <f>VLOOKUP(A460,MEMORIA!$A:$N,14,FALSE)</f>
        <v>3.23</v>
      </c>
      <c r="G460" s="5">
        <f>VLOOKUP("TOTAL SEM BDI - "&amp;B460,CPU!$A:$J,9,FALSE)</f>
        <v>85.87</v>
      </c>
      <c r="H460" s="5">
        <f>VLOOKUP("TOTAL COM BDI - "&amp;B460,CPU!$A:$J,9,FALSE)</f>
        <v>105.04</v>
      </c>
      <c r="I460" s="5">
        <f>ROUND(F460*H460,2)</f>
        <v>339.28</v>
      </c>
    </row>
    <row r="461" spans="1:9" x14ac:dyDescent="0.3">
      <c r="A461" s="23" t="s">
        <v>491</v>
      </c>
      <c r="B461" s="23" t="str">
        <f>VLOOKUP(A461,MEMORIA!$A:$N,2,FALSE)</f>
        <v>COMPOS28</v>
      </c>
      <c r="C461" s="23" t="str">
        <f>VLOOKUP(A461,MEMORIA!$A:$N,3,FALSE)</f>
        <v>PRÓPRIA</v>
      </c>
      <c r="D461" s="24" t="str">
        <f>VLOOKUP(A461,MEMORIA!$A:$N,4,FALSE)</f>
        <v>REATERRO DE VALA COM COMPACTAÇÃO MANUAL</v>
      </c>
      <c r="E461" s="23" t="str">
        <f>VLOOKUP(A461,MEMORIA!$A:$N,5,FALSE)</f>
        <v>M³</v>
      </c>
      <c r="F461" s="5">
        <f>VLOOKUP(A461,MEMORIA!$A:$N,14,FALSE)</f>
        <v>3.23</v>
      </c>
      <c r="G461" s="5">
        <f>VLOOKUP("TOTAL SEM BDI - "&amp;B461,CPU!$A:$J,9,FALSE)</f>
        <v>36.9</v>
      </c>
      <c r="H461" s="5">
        <f>VLOOKUP("TOTAL COM BDI - "&amp;B461,CPU!$A:$J,9,FALSE)</f>
        <v>45.14</v>
      </c>
      <c r="I461" s="5">
        <f>ROUND(F461*H461,2)</f>
        <v>145.80000000000001</v>
      </c>
    </row>
    <row r="462" spans="1:9" x14ac:dyDescent="0.3">
      <c r="A462" s="15" t="s">
        <v>152</v>
      </c>
      <c r="B462" s="48" t="str">
        <f>VLOOKUP(A462,MEMORIA!$A:$N,2,FALSE)</f>
        <v>INFRAESTRUTURA</v>
      </c>
      <c r="C462" s="49"/>
      <c r="D462" s="49"/>
      <c r="E462" s="49"/>
      <c r="F462" s="49"/>
      <c r="G462" s="49"/>
      <c r="H462" s="50"/>
      <c r="I462" s="16">
        <f>SUM($I$463:$I$463)</f>
        <v>264.64</v>
      </c>
    </row>
    <row r="463" spans="1:9" x14ac:dyDescent="0.3">
      <c r="A463" s="23" t="s">
        <v>492</v>
      </c>
      <c r="B463" s="23" t="str">
        <f>VLOOKUP(A463,MEMORIA!$A:$N,2,FALSE)</f>
        <v>COMP216</v>
      </c>
      <c r="C463" s="23" t="str">
        <f>VLOOKUP(A463,MEMORIA!$A:$N,3,FALSE)</f>
        <v>PRÓPRIA</v>
      </c>
      <c r="D463" s="24" t="str">
        <f>VLOOKUP(A463,MEMORIA!$A:$N,4,FALSE)</f>
        <v>BLOCO DE ANCORAGEM EM CONCRETO SIMPLES FCK=10MPA (REF: C3403-SEINFRA 28)</v>
      </c>
      <c r="E463" s="23" t="str">
        <f>VLOOKUP(A463,MEMORIA!$A:$N,5,FALSE)</f>
        <v>M3</v>
      </c>
      <c r="F463" s="5">
        <f>VLOOKUP(A463,MEMORIA!$A:$N,14,FALSE)</f>
        <v>0.26</v>
      </c>
      <c r="G463" s="5">
        <f>VLOOKUP("TOTAL SEM BDI - "&amp;B463,CPU!$A:$J,9,FALSE)</f>
        <v>832.05</v>
      </c>
      <c r="H463" s="5">
        <f>VLOOKUP("TOTAL COM BDI - "&amp;B463,CPU!$A:$J,9,FALSE)</f>
        <v>1017.8499999999999</v>
      </c>
      <c r="I463" s="5">
        <f>ROUND(F463*H463,2)</f>
        <v>264.64</v>
      </c>
    </row>
    <row r="464" spans="1:9" x14ac:dyDescent="0.3">
      <c r="A464" s="15" t="s">
        <v>153</v>
      </c>
      <c r="B464" s="48" t="str">
        <f>VLOOKUP(A464,MEMORIA!$A:$N,2,FALSE)</f>
        <v>INSTALAÇÕES HIDRÁULICAS</v>
      </c>
      <c r="C464" s="49"/>
      <c r="D464" s="49"/>
      <c r="E464" s="49"/>
      <c r="F464" s="49"/>
      <c r="G464" s="49"/>
      <c r="H464" s="50"/>
      <c r="I464" s="16">
        <f>SUM($I$465:$I$466)</f>
        <v>705.57</v>
      </c>
    </row>
    <row r="465" spans="1:9" ht="28.8" x14ac:dyDescent="0.3">
      <c r="A465" s="23" t="s">
        <v>493</v>
      </c>
      <c r="B465" s="23">
        <f>VLOOKUP(A465,MEMORIA!$A:$N,2,FALSE)</f>
        <v>94498</v>
      </c>
      <c r="C465" s="23" t="str">
        <f>VLOOKUP(A465,MEMORIA!$A:$N,3,FALSE)</f>
        <v>SINAPI</v>
      </c>
      <c r="D465" s="24" t="str">
        <f>VLOOKUP(A465,MEMORIA!$A:$N,4,FALSE)</f>
        <v>REGISTRO DE GAVETA BRUTO, LATÃO, ROSCÁVEL, 2" - FORNECIMENTO E INSTALAÇÃO. AF_08/2021</v>
      </c>
      <c r="E465" s="23" t="str">
        <f>VLOOKUP(A465,MEMORIA!$A:$N,5,FALSE)</f>
        <v>UN</v>
      </c>
      <c r="F465" s="5">
        <f>VLOOKUP(A465,MEMORIA!$A:$N,14,FALSE)</f>
        <v>1</v>
      </c>
      <c r="G465" s="5">
        <f>VLOOKUP("TOTAL SEM BDI - "&amp;B465,CPU!$A:$J,9,FALSE)</f>
        <v>164.12</v>
      </c>
      <c r="H465" s="5">
        <f>VLOOKUP("TOTAL COM BDI - "&amp;B465,CPU!$A:$J,9,FALSE)</f>
        <v>200.77</v>
      </c>
      <c r="I465" s="5">
        <f>ROUND(F465*H465,2)</f>
        <v>200.77</v>
      </c>
    </row>
    <row r="466" spans="1:9" ht="28.8" x14ac:dyDescent="0.3">
      <c r="A466" s="23" t="s">
        <v>494</v>
      </c>
      <c r="B466" s="23" t="str">
        <f>VLOOKUP(A466,MEMORIA!$A:$N,2,FALSE)</f>
        <v>COMPOS27</v>
      </c>
      <c r="C466" s="23" t="str">
        <f>VLOOKUP(A466,MEMORIA!$A:$N,3,FALSE)</f>
        <v>PRÓPRIA</v>
      </c>
      <c r="D466" s="24" t="str">
        <f>VLOOKUP(A466,MEMORIA!$A:$N,4,FALSE)</f>
        <v>AQUISIÇÃO E ASSENTAMENTO DE TUBO RÍGIDO PVC, CLASSE 12, DN 50 MM, INCLUSO CONEXÕES</v>
      </c>
      <c r="E466" s="23" t="str">
        <f>VLOOKUP(A466,MEMORIA!$A:$N,5,FALSE)</f>
        <v>M</v>
      </c>
      <c r="F466" s="5">
        <f>VLOOKUP(A466,MEMORIA!$A:$N,14,FALSE)</f>
        <v>16</v>
      </c>
      <c r="G466" s="5">
        <f>VLOOKUP("TOTAL SEM BDI - "&amp;B466,CPU!$A:$J,9,FALSE)</f>
        <v>25.79</v>
      </c>
      <c r="H466" s="5">
        <f>VLOOKUP("TOTAL COM BDI - "&amp;B466,CPU!$A:$J,9,FALSE)</f>
        <v>31.549999999999997</v>
      </c>
      <c r="I466" s="5">
        <f>ROUND(F466*H466,2)</f>
        <v>504.8</v>
      </c>
    </row>
    <row r="467" spans="1:9" x14ac:dyDescent="0.3">
      <c r="A467" s="12" t="s">
        <v>154</v>
      </c>
      <c r="B467" s="51" t="str">
        <f>VLOOKUP(A467,MEMORIA!$A:$N,2,FALSE)</f>
        <v>RESERVAÇÃO</v>
      </c>
      <c r="C467" s="52"/>
      <c r="D467" s="52"/>
      <c r="E467" s="52"/>
      <c r="F467" s="52"/>
      <c r="G467" s="52"/>
      <c r="H467" s="53"/>
      <c r="I467" s="13">
        <f>SUM($I$468:$I$470)</f>
        <v>31488.33</v>
      </c>
    </row>
    <row r="468" spans="1:9" ht="72" x14ac:dyDescent="0.3">
      <c r="A468" s="23" t="s">
        <v>495</v>
      </c>
      <c r="B468" s="23" t="str">
        <f>VLOOKUP(A468,MEMORIA!$A:$N,2,FALSE)</f>
        <v>COMPOS34</v>
      </c>
      <c r="C468" s="23" t="str">
        <f>VLOOKUP(A468,MEMORIA!$A:$N,3,FALSE)</f>
        <v>PRÓPRIA</v>
      </c>
      <c r="D468" s="24" t="str">
        <f>VLOOKUP(A468,MEMORIA!$A:$N,4,FALSE)</f>
        <v>FORNECIMENTO E INSTALAÇÃO DE RESERVATÓRIO ELEVADO C/ CAIXA D'AGUA EM POLIESTER REFORCADO COM FIBRA DE VIDRO DE 10.000 LITROS, APOIADO EM ESTRUTURA PRÉ-MOLDADA EM CONCRETO, COMPOSTA DE CAPITEL P/APOIO DA CAIXA E PILAR C/ALTURA ÚTIL = 10,00M, INCLUSO FRETE E MONTAGEM NO LOCAL, COM FUNDAÇÃO EM CONCRETO SIMPLES FCK=20MPA</v>
      </c>
      <c r="E468" s="23" t="str">
        <f>VLOOKUP(A468,MEMORIA!$A:$N,5,FALSE)</f>
        <v>UND</v>
      </c>
      <c r="F468" s="5">
        <f>VLOOKUP(A468,MEMORIA!$A:$N,14,FALSE)</f>
        <v>1</v>
      </c>
      <c r="G468" s="5">
        <f>VLOOKUP("TOTAL SEM BDI - "&amp;B468,CPU!$A:$J,9,FALSE)</f>
        <v>24798.26</v>
      </c>
      <c r="H468" s="5">
        <f>VLOOKUP("TOTAL COM BDI - "&amp;B468,CPU!$A:$J,9,FALSE)</f>
        <v>30335.71</v>
      </c>
      <c r="I468" s="5">
        <f>ROUND(F468*H468,2)</f>
        <v>30335.71</v>
      </c>
    </row>
    <row r="469" spans="1:9" ht="28.8" x14ac:dyDescent="0.3">
      <c r="A469" s="23" t="s">
        <v>496</v>
      </c>
      <c r="B469" s="23">
        <f>VLOOKUP(A469,MEMORIA!$A:$N,2,FALSE)</f>
        <v>94498</v>
      </c>
      <c r="C469" s="23" t="str">
        <f>VLOOKUP(A469,MEMORIA!$A:$N,3,FALSE)</f>
        <v>SINAPI</v>
      </c>
      <c r="D469" s="24" t="str">
        <f>VLOOKUP(A469,MEMORIA!$A:$N,4,FALSE)</f>
        <v>REGISTRO DE GAVETA BRUTO, LATÃO, ROSCÁVEL, 2" - FORNECIMENTO E INSTALAÇÃO. AF_08/2021</v>
      </c>
      <c r="E469" s="23" t="str">
        <f>VLOOKUP(A469,MEMORIA!$A:$N,5,FALSE)</f>
        <v>UN</v>
      </c>
      <c r="F469" s="5">
        <f>VLOOKUP(A469,MEMORIA!$A:$N,14,FALSE)</f>
        <v>2</v>
      </c>
      <c r="G469" s="5">
        <f>VLOOKUP("TOTAL SEM BDI - "&amp;B469,CPU!$A:$J,9,FALSE)</f>
        <v>164.12</v>
      </c>
      <c r="H469" s="5">
        <f>VLOOKUP("TOTAL COM BDI - "&amp;B469,CPU!$A:$J,9,FALSE)</f>
        <v>200.77</v>
      </c>
      <c r="I469" s="5">
        <f>ROUND(F469*H469,2)</f>
        <v>401.54</v>
      </c>
    </row>
    <row r="470" spans="1:9" ht="28.8" x14ac:dyDescent="0.3">
      <c r="A470" s="23" t="s">
        <v>497</v>
      </c>
      <c r="B470" s="23" t="str">
        <f>VLOOKUP(A470,MEMORIA!$A:$N,2,FALSE)</f>
        <v>COMPOS35</v>
      </c>
      <c r="C470" s="23" t="str">
        <f>VLOOKUP(A470,MEMORIA!$A:$N,3,FALSE)</f>
        <v>PRÓPRIA</v>
      </c>
      <c r="D470" s="24" t="str">
        <f>VLOOKUP(A470,MEMORIA!$A:$N,4,FALSE)</f>
        <v>AQUISIÇÃO E ASSENTAMENTO DE TUBO RÍGIDO PVC, CLASSE 12, DN 60 MM, INCLUSO CONEXÕES</v>
      </c>
      <c r="E470" s="23" t="str">
        <f>VLOOKUP(A470,MEMORIA!$A:$N,5,FALSE)</f>
        <v>M</v>
      </c>
      <c r="F470" s="5">
        <f>VLOOKUP(A470,MEMORIA!$A:$N,14,FALSE)</f>
        <v>22</v>
      </c>
      <c r="G470" s="5">
        <f>VLOOKUP("TOTAL SEM BDI - "&amp;B470,CPU!$A:$J,9,FALSE)</f>
        <v>27.91</v>
      </c>
      <c r="H470" s="5">
        <f>VLOOKUP("TOTAL COM BDI - "&amp;B470,CPU!$A:$J,9,FALSE)</f>
        <v>34.14</v>
      </c>
      <c r="I470" s="5">
        <f>ROUND(F470*H470,2)</f>
        <v>751.08</v>
      </c>
    </row>
    <row r="471" spans="1:9" x14ac:dyDescent="0.3">
      <c r="A471" s="12" t="s">
        <v>155</v>
      </c>
      <c r="B471" s="51" t="str">
        <f>VLOOKUP(A471,MEMORIA!$A:$N,2,FALSE)</f>
        <v>DISTRIBUIÇÃO</v>
      </c>
      <c r="C471" s="52"/>
      <c r="D471" s="52"/>
      <c r="E471" s="52"/>
      <c r="F471" s="52"/>
      <c r="G471" s="52"/>
      <c r="H471" s="53"/>
      <c r="I471" s="13">
        <f>SUM($I$472,$I$475,)</f>
        <v>70819.959999999992</v>
      </c>
    </row>
    <row r="472" spans="1:9" x14ac:dyDescent="0.3">
      <c r="A472" s="15" t="s">
        <v>156</v>
      </c>
      <c r="B472" s="48" t="str">
        <f>VLOOKUP(A472,MEMORIA!$A:$N,2,FALSE)</f>
        <v>MOVIMENTO DE TERRA</v>
      </c>
      <c r="C472" s="49"/>
      <c r="D472" s="49"/>
      <c r="E472" s="49"/>
      <c r="F472" s="49"/>
      <c r="G472" s="49"/>
      <c r="H472" s="50"/>
      <c r="I472" s="16">
        <f>SUM($I$473:$I$474)</f>
        <v>14391.86</v>
      </c>
    </row>
    <row r="473" spans="1:9" ht="57.6" x14ac:dyDescent="0.3">
      <c r="A473" s="23" t="s">
        <v>498</v>
      </c>
      <c r="B473" s="23">
        <f>VLOOKUP(A473,MEMORIA!$A:$N,2,FALSE)</f>
        <v>102314</v>
      </c>
      <c r="C473" s="23" t="str">
        <f>VLOOKUP(A473,MEMORIA!$A:$N,3,FALSE)</f>
        <v>SINAPI</v>
      </c>
      <c r="D473" s="24" t="str">
        <f>VLOOKUP(A473,MEMORIA!$A:$N,4,FALSE)</f>
        <v>ESCAVAÇÃO MECANIZADA DE VALA COM PROF. ATÉ 1,5 M (MÉDIA MONTANTE E JUSANTE/UMA COMPOSIÇÃO POR TRECHO),COM ESCAVADEIRA (0,8 M3), LARG. MENOR QUE 1,5 M, EM SOLO DE 2A CATEGORIA, LOCAIS COM BAIXO NÍVEL DE INTERFERÊNCIA. AF_09/2024</v>
      </c>
      <c r="E473" s="23" t="str">
        <f>VLOOKUP(A473,MEMORIA!$A:$N,5,FALSE)</f>
        <v>M3</v>
      </c>
      <c r="F473" s="5">
        <f>VLOOKUP(A473,MEMORIA!$A:$N,14,FALSE)</f>
        <v>553.32000000000005</v>
      </c>
      <c r="G473" s="5">
        <f>VLOOKUP("TOTAL SEM BDI - "&amp;B473,CPU!$A:$J,9,FALSE)</f>
        <v>8.5</v>
      </c>
      <c r="H473" s="5">
        <f>VLOOKUP("TOTAL COM BDI - "&amp;B473,CPU!$A:$J,9,FALSE)</f>
        <v>10.4</v>
      </c>
      <c r="I473" s="5">
        <f>ROUND(F473*H473,2)</f>
        <v>5754.53</v>
      </c>
    </row>
    <row r="474" spans="1:9" ht="57.6" x14ac:dyDescent="0.3">
      <c r="A474" s="23" t="s">
        <v>499</v>
      </c>
      <c r="B474" s="23" t="str">
        <f>VLOOKUP(A474,MEMORIA!$A:$N,2,FALSE)</f>
        <v>COMP199</v>
      </c>
      <c r="C474" s="23" t="str">
        <f>VLOOKUP(A474,MEMORIA!$A:$N,3,FALSE)</f>
        <v>PRÓPRIA</v>
      </c>
      <c r="D474" s="24" t="str">
        <f>VLOOKUP(A474,MEMORIA!$A:$N,4,FALSE)</f>
        <v>REATERRO MECANIZADO DE VALA COM RETROESCAVADEIRA (CAPACIDADE DA CAÇAMBA DA RETRO: 0,26 M³/POTÊNCIA: 88 HP), LARGURA ATÉ 0,8 M, PROFUNDIDADE ATÉ 1,5 M, COM SOLO (SEM SUBSTITUIÇÃO) DE 1ª CATEGORIA. AF_08/2023 (REF: 104733-SINAPI-05/2025)</v>
      </c>
      <c r="E474" s="23" t="str">
        <f>VLOOKUP(A474,MEMORIA!$A:$N,5,FALSE)</f>
        <v>M3</v>
      </c>
      <c r="F474" s="5">
        <f>VLOOKUP(A474,MEMORIA!$A:$N,14,FALSE)</f>
        <v>553.32000000000005</v>
      </c>
      <c r="G474" s="5">
        <f>VLOOKUP("TOTAL SEM BDI - "&amp;B474,CPU!$A:$J,9,FALSE)</f>
        <v>12.76</v>
      </c>
      <c r="H474" s="5">
        <f>VLOOKUP("TOTAL COM BDI - "&amp;B474,CPU!$A:$J,9,FALSE)</f>
        <v>15.61</v>
      </c>
      <c r="I474" s="5">
        <f>ROUND(F474*H474,2)</f>
        <v>8637.33</v>
      </c>
    </row>
    <row r="475" spans="1:9" x14ac:dyDescent="0.3">
      <c r="A475" s="15" t="s">
        <v>157</v>
      </c>
      <c r="B475" s="48" t="str">
        <f>VLOOKUP(A475,MEMORIA!$A:$N,2,FALSE)</f>
        <v>INSTALAÇÕES HIDRÁULICAS</v>
      </c>
      <c r="C475" s="49"/>
      <c r="D475" s="49"/>
      <c r="E475" s="49"/>
      <c r="F475" s="49"/>
      <c r="G475" s="49"/>
      <c r="H475" s="50"/>
      <c r="I475" s="16">
        <f>SUM($I$476:$I$477)</f>
        <v>56428.1</v>
      </c>
    </row>
    <row r="476" spans="1:9" ht="28.8" x14ac:dyDescent="0.3">
      <c r="A476" s="23" t="s">
        <v>500</v>
      </c>
      <c r="B476" s="23" t="str">
        <f>VLOOKUP(A476,MEMORIA!$A:$N,2,FALSE)</f>
        <v>COMPOS35</v>
      </c>
      <c r="C476" s="23" t="str">
        <f>VLOOKUP(A476,MEMORIA!$A:$N,3,FALSE)</f>
        <v>PRÓPRIA</v>
      </c>
      <c r="D476" s="24" t="str">
        <f>VLOOKUP(A476,MEMORIA!$A:$N,4,FALSE)</f>
        <v>AQUISIÇÃO E ASSENTAMENTO DE TUBO RÍGIDO PVC, CLASSE 12, DN 60 MM, INCLUSO CONEXÕES</v>
      </c>
      <c r="E476" s="23" t="str">
        <f>VLOOKUP(A476,MEMORIA!$A:$N,5,FALSE)</f>
        <v>M</v>
      </c>
      <c r="F476" s="5">
        <f>VLOOKUP(A476,MEMORIA!$A:$N,14,FALSE)</f>
        <v>1276.2</v>
      </c>
      <c r="G476" s="5">
        <f>VLOOKUP("TOTAL SEM BDI - "&amp;B476,CPU!$A:$J,9,FALSE)</f>
        <v>27.91</v>
      </c>
      <c r="H476" s="5">
        <f>VLOOKUP("TOTAL COM BDI - "&amp;B476,CPU!$A:$J,9,FALSE)</f>
        <v>34.14</v>
      </c>
      <c r="I476" s="5">
        <f>ROUND(F476*H476,2)</f>
        <v>43569.47</v>
      </c>
    </row>
    <row r="477" spans="1:9" x14ac:dyDescent="0.3">
      <c r="A477" s="23" t="s">
        <v>501</v>
      </c>
      <c r="B477" s="23" t="str">
        <f>VLOOKUP(A477,MEMORIA!$A:$N,2,FALSE)</f>
        <v>COMPOS36</v>
      </c>
      <c r="C477" s="23" t="str">
        <f>VLOOKUP(A477,MEMORIA!$A:$N,3,FALSE)</f>
        <v>PRÓPRIA</v>
      </c>
      <c r="D477" s="24" t="str">
        <f>VLOOKUP(A477,MEMORIA!$A:$N,4,FALSE)</f>
        <v>LIGAÇÃO DOMICILIAR</v>
      </c>
      <c r="E477" s="23" t="str">
        <f>VLOOKUP(A477,MEMORIA!$A:$N,5,FALSE)</f>
        <v>UND</v>
      </c>
      <c r="F477" s="5">
        <f>VLOOKUP(A477,MEMORIA!$A:$N,14,FALSE)</f>
        <v>51</v>
      </c>
      <c r="G477" s="5">
        <f>VLOOKUP("TOTAL SEM BDI - "&amp;B477,CPU!$A:$J,9,FALSE)</f>
        <v>206.11</v>
      </c>
      <c r="H477" s="5">
        <f>VLOOKUP("TOTAL COM BDI - "&amp;B477,CPU!$A:$J,9,FALSE)</f>
        <v>252.13000000000002</v>
      </c>
      <c r="I477" s="5">
        <f>ROUND(F477*H477,2)</f>
        <v>12858.63</v>
      </c>
    </row>
    <row r="478" spans="1:9" x14ac:dyDescent="0.3">
      <c r="A478" s="45" t="s">
        <v>158</v>
      </c>
      <c r="B478" s="47"/>
      <c r="C478" s="47"/>
      <c r="D478" s="47"/>
      <c r="E478" s="47"/>
      <c r="F478" s="47"/>
      <c r="G478" s="47"/>
      <c r="H478" s="46"/>
      <c r="I478" s="18">
        <f>SUM(I7,I10,I88,I166,I244,I322,I400,)</f>
        <v>1611884.27</v>
      </c>
    </row>
  </sheetData>
  <mergeCells count="149">
    <mergeCell ref="A1:I1"/>
    <mergeCell ref="A2:I2"/>
    <mergeCell ref="A3:I3"/>
    <mergeCell ref="B7:H7"/>
    <mergeCell ref="B10:H10"/>
    <mergeCell ref="B11:H11"/>
    <mergeCell ref="B44:H44"/>
    <mergeCell ref="B47:H47"/>
    <mergeCell ref="B50:H50"/>
    <mergeCell ref="B54:H54"/>
    <mergeCell ref="B57:H57"/>
    <mergeCell ref="B60:H60"/>
    <mergeCell ref="B27:H27"/>
    <mergeCell ref="B31:H31"/>
    <mergeCell ref="B32:H32"/>
    <mergeCell ref="B35:H35"/>
    <mergeCell ref="B37:H37"/>
    <mergeCell ref="B41:H41"/>
    <mergeCell ref="B77:H77"/>
    <mergeCell ref="B81:H81"/>
    <mergeCell ref="B82:H82"/>
    <mergeCell ref="B85:H85"/>
    <mergeCell ref="B88:H88"/>
    <mergeCell ref="B89:H89"/>
    <mergeCell ref="B63:H63"/>
    <mergeCell ref="B65:H65"/>
    <mergeCell ref="B68:H68"/>
    <mergeCell ref="B69:H69"/>
    <mergeCell ref="B72:H72"/>
    <mergeCell ref="B74:H74"/>
    <mergeCell ref="B122:H122"/>
    <mergeCell ref="B125:H125"/>
    <mergeCell ref="B128:H128"/>
    <mergeCell ref="B132:H132"/>
    <mergeCell ref="B135:H135"/>
    <mergeCell ref="B138:H138"/>
    <mergeCell ref="B105:H105"/>
    <mergeCell ref="B109:H109"/>
    <mergeCell ref="B110:H110"/>
    <mergeCell ref="B113:H113"/>
    <mergeCell ref="B115:H115"/>
    <mergeCell ref="B119:H119"/>
    <mergeCell ref="B155:H155"/>
    <mergeCell ref="B159:H159"/>
    <mergeCell ref="B160:H160"/>
    <mergeCell ref="B163:H163"/>
    <mergeCell ref="B166:H166"/>
    <mergeCell ref="B167:H167"/>
    <mergeCell ref="B141:H141"/>
    <mergeCell ref="B143:H143"/>
    <mergeCell ref="B146:H146"/>
    <mergeCell ref="B147:H147"/>
    <mergeCell ref="B150:H150"/>
    <mergeCell ref="B152:H152"/>
    <mergeCell ref="B200:H200"/>
    <mergeCell ref="B203:H203"/>
    <mergeCell ref="B206:H206"/>
    <mergeCell ref="B210:H210"/>
    <mergeCell ref="B213:H213"/>
    <mergeCell ref="B216:H216"/>
    <mergeCell ref="B183:H183"/>
    <mergeCell ref="B187:H187"/>
    <mergeCell ref="B188:H188"/>
    <mergeCell ref="B191:H191"/>
    <mergeCell ref="B193:H193"/>
    <mergeCell ref="B197:H197"/>
    <mergeCell ref="B233:H233"/>
    <mergeCell ref="B237:H237"/>
    <mergeCell ref="B238:H238"/>
    <mergeCell ref="B241:H241"/>
    <mergeCell ref="B244:H244"/>
    <mergeCell ref="B245:H245"/>
    <mergeCell ref="B219:H219"/>
    <mergeCell ref="B221:H221"/>
    <mergeCell ref="B224:H224"/>
    <mergeCell ref="B225:H225"/>
    <mergeCell ref="B228:H228"/>
    <mergeCell ref="B230:H230"/>
    <mergeCell ref="B278:H278"/>
    <mergeCell ref="B281:H281"/>
    <mergeCell ref="B284:H284"/>
    <mergeCell ref="B288:H288"/>
    <mergeCell ref="B291:H291"/>
    <mergeCell ref="B294:H294"/>
    <mergeCell ref="B261:H261"/>
    <mergeCell ref="B265:H265"/>
    <mergeCell ref="B266:H266"/>
    <mergeCell ref="B269:H269"/>
    <mergeCell ref="B271:H271"/>
    <mergeCell ref="B275:H275"/>
    <mergeCell ref="B311:H311"/>
    <mergeCell ref="B315:H315"/>
    <mergeCell ref="B316:H316"/>
    <mergeCell ref="B319:H319"/>
    <mergeCell ref="B322:H322"/>
    <mergeCell ref="B323:H323"/>
    <mergeCell ref="B297:H297"/>
    <mergeCell ref="B299:H299"/>
    <mergeCell ref="B302:H302"/>
    <mergeCell ref="B303:H303"/>
    <mergeCell ref="B306:H306"/>
    <mergeCell ref="B308:H308"/>
    <mergeCell ref="B356:H356"/>
    <mergeCell ref="B359:H359"/>
    <mergeCell ref="B362:H362"/>
    <mergeCell ref="B366:H366"/>
    <mergeCell ref="B369:H369"/>
    <mergeCell ref="B372:H372"/>
    <mergeCell ref="B339:H339"/>
    <mergeCell ref="B343:H343"/>
    <mergeCell ref="B344:H344"/>
    <mergeCell ref="B347:H347"/>
    <mergeCell ref="B349:H349"/>
    <mergeCell ref="B353:H353"/>
    <mergeCell ref="B389:H389"/>
    <mergeCell ref="B393:H393"/>
    <mergeCell ref="B394:H394"/>
    <mergeCell ref="B397:H397"/>
    <mergeCell ref="B400:H400"/>
    <mergeCell ref="B401:H401"/>
    <mergeCell ref="B375:H375"/>
    <mergeCell ref="B377:H377"/>
    <mergeCell ref="B380:H380"/>
    <mergeCell ref="B381:H381"/>
    <mergeCell ref="B384:H384"/>
    <mergeCell ref="B386:H386"/>
    <mergeCell ref="B434:H434"/>
    <mergeCell ref="B437:H437"/>
    <mergeCell ref="B440:H440"/>
    <mergeCell ref="B444:H444"/>
    <mergeCell ref="B447:H447"/>
    <mergeCell ref="B450:H450"/>
    <mergeCell ref="B417:H417"/>
    <mergeCell ref="B421:H421"/>
    <mergeCell ref="B422:H422"/>
    <mergeCell ref="B425:H425"/>
    <mergeCell ref="B427:H427"/>
    <mergeCell ref="B431:H431"/>
    <mergeCell ref="B467:H467"/>
    <mergeCell ref="B471:H471"/>
    <mergeCell ref="B472:H472"/>
    <mergeCell ref="B475:H475"/>
    <mergeCell ref="A478:H478"/>
    <mergeCell ref="B453:H453"/>
    <mergeCell ref="B455:H455"/>
    <mergeCell ref="B458:H458"/>
    <mergeCell ref="B459:H459"/>
    <mergeCell ref="B462:H462"/>
    <mergeCell ref="B464:H464"/>
  </mergeCells>
  <pageMargins left="0.78740157480314965" right="0.39370078740157483" top="1.1811023622047245" bottom="0.78740157480314965" header="0.31496062992125984" footer="0.31496062992125984"/>
  <pageSetup paperSize="9" scale="50" fitToHeight="0"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C8A55-8BC8-4251-A901-336DB70BDC4F}">
  <sheetPr>
    <pageSetUpPr fitToPage="1"/>
  </sheetPr>
  <dimension ref="A1:AA488"/>
  <sheetViews>
    <sheetView showGridLines="0" topLeftCell="A463" zoomScale="55" zoomScaleNormal="55" workbookViewId="0">
      <pane xSplit="9" topLeftCell="J1" activePane="topRight" state="frozenSplit"/>
      <selection sqref="A1:I1"/>
      <selection pane="topRight" activeCell="W10" sqref="W10"/>
    </sheetView>
  </sheetViews>
  <sheetFormatPr defaultRowHeight="14.4" x14ac:dyDescent="0.3"/>
  <cols>
    <col min="1" max="3" width="12" bestFit="1" customWidth="1"/>
    <col min="4" max="4" width="34.33203125" customWidth="1"/>
    <col min="5" max="5" width="9.21875" bestFit="1" customWidth="1"/>
    <col min="6" max="9" width="14.77734375" bestFit="1" customWidth="1"/>
    <col min="10" max="23" width="13.88671875" bestFit="1" customWidth="1"/>
    <col min="24" max="24" width="16.109375" bestFit="1" customWidth="1"/>
    <col min="25" max="28" width="14.77734375" bestFit="1" customWidth="1"/>
  </cols>
  <sheetData>
    <row r="1" spans="1:27" x14ac:dyDescent="0.3">
      <c r="A1" s="44" t="str">
        <f>CIDADE</f>
        <v>MUNICÍPIOS DE PARNAGUÁ - PI E ANÍSIO DE ABREU-PI</v>
      </c>
      <c r="B1" s="44"/>
      <c r="C1" s="44"/>
      <c r="D1" s="44"/>
      <c r="E1" s="44"/>
      <c r="F1" s="44"/>
      <c r="G1" s="44"/>
      <c r="H1" s="44"/>
      <c r="I1" s="44"/>
    </row>
    <row r="2" spans="1:27" x14ac:dyDescent="0.3">
      <c r="A2" s="44" t="str">
        <f>OBRA</f>
        <v>IMPLANTAÇÃO DE 6 (SEIS) SISTEMAS DE ABASTECIMENTO DE ÁGUA EM COMUNIDADES RURAIS NOS MUNICÍPIOS DE PARNAGUÁ-PI E ANÍSIO DE ABREU-PI (TC 967175/2024)</v>
      </c>
      <c r="B2" s="44"/>
      <c r="C2" s="44"/>
      <c r="D2" s="44"/>
      <c r="E2" s="44"/>
      <c r="F2" s="44"/>
      <c r="G2" s="44"/>
      <c r="H2" s="44"/>
      <c r="I2" s="44"/>
    </row>
    <row r="3" spans="1:27" x14ac:dyDescent="0.3">
      <c r="A3" s="44" t="s">
        <v>502</v>
      </c>
      <c r="B3" s="44"/>
      <c r="C3" s="44"/>
      <c r="D3" s="44"/>
      <c r="E3" s="44"/>
      <c r="F3" s="44"/>
      <c r="G3" s="44"/>
      <c r="H3" s="44"/>
      <c r="I3" s="44"/>
    </row>
    <row r="5" spans="1:27" x14ac:dyDescent="0.3">
      <c r="A5" s="1" t="s">
        <v>1</v>
      </c>
      <c r="B5" s="7" t="str">
        <f>FONTE&amp;FOLHA</f>
        <v>SINAPI PI 07/2025, SEINFRA CE 28, ORSE SE 06/2025, CAESB 10/2024SEM DESONERAÇÃO</v>
      </c>
      <c r="C5" s="3"/>
      <c r="D5" s="3"/>
      <c r="E5" s="3"/>
      <c r="F5" s="1" t="s">
        <v>7</v>
      </c>
      <c r="G5" s="8">
        <f>LEI</f>
        <v>113.33</v>
      </c>
      <c r="H5" s="1" t="s">
        <v>16</v>
      </c>
      <c r="I5" s="8">
        <f>BDI</f>
        <v>22.33</v>
      </c>
    </row>
    <row r="6" spans="1:27" x14ac:dyDescent="0.3">
      <c r="A6" s="64" t="s">
        <v>17</v>
      </c>
      <c r="B6" s="64" t="s">
        <v>170</v>
      </c>
      <c r="C6" s="64" t="s">
        <v>171</v>
      </c>
      <c r="D6" s="64" t="s">
        <v>18</v>
      </c>
      <c r="E6" s="64" t="s">
        <v>172</v>
      </c>
      <c r="F6" s="64" t="s">
        <v>173</v>
      </c>
      <c r="G6" s="64" t="s">
        <v>174</v>
      </c>
      <c r="H6" s="64" t="s">
        <v>175</v>
      </c>
      <c r="I6" s="64" t="s">
        <v>12</v>
      </c>
      <c r="J6" s="45" t="s">
        <v>160</v>
      </c>
      <c r="K6" s="47"/>
      <c r="L6" s="46"/>
      <c r="M6" s="45" t="s">
        <v>161</v>
      </c>
      <c r="N6" s="47"/>
      <c r="O6" s="46"/>
      <c r="P6" s="45" t="s">
        <v>162</v>
      </c>
      <c r="Q6" s="47"/>
      <c r="R6" s="46"/>
      <c r="S6" s="45" t="s">
        <v>163</v>
      </c>
      <c r="T6" s="47"/>
      <c r="U6" s="46"/>
      <c r="V6" s="45" t="s">
        <v>164</v>
      </c>
      <c r="W6" s="47"/>
      <c r="X6" s="46"/>
      <c r="Y6" s="64" t="s">
        <v>12</v>
      </c>
      <c r="Z6" s="45" t="s">
        <v>19</v>
      </c>
      <c r="AA6" s="46"/>
    </row>
    <row r="7" spans="1:27" x14ac:dyDescent="0.3">
      <c r="A7" s="65"/>
      <c r="B7" s="65"/>
      <c r="C7" s="65"/>
      <c r="D7" s="65"/>
      <c r="E7" s="65"/>
      <c r="F7" s="65"/>
      <c r="G7" s="65"/>
      <c r="H7" s="65"/>
      <c r="I7" s="65"/>
      <c r="J7" s="4" t="s">
        <v>12</v>
      </c>
      <c r="K7" s="4" t="s">
        <v>173</v>
      </c>
      <c r="L7" s="4" t="s">
        <v>503</v>
      </c>
      <c r="M7" s="4" t="s">
        <v>12</v>
      </c>
      <c r="N7" s="4" t="s">
        <v>173</v>
      </c>
      <c r="O7" s="4" t="s">
        <v>503</v>
      </c>
      <c r="P7" s="4" t="s">
        <v>12</v>
      </c>
      <c r="Q7" s="4" t="s">
        <v>173</v>
      </c>
      <c r="R7" s="4" t="s">
        <v>503</v>
      </c>
      <c r="S7" s="4" t="s">
        <v>12</v>
      </c>
      <c r="T7" s="4" t="s">
        <v>173</v>
      </c>
      <c r="U7" s="4" t="s">
        <v>503</v>
      </c>
      <c r="V7" s="4" t="s">
        <v>12</v>
      </c>
      <c r="W7" s="4" t="s">
        <v>173</v>
      </c>
      <c r="X7" s="4" t="s">
        <v>503</v>
      </c>
      <c r="Y7" s="65"/>
      <c r="Z7" s="4" t="s">
        <v>165</v>
      </c>
      <c r="AA7" s="4" t="s">
        <v>166</v>
      </c>
    </row>
    <row r="8" spans="1:27" x14ac:dyDescent="0.3">
      <c r="A8" s="9">
        <v>1</v>
      </c>
      <c r="B8" s="54" t="str">
        <f>VLOOKUP(A8,MEMORIA!$A:$N,2,FALSE)</f>
        <v>SERVIÇOS PRELIMINARES</v>
      </c>
      <c r="C8" s="55"/>
      <c r="D8" s="55"/>
      <c r="E8" s="55"/>
      <c r="F8" s="55"/>
      <c r="G8" s="55"/>
      <c r="H8" s="56"/>
      <c r="I8" s="10">
        <f>SUM(I$9:I$10)</f>
        <v>85261.61</v>
      </c>
      <c r="J8" s="10">
        <f>SUM(J$9:J$10)</f>
        <v>29166.43</v>
      </c>
      <c r="K8" s="10"/>
      <c r="L8" s="11">
        <f t="shared" ref="L8:L71" si="0">J8/$I8</f>
        <v>0.34208162383985008</v>
      </c>
      <c r="M8" s="10">
        <f>SUM(M$9:M$10)</f>
        <v>25662.31</v>
      </c>
      <c r="N8" s="10"/>
      <c r="O8" s="11">
        <f t="shared" ref="O8:O71" si="1">M8/$I8</f>
        <v>0.30098317402169628</v>
      </c>
      <c r="P8" s="10">
        <f>SUM(P$9:P$10)</f>
        <v>11350.64</v>
      </c>
      <c r="Q8" s="10"/>
      <c r="R8" s="11">
        <f t="shared" ref="R8:R71" si="2">P8/$I8</f>
        <v>0.13312720695750407</v>
      </c>
      <c r="S8" s="10">
        <f>SUM(S$9:S$10)</f>
        <v>9047.61</v>
      </c>
      <c r="T8" s="10"/>
      <c r="U8" s="11">
        <f t="shared" ref="U8:U71" si="3">S8/$I8</f>
        <v>0.10611587090602677</v>
      </c>
      <c r="V8" s="10">
        <f>SUM(V$9:V$10)</f>
        <v>10034.620000000001</v>
      </c>
      <c r="W8" s="10"/>
      <c r="X8" s="11">
        <f t="shared" ref="X8:X71" si="4">V8/$I8</f>
        <v>0.1176921242749228</v>
      </c>
      <c r="Y8" s="10">
        <f t="shared" ref="Y8:Y71" si="5">SUM(J8,M8,P8,S8,V8,)</f>
        <v>85261.61</v>
      </c>
      <c r="Z8" s="11">
        <f t="shared" ref="Z8:Z71" si="6">SUM(L8,O8,R8,U8,X8,)</f>
        <v>1</v>
      </c>
      <c r="AA8" s="11">
        <f t="shared" ref="AA8:AA71" si="7">Y8/$I$479</f>
        <v>5.2895615142394804E-2</v>
      </c>
    </row>
    <row r="9" spans="1:27" x14ac:dyDescent="0.3">
      <c r="A9" s="23" t="s">
        <v>176</v>
      </c>
      <c r="B9" s="23" t="str">
        <f>VLOOKUP(A9,MEMORIA!$A:$N,2,FALSE)</f>
        <v>COMPOS31</v>
      </c>
      <c r="C9" s="23" t="str">
        <f>VLOOKUP(A9,MEMORIA!$A:$N,3,FALSE)</f>
        <v>PRÓPRIA</v>
      </c>
      <c r="D9" s="24" t="str">
        <f>VLOOKUP(A9,MEMORIA!$A:$N,4,FALSE)</f>
        <v>ADMINISTRAÇÃO LOCAL DA OBRA</v>
      </c>
      <c r="E9" s="23" t="str">
        <f>VLOOKUP(A9,MEMORIA!$A:$N,5,FALSE)</f>
        <v>MÊS</v>
      </c>
      <c r="F9" s="5">
        <f>VLOOKUP(A9,MEMORIA!$A:$N,14,FALSE)</f>
        <v>5</v>
      </c>
      <c r="G9" s="5">
        <f>VLOOKUP(A9,ORCAMENTO!$A:$I,7,FALSE)</f>
        <v>13447.4</v>
      </c>
      <c r="H9" s="5">
        <f>VLOOKUP(A9,ORCAMENTO!$A:$I,8,FALSE)</f>
        <v>16450.2</v>
      </c>
      <c r="I9" s="5">
        <f>ROUND(F9*H9,2)</f>
        <v>82251</v>
      </c>
      <c r="J9" s="5">
        <f>ROUND(K9*$H9,2)</f>
        <v>26155.82</v>
      </c>
      <c r="K9" s="5">
        <v>1.59</v>
      </c>
      <c r="L9" s="25">
        <f t="shared" si="0"/>
        <v>0.31800002431581381</v>
      </c>
      <c r="M9" s="5">
        <f>ROUND(N9*$H9,2)</f>
        <v>25662.31</v>
      </c>
      <c r="N9" s="5">
        <v>1.56</v>
      </c>
      <c r="O9" s="25">
        <f t="shared" si="1"/>
        <v>0.31199997568418625</v>
      </c>
      <c r="P9" s="5">
        <f>ROUND(Q9*$H9,2)</f>
        <v>11350.64</v>
      </c>
      <c r="Q9" s="5">
        <v>0.69</v>
      </c>
      <c r="R9" s="25">
        <f t="shared" si="2"/>
        <v>0.13800002431581379</v>
      </c>
      <c r="S9" s="5">
        <f>ROUND(T9*$H9,2)</f>
        <v>9047.61</v>
      </c>
      <c r="T9" s="5">
        <v>0.55000000000000004</v>
      </c>
      <c r="U9" s="25">
        <f t="shared" si="3"/>
        <v>0.11</v>
      </c>
      <c r="V9" s="5">
        <f>ROUND(W9*$H9,2)</f>
        <v>10034.620000000001</v>
      </c>
      <c r="W9" s="5">
        <f>F9-K9-N9-Q9-T9</f>
        <v>0.6100000000000001</v>
      </c>
      <c r="X9" s="25">
        <f t="shared" si="4"/>
        <v>0.12199997568418622</v>
      </c>
      <c r="Y9" s="5">
        <f t="shared" si="5"/>
        <v>82251</v>
      </c>
      <c r="Z9" s="25">
        <f t="shared" si="6"/>
        <v>1.0000000000000002</v>
      </c>
      <c r="AA9" s="25">
        <f t="shared" si="7"/>
        <v>5.1027856981320376E-2</v>
      </c>
    </row>
    <row r="10" spans="1:27" x14ac:dyDescent="0.3">
      <c r="A10" s="23" t="s">
        <v>177</v>
      </c>
      <c r="B10" s="23" t="str">
        <f>VLOOKUP(A10,MEMORIA!$A:$N,2,FALSE)</f>
        <v>COMP14</v>
      </c>
      <c r="C10" s="23" t="str">
        <f>VLOOKUP(A10,MEMORIA!$A:$N,3,FALSE)</f>
        <v>PRÓPRIA</v>
      </c>
      <c r="D10" s="24" t="str">
        <f>VLOOKUP(A10,MEMORIA!$A:$N,4,FALSE)</f>
        <v>PLACAS PADRÃO DE OBRA</v>
      </c>
      <c r="E10" s="23" t="str">
        <f>VLOOKUP(A10,MEMORIA!$A:$N,5,FALSE)</f>
        <v>M2</v>
      </c>
      <c r="F10" s="5">
        <f>VLOOKUP(A10,MEMORIA!$A:$N,14,FALSE)</f>
        <v>12.96</v>
      </c>
      <c r="G10" s="5">
        <f>VLOOKUP(A10,ORCAMENTO!$A:$I,7,FALSE)</f>
        <v>189.89999999999998</v>
      </c>
      <c r="H10" s="5">
        <f>VLOOKUP(A10,ORCAMENTO!$A:$I,8,FALSE)</f>
        <v>232.29999999999998</v>
      </c>
      <c r="I10" s="5">
        <f>ROUND(F10*H10,2)</f>
        <v>3010.61</v>
      </c>
      <c r="J10" s="5">
        <f>ROUND(K10*$H10,2)</f>
        <v>3010.61</v>
      </c>
      <c r="K10" s="5">
        <f>F10</f>
        <v>12.96</v>
      </c>
      <c r="L10" s="25">
        <f t="shared" si="0"/>
        <v>1</v>
      </c>
      <c r="M10" s="5">
        <f>ROUND(N10*$H10,2)</f>
        <v>0</v>
      </c>
      <c r="N10" s="5">
        <v>0</v>
      </c>
      <c r="O10" s="25">
        <f t="shared" si="1"/>
        <v>0</v>
      </c>
      <c r="P10" s="5">
        <f>ROUND(Q10*$H10,2)</f>
        <v>0</v>
      </c>
      <c r="Q10" s="5">
        <v>0</v>
      </c>
      <c r="R10" s="25">
        <f t="shared" si="2"/>
        <v>0</v>
      </c>
      <c r="S10" s="5">
        <f>ROUND(T10*$H10,2)</f>
        <v>0</v>
      </c>
      <c r="T10" s="5">
        <v>0</v>
      </c>
      <c r="U10" s="25">
        <f t="shared" si="3"/>
        <v>0</v>
      </c>
      <c r="V10" s="5">
        <f>ROUND(W10*$H10,2)</f>
        <v>0</v>
      </c>
      <c r="W10" s="5">
        <v>0</v>
      </c>
      <c r="X10" s="25">
        <f t="shared" si="4"/>
        <v>0</v>
      </c>
      <c r="Y10" s="5">
        <f t="shared" si="5"/>
        <v>3010.61</v>
      </c>
      <c r="Z10" s="25">
        <f t="shared" si="6"/>
        <v>1</v>
      </c>
      <c r="AA10" s="25">
        <f t="shared" si="7"/>
        <v>1.86775816107443E-3</v>
      </c>
    </row>
    <row r="11" spans="1:27" x14ac:dyDescent="0.3">
      <c r="A11" s="9">
        <v>2</v>
      </c>
      <c r="B11" s="54" t="str">
        <f>VLOOKUP(A11,MEMORIA!$A:$N,2,FALSE)</f>
        <v>LOCALIDADE CAPIM GROSSO (PARNAGUÁ-PI)</v>
      </c>
      <c r="C11" s="55"/>
      <c r="D11" s="55"/>
      <c r="E11" s="55"/>
      <c r="F11" s="55"/>
      <c r="G11" s="55"/>
      <c r="H11" s="56"/>
      <c r="I11" s="10">
        <f>SUM(I$12,I$28,I$32,I$66,I$69,I$78,I$82,)</f>
        <v>553618.73</v>
      </c>
      <c r="J11" s="10">
        <f>SUM(J$12,J$28,J$32,J$66,J$69,J$78,J$82,)</f>
        <v>358595.27</v>
      </c>
      <c r="K11" s="10"/>
      <c r="L11" s="11">
        <f t="shared" si="0"/>
        <v>0.64772965683440664</v>
      </c>
      <c r="M11" s="10">
        <f>SUM(M$12,M$28,M$32,M$66,M$69,M$78,M$82,)</f>
        <v>195023.46000000002</v>
      </c>
      <c r="N11" s="10"/>
      <c r="O11" s="11">
        <f t="shared" si="1"/>
        <v>0.35227034316559347</v>
      </c>
      <c r="P11" s="10">
        <f>SUM(P$12,P$28,P$32,P$66,P$69,P$78,P$82,)</f>
        <v>0</v>
      </c>
      <c r="Q11" s="10"/>
      <c r="R11" s="11">
        <f t="shared" si="2"/>
        <v>0</v>
      </c>
      <c r="S11" s="10">
        <f>SUM(S$12,S$28,S$32,S$66,S$69,S$78,S$82,)</f>
        <v>0</v>
      </c>
      <c r="T11" s="10"/>
      <c r="U11" s="11">
        <f t="shared" si="3"/>
        <v>0</v>
      </c>
      <c r="V11" s="10">
        <f>SUM(V$12,V$28,V$32,V$66,V$69,V$78,V$82,)</f>
        <v>0</v>
      </c>
      <c r="W11" s="10"/>
      <c r="X11" s="11">
        <f t="shared" si="4"/>
        <v>0</v>
      </c>
      <c r="Y11" s="10">
        <f t="shared" si="5"/>
        <v>553618.73</v>
      </c>
      <c r="Z11" s="11">
        <f t="shared" si="6"/>
        <v>1</v>
      </c>
      <c r="AA11" s="11">
        <f t="shared" si="7"/>
        <v>0.34346059472371426</v>
      </c>
    </row>
    <row r="12" spans="1:27" x14ac:dyDescent="0.3">
      <c r="A12" s="12" t="s">
        <v>20</v>
      </c>
      <c r="B12" s="51" t="str">
        <f>VLOOKUP(A12,MEMORIA!$A:$N,2,FALSE)</f>
        <v>PERFURAÇÃO DE POÇO TUBULAR</v>
      </c>
      <c r="C12" s="52"/>
      <c r="D12" s="52"/>
      <c r="E12" s="52"/>
      <c r="F12" s="52"/>
      <c r="G12" s="52"/>
      <c r="H12" s="53"/>
      <c r="I12" s="13">
        <f>SUM(I$13:I$27)</f>
        <v>51020.49</v>
      </c>
      <c r="J12" s="13">
        <f>SUM(J$13:J$27)</f>
        <v>51020.49</v>
      </c>
      <c r="K12" s="13"/>
      <c r="L12" s="14">
        <f t="shared" si="0"/>
        <v>1</v>
      </c>
      <c r="M12" s="13">
        <f>SUM(M$13:M$27)</f>
        <v>0</v>
      </c>
      <c r="N12" s="13"/>
      <c r="O12" s="14">
        <f t="shared" si="1"/>
        <v>0</v>
      </c>
      <c r="P12" s="13">
        <f>SUM(P$13:P$27)</f>
        <v>0</v>
      </c>
      <c r="Q12" s="13"/>
      <c r="R12" s="14">
        <f t="shared" si="2"/>
        <v>0</v>
      </c>
      <c r="S12" s="13">
        <f>SUM(S$13:S$27)</f>
        <v>0</v>
      </c>
      <c r="T12" s="13"/>
      <c r="U12" s="14">
        <f t="shared" si="3"/>
        <v>0</v>
      </c>
      <c r="V12" s="13">
        <f>SUM(V$13:V$27)</f>
        <v>0</v>
      </c>
      <c r="W12" s="13"/>
      <c r="X12" s="14">
        <f t="shared" si="4"/>
        <v>0</v>
      </c>
      <c r="Y12" s="13">
        <f t="shared" si="5"/>
        <v>51020.49</v>
      </c>
      <c r="Z12" s="14">
        <f t="shared" si="6"/>
        <v>1</v>
      </c>
      <c r="AA12" s="14">
        <f t="shared" si="7"/>
        <v>3.1652700475822623E-2</v>
      </c>
    </row>
    <row r="13" spans="1:27" ht="43.2" x14ac:dyDescent="0.3">
      <c r="A13" s="23" t="s">
        <v>178</v>
      </c>
      <c r="B13" s="23" t="str">
        <f>VLOOKUP(A13,MEMORIA!$A:$N,2,FALSE)</f>
        <v>COMPOS3</v>
      </c>
      <c r="C13" s="23" t="str">
        <f>VLOOKUP(A13,MEMORIA!$A:$N,3,FALSE)</f>
        <v>PRÓPRIA</v>
      </c>
      <c r="D13" s="24" t="str">
        <f>VLOOKUP(A13,MEMORIA!$A:$N,4,FALSE)</f>
        <v>LOCAÇÃO DO POÇO COM ESTUDO GEOLÓGICO/HIDROGEOLÓGICO/GEOFÍSICO</v>
      </c>
      <c r="E13" s="23" t="str">
        <f>VLOOKUP(A13,MEMORIA!$A:$N,5,FALSE)</f>
        <v>UN</v>
      </c>
      <c r="F13" s="5">
        <f>VLOOKUP(A13,MEMORIA!$A:$N,14,FALSE)</f>
        <v>1</v>
      </c>
      <c r="G13" s="5">
        <f>VLOOKUP(A13,ORCAMENTO!$A:$I,7,FALSE)</f>
        <v>1692.3999999999999</v>
      </c>
      <c r="H13" s="5">
        <f>VLOOKUP(A13,ORCAMENTO!$A:$I,8,FALSE)</f>
        <v>2070.31</v>
      </c>
      <c r="I13" s="5">
        <f t="shared" ref="I13:I27" si="8">ROUND(F13*H13,2)</f>
        <v>2070.31</v>
      </c>
      <c r="J13" s="5">
        <f t="shared" ref="J13:J27" si="9">ROUND(K13*$H13,2)</f>
        <v>2070.31</v>
      </c>
      <c r="K13" s="5">
        <f>F13</f>
        <v>1</v>
      </c>
      <c r="L13" s="25">
        <f t="shared" si="0"/>
        <v>1</v>
      </c>
      <c r="M13" s="5">
        <f t="shared" ref="M13:M27" si="10">ROUND(N13*$H13,2)</f>
        <v>0</v>
      </c>
      <c r="N13" s="5">
        <v>0</v>
      </c>
      <c r="O13" s="25">
        <f t="shared" si="1"/>
        <v>0</v>
      </c>
      <c r="P13" s="5">
        <f t="shared" ref="P13:P27" si="11">ROUND(Q13*$H13,2)</f>
        <v>0</v>
      </c>
      <c r="Q13" s="5">
        <v>0</v>
      </c>
      <c r="R13" s="25">
        <f t="shared" si="2"/>
        <v>0</v>
      </c>
      <c r="S13" s="5">
        <f t="shared" ref="S13:S27" si="12">ROUND(T13*$H13,2)</f>
        <v>0</v>
      </c>
      <c r="T13" s="5">
        <v>0</v>
      </c>
      <c r="U13" s="25">
        <f t="shared" si="3"/>
        <v>0</v>
      </c>
      <c r="V13" s="5">
        <f t="shared" ref="V13:V27" si="13">ROUND(W13*$H13,2)</f>
        <v>0</v>
      </c>
      <c r="W13" s="5">
        <v>0</v>
      </c>
      <c r="X13" s="25">
        <f t="shared" si="4"/>
        <v>0</v>
      </c>
      <c r="Y13" s="5">
        <f t="shared" si="5"/>
        <v>2070.31</v>
      </c>
      <c r="Z13" s="25">
        <f t="shared" si="6"/>
        <v>1</v>
      </c>
      <c r="AA13" s="25">
        <f t="shared" si="7"/>
        <v>1.2844036253297515E-3</v>
      </c>
    </row>
    <row r="14" spans="1:27" ht="28.8" x14ac:dyDescent="0.3">
      <c r="A14" s="23" t="s">
        <v>179</v>
      </c>
      <c r="B14" s="23" t="str">
        <f>VLOOKUP(A14,MEMORIA!$A:$N,2,FALSE)</f>
        <v>COMPOS4</v>
      </c>
      <c r="C14" s="23" t="str">
        <f>VLOOKUP(A14,MEMORIA!$A:$N,3,FALSE)</f>
        <v>PRÓPRIA</v>
      </c>
      <c r="D14" s="24" t="str">
        <f>VLOOKUP(A14,MEMORIA!$A:$N,4,FALSE)</f>
        <v>TRANSPORTE DE MÁQUINAS E EQUIPAMENTOS</v>
      </c>
      <c r="E14" s="23" t="str">
        <f>VLOOKUP(A14,MEMORIA!$A:$N,5,FALSE)</f>
        <v>KM</v>
      </c>
      <c r="F14" s="5">
        <f>VLOOKUP(A14,MEMORIA!$A:$N,14,FALSE)</f>
        <v>740</v>
      </c>
      <c r="G14" s="5">
        <f>VLOOKUP(A14,ORCAMENTO!$A:$I,7,FALSE)</f>
        <v>5.5</v>
      </c>
      <c r="H14" s="5">
        <f>VLOOKUP(A14,ORCAMENTO!$A:$I,8,FALSE)</f>
        <v>6.73</v>
      </c>
      <c r="I14" s="5">
        <f t="shared" si="8"/>
        <v>4980.2</v>
      </c>
      <c r="J14" s="5">
        <f t="shared" si="9"/>
        <v>4980.2</v>
      </c>
      <c r="K14" s="5">
        <f t="shared" ref="K14:K27" si="14">F14</f>
        <v>740</v>
      </c>
      <c r="L14" s="25">
        <f t="shared" si="0"/>
        <v>1</v>
      </c>
      <c r="M14" s="5">
        <f t="shared" si="10"/>
        <v>0</v>
      </c>
      <c r="N14" s="5">
        <v>0</v>
      </c>
      <c r="O14" s="25">
        <f t="shared" si="1"/>
        <v>0</v>
      </c>
      <c r="P14" s="5">
        <f t="shared" si="11"/>
        <v>0</v>
      </c>
      <c r="Q14" s="5">
        <v>0</v>
      </c>
      <c r="R14" s="25">
        <f t="shared" si="2"/>
        <v>0</v>
      </c>
      <c r="S14" s="5">
        <f t="shared" si="12"/>
        <v>0</v>
      </c>
      <c r="T14" s="5">
        <v>0</v>
      </c>
      <c r="U14" s="25">
        <f t="shared" si="3"/>
        <v>0</v>
      </c>
      <c r="V14" s="5">
        <f t="shared" si="13"/>
        <v>0</v>
      </c>
      <c r="W14" s="5">
        <v>0</v>
      </c>
      <c r="X14" s="25">
        <f t="shared" si="4"/>
        <v>0</v>
      </c>
      <c r="Y14" s="5">
        <f t="shared" si="5"/>
        <v>4980.2</v>
      </c>
      <c r="Z14" s="25">
        <f t="shared" si="6"/>
        <v>1</v>
      </c>
      <c r="AA14" s="25">
        <f t="shared" si="7"/>
        <v>3.0896759107897987E-3</v>
      </c>
    </row>
    <row r="15" spans="1:27" ht="28.8" x14ac:dyDescent="0.3">
      <c r="A15" s="23" t="s">
        <v>180</v>
      </c>
      <c r="B15" s="23" t="str">
        <f>VLOOKUP(A15,MEMORIA!$A:$N,2,FALSE)</f>
        <v>COMPOS4</v>
      </c>
      <c r="C15" s="23" t="str">
        <f>VLOOKUP(A15,MEMORIA!$A:$N,3,FALSE)</f>
        <v>PRÓPRIA</v>
      </c>
      <c r="D15" s="24" t="str">
        <f>VLOOKUP(A15,MEMORIA!$A:$N,4,FALSE)</f>
        <v>TRANSPORTE DE MÁQUINAS E EQUIPAMENTOS</v>
      </c>
      <c r="E15" s="23" t="str">
        <f>VLOOKUP(A15,MEMORIA!$A:$N,5,FALSE)</f>
        <v>KM</v>
      </c>
      <c r="F15" s="5">
        <f>VLOOKUP(A15,MEMORIA!$A:$N,14,FALSE)</f>
        <v>740</v>
      </c>
      <c r="G15" s="5">
        <f>VLOOKUP(A15,ORCAMENTO!$A:$I,7,FALSE)</f>
        <v>5.5</v>
      </c>
      <c r="H15" s="5">
        <f>VLOOKUP(A15,ORCAMENTO!$A:$I,8,FALSE)</f>
        <v>6.73</v>
      </c>
      <c r="I15" s="5">
        <f t="shared" si="8"/>
        <v>4980.2</v>
      </c>
      <c r="J15" s="5">
        <f t="shared" si="9"/>
        <v>4980.2</v>
      </c>
      <c r="K15" s="5">
        <f t="shared" si="14"/>
        <v>740</v>
      </c>
      <c r="L15" s="25">
        <f t="shared" si="0"/>
        <v>1</v>
      </c>
      <c r="M15" s="5">
        <f t="shared" si="10"/>
        <v>0</v>
      </c>
      <c r="N15" s="5">
        <v>0</v>
      </c>
      <c r="O15" s="25">
        <f t="shared" si="1"/>
        <v>0</v>
      </c>
      <c r="P15" s="5">
        <f t="shared" si="11"/>
        <v>0</v>
      </c>
      <c r="Q15" s="5">
        <v>0</v>
      </c>
      <c r="R15" s="25">
        <f t="shared" si="2"/>
        <v>0</v>
      </c>
      <c r="S15" s="5">
        <f t="shared" si="12"/>
        <v>0</v>
      </c>
      <c r="T15" s="5">
        <v>0</v>
      </c>
      <c r="U15" s="25">
        <f t="shared" si="3"/>
        <v>0</v>
      </c>
      <c r="V15" s="5">
        <f t="shared" si="13"/>
        <v>0</v>
      </c>
      <c r="W15" s="5">
        <v>0</v>
      </c>
      <c r="X15" s="25">
        <f t="shared" si="4"/>
        <v>0</v>
      </c>
      <c r="Y15" s="5">
        <f t="shared" si="5"/>
        <v>4980.2</v>
      </c>
      <c r="Z15" s="25">
        <f t="shared" si="6"/>
        <v>1</v>
      </c>
      <c r="AA15" s="25">
        <f t="shared" si="7"/>
        <v>3.0896759107897987E-3</v>
      </c>
    </row>
    <row r="16" spans="1:27" x14ac:dyDescent="0.3">
      <c r="A16" s="23" t="s">
        <v>181</v>
      </c>
      <c r="B16" s="23" t="str">
        <f>VLOOKUP(A16,MEMORIA!$A:$N,2,FALSE)</f>
        <v>COMPOS5</v>
      </c>
      <c r="C16" s="23" t="str">
        <f>VLOOKUP(A16,MEMORIA!$A:$N,3,FALSE)</f>
        <v>PRÓPRIA</v>
      </c>
      <c r="D16" s="24" t="str">
        <f>VLOOKUP(A16,MEMORIA!$A:$N,4,FALSE)</f>
        <v>PERFILAGEM ÓTICA</v>
      </c>
      <c r="E16" s="23" t="str">
        <f>VLOOKUP(A16,MEMORIA!$A:$N,5,FALSE)</f>
        <v>UN</v>
      </c>
      <c r="F16" s="5">
        <f>VLOOKUP(A16,MEMORIA!$A:$N,14,FALSE)</f>
        <v>1</v>
      </c>
      <c r="G16" s="5">
        <f>VLOOKUP(A16,ORCAMENTO!$A:$I,7,FALSE)</f>
        <v>2908.88</v>
      </c>
      <c r="H16" s="5">
        <f>VLOOKUP(A16,ORCAMENTO!$A:$I,8,FALSE)</f>
        <v>3558.4300000000003</v>
      </c>
      <c r="I16" s="5">
        <f t="shared" si="8"/>
        <v>3558.43</v>
      </c>
      <c r="J16" s="5">
        <f t="shared" si="9"/>
        <v>3558.43</v>
      </c>
      <c r="K16" s="5">
        <f t="shared" si="14"/>
        <v>1</v>
      </c>
      <c r="L16" s="25">
        <f t="shared" si="0"/>
        <v>1</v>
      </c>
      <c r="M16" s="5">
        <f t="shared" si="10"/>
        <v>0</v>
      </c>
      <c r="N16" s="5">
        <v>0</v>
      </c>
      <c r="O16" s="25">
        <f t="shared" si="1"/>
        <v>0</v>
      </c>
      <c r="P16" s="5">
        <f t="shared" si="11"/>
        <v>0</v>
      </c>
      <c r="Q16" s="5">
        <v>0</v>
      </c>
      <c r="R16" s="25">
        <f t="shared" si="2"/>
        <v>0</v>
      </c>
      <c r="S16" s="5">
        <f t="shared" si="12"/>
        <v>0</v>
      </c>
      <c r="T16" s="5">
        <v>0</v>
      </c>
      <c r="U16" s="25">
        <f t="shared" si="3"/>
        <v>0</v>
      </c>
      <c r="V16" s="5">
        <f t="shared" si="13"/>
        <v>0</v>
      </c>
      <c r="W16" s="5">
        <v>0</v>
      </c>
      <c r="X16" s="25">
        <f t="shared" si="4"/>
        <v>0</v>
      </c>
      <c r="Y16" s="5">
        <f t="shared" si="5"/>
        <v>3558.43</v>
      </c>
      <c r="Z16" s="25">
        <f t="shared" si="6"/>
        <v>1</v>
      </c>
      <c r="AA16" s="25">
        <f t="shared" si="7"/>
        <v>2.2076212704774394E-3</v>
      </c>
    </row>
    <row r="17" spans="1:27" ht="43.2" x14ac:dyDescent="0.3">
      <c r="A17" s="23" t="s">
        <v>182</v>
      </c>
      <c r="B17" s="23" t="str">
        <f>VLOOKUP(A17,MEMORIA!$A:$N,2,FALSE)</f>
        <v>COMP197</v>
      </c>
      <c r="C17" s="23" t="str">
        <f>VLOOKUP(A17,MEMORIA!$A:$N,3,FALSE)</f>
        <v>PRÓPRIA</v>
      </c>
      <c r="D17" s="24" t="str">
        <f>VLOOKUP(A17,MEMORIA!$A:$N,4,FALSE)</f>
        <v>PERFURAÇÃO EM ROCHA SEDIMENTAR DN 10" (REF: 06230/ORSE-ORSE-04/2025)</v>
      </c>
      <c r="E17" s="23" t="str">
        <f>VLOOKUP(A17,MEMORIA!$A:$N,5,FALSE)</f>
        <v>M</v>
      </c>
      <c r="F17" s="5">
        <f>VLOOKUP(A17,MEMORIA!$A:$N,14,FALSE)</f>
        <v>20</v>
      </c>
      <c r="G17" s="5">
        <f>VLOOKUP(A17,ORCAMENTO!$A:$I,7,FALSE)</f>
        <v>202.21</v>
      </c>
      <c r="H17" s="5">
        <f>VLOOKUP(A17,ORCAMENTO!$A:$I,8,FALSE)</f>
        <v>247.36</v>
      </c>
      <c r="I17" s="5">
        <f t="shared" si="8"/>
        <v>4947.2</v>
      </c>
      <c r="J17" s="5">
        <f t="shared" si="9"/>
        <v>4947.2</v>
      </c>
      <c r="K17" s="5">
        <f t="shared" si="14"/>
        <v>20</v>
      </c>
      <c r="L17" s="25">
        <f t="shared" si="0"/>
        <v>1</v>
      </c>
      <c r="M17" s="5">
        <f t="shared" si="10"/>
        <v>0</v>
      </c>
      <c r="N17" s="5">
        <v>0</v>
      </c>
      <c r="O17" s="25">
        <f t="shared" si="1"/>
        <v>0</v>
      </c>
      <c r="P17" s="5">
        <f t="shared" si="11"/>
        <v>0</v>
      </c>
      <c r="Q17" s="5">
        <v>0</v>
      </c>
      <c r="R17" s="25">
        <f t="shared" si="2"/>
        <v>0</v>
      </c>
      <c r="S17" s="5">
        <f t="shared" si="12"/>
        <v>0</v>
      </c>
      <c r="T17" s="5">
        <v>0</v>
      </c>
      <c r="U17" s="25">
        <f t="shared" si="3"/>
        <v>0</v>
      </c>
      <c r="V17" s="5">
        <f t="shared" si="13"/>
        <v>0</v>
      </c>
      <c r="W17" s="5">
        <v>0</v>
      </c>
      <c r="X17" s="25">
        <f t="shared" si="4"/>
        <v>0</v>
      </c>
      <c r="Y17" s="5">
        <f t="shared" si="5"/>
        <v>4947.2</v>
      </c>
      <c r="Z17" s="25">
        <f t="shared" si="6"/>
        <v>1</v>
      </c>
      <c r="AA17" s="25">
        <f t="shared" si="7"/>
        <v>3.0692029769606223E-3</v>
      </c>
    </row>
    <row r="18" spans="1:27" ht="28.8" x14ac:dyDescent="0.3">
      <c r="A18" s="23" t="s">
        <v>183</v>
      </c>
      <c r="B18" s="23" t="str">
        <f>VLOOKUP(A18,MEMORIA!$A:$N,2,FALSE)</f>
        <v>COMP198</v>
      </c>
      <c r="C18" s="23" t="str">
        <f>VLOOKUP(A18,MEMORIA!$A:$N,3,FALSE)</f>
        <v>PRÓPRIA</v>
      </c>
      <c r="D18" s="24" t="str">
        <f>VLOOKUP(A18,MEMORIA!$A:$N,4,FALSE)</f>
        <v>PERFURAÇÃO EM ROCHA CRISTALINA DN 6" (REF: 06237/ORSE-ORSE-04/2025)</v>
      </c>
      <c r="E18" s="23" t="str">
        <f>VLOOKUP(A18,MEMORIA!$A:$N,5,FALSE)</f>
        <v>M</v>
      </c>
      <c r="F18" s="5">
        <f>VLOOKUP(A18,MEMORIA!$A:$N,14,FALSE)</f>
        <v>100</v>
      </c>
      <c r="G18" s="5">
        <f>VLOOKUP(A18,ORCAMENTO!$A:$I,7,FALSE)</f>
        <v>125.23</v>
      </c>
      <c r="H18" s="5">
        <f>VLOOKUP(A18,ORCAMENTO!$A:$I,8,FALSE)</f>
        <v>153.19</v>
      </c>
      <c r="I18" s="5">
        <f t="shared" si="8"/>
        <v>15319</v>
      </c>
      <c r="J18" s="5">
        <f t="shared" si="9"/>
        <v>15319</v>
      </c>
      <c r="K18" s="5">
        <f t="shared" si="14"/>
        <v>100</v>
      </c>
      <c r="L18" s="25">
        <f t="shared" si="0"/>
        <v>1</v>
      </c>
      <c r="M18" s="5">
        <f t="shared" si="10"/>
        <v>0</v>
      </c>
      <c r="N18" s="5">
        <v>0</v>
      </c>
      <c r="O18" s="25">
        <f t="shared" si="1"/>
        <v>0</v>
      </c>
      <c r="P18" s="5">
        <f t="shared" si="11"/>
        <v>0</v>
      </c>
      <c r="Q18" s="5">
        <v>0</v>
      </c>
      <c r="R18" s="25">
        <f t="shared" si="2"/>
        <v>0</v>
      </c>
      <c r="S18" s="5">
        <f t="shared" si="12"/>
        <v>0</v>
      </c>
      <c r="T18" s="5">
        <v>0</v>
      </c>
      <c r="U18" s="25">
        <f t="shared" si="3"/>
        <v>0</v>
      </c>
      <c r="V18" s="5">
        <f t="shared" si="13"/>
        <v>0</v>
      </c>
      <c r="W18" s="5">
        <v>0</v>
      </c>
      <c r="X18" s="25">
        <f t="shared" si="4"/>
        <v>0</v>
      </c>
      <c r="Y18" s="5">
        <f t="shared" si="5"/>
        <v>15319</v>
      </c>
      <c r="Z18" s="25">
        <f t="shared" si="6"/>
        <v>1</v>
      </c>
      <c r="AA18" s="25">
        <f t="shared" si="7"/>
        <v>9.5037840402772827E-3</v>
      </c>
    </row>
    <row r="19" spans="1:27" x14ac:dyDescent="0.3">
      <c r="A19" s="23" t="s">
        <v>184</v>
      </c>
      <c r="B19" s="23" t="str">
        <f>VLOOKUP(A19,MEMORIA!$A:$N,2,FALSE)</f>
        <v>COMPOS10</v>
      </c>
      <c r="C19" s="23" t="str">
        <f>VLOOKUP(A19,MEMORIA!$A:$N,3,FALSE)</f>
        <v>PRÓPRIA</v>
      </c>
      <c r="D19" s="24" t="str">
        <f>VLOOKUP(A19,MEMORIA!$A:$N,4,FALSE)</f>
        <v>CIMENTAÇÃO SANITÁRIA</v>
      </c>
      <c r="E19" s="23" t="str">
        <f>VLOOKUP(A19,MEMORIA!$A:$N,5,FALSE)</f>
        <v>M</v>
      </c>
      <c r="F19" s="5">
        <f>VLOOKUP(A19,MEMORIA!$A:$N,14,FALSE)</f>
        <v>10</v>
      </c>
      <c r="G19" s="5">
        <f>VLOOKUP(A19,ORCAMENTO!$A:$I,7,FALSE)</f>
        <v>98.79</v>
      </c>
      <c r="H19" s="5">
        <f>VLOOKUP(A19,ORCAMENTO!$A:$I,8,FALSE)</f>
        <v>120.85000000000001</v>
      </c>
      <c r="I19" s="5">
        <f t="shared" si="8"/>
        <v>1208.5</v>
      </c>
      <c r="J19" s="5">
        <f t="shared" si="9"/>
        <v>1208.5</v>
      </c>
      <c r="K19" s="5">
        <f t="shared" si="14"/>
        <v>10</v>
      </c>
      <c r="L19" s="25">
        <f t="shared" si="0"/>
        <v>1</v>
      </c>
      <c r="M19" s="5">
        <f t="shared" si="10"/>
        <v>0</v>
      </c>
      <c r="N19" s="5">
        <v>0</v>
      </c>
      <c r="O19" s="25">
        <f t="shared" si="1"/>
        <v>0</v>
      </c>
      <c r="P19" s="5">
        <f t="shared" si="11"/>
        <v>0</v>
      </c>
      <c r="Q19" s="5">
        <v>0</v>
      </c>
      <c r="R19" s="25">
        <f t="shared" si="2"/>
        <v>0</v>
      </c>
      <c r="S19" s="5">
        <f t="shared" si="12"/>
        <v>0</v>
      </c>
      <c r="T19" s="5">
        <v>0</v>
      </c>
      <c r="U19" s="25">
        <f t="shared" si="3"/>
        <v>0</v>
      </c>
      <c r="V19" s="5">
        <f t="shared" si="13"/>
        <v>0</v>
      </c>
      <c r="W19" s="5">
        <v>0</v>
      </c>
      <c r="X19" s="25">
        <f t="shared" si="4"/>
        <v>0</v>
      </c>
      <c r="Y19" s="5">
        <f t="shared" si="5"/>
        <v>1208.5</v>
      </c>
      <c r="Z19" s="25">
        <f t="shared" si="6"/>
        <v>1</v>
      </c>
      <c r="AA19" s="25">
        <f t="shared" si="7"/>
        <v>7.4974365250180149E-4</v>
      </c>
    </row>
    <row r="20" spans="1:27" ht="28.8" x14ac:dyDescent="0.3">
      <c r="A20" s="23" t="s">
        <v>185</v>
      </c>
      <c r="B20" s="23" t="str">
        <f>VLOOKUP(A20,MEMORIA!$A:$N,2,FALSE)</f>
        <v>COMPOS11</v>
      </c>
      <c r="C20" s="23" t="str">
        <f>VLOOKUP(A20,MEMORIA!$A:$N,3,FALSE)</f>
        <v>PRÓPRIA</v>
      </c>
      <c r="D20" s="24" t="str">
        <f>VLOOKUP(A20,MEMORIA!$A:$N,4,FALSE)</f>
        <v>LAJE DE PROTEÇÃO EM CONCRETO (1,0 M X 1,0 M X 0,15 M)</v>
      </c>
      <c r="E20" s="23" t="str">
        <f>VLOOKUP(A20,MEMORIA!$A:$N,5,FALSE)</f>
        <v>M³</v>
      </c>
      <c r="F20" s="5">
        <f>VLOOKUP(A20,MEMORIA!$A:$N,14,FALSE)</f>
        <v>0.15</v>
      </c>
      <c r="G20" s="5">
        <f>VLOOKUP(A20,ORCAMENTO!$A:$I,7,FALSE)</f>
        <v>1246.81</v>
      </c>
      <c r="H20" s="5">
        <f>VLOOKUP(A20,ORCAMENTO!$A:$I,8,FALSE)</f>
        <v>1525.22</v>
      </c>
      <c r="I20" s="5">
        <f t="shared" si="8"/>
        <v>228.78</v>
      </c>
      <c r="J20" s="5">
        <f t="shared" si="9"/>
        <v>228.78</v>
      </c>
      <c r="K20" s="5">
        <f t="shared" si="14"/>
        <v>0.15</v>
      </c>
      <c r="L20" s="25">
        <f t="shared" si="0"/>
        <v>1</v>
      </c>
      <c r="M20" s="5">
        <f t="shared" si="10"/>
        <v>0</v>
      </c>
      <c r="N20" s="5">
        <v>0</v>
      </c>
      <c r="O20" s="25">
        <f t="shared" si="1"/>
        <v>0</v>
      </c>
      <c r="P20" s="5">
        <f t="shared" si="11"/>
        <v>0</v>
      </c>
      <c r="Q20" s="5">
        <v>0</v>
      </c>
      <c r="R20" s="25">
        <f t="shared" si="2"/>
        <v>0</v>
      </c>
      <c r="S20" s="5">
        <f t="shared" si="12"/>
        <v>0</v>
      </c>
      <c r="T20" s="5">
        <v>0</v>
      </c>
      <c r="U20" s="25">
        <f t="shared" si="3"/>
        <v>0</v>
      </c>
      <c r="V20" s="5">
        <f t="shared" si="13"/>
        <v>0</v>
      </c>
      <c r="W20" s="5">
        <v>0</v>
      </c>
      <c r="X20" s="25">
        <f t="shared" si="4"/>
        <v>0</v>
      </c>
      <c r="Y20" s="5">
        <f t="shared" si="5"/>
        <v>228.78</v>
      </c>
      <c r="Z20" s="25">
        <f t="shared" si="6"/>
        <v>1</v>
      </c>
      <c r="AA20" s="25">
        <f t="shared" si="7"/>
        <v>1.4193326671027072E-4</v>
      </c>
    </row>
    <row r="21" spans="1:27" x14ac:dyDescent="0.3">
      <c r="A21" s="23" t="s">
        <v>186</v>
      </c>
      <c r="B21" s="23" t="str">
        <f>VLOOKUP(A21,MEMORIA!$A:$N,2,FALSE)</f>
        <v>COMPOS12</v>
      </c>
      <c r="C21" s="23" t="str">
        <f>VLOOKUP(A21,MEMORIA!$A:$N,3,FALSE)</f>
        <v>PRÓPRIA</v>
      </c>
      <c r="D21" s="24" t="str">
        <f>VLOOKUP(A21,MEMORIA!$A:$N,4,FALSE)</f>
        <v>DESENVOLVIMENTO COM BOMBA SUBMERSA</v>
      </c>
      <c r="E21" s="23" t="str">
        <f>VLOOKUP(A21,MEMORIA!$A:$N,5,FALSE)</f>
        <v>H</v>
      </c>
      <c r="F21" s="5">
        <f>VLOOKUP(A21,MEMORIA!$A:$N,14,FALSE)</f>
        <v>6</v>
      </c>
      <c r="G21" s="5">
        <f>VLOOKUP(A21,ORCAMENTO!$A:$I,7,FALSE)</f>
        <v>515.70000000000005</v>
      </c>
      <c r="H21" s="5">
        <f>VLOOKUP(A21,ORCAMENTO!$A:$I,8,FALSE)</f>
        <v>630.86</v>
      </c>
      <c r="I21" s="5">
        <f t="shared" si="8"/>
        <v>3785.16</v>
      </c>
      <c r="J21" s="5">
        <f t="shared" si="9"/>
        <v>3785.16</v>
      </c>
      <c r="K21" s="5">
        <f t="shared" si="14"/>
        <v>6</v>
      </c>
      <c r="L21" s="25">
        <f t="shared" si="0"/>
        <v>1</v>
      </c>
      <c r="M21" s="5">
        <f t="shared" si="10"/>
        <v>0</v>
      </c>
      <c r="N21" s="5">
        <v>0</v>
      </c>
      <c r="O21" s="25">
        <f t="shared" si="1"/>
        <v>0</v>
      </c>
      <c r="P21" s="5">
        <f t="shared" si="11"/>
        <v>0</v>
      </c>
      <c r="Q21" s="5">
        <v>0</v>
      </c>
      <c r="R21" s="25">
        <f t="shared" si="2"/>
        <v>0</v>
      </c>
      <c r="S21" s="5">
        <f t="shared" si="12"/>
        <v>0</v>
      </c>
      <c r="T21" s="5">
        <v>0</v>
      </c>
      <c r="U21" s="25">
        <f t="shared" si="3"/>
        <v>0</v>
      </c>
      <c r="V21" s="5">
        <f t="shared" si="13"/>
        <v>0</v>
      </c>
      <c r="W21" s="5">
        <v>0</v>
      </c>
      <c r="X21" s="25">
        <f t="shared" si="4"/>
        <v>0</v>
      </c>
      <c r="Y21" s="5">
        <f t="shared" si="5"/>
        <v>3785.16</v>
      </c>
      <c r="Z21" s="25">
        <f t="shared" si="6"/>
        <v>1</v>
      </c>
      <c r="AA21" s="25">
        <f t="shared" si="7"/>
        <v>2.3482827337225642E-3</v>
      </c>
    </row>
    <row r="22" spans="1:27" x14ac:dyDescent="0.3">
      <c r="A22" s="23" t="s">
        <v>187</v>
      </c>
      <c r="B22" s="23" t="str">
        <f>VLOOKUP(A22,MEMORIA!$A:$N,2,FALSE)</f>
        <v>COMPOS13</v>
      </c>
      <c r="C22" s="23" t="str">
        <f>VLOOKUP(A22,MEMORIA!$A:$N,3,FALSE)</f>
        <v>PRÓPRIA</v>
      </c>
      <c r="D22" s="24" t="str">
        <f>VLOOKUP(A22,MEMORIA!$A:$N,4,FALSE)</f>
        <v>TESTE VAZÃO COM BOMBA SUBMERSA</v>
      </c>
      <c r="E22" s="23" t="str">
        <f>VLOOKUP(A22,MEMORIA!$A:$N,5,FALSE)</f>
        <v>H</v>
      </c>
      <c r="F22" s="5">
        <f>VLOOKUP(A22,MEMORIA!$A:$N,14,FALSE)</f>
        <v>24</v>
      </c>
      <c r="G22" s="5">
        <f>VLOOKUP(A22,ORCAMENTO!$A:$I,7,FALSE)</f>
        <v>97.789999999999992</v>
      </c>
      <c r="H22" s="5">
        <f>VLOOKUP(A22,ORCAMENTO!$A:$I,8,FALSE)</f>
        <v>119.63</v>
      </c>
      <c r="I22" s="5">
        <f t="shared" si="8"/>
        <v>2871.12</v>
      </c>
      <c r="J22" s="5">
        <f t="shared" si="9"/>
        <v>2871.12</v>
      </c>
      <c r="K22" s="5">
        <f t="shared" si="14"/>
        <v>24</v>
      </c>
      <c r="L22" s="25">
        <f t="shared" si="0"/>
        <v>1</v>
      </c>
      <c r="M22" s="5">
        <f t="shared" si="10"/>
        <v>0</v>
      </c>
      <c r="N22" s="5">
        <v>0</v>
      </c>
      <c r="O22" s="25">
        <f t="shared" si="1"/>
        <v>0</v>
      </c>
      <c r="P22" s="5">
        <f t="shared" si="11"/>
        <v>0</v>
      </c>
      <c r="Q22" s="5">
        <v>0</v>
      </c>
      <c r="R22" s="25">
        <f t="shared" si="2"/>
        <v>0</v>
      </c>
      <c r="S22" s="5">
        <f t="shared" si="12"/>
        <v>0</v>
      </c>
      <c r="T22" s="5">
        <v>0</v>
      </c>
      <c r="U22" s="25">
        <f t="shared" si="3"/>
        <v>0</v>
      </c>
      <c r="V22" s="5">
        <f t="shared" si="13"/>
        <v>0</v>
      </c>
      <c r="W22" s="5">
        <v>0</v>
      </c>
      <c r="X22" s="25">
        <f t="shared" si="4"/>
        <v>0</v>
      </c>
      <c r="Y22" s="5">
        <f t="shared" si="5"/>
        <v>2871.12</v>
      </c>
      <c r="Z22" s="25">
        <f t="shared" si="6"/>
        <v>1</v>
      </c>
      <c r="AA22" s="25">
        <f t="shared" si="7"/>
        <v>1.7812196901704363E-3</v>
      </c>
    </row>
    <row r="23" spans="1:27" x14ac:dyDescent="0.3">
      <c r="A23" s="23" t="s">
        <v>188</v>
      </c>
      <c r="B23" s="23" t="str">
        <f>VLOOKUP(A23,MEMORIA!$A:$N,2,FALSE)</f>
        <v>COMPOS14</v>
      </c>
      <c r="C23" s="23" t="str">
        <f>VLOOKUP(A23,MEMORIA!$A:$N,3,FALSE)</f>
        <v>PRÓPRIA</v>
      </c>
      <c r="D23" s="24" t="str">
        <f>VLOOKUP(A23,MEMORIA!$A:$N,4,FALSE)</f>
        <v>DESINFECÇÃO</v>
      </c>
      <c r="E23" s="23" t="str">
        <f>VLOOKUP(A23,MEMORIA!$A:$N,5,FALSE)</f>
        <v>H</v>
      </c>
      <c r="F23" s="5">
        <f>VLOOKUP(A23,MEMORIA!$A:$N,14,FALSE)</f>
        <v>4</v>
      </c>
      <c r="G23" s="5">
        <f>VLOOKUP(A23,ORCAMENTO!$A:$I,7,FALSE)</f>
        <v>102.36000000000003</v>
      </c>
      <c r="H23" s="5">
        <f>VLOOKUP(A23,ORCAMENTO!$A:$I,8,FALSE)</f>
        <v>125.22000000000003</v>
      </c>
      <c r="I23" s="5">
        <f t="shared" si="8"/>
        <v>500.88</v>
      </c>
      <c r="J23" s="5">
        <f t="shared" si="9"/>
        <v>500.88</v>
      </c>
      <c r="K23" s="5">
        <f t="shared" si="14"/>
        <v>4</v>
      </c>
      <c r="L23" s="25">
        <f t="shared" si="0"/>
        <v>1</v>
      </c>
      <c r="M23" s="5">
        <f t="shared" si="10"/>
        <v>0</v>
      </c>
      <c r="N23" s="5">
        <v>0</v>
      </c>
      <c r="O23" s="25">
        <f t="shared" si="1"/>
        <v>0</v>
      </c>
      <c r="P23" s="5">
        <f t="shared" si="11"/>
        <v>0</v>
      </c>
      <c r="Q23" s="5">
        <v>0</v>
      </c>
      <c r="R23" s="25">
        <f t="shared" si="2"/>
        <v>0</v>
      </c>
      <c r="S23" s="5">
        <f t="shared" si="12"/>
        <v>0</v>
      </c>
      <c r="T23" s="5">
        <v>0</v>
      </c>
      <c r="U23" s="25">
        <f t="shared" si="3"/>
        <v>0</v>
      </c>
      <c r="V23" s="5">
        <f t="shared" si="13"/>
        <v>0</v>
      </c>
      <c r="W23" s="5">
        <v>0</v>
      </c>
      <c r="X23" s="25">
        <f t="shared" si="4"/>
        <v>0</v>
      </c>
      <c r="Y23" s="5">
        <f t="shared" si="5"/>
        <v>500.88</v>
      </c>
      <c r="Z23" s="25">
        <f t="shared" si="6"/>
        <v>1</v>
      </c>
      <c r="AA23" s="25">
        <f t="shared" si="7"/>
        <v>3.107419120108418E-4</v>
      </c>
    </row>
    <row r="24" spans="1:27" x14ac:dyDescent="0.3">
      <c r="A24" s="23" t="s">
        <v>189</v>
      </c>
      <c r="B24" s="23" t="str">
        <f>VLOOKUP(A24,MEMORIA!$A:$N,2,FALSE)</f>
        <v>COMPOS15</v>
      </c>
      <c r="C24" s="23" t="str">
        <f>VLOOKUP(A24,MEMORIA!$A:$N,3,FALSE)</f>
        <v>PRÓPRIA</v>
      </c>
      <c r="D24" s="24" t="str">
        <f>VLOOKUP(A24,MEMORIA!$A:$N,4,FALSE)</f>
        <v>RELATÓRIO TÉCNICO</v>
      </c>
      <c r="E24" s="23" t="str">
        <f>VLOOKUP(A24,MEMORIA!$A:$N,5,FALSE)</f>
        <v>UN</v>
      </c>
      <c r="F24" s="5">
        <f>VLOOKUP(A24,MEMORIA!$A:$N,14,FALSE)</f>
        <v>1</v>
      </c>
      <c r="G24" s="5">
        <f>VLOOKUP(A24,ORCAMENTO!$A:$I,7,FALSE)</f>
        <v>1110.2</v>
      </c>
      <c r="H24" s="5">
        <f>VLOOKUP(A24,ORCAMENTO!$A:$I,8,FALSE)</f>
        <v>1358.1100000000001</v>
      </c>
      <c r="I24" s="5">
        <f t="shared" si="8"/>
        <v>1358.11</v>
      </c>
      <c r="J24" s="5">
        <f t="shared" si="9"/>
        <v>1358.11</v>
      </c>
      <c r="K24" s="5">
        <f t="shared" si="14"/>
        <v>1</v>
      </c>
      <c r="L24" s="25">
        <f t="shared" si="0"/>
        <v>1</v>
      </c>
      <c r="M24" s="5">
        <f t="shared" si="10"/>
        <v>0</v>
      </c>
      <c r="N24" s="5">
        <v>0</v>
      </c>
      <c r="O24" s="25">
        <f t="shared" si="1"/>
        <v>0</v>
      </c>
      <c r="P24" s="5">
        <f t="shared" si="11"/>
        <v>0</v>
      </c>
      <c r="Q24" s="5">
        <v>0</v>
      </c>
      <c r="R24" s="25">
        <f t="shared" si="2"/>
        <v>0</v>
      </c>
      <c r="S24" s="5">
        <f t="shared" si="12"/>
        <v>0</v>
      </c>
      <c r="T24" s="5">
        <v>0</v>
      </c>
      <c r="U24" s="25">
        <f t="shared" si="3"/>
        <v>0</v>
      </c>
      <c r="V24" s="5">
        <f t="shared" si="13"/>
        <v>0</v>
      </c>
      <c r="W24" s="5">
        <v>0</v>
      </c>
      <c r="X24" s="25">
        <f t="shared" si="4"/>
        <v>0</v>
      </c>
      <c r="Y24" s="5">
        <f t="shared" si="5"/>
        <v>1358.11</v>
      </c>
      <c r="Z24" s="25">
        <f t="shared" si="6"/>
        <v>1</v>
      </c>
      <c r="AA24" s="25">
        <f t="shared" si="7"/>
        <v>8.4256048978007577E-4</v>
      </c>
    </row>
    <row r="25" spans="1:27" x14ac:dyDescent="0.3">
      <c r="A25" s="23" t="s">
        <v>190</v>
      </c>
      <c r="B25" s="23" t="str">
        <f>VLOOKUP(A25,MEMORIA!$A:$N,2,FALSE)</f>
        <v>COMPOS16</v>
      </c>
      <c r="C25" s="23" t="str">
        <f>VLOOKUP(A25,MEMORIA!$A:$N,3,FALSE)</f>
        <v>PRÓPRIA</v>
      </c>
      <c r="D25" s="24" t="str">
        <f>VLOOKUP(A25,MEMORIA!$A:$N,4,FALSE)</f>
        <v>ANÁLISE FÍSICO-QUÍMICA DA ÁGUA</v>
      </c>
      <c r="E25" s="23" t="str">
        <f>VLOOKUP(A25,MEMORIA!$A:$N,5,FALSE)</f>
        <v>UN</v>
      </c>
      <c r="F25" s="5">
        <f>VLOOKUP(A25,MEMORIA!$A:$N,14,FALSE)</f>
        <v>1</v>
      </c>
      <c r="G25" s="5">
        <f>VLOOKUP(A25,ORCAMENTO!$A:$I,7,FALSE)</f>
        <v>565.21</v>
      </c>
      <c r="H25" s="5">
        <f>VLOOKUP(A25,ORCAMENTO!$A:$I,8,FALSE)</f>
        <v>691.42000000000007</v>
      </c>
      <c r="I25" s="5">
        <f t="shared" si="8"/>
        <v>691.42</v>
      </c>
      <c r="J25" s="5">
        <f t="shared" si="9"/>
        <v>691.42</v>
      </c>
      <c r="K25" s="5">
        <f t="shared" si="14"/>
        <v>1</v>
      </c>
      <c r="L25" s="25">
        <f t="shared" si="0"/>
        <v>1</v>
      </c>
      <c r="M25" s="5">
        <f t="shared" si="10"/>
        <v>0</v>
      </c>
      <c r="N25" s="5">
        <v>0</v>
      </c>
      <c r="O25" s="25">
        <f t="shared" si="1"/>
        <v>0</v>
      </c>
      <c r="P25" s="5">
        <f t="shared" si="11"/>
        <v>0</v>
      </c>
      <c r="Q25" s="5">
        <v>0</v>
      </c>
      <c r="R25" s="25">
        <f t="shared" si="2"/>
        <v>0</v>
      </c>
      <c r="S25" s="5">
        <f t="shared" si="12"/>
        <v>0</v>
      </c>
      <c r="T25" s="5">
        <v>0</v>
      </c>
      <c r="U25" s="25">
        <f t="shared" si="3"/>
        <v>0</v>
      </c>
      <c r="V25" s="5">
        <f t="shared" si="13"/>
        <v>0</v>
      </c>
      <c r="W25" s="5">
        <v>0</v>
      </c>
      <c r="X25" s="25">
        <f t="shared" si="4"/>
        <v>0</v>
      </c>
      <c r="Y25" s="5">
        <f t="shared" si="5"/>
        <v>691.42</v>
      </c>
      <c r="Z25" s="25">
        <f t="shared" si="6"/>
        <v>1</v>
      </c>
      <c r="AA25" s="25">
        <f t="shared" si="7"/>
        <v>4.2895139115663682E-4</v>
      </c>
    </row>
    <row r="26" spans="1:27" ht="43.2" x14ac:dyDescent="0.3">
      <c r="A26" s="23" t="s">
        <v>191</v>
      </c>
      <c r="B26" s="23" t="str">
        <f>VLOOKUP(A26,MEMORIA!$A:$N,2,FALSE)</f>
        <v>COMPOS1</v>
      </c>
      <c r="C26" s="23" t="str">
        <f>VLOOKUP(A26,MEMORIA!$A:$N,3,FALSE)</f>
        <v>PRÓPRIA</v>
      </c>
      <c r="D26" s="24" t="str">
        <f>VLOOKUP(A26,MEMORIA!$A:$N,4,FALSE)</f>
        <v>FORNECIMENTO E INSTALAÇÃO DE REVESTIMENTO GEOMECÂNICO STANDART DN-154-S</v>
      </c>
      <c r="E26" s="23" t="str">
        <f>VLOOKUP(A26,MEMORIA!$A:$N,5,FALSE)</f>
        <v>M</v>
      </c>
      <c r="F26" s="5">
        <f>VLOOKUP(A26,MEMORIA!$A:$N,14,FALSE)</f>
        <v>21</v>
      </c>
      <c r="G26" s="5">
        <f>VLOOKUP(A26,ORCAMENTO!$A:$I,7,FALSE)</f>
        <v>170.76</v>
      </c>
      <c r="H26" s="5">
        <f>VLOOKUP(A26,ORCAMENTO!$A:$I,8,FALSE)</f>
        <v>208.89</v>
      </c>
      <c r="I26" s="5">
        <f t="shared" si="8"/>
        <v>4386.6899999999996</v>
      </c>
      <c r="J26" s="5">
        <f t="shared" si="9"/>
        <v>4386.6899999999996</v>
      </c>
      <c r="K26" s="5">
        <f t="shared" si="14"/>
        <v>21</v>
      </c>
      <c r="L26" s="25">
        <f t="shared" si="0"/>
        <v>1</v>
      </c>
      <c r="M26" s="5">
        <f t="shared" si="10"/>
        <v>0</v>
      </c>
      <c r="N26" s="5">
        <v>0</v>
      </c>
      <c r="O26" s="25">
        <f t="shared" si="1"/>
        <v>0</v>
      </c>
      <c r="P26" s="5">
        <f t="shared" si="11"/>
        <v>0</v>
      </c>
      <c r="Q26" s="5">
        <v>0</v>
      </c>
      <c r="R26" s="25">
        <f t="shared" si="2"/>
        <v>0</v>
      </c>
      <c r="S26" s="5">
        <f t="shared" si="12"/>
        <v>0</v>
      </c>
      <c r="T26" s="5">
        <v>0</v>
      </c>
      <c r="U26" s="25">
        <f t="shared" si="3"/>
        <v>0</v>
      </c>
      <c r="V26" s="5">
        <f t="shared" si="13"/>
        <v>0</v>
      </c>
      <c r="W26" s="5">
        <v>0</v>
      </c>
      <c r="X26" s="25">
        <f t="shared" si="4"/>
        <v>0</v>
      </c>
      <c r="Y26" s="5">
        <f t="shared" si="5"/>
        <v>4386.6899999999996</v>
      </c>
      <c r="Z26" s="25">
        <f t="shared" si="6"/>
        <v>1</v>
      </c>
      <c r="AA26" s="25">
        <f t="shared" si="7"/>
        <v>2.7214670939123935E-3</v>
      </c>
    </row>
    <row r="27" spans="1:27" ht="28.8" x14ac:dyDescent="0.3">
      <c r="A27" s="23" t="s">
        <v>192</v>
      </c>
      <c r="B27" s="23" t="str">
        <f>VLOOKUP(A27,MEMORIA!$A:$N,2,FALSE)</f>
        <v>COMPOS2</v>
      </c>
      <c r="C27" s="23" t="str">
        <f>VLOOKUP(A27,MEMORIA!$A:$N,3,FALSE)</f>
        <v>PRÓPRIA</v>
      </c>
      <c r="D27" s="24" t="str">
        <f>VLOOKUP(A27,MEMORIA!$A:$N,4,FALSE)</f>
        <v>FORNECIMENTO E INSTALAÇÃO DE TAMPA PARA POÇO</v>
      </c>
      <c r="E27" s="23" t="str">
        <f>VLOOKUP(A27,MEMORIA!$A:$N,5,FALSE)</f>
        <v>UN</v>
      </c>
      <c r="F27" s="5">
        <f>VLOOKUP(A27,MEMORIA!$A:$N,14,FALSE)</f>
        <v>1</v>
      </c>
      <c r="G27" s="5">
        <f>VLOOKUP(A27,ORCAMENTO!$A:$I,7,FALSE)</f>
        <v>109.94</v>
      </c>
      <c r="H27" s="5">
        <f>VLOOKUP(A27,ORCAMENTO!$A:$I,8,FALSE)</f>
        <v>134.49</v>
      </c>
      <c r="I27" s="5">
        <f t="shared" si="8"/>
        <v>134.49</v>
      </c>
      <c r="J27" s="5">
        <f t="shared" si="9"/>
        <v>134.49</v>
      </c>
      <c r="K27" s="5">
        <f t="shared" si="14"/>
        <v>1</v>
      </c>
      <c r="L27" s="25">
        <f t="shared" si="0"/>
        <v>1</v>
      </c>
      <c r="M27" s="5">
        <f t="shared" si="10"/>
        <v>0</v>
      </c>
      <c r="N27" s="5">
        <v>0</v>
      </c>
      <c r="O27" s="25">
        <f t="shared" si="1"/>
        <v>0</v>
      </c>
      <c r="P27" s="5">
        <f t="shared" si="11"/>
        <v>0</v>
      </c>
      <c r="Q27" s="5">
        <v>0</v>
      </c>
      <c r="R27" s="25">
        <f t="shared" si="2"/>
        <v>0</v>
      </c>
      <c r="S27" s="5">
        <f t="shared" si="12"/>
        <v>0</v>
      </c>
      <c r="T27" s="5">
        <v>0</v>
      </c>
      <c r="U27" s="25">
        <f t="shared" si="3"/>
        <v>0</v>
      </c>
      <c r="V27" s="5">
        <f t="shared" si="13"/>
        <v>0</v>
      </c>
      <c r="W27" s="5">
        <v>0</v>
      </c>
      <c r="X27" s="25">
        <f t="shared" si="4"/>
        <v>0</v>
      </c>
      <c r="Y27" s="5">
        <f t="shared" si="5"/>
        <v>134.49</v>
      </c>
      <c r="Z27" s="25">
        <f t="shared" si="6"/>
        <v>1</v>
      </c>
      <c r="AA27" s="25">
        <f t="shared" si="7"/>
        <v>8.3436511232906329E-5</v>
      </c>
    </row>
    <row r="28" spans="1:27" x14ac:dyDescent="0.3">
      <c r="A28" s="12" t="s">
        <v>21</v>
      </c>
      <c r="B28" s="51" t="str">
        <f>VLOOKUP(A28,MEMORIA!$A:$N,2,FALSE)</f>
        <v>AQUISIÇÃO E INSTALAÇÃO DE EQUIPAMENTOS DE BOMBEAMENTO, RECALQUE/BARRILETE E CONEXÕES PARA INTERLIGAÇÃO COM RESERVATÓRIO</v>
      </c>
      <c r="C28" s="52"/>
      <c r="D28" s="52"/>
      <c r="E28" s="52"/>
      <c r="F28" s="52"/>
      <c r="G28" s="52"/>
      <c r="H28" s="53"/>
      <c r="I28" s="13">
        <f>SUM(I$29:I$31)</f>
        <v>10148.990000000002</v>
      </c>
      <c r="J28" s="13">
        <f>SUM(J$29:J$31)</f>
        <v>10148.990000000002</v>
      </c>
      <c r="K28" s="13"/>
      <c r="L28" s="14">
        <f t="shared" si="0"/>
        <v>1</v>
      </c>
      <c r="M28" s="13">
        <f>SUM(M$29:M$31)</f>
        <v>0</v>
      </c>
      <c r="N28" s="13"/>
      <c r="O28" s="14">
        <f t="shared" si="1"/>
        <v>0</v>
      </c>
      <c r="P28" s="13">
        <f>SUM(P$29:P$31)</f>
        <v>0</v>
      </c>
      <c r="Q28" s="13"/>
      <c r="R28" s="14">
        <f t="shared" si="2"/>
        <v>0</v>
      </c>
      <c r="S28" s="13">
        <f>SUM(S$29:S$31)</f>
        <v>0</v>
      </c>
      <c r="T28" s="13"/>
      <c r="U28" s="14">
        <f t="shared" si="3"/>
        <v>0</v>
      </c>
      <c r="V28" s="13">
        <f>SUM(V$29:V$31)</f>
        <v>0</v>
      </c>
      <c r="W28" s="13"/>
      <c r="X28" s="14">
        <f t="shared" si="4"/>
        <v>0</v>
      </c>
      <c r="Y28" s="13">
        <f t="shared" si="5"/>
        <v>10148.990000000002</v>
      </c>
      <c r="Z28" s="14">
        <f t="shared" si="6"/>
        <v>1</v>
      </c>
      <c r="AA28" s="14">
        <f t="shared" si="7"/>
        <v>6.2963515364536692E-3</v>
      </c>
    </row>
    <row r="29" spans="1:27" ht="43.2" x14ac:dyDescent="0.3">
      <c r="A29" s="23" t="s">
        <v>193</v>
      </c>
      <c r="B29" s="23" t="str">
        <f>VLOOKUP(A29,MEMORIA!$A:$N,2,FALSE)</f>
        <v>COMPOS19</v>
      </c>
      <c r="C29" s="23" t="str">
        <f>VLOOKUP(A29,MEMORIA!$A:$N,3,FALSE)</f>
        <v>PRÓPRIA</v>
      </c>
      <c r="D29" s="24" t="str">
        <f>VLOOKUP(A29,MEMORIA!$A:$N,4,FALSE)</f>
        <v>FORNECIMENTO E INSTALAÇÃO DE TUBO EDUTOR DE PVC DE 1.1/2'' COM LUVA</v>
      </c>
      <c r="E29" s="23" t="str">
        <f>VLOOKUP(A29,MEMORIA!$A:$N,5,FALSE)</f>
        <v>M</v>
      </c>
      <c r="F29" s="5">
        <f>VLOOKUP(A29,MEMORIA!$A:$N,14,FALSE)</f>
        <v>110</v>
      </c>
      <c r="G29" s="5">
        <f>VLOOKUP(A29,ORCAMENTO!$A:$I,7,FALSE)</f>
        <v>46.25</v>
      </c>
      <c r="H29" s="5">
        <f>VLOOKUP(A29,ORCAMENTO!$A:$I,8,FALSE)</f>
        <v>56.58</v>
      </c>
      <c r="I29" s="5">
        <f>ROUND(F29*H29,2)</f>
        <v>6223.8</v>
      </c>
      <c r="J29" s="5">
        <f>ROUND(K29*$H29,2)</f>
        <v>6223.8</v>
      </c>
      <c r="K29" s="5">
        <f>F29</f>
        <v>110</v>
      </c>
      <c r="L29" s="25">
        <f t="shared" si="0"/>
        <v>1</v>
      </c>
      <c r="M29" s="5">
        <f>ROUND(N29*$H29,2)</f>
        <v>0</v>
      </c>
      <c r="N29" s="5">
        <v>0</v>
      </c>
      <c r="O29" s="25">
        <f t="shared" si="1"/>
        <v>0</v>
      </c>
      <c r="P29" s="5">
        <f>ROUND(Q29*$H29,2)</f>
        <v>0</v>
      </c>
      <c r="Q29" s="5">
        <v>0</v>
      </c>
      <c r="R29" s="25">
        <f t="shared" si="2"/>
        <v>0</v>
      </c>
      <c r="S29" s="5">
        <f>ROUND(T29*$H29,2)</f>
        <v>0</v>
      </c>
      <c r="T29" s="5">
        <v>0</v>
      </c>
      <c r="U29" s="25">
        <f t="shared" si="3"/>
        <v>0</v>
      </c>
      <c r="V29" s="5">
        <f>ROUND(W29*$H29,2)</f>
        <v>0</v>
      </c>
      <c r="W29" s="5">
        <v>0</v>
      </c>
      <c r="X29" s="25">
        <f t="shared" si="4"/>
        <v>0</v>
      </c>
      <c r="Y29" s="5">
        <f t="shared" si="5"/>
        <v>6223.8</v>
      </c>
      <c r="Z29" s="25">
        <f t="shared" si="6"/>
        <v>1</v>
      </c>
      <c r="AA29" s="25">
        <f t="shared" si="7"/>
        <v>3.8611953201826334E-3</v>
      </c>
    </row>
    <row r="30" spans="1:27" x14ac:dyDescent="0.3">
      <c r="A30" s="23" t="s">
        <v>194</v>
      </c>
      <c r="B30" s="23" t="str">
        <f>VLOOKUP(A30,MEMORIA!$A:$N,2,FALSE)</f>
        <v>COMPOS21</v>
      </c>
      <c r="C30" s="23" t="str">
        <f>VLOOKUP(A30,MEMORIA!$A:$N,3,FALSE)</f>
        <v>PRÓPRIA</v>
      </c>
      <c r="D30" s="24" t="str">
        <f>VLOOKUP(A30,MEMORIA!$A:$N,4,FALSE)</f>
        <v>BARRILETE (CURVAS E CONEXÕES)</v>
      </c>
      <c r="E30" s="23" t="str">
        <f>VLOOKUP(A30,MEMORIA!$A:$N,5,FALSE)</f>
        <v>UN</v>
      </c>
      <c r="F30" s="5">
        <f>VLOOKUP(A30,MEMORIA!$A:$N,14,FALSE)</f>
        <v>1</v>
      </c>
      <c r="G30" s="5">
        <f>VLOOKUP(A30,ORCAMENTO!$A:$I,7,FALSE)</f>
        <v>2147.0500000000002</v>
      </c>
      <c r="H30" s="5">
        <f>VLOOKUP(A30,ORCAMENTO!$A:$I,8,FALSE)</f>
        <v>2626.4900000000002</v>
      </c>
      <c r="I30" s="5">
        <f>ROUND(F30*H30,2)</f>
        <v>2626.49</v>
      </c>
      <c r="J30" s="5">
        <f>ROUND(K30*$H30,2)</f>
        <v>2626.49</v>
      </c>
      <c r="K30" s="5">
        <f t="shared" ref="K30:K31" si="15">F30</f>
        <v>1</v>
      </c>
      <c r="L30" s="25">
        <f t="shared" si="0"/>
        <v>1</v>
      </c>
      <c r="M30" s="5">
        <f>ROUND(N30*$H30,2)</f>
        <v>0</v>
      </c>
      <c r="N30" s="5">
        <v>0</v>
      </c>
      <c r="O30" s="25">
        <f t="shared" si="1"/>
        <v>0</v>
      </c>
      <c r="P30" s="5">
        <f>ROUND(Q30*$H30,2)</f>
        <v>0</v>
      </c>
      <c r="Q30" s="5">
        <v>0</v>
      </c>
      <c r="R30" s="25">
        <f t="shared" si="2"/>
        <v>0</v>
      </c>
      <c r="S30" s="5">
        <f>ROUND(T30*$H30,2)</f>
        <v>0</v>
      </c>
      <c r="T30" s="5">
        <v>0</v>
      </c>
      <c r="U30" s="25">
        <f t="shared" si="3"/>
        <v>0</v>
      </c>
      <c r="V30" s="5">
        <f>ROUND(W30*$H30,2)</f>
        <v>0</v>
      </c>
      <c r="W30" s="5">
        <v>0</v>
      </c>
      <c r="X30" s="25">
        <f t="shared" si="4"/>
        <v>0</v>
      </c>
      <c r="Y30" s="5">
        <f t="shared" si="5"/>
        <v>2626.49</v>
      </c>
      <c r="Z30" s="25">
        <f t="shared" si="6"/>
        <v>1</v>
      </c>
      <c r="AA30" s="25">
        <f t="shared" si="7"/>
        <v>1.6294532113028187E-3</v>
      </c>
    </row>
    <row r="31" spans="1:27" ht="28.8" x14ac:dyDescent="0.3">
      <c r="A31" s="23" t="s">
        <v>195</v>
      </c>
      <c r="B31" s="23" t="str">
        <f>VLOOKUP(A31,MEMORIA!$A:$N,2,FALSE)</f>
        <v>COMPOS26</v>
      </c>
      <c r="C31" s="23" t="str">
        <f>VLOOKUP(A31,MEMORIA!$A:$N,3,FALSE)</f>
        <v>PRÓPRIA</v>
      </c>
      <c r="D31" s="24" t="str">
        <f>VLOOKUP(A31,MEMORIA!$A:$N,4,FALSE)</f>
        <v>AQUISIÇÃO E INSTALAÇÃO DE DOSADOR DE CLORO</v>
      </c>
      <c r="E31" s="23" t="str">
        <f>VLOOKUP(A31,MEMORIA!$A:$N,5,FALSE)</f>
        <v>UND</v>
      </c>
      <c r="F31" s="5">
        <f>VLOOKUP(A31,MEMORIA!$A:$N,14,FALSE)</f>
        <v>1</v>
      </c>
      <c r="G31" s="5">
        <f>VLOOKUP(A31,ORCAMENTO!$A:$I,7,FALSE)</f>
        <v>1061.6399999999999</v>
      </c>
      <c r="H31" s="5">
        <f>VLOOKUP(A31,ORCAMENTO!$A:$I,8,FALSE)</f>
        <v>1298.6999999999998</v>
      </c>
      <c r="I31" s="5">
        <f>ROUND(F31*H31,2)</f>
        <v>1298.7</v>
      </c>
      <c r="J31" s="5">
        <f>ROUND(K31*$H31,2)</f>
        <v>1298.7</v>
      </c>
      <c r="K31" s="5">
        <f t="shared" si="15"/>
        <v>1</v>
      </c>
      <c r="L31" s="25">
        <f t="shared" si="0"/>
        <v>1</v>
      </c>
      <c r="M31" s="5">
        <f>ROUND(N31*$H31,2)</f>
        <v>0</v>
      </c>
      <c r="N31" s="5">
        <v>0</v>
      </c>
      <c r="O31" s="25">
        <f t="shared" si="1"/>
        <v>0</v>
      </c>
      <c r="P31" s="5">
        <f>ROUND(Q31*$H31,2)</f>
        <v>0</v>
      </c>
      <c r="Q31" s="5">
        <v>0</v>
      </c>
      <c r="R31" s="25">
        <f t="shared" si="2"/>
        <v>0</v>
      </c>
      <c r="S31" s="5">
        <f>ROUND(T31*$H31,2)</f>
        <v>0</v>
      </c>
      <c r="T31" s="5">
        <v>0</v>
      </c>
      <c r="U31" s="25">
        <f t="shared" si="3"/>
        <v>0</v>
      </c>
      <c r="V31" s="5">
        <f>ROUND(W31*$H31,2)</f>
        <v>0</v>
      </c>
      <c r="W31" s="5">
        <v>0</v>
      </c>
      <c r="X31" s="25">
        <f t="shared" si="4"/>
        <v>0</v>
      </c>
      <c r="Y31" s="5">
        <f t="shared" si="5"/>
        <v>1298.7</v>
      </c>
      <c r="Z31" s="25">
        <f t="shared" si="6"/>
        <v>1</v>
      </c>
      <c r="AA31" s="25">
        <f t="shared" si="7"/>
        <v>8.0570300496821655E-4</v>
      </c>
    </row>
    <row r="32" spans="1:27" x14ac:dyDescent="0.3">
      <c r="A32" s="12" t="s">
        <v>22</v>
      </c>
      <c r="B32" s="51" t="str">
        <f>VLOOKUP(A32,MEMORIA!$A:$N,2,FALSE)</f>
        <v>CONSTRUÇÃO DA CASA DE COMANDO</v>
      </c>
      <c r="C32" s="52"/>
      <c r="D32" s="52"/>
      <c r="E32" s="52"/>
      <c r="F32" s="52"/>
      <c r="G32" s="52"/>
      <c r="H32" s="53"/>
      <c r="I32" s="13">
        <f>SUM(I$33,I$36,I$38,I$42,I$45,I$48,I$51,I$55,I$58,I$61,I$64,)</f>
        <v>20274.329999999998</v>
      </c>
      <c r="J32" s="13">
        <f>SUM(J$33,J$36,J$38,J$42,J$45,J$48,J$51,J$55,J$58,J$61,J$64,)</f>
        <v>20274.329999999998</v>
      </c>
      <c r="K32" s="13"/>
      <c r="L32" s="14">
        <f t="shared" si="0"/>
        <v>1</v>
      </c>
      <c r="M32" s="13">
        <f>SUM(M$33,M$36,M$38,M$42,M$45,M$48,M$51,M$55,M$58,M$61,M$64,)</f>
        <v>0</v>
      </c>
      <c r="N32" s="13"/>
      <c r="O32" s="14">
        <f t="shared" si="1"/>
        <v>0</v>
      </c>
      <c r="P32" s="13">
        <f>SUM(P$33,P$36,P$38,P$42,P$45,P$48,P$51,P$55,P$58,P$61,P$64,)</f>
        <v>0</v>
      </c>
      <c r="Q32" s="13"/>
      <c r="R32" s="14">
        <f t="shared" si="2"/>
        <v>0</v>
      </c>
      <c r="S32" s="13">
        <f>SUM(S$33,S$36,S$38,S$42,S$45,S$48,S$51,S$55,S$58,S$61,S$64,)</f>
        <v>0</v>
      </c>
      <c r="T32" s="13"/>
      <c r="U32" s="14">
        <f t="shared" si="3"/>
        <v>0</v>
      </c>
      <c r="V32" s="13">
        <f>SUM(V$33,V$36,V$38,V$42,V$45,V$48,V$51,V$55,V$58,V$61,V$64,)</f>
        <v>0</v>
      </c>
      <c r="W32" s="13"/>
      <c r="X32" s="14">
        <f t="shared" si="4"/>
        <v>0</v>
      </c>
      <c r="Y32" s="13">
        <f t="shared" si="5"/>
        <v>20274.329999999998</v>
      </c>
      <c r="Z32" s="14">
        <f t="shared" si="6"/>
        <v>1</v>
      </c>
      <c r="AA32" s="14">
        <f t="shared" si="7"/>
        <v>1.2578030803663093E-2</v>
      </c>
    </row>
    <row r="33" spans="1:27" x14ac:dyDescent="0.3">
      <c r="A33" s="15" t="s">
        <v>23</v>
      </c>
      <c r="B33" s="48" t="str">
        <f>VLOOKUP(A33,MEMORIA!$A:$N,2,FALSE)</f>
        <v>SERVIÇOS PRELIMINARES</v>
      </c>
      <c r="C33" s="49"/>
      <c r="D33" s="49"/>
      <c r="E33" s="49"/>
      <c r="F33" s="49"/>
      <c r="G33" s="49"/>
      <c r="H33" s="50"/>
      <c r="I33" s="16">
        <f>SUM(I$34:I$35)</f>
        <v>1315.92</v>
      </c>
      <c r="J33" s="16">
        <f>SUM(J$34:J$35)</f>
        <v>1315.92</v>
      </c>
      <c r="K33" s="16"/>
      <c r="L33" s="17">
        <f t="shared" si="0"/>
        <v>1</v>
      </c>
      <c r="M33" s="16">
        <f>SUM(M$34:M$35)</f>
        <v>0</v>
      </c>
      <c r="N33" s="16"/>
      <c r="O33" s="17">
        <f t="shared" si="1"/>
        <v>0</v>
      </c>
      <c r="P33" s="16">
        <f>SUM(P$34:P$35)</f>
        <v>0</v>
      </c>
      <c r="Q33" s="16"/>
      <c r="R33" s="17">
        <f t="shared" si="2"/>
        <v>0</v>
      </c>
      <c r="S33" s="16">
        <f>SUM(S$34:S$35)</f>
        <v>0</v>
      </c>
      <c r="T33" s="16"/>
      <c r="U33" s="17">
        <f t="shared" si="3"/>
        <v>0</v>
      </c>
      <c r="V33" s="16">
        <f>SUM(V$34:V$35)</f>
        <v>0</v>
      </c>
      <c r="W33" s="16"/>
      <c r="X33" s="17">
        <f t="shared" si="4"/>
        <v>0</v>
      </c>
      <c r="Y33" s="16">
        <f t="shared" si="5"/>
        <v>1315.92</v>
      </c>
      <c r="Z33" s="17">
        <f t="shared" si="6"/>
        <v>1</v>
      </c>
      <c r="AA33" s="17">
        <f t="shared" si="7"/>
        <v>8.1638615407544121E-4</v>
      </c>
    </row>
    <row r="34" spans="1:27" ht="28.8" x14ac:dyDescent="0.3">
      <c r="A34" s="23" t="s">
        <v>196</v>
      </c>
      <c r="B34" s="23">
        <f>VLOOKUP(A34,MEMORIA!$A:$N,2,FALSE)</f>
        <v>98524</v>
      </c>
      <c r="C34" s="23" t="str">
        <f>VLOOKUP(A34,MEMORIA!$A:$N,3,FALSE)</f>
        <v>SINAPI</v>
      </c>
      <c r="D34" s="24" t="str">
        <f>VLOOKUP(A34,MEMORIA!$A:$N,4,FALSE)</f>
        <v>LIMPEZA MANUAL DE VEGETAÇÃO EM TERRENO COM ENXADA. AF_03/2024</v>
      </c>
      <c r="E34" s="23" t="str">
        <f>VLOOKUP(A34,MEMORIA!$A:$N,5,FALSE)</f>
        <v>M2</v>
      </c>
      <c r="F34" s="5">
        <f>VLOOKUP(A34,MEMORIA!$A:$N,14,FALSE)</f>
        <v>100</v>
      </c>
      <c r="G34" s="5">
        <f>VLOOKUP(A34,ORCAMENTO!$A:$I,7,FALSE)</f>
        <v>4.62</v>
      </c>
      <c r="H34" s="5">
        <f>VLOOKUP(A34,ORCAMENTO!$A:$I,8,FALSE)</f>
        <v>5.65</v>
      </c>
      <c r="I34" s="5">
        <f>ROUND(F34*H34,2)</f>
        <v>565</v>
      </c>
      <c r="J34" s="5">
        <f>ROUND(K34*$H34,2)</f>
        <v>565</v>
      </c>
      <c r="K34" s="5">
        <f t="shared" ref="K34:K68" si="16">F34</f>
        <v>100</v>
      </c>
      <c r="L34" s="25">
        <f t="shared" si="0"/>
        <v>1</v>
      </c>
      <c r="M34" s="5">
        <f>ROUND(N34*$H34,2)</f>
        <v>0</v>
      </c>
      <c r="N34" s="5">
        <v>0</v>
      </c>
      <c r="O34" s="25">
        <f t="shared" si="1"/>
        <v>0</v>
      </c>
      <c r="P34" s="5">
        <f>ROUND(Q34*$H34,2)</f>
        <v>0</v>
      </c>
      <c r="Q34" s="5">
        <v>0</v>
      </c>
      <c r="R34" s="25">
        <f t="shared" si="2"/>
        <v>0</v>
      </c>
      <c r="S34" s="5">
        <f>ROUND(T34*$H34,2)</f>
        <v>0</v>
      </c>
      <c r="T34" s="5">
        <v>0</v>
      </c>
      <c r="U34" s="25">
        <f t="shared" si="3"/>
        <v>0</v>
      </c>
      <c r="V34" s="5">
        <f>ROUND(W34*$H34,2)</f>
        <v>0</v>
      </c>
      <c r="W34" s="5">
        <v>0</v>
      </c>
      <c r="X34" s="25">
        <f t="shared" si="4"/>
        <v>0</v>
      </c>
      <c r="Y34" s="5">
        <f t="shared" si="5"/>
        <v>565</v>
      </c>
      <c r="Z34" s="25">
        <f t="shared" si="6"/>
        <v>1</v>
      </c>
      <c r="AA34" s="25">
        <f t="shared" si="7"/>
        <v>3.5052144283286539E-4</v>
      </c>
    </row>
    <row r="35" spans="1:27" ht="57.6" x14ac:dyDescent="0.3">
      <c r="A35" s="23" t="s">
        <v>197</v>
      </c>
      <c r="B35" s="23">
        <f>VLOOKUP(A35,MEMORIA!$A:$N,2,FALSE)</f>
        <v>99059</v>
      </c>
      <c r="C35" s="23" t="str">
        <f>VLOOKUP(A35,MEMORIA!$A:$N,3,FALSE)</f>
        <v>SINAPI</v>
      </c>
      <c r="D35" s="24" t="str">
        <f>VLOOKUP(A35,MEMORIA!$A:$N,4,FALSE)</f>
        <v>LOCAÇÃO CONVENCIONAL DE OBRA, UTILIZANDO GABARITO DE TÁBUAS CORRIDAS PONTALETADAS A CADA 2,00M - 2 UTILIZAÇÕES. AF_03/2024</v>
      </c>
      <c r="E35" s="23" t="str">
        <f>VLOOKUP(A35,MEMORIA!$A:$N,5,FALSE)</f>
        <v>M</v>
      </c>
      <c r="F35" s="5">
        <f>VLOOKUP(A35,MEMORIA!$A:$N,14,FALSE)</f>
        <v>10.199999999999999</v>
      </c>
      <c r="G35" s="5">
        <f>VLOOKUP(A35,ORCAMENTO!$A:$I,7,FALSE)</f>
        <v>60.18</v>
      </c>
      <c r="H35" s="5">
        <f>VLOOKUP(A35,ORCAMENTO!$A:$I,8,FALSE)</f>
        <v>73.62</v>
      </c>
      <c r="I35" s="5">
        <f>ROUND(F35*H35,2)</f>
        <v>750.92</v>
      </c>
      <c r="J35" s="5">
        <f>ROUND(K35*$H35,2)</f>
        <v>750.92</v>
      </c>
      <c r="K35" s="5">
        <f t="shared" si="16"/>
        <v>10.199999999999999</v>
      </c>
      <c r="L35" s="25">
        <f t="shared" si="0"/>
        <v>1</v>
      </c>
      <c r="M35" s="5">
        <f>ROUND(N35*$H35,2)</f>
        <v>0</v>
      </c>
      <c r="N35" s="5">
        <v>0</v>
      </c>
      <c r="O35" s="25">
        <f t="shared" si="1"/>
        <v>0</v>
      </c>
      <c r="P35" s="5">
        <f>ROUND(Q35*$H35,2)</f>
        <v>0</v>
      </c>
      <c r="Q35" s="5">
        <v>0</v>
      </c>
      <c r="R35" s="25">
        <f t="shared" si="2"/>
        <v>0</v>
      </c>
      <c r="S35" s="5">
        <f>ROUND(T35*$H35,2)</f>
        <v>0</v>
      </c>
      <c r="T35" s="5">
        <v>0</v>
      </c>
      <c r="U35" s="25">
        <f t="shared" si="3"/>
        <v>0</v>
      </c>
      <c r="V35" s="5">
        <f>ROUND(W35*$H35,2)</f>
        <v>0</v>
      </c>
      <c r="W35" s="5">
        <v>0</v>
      </c>
      <c r="X35" s="25">
        <f t="shared" si="4"/>
        <v>0</v>
      </c>
      <c r="Y35" s="5">
        <f t="shared" si="5"/>
        <v>750.92</v>
      </c>
      <c r="Z35" s="25">
        <f t="shared" si="6"/>
        <v>1</v>
      </c>
      <c r="AA35" s="25">
        <f t="shared" si="7"/>
        <v>4.6586471124257571E-4</v>
      </c>
    </row>
    <row r="36" spans="1:27" x14ac:dyDescent="0.3">
      <c r="A36" s="15" t="s">
        <v>24</v>
      </c>
      <c r="B36" s="48" t="str">
        <f>VLOOKUP(A36,MEMORIA!$A:$N,2,FALSE)</f>
        <v>MOVIMENTO DE TERRA</v>
      </c>
      <c r="C36" s="49"/>
      <c r="D36" s="49"/>
      <c r="E36" s="49"/>
      <c r="F36" s="49"/>
      <c r="G36" s="49"/>
      <c r="H36" s="50"/>
      <c r="I36" s="16">
        <f>SUM(I$37:I$37)</f>
        <v>161.76</v>
      </c>
      <c r="J36" s="16">
        <f>SUM(J$37:J$37)</f>
        <v>161.76</v>
      </c>
      <c r="K36" s="16"/>
      <c r="L36" s="17">
        <f t="shared" si="0"/>
        <v>1</v>
      </c>
      <c r="M36" s="16">
        <f>SUM(M$37:M$37)</f>
        <v>0</v>
      </c>
      <c r="N36" s="16"/>
      <c r="O36" s="17">
        <f t="shared" si="1"/>
        <v>0</v>
      </c>
      <c r="P36" s="16">
        <f>SUM(P$37:P$37)</f>
        <v>0</v>
      </c>
      <c r="Q36" s="16"/>
      <c r="R36" s="17">
        <f t="shared" si="2"/>
        <v>0</v>
      </c>
      <c r="S36" s="16">
        <f>SUM(S$37:S$37)</f>
        <v>0</v>
      </c>
      <c r="T36" s="16"/>
      <c r="U36" s="17">
        <f t="shared" si="3"/>
        <v>0</v>
      </c>
      <c r="V36" s="16">
        <f>SUM(V$37:V$37)</f>
        <v>0</v>
      </c>
      <c r="W36" s="16"/>
      <c r="X36" s="17">
        <f t="shared" si="4"/>
        <v>0</v>
      </c>
      <c r="Y36" s="16">
        <f t="shared" si="5"/>
        <v>161.76</v>
      </c>
      <c r="Z36" s="17">
        <f t="shared" si="6"/>
        <v>1</v>
      </c>
      <c r="AA36" s="17">
        <f t="shared" si="7"/>
        <v>1.0035459927901647E-4</v>
      </c>
    </row>
    <row r="37" spans="1:27" ht="28.8" x14ac:dyDescent="0.3">
      <c r="A37" s="23" t="s">
        <v>198</v>
      </c>
      <c r="B37" s="23">
        <f>VLOOKUP(A37,MEMORIA!$A:$N,2,FALSE)</f>
        <v>93358</v>
      </c>
      <c r="C37" s="23" t="str">
        <f>VLOOKUP(A37,MEMORIA!$A:$N,3,FALSE)</f>
        <v>SINAPI</v>
      </c>
      <c r="D37" s="24" t="str">
        <f>VLOOKUP(A37,MEMORIA!$A:$N,4,FALSE)</f>
        <v>ESCAVAÇÃO MANUAL DE VALA. AF_09/2024</v>
      </c>
      <c r="E37" s="23" t="str">
        <f>VLOOKUP(A37,MEMORIA!$A:$N,5,FALSE)</f>
        <v>M3</v>
      </c>
      <c r="F37" s="5">
        <f>VLOOKUP(A37,MEMORIA!$A:$N,14,FALSE)</f>
        <v>1.54</v>
      </c>
      <c r="G37" s="5">
        <f>VLOOKUP(A37,ORCAMENTO!$A:$I,7,FALSE)</f>
        <v>85.87</v>
      </c>
      <c r="H37" s="5">
        <f>VLOOKUP(A37,ORCAMENTO!$A:$I,8,FALSE)</f>
        <v>105.04</v>
      </c>
      <c r="I37" s="5">
        <f>ROUND(F37*H37,2)</f>
        <v>161.76</v>
      </c>
      <c r="J37" s="5">
        <f>ROUND(K37*$H37,2)</f>
        <v>161.76</v>
      </c>
      <c r="K37" s="5">
        <f t="shared" si="16"/>
        <v>1.54</v>
      </c>
      <c r="L37" s="25">
        <f t="shared" si="0"/>
        <v>1</v>
      </c>
      <c r="M37" s="5">
        <f>ROUND(N37*$H37,2)</f>
        <v>0</v>
      </c>
      <c r="N37" s="5">
        <v>0</v>
      </c>
      <c r="O37" s="25">
        <f t="shared" si="1"/>
        <v>0</v>
      </c>
      <c r="P37" s="5">
        <f>ROUND(Q37*$H37,2)</f>
        <v>0</v>
      </c>
      <c r="Q37" s="5">
        <v>0</v>
      </c>
      <c r="R37" s="25">
        <f t="shared" si="2"/>
        <v>0</v>
      </c>
      <c r="S37" s="5">
        <f>ROUND(T37*$H37,2)</f>
        <v>0</v>
      </c>
      <c r="T37" s="5">
        <v>0</v>
      </c>
      <c r="U37" s="25">
        <f t="shared" si="3"/>
        <v>0</v>
      </c>
      <c r="V37" s="5">
        <f>ROUND(W37*$H37,2)</f>
        <v>0</v>
      </c>
      <c r="W37" s="5">
        <v>0</v>
      </c>
      <c r="X37" s="25">
        <f t="shared" si="4"/>
        <v>0</v>
      </c>
      <c r="Y37" s="5">
        <f t="shared" si="5"/>
        <v>161.76</v>
      </c>
      <c r="Z37" s="25">
        <f t="shared" si="6"/>
        <v>1</v>
      </c>
      <c r="AA37" s="25">
        <f t="shared" si="7"/>
        <v>1.0035459927901647E-4</v>
      </c>
    </row>
    <row r="38" spans="1:27" x14ac:dyDescent="0.3">
      <c r="A38" s="15" t="s">
        <v>25</v>
      </c>
      <c r="B38" s="48" t="str">
        <f>VLOOKUP(A38,MEMORIA!$A:$N,2,FALSE)</f>
        <v>INFRAESTRUTURA</v>
      </c>
      <c r="C38" s="49"/>
      <c r="D38" s="49"/>
      <c r="E38" s="49"/>
      <c r="F38" s="49"/>
      <c r="G38" s="49"/>
      <c r="H38" s="50"/>
      <c r="I38" s="16">
        <f>SUM(I$39:I$41)</f>
        <v>1229.81</v>
      </c>
      <c r="J38" s="16">
        <f>SUM(J$39:J$41)</f>
        <v>1229.81</v>
      </c>
      <c r="K38" s="16"/>
      <c r="L38" s="17">
        <f t="shared" si="0"/>
        <v>1</v>
      </c>
      <c r="M38" s="16">
        <f>SUM(M$39:M$41)</f>
        <v>0</v>
      </c>
      <c r="N38" s="16"/>
      <c r="O38" s="17">
        <f t="shared" si="1"/>
        <v>0</v>
      </c>
      <c r="P38" s="16">
        <f>SUM(P$39:P$41)</f>
        <v>0</v>
      </c>
      <c r="Q38" s="16"/>
      <c r="R38" s="17">
        <f t="shared" si="2"/>
        <v>0</v>
      </c>
      <c r="S38" s="16">
        <f>SUM(S$39:S$41)</f>
        <v>0</v>
      </c>
      <c r="T38" s="16"/>
      <c r="U38" s="17">
        <f t="shared" si="3"/>
        <v>0</v>
      </c>
      <c r="V38" s="16">
        <f>SUM(V$39:V$41)</f>
        <v>0</v>
      </c>
      <c r="W38" s="16"/>
      <c r="X38" s="17">
        <f t="shared" si="4"/>
        <v>0</v>
      </c>
      <c r="Y38" s="16">
        <f t="shared" si="5"/>
        <v>1229.81</v>
      </c>
      <c r="Z38" s="17">
        <f t="shared" si="6"/>
        <v>1</v>
      </c>
      <c r="AA38" s="17">
        <f t="shared" si="7"/>
        <v>7.6296420461997557E-4</v>
      </c>
    </row>
    <row r="39" spans="1:27" ht="28.8" x14ac:dyDescent="0.3">
      <c r="A39" s="23" t="s">
        <v>199</v>
      </c>
      <c r="B39" s="23">
        <f>VLOOKUP(A39,MEMORIA!$A:$N,2,FALSE)</f>
        <v>96617</v>
      </c>
      <c r="C39" s="23" t="str">
        <f>VLOOKUP(A39,MEMORIA!$A:$N,3,FALSE)</f>
        <v>SINAPI</v>
      </c>
      <c r="D39" s="24" t="str">
        <f>VLOOKUP(A39,MEMORIA!$A:$N,4,FALSE)</f>
        <v>LASTRO DE CONCRETO MAGRO, APLICADO EM BLOCOS DE COROAMENTO OU SAPATAS, ESPESSURA DE 3 CM. AF_01/2024</v>
      </c>
      <c r="E39" s="23" t="str">
        <f>VLOOKUP(A39,MEMORIA!$A:$N,5,FALSE)</f>
        <v>M2</v>
      </c>
      <c r="F39" s="5">
        <f>VLOOKUP(A39,MEMORIA!$A:$N,14,FALSE)</f>
        <v>2.58</v>
      </c>
      <c r="G39" s="5">
        <f>VLOOKUP(A39,ORCAMENTO!$A:$I,7,FALSE)</f>
        <v>23.57</v>
      </c>
      <c r="H39" s="5">
        <f>VLOOKUP(A39,ORCAMENTO!$A:$I,8,FALSE)</f>
        <v>28.83</v>
      </c>
      <c r="I39" s="5">
        <f>ROUND(F39*H39,2)</f>
        <v>74.38</v>
      </c>
      <c r="J39" s="5">
        <f>ROUND(K39*$H39,2)</f>
        <v>74.38</v>
      </c>
      <c r="K39" s="5">
        <f t="shared" si="16"/>
        <v>2.58</v>
      </c>
      <c r="L39" s="25">
        <f t="shared" si="0"/>
        <v>1</v>
      </c>
      <c r="M39" s="5">
        <f>ROUND(N39*$H39,2)</f>
        <v>0</v>
      </c>
      <c r="N39" s="5">
        <v>0</v>
      </c>
      <c r="O39" s="25">
        <f t="shared" si="1"/>
        <v>0</v>
      </c>
      <c r="P39" s="5">
        <f>ROUND(Q39*$H39,2)</f>
        <v>0</v>
      </c>
      <c r="Q39" s="5">
        <v>0</v>
      </c>
      <c r="R39" s="25">
        <f t="shared" si="2"/>
        <v>0</v>
      </c>
      <c r="S39" s="5">
        <f>ROUND(T39*$H39,2)</f>
        <v>0</v>
      </c>
      <c r="T39" s="5">
        <v>0</v>
      </c>
      <c r="U39" s="25">
        <f t="shared" si="3"/>
        <v>0</v>
      </c>
      <c r="V39" s="5">
        <f>ROUND(W39*$H39,2)</f>
        <v>0</v>
      </c>
      <c r="W39" s="5">
        <v>0</v>
      </c>
      <c r="X39" s="25">
        <f t="shared" si="4"/>
        <v>0</v>
      </c>
      <c r="Y39" s="5">
        <f t="shared" si="5"/>
        <v>74.38</v>
      </c>
      <c r="Z39" s="25">
        <f t="shared" si="6"/>
        <v>1</v>
      </c>
      <c r="AA39" s="25">
        <f t="shared" si="7"/>
        <v>4.6144752067094741E-5</v>
      </c>
    </row>
    <row r="40" spans="1:27" ht="72" x14ac:dyDescent="0.3">
      <c r="A40" s="23" t="s">
        <v>200</v>
      </c>
      <c r="B40" s="23">
        <f>VLOOKUP(A40,MEMORIA!$A:$N,2,FALSE)</f>
        <v>103800</v>
      </c>
      <c r="C40" s="23" t="str">
        <f>VLOOKUP(A40,MEMORIA!$A:$N,3,FALSE)</f>
        <v>SINAPI</v>
      </c>
      <c r="D40" s="24" t="str">
        <f>VLOOKUP(A40,MEMORIA!$A:$N,4,FALSE)</f>
        <v>PEDRA ARGAMASSADA COM CIMENTO E AREIA 1:3, 40% DE ARGAMASSA EM VOLUME - AREIA E PEDRA DE MÃO COMERCIAIS - FORNECIMENTO E ASSENTAMENTO. AF_08/2022</v>
      </c>
      <c r="E40" s="23" t="str">
        <f>VLOOKUP(A40,MEMORIA!$A:$N,5,FALSE)</f>
        <v>M3</v>
      </c>
      <c r="F40" s="5">
        <f>VLOOKUP(A40,MEMORIA!$A:$N,14,FALSE)</f>
        <v>1.04</v>
      </c>
      <c r="G40" s="5">
        <f>VLOOKUP(A40,ORCAMENTO!$A:$I,7,FALSE)</f>
        <v>666</v>
      </c>
      <c r="H40" s="5">
        <f>VLOOKUP(A40,ORCAMENTO!$A:$I,8,FALSE)</f>
        <v>814.72</v>
      </c>
      <c r="I40" s="5">
        <f>ROUND(F40*H40,2)</f>
        <v>847.31</v>
      </c>
      <c r="J40" s="5">
        <f>ROUND(K40*$H40,2)</f>
        <v>847.31</v>
      </c>
      <c r="K40" s="5">
        <f t="shared" si="16"/>
        <v>1.04</v>
      </c>
      <c r="L40" s="25">
        <f t="shared" si="0"/>
        <v>1</v>
      </c>
      <c r="M40" s="5">
        <f>ROUND(N40*$H40,2)</f>
        <v>0</v>
      </c>
      <c r="N40" s="5">
        <v>0</v>
      </c>
      <c r="O40" s="25">
        <f t="shared" si="1"/>
        <v>0</v>
      </c>
      <c r="P40" s="5">
        <f>ROUND(Q40*$H40,2)</f>
        <v>0</v>
      </c>
      <c r="Q40" s="5">
        <v>0</v>
      </c>
      <c r="R40" s="25">
        <f t="shared" si="2"/>
        <v>0</v>
      </c>
      <c r="S40" s="5">
        <f>ROUND(T40*$H40,2)</f>
        <v>0</v>
      </c>
      <c r="T40" s="5">
        <v>0</v>
      </c>
      <c r="U40" s="25">
        <f t="shared" si="3"/>
        <v>0</v>
      </c>
      <c r="V40" s="5">
        <f>ROUND(W40*$H40,2)</f>
        <v>0</v>
      </c>
      <c r="W40" s="5">
        <v>0</v>
      </c>
      <c r="X40" s="25">
        <f t="shared" si="4"/>
        <v>0</v>
      </c>
      <c r="Y40" s="5">
        <f t="shared" si="5"/>
        <v>847.31</v>
      </c>
      <c r="Z40" s="25">
        <f t="shared" si="6"/>
        <v>1</v>
      </c>
      <c r="AA40" s="25">
        <f t="shared" si="7"/>
        <v>5.2566428978179677E-4</v>
      </c>
    </row>
    <row r="41" spans="1:27" ht="86.4" x14ac:dyDescent="0.3">
      <c r="A41" s="23" t="s">
        <v>201</v>
      </c>
      <c r="B41" s="23">
        <f>VLOOKUP(A41,MEMORIA!$A:$N,2,FALSE)</f>
        <v>103335</v>
      </c>
      <c r="C41" s="23" t="str">
        <f>VLOOKUP(A41,MEMORIA!$A:$N,3,FALSE)</f>
        <v>SINAPI</v>
      </c>
      <c r="D41" s="24" t="str">
        <f>VLOOKUP(A41,MEMORIA!$A:$N,4,FALSE)</f>
        <v>ALVENARIA DE VEDAÇÃO DE BLOCOS CERÂMICOS FURADOS NA HORIZONTAL DE 14X9X19 CM (ESPESSURA 14 CM, BLOCO DEITADO) E ARGAMASSA DE ASSENTAMENTO COM PREPARO MANUAL. AF_12/2021</v>
      </c>
      <c r="E41" s="23" t="str">
        <f>VLOOKUP(A41,MEMORIA!$A:$N,5,FALSE)</f>
        <v>M2</v>
      </c>
      <c r="F41" s="5">
        <f>VLOOKUP(A41,MEMORIA!$A:$N,14,FALSE)</f>
        <v>1.7200000000000002</v>
      </c>
      <c r="G41" s="5">
        <f>VLOOKUP(A41,ORCAMENTO!$A:$I,7,FALSE)</f>
        <v>146.44</v>
      </c>
      <c r="H41" s="5">
        <f>VLOOKUP(A41,ORCAMENTO!$A:$I,8,FALSE)</f>
        <v>179.14</v>
      </c>
      <c r="I41" s="5">
        <f>ROUND(F41*H41,2)</f>
        <v>308.12</v>
      </c>
      <c r="J41" s="5">
        <f>ROUND(K41*$H41,2)</f>
        <v>308.12</v>
      </c>
      <c r="K41" s="5">
        <f t="shared" si="16"/>
        <v>1.7200000000000002</v>
      </c>
      <c r="L41" s="25">
        <f t="shared" si="0"/>
        <v>1</v>
      </c>
      <c r="M41" s="5">
        <f>ROUND(N41*$H41,2)</f>
        <v>0</v>
      </c>
      <c r="N41" s="5">
        <v>0</v>
      </c>
      <c r="O41" s="25">
        <f t="shared" si="1"/>
        <v>0</v>
      </c>
      <c r="P41" s="5">
        <f>ROUND(Q41*$H41,2)</f>
        <v>0</v>
      </c>
      <c r="Q41" s="5">
        <v>0</v>
      </c>
      <c r="R41" s="25">
        <f t="shared" si="2"/>
        <v>0</v>
      </c>
      <c r="S41" s="5">
        <f>ROUND(T41*$H41,2)</f>
        <v>0</v>
      </c>
      <c r="T41" s="5">
        <v>0</v>
      </c>
      <c r="U41" s="25">
        <f t="shared" si="3"/>
        <v>0</v>
      </c>
      <c r="V41" s="5">
        <f>ROUND(W41*$H41,2)</f>
        <v>0</v>
      </c>
      <c r="W41" s="5">
        <v>0</v>
      </c>
      <c r="X41" s="25">
        <f t="shared" si="4"/>
        <v>0</v>
      </c>
      <c r="Y41" s="5">
        <f t="shared" si="5"/>
        <v>308.12</v>
      </c>
      <c r="Z41" s="25">
        <f t="shared" si="6"/>
        <v>1</v>
      </c>
      <c r="AA41" s="25">
        <f t="shared" si="7"/>
        <v>1.9115516277108405E-4</v>
      </c>
    </row>
    <row r="42" spans="1:27" x14ac:dyDescent="0.3">
      <c r="A42" s="15" t="s">
        <v>26</v>
      </c>
      <c r="B42" s="48" t="str">
        <f>VLOOKUP(A42,MEMORIA!$A:$N,2,FALSE)</f>
        <v>SUPERESTRUTURA</v>
      </c>
      <c r="C42" s="49"/>
      <c r="D42" s="49"/>
      <c r="E42" s="49"/>
      <c r="F42" s="49"/>
      <c r="G42" s="49"/>
      <c r="H42" s="50"/>
      <c r="I42" s="16">
        <f>SUM(I$43:I$44)</f>
        <v>1323.3</v>
      </c>
      <c r="J42" s="16">
        <f>SUM(J$43:J$44)</f>
        <v>1323.3</v>
      </c>
      <c r="K42" s="16"/>
      <c r="L42" s="17">
        <f t="shared" si="0"/>
        <v>1</v>
      </c>
      <c r="M42" s="16">
        <f>SUM(M$43:M$44)</f>
        <v>0</v>
      </c>
      <c r="N42" s="16"/>
      <c r="O42" s="17">
        <f t="shared" si="1"/>
        <v>0</v>
      </c>
      <c r="P42" s="16">
        <f>SUM(P$43:P$44)</f>
        <v>0</v>
      </c>
      <c r="Q42" s="16"/>
      <c r="R42" s="17">
        <f t="shared" si="2"/>
        <v>0</v>
      </c>
      <c r="S42" s="16">
        <f>SUM(S$43:S$44)</f>
        <v>0</v>
      </c>
      <c r="T42" s="16"/>
      <c r="U42" s="17">
        <f t="shared" si="3"/>
        <v>0</v>
      </c>
      <c r="V42" s="16">
        <f>SUM(V$43:V$44)</f>
        <v>0</v>
      </c>
      <c r="W42" s="16"/>
      <c r="X42" s="17">
        <f t="shared" si="4"/>
        <v>0</v>
      </c>
      <c r="Y42" s="16">
        <f t="shared" si="5"/>
        <v>1323.3</v>
      </c>
      <c r="Z42" s="17">
        <f t="shared" si="6"/>
        <v>1</v>
      </c>
      <c r="AA42" s="17">
        <f t="shared" si="7"/>
        <v>8.20964646549966E-4</v>
      </c>
    </row>
    <row r="43" spans="1:27" ht="28.8" x14ac:dyDescent="0.3">
      <c r="A43" s="23" t="s">
        <v>202</v>
      </c>
      <c r="B43" s="23" t="str">
        <f>VLOOKUP(A43,MEMORIA!$A:$N,2,FALSE)</f>
        <v>COMPCOM01</v>
      </c>
      <c r="C43" s="23" t="str">
        <f>VLOOKUP(A43,MEMORIA!$A:$N,3,FALSE)</f>
        <v>PRÓPRIA</v>
      </c>
      <c r="D43" s="24" t="str">
        <f>VLOOKUP(A43,MEMORIA!$A:$N,4,FALSE)</f>
        <v>CINTA DE AMARRAÇÃO DE ALVENARIA MOLDADA IN LOCO EM CONCRETO</v>
      </c>
      <c r="E43" s="23" t="str">
        <f>VLOOKUP(A43,MEMORIA!$A:$N,5,FALSE)</f>
        <v>M</v>
      </c>
      <c r="F43" s="5">
        <f>VLOOKUP(A43,MEMORIA!$A:$N,14,FALSE)</f>
        <v>8.6</v>
      </c>
      <c r="G43" s="5">
        <f>VLOOKUP(A43,ORCAMENTO!$A:$I,7,FALSE)</f>
        <v>81.47999999999999</v>
      </c>
      <c r="H43" s="5">
        <f>VLOOKUP(A43,ORCAMENTO!$A:$I,8,FALSE)</f>
        <v>99.669999999999987</v>
      </c>
      <c r="I43" s="5">
        <f>ROUND(F43*H43,2)</f>
        <v>857.16</v>
      </c>
      <c r="J43" s="5">
        <f>ROUND(K43*$H43,2)</f>
        <v>857.16</v>
      </c>
      <c r="K43" s="5">
        <f t="shared" si="16"/>
        <v>8.6</v>
      </c>
      <c r="L43" s="25">
        <f t="shared" si="0"/>
        <v>1</v>
      </c>
      <c r="M43" s="5">
        <f>ROUND(N43*$H43,2)</f>
        <v>0</v>
      </c>
      <c r="N43" s="5">
        <v>0</v>
      </c>
      <c r="O43" s="25">
        <f t="shared" si="1"/>
        <v>0</v>
      </c>
      <c r="P43" s="5">
        <f>ROUND(Q43*$H43,2)</f>
        <v>0</v>
      </c>
      <c r="Q43" s="5">
        <v>0</v>
      </c>
      <c r="R43" s="25">
        <f t="shared" si="2"/>
        <v>0</v>
      </c>
      <c r="S43" s="5">
        <f>ROUND(T43*$H43,2)</f>
        <v>0</v>
      </c>
      <c r="T43" s="5">
        <v>0</v>
      </c>
      <c r="U43" s="25">
        <f t="shared" si="3"/>
        <v>0</v>
      </c>
      <c r="V43" s="5">
        <f>ROUND(W43*$H43,2)</f>
        <v>0</v>
      </c>
      <c r="W43" s="5">
        <v>0</v>
      </c>
      <c r="X43" s="25">
        <f t="shared" si="4"/>
        <v>0</v>
      </c>
      <c r="Y43" s="5">
        <f t="shared" si="5"/>
        <v>857.16</v>
      </c>
      <c r="Z43" s="25">
        <f t="shared" si="6"/>
        <v>1</v>
      </c>
      <c r="AA43" s="25">
        <f t="shared" si="7"/>
        <v>5.3177515033383876E-4</v>
      </c>
    </row>
    <row r="44" spans="1:27" ht="72" x14ac:dyDescent="0.3">
      <c r="A44" s="23" t="s">
        <v>203</v>
      </c>
      <c r="B44" s="23" t="str">
        <f>VLOOKUP(A44,MEMORIA!$A:$N,2,FALSE)</f>
        <v>COMPCOM02</v>
      </c>
      <c r="C44" s="23" t="str">
        <f>VLOOKUP(A44,MEMORIA!$A:$N,3,FALSE)</f>
        <v>PRÓPRIA</v>
      </c>
      <c r="D44" s="24" t="str">
        <f>VLOOKUP(A44,MEMORIA!$A:$N,4,FALSE)</f>
        <v>(COMPOSIÇÃO REPRESENTATIVA) EXECUÇÃO DE ESTRUTURAS DE CONCRETO ARMADO, PARA EDIFICAÇÃO INSTITUCIONAL TÉRREA, FCK = 25 MPA</v>
      </c>
      <c r="E44" s="23" t="str">
        <f>VLOOKUP(A44,MEMORIA!$A:$N,5,FALSE)</f>
        <v>M³</v>
      </c>
      <c r="F44" s="5">
        <f>VLOOKUP(A44,MEMORIA!$A:$N,14,FALSE)</f>
        <v>0.30000000000000004</v>
      </c>
      <c r="G44" s="5">
        <f>VLOOKUP(A44,ORCAMENTO!$A:$I,7,FALSE)</f>
        <v>1270.1599999999999</v>
      </c>
      <c r="H44" s="5">
        <f>VLOOKUP(A44,ORCAMENTO!$A:$I,8,FALSE)</f>
        <v>1553.79</v>
      </c>
      <c r="I44" s="5">
        <f>ROUND(F44*H44,2)</f>
        <v>466.14</v>
      </c>
      <c r="J44" s="5">
        <f>ROUND(K44*$H44,2)</f>
        <v>466.14</v>
      </c>
      <c r="K44" s="5">
        <f t="shared" si="16"/>
        <v>0.30000000000000004</v>
      </c>
      <c r="L44" s="25">
        <f t="shared" si="0"/>
        <v>1</v>
      </c>
      <c r="M44" s="5">
        <f>ROUND(N44*$H44,2)</f>
        <v>0</v>
      </c>
      <c r="N44" s="5">
        <v>0</v>
      </c>
      <c r="O44" s="25">
        <f t="shared" si="1"/>
        <v>0</v>
      </c>
      <c r="P44" s="5">
        <f>ROUND(Q44*$H44,2)</f>
        <v>0</v>
      </c>
      <c r="Q44" s="5">
        <v>0</v>
      </c>
      <c r="R44" s="25">
        <f t="shared" si="2"/>
        <v>0</v>
      </c>
      <c r="S44" s="5">
        <f>ROUND(T44*$H44,2)</f>
        <v>0</v>
      </c>
      <c r="T44" s="5">
        <v>0</v>
      </c>
      <c r="U44" s="25">
        <f t="shared" si="3"/>
        <v>0</v>
      </c>
      <c r="V44" s="5">
        <f>ROUND(W44*$H44,2)</f>
        <v>0</v>
      </c>
      <c r="W44" s="5">
        <v>0</v>
      </c>
      <c r="X44" s="25">
        <f t="shared" si="4"/>
        <v>0</v>
      </c>
      <c r="Y44" s="5">
        <f t="shared" si="5"/>
        <v>466.14</v>
      </c>
      <c r="Z44" s="25">
        <f t="shared" si="6"/>
        <v>1</v>
      </c>
      <c r="AA44" s="25">
        <f t="shared" si="7"/>
        <v>2.8918949621612724E-4</v>
      </c>
    </row>
    <row r="45" spans="1:27" x14ac:dyDescent="0.3">
      <c r="A45" s="15" t="s">
        <v>27</v>
      </c>
      <c r="B45" s="48" t="str">
        <f>VLOOKUP(A45,MEMORIA!$A:$N,2,FALSE)</f>
        <v>VEDAÇÃO VERTICAL</v>
      </c>
      <c r="C45" s="49"/>
      <c r="D45" s="49"/>
      <c r="E45" s="49"/>
      <c r="F45" s="49"/>
      <c r="G45" s="49"/>
      <c r="H45" s="50"/>
      <c r="I45" s="16">
        <f>SUM(I$46:I$47)</f>
        <v>2620</v>
      </c>
      <c r="J45" s="16">
        <f>SUM(J$46:J$47)</f>
        <v>2620</v>
      </c>
      <c r="K45" s="16"/>
      <c r="L45" s="17">
        <f t="shared" si="0"/>
        <v>1</v>
      </c>
      <c r="M45" s="16">
        <f>SUM(M$46:M$47)</f>
        <v>0</v>
      </c>
      <c r="N45" s="16"/>
      <c r="O45" s="17">
        <f t="shared" si="1"/>
        <v>0</v>
      </c>
      <c r="P45" s="16">
        <f>SUM(P$46:P$47)</f>
        <v>0</v>
      </c>
      <c r="Q45" s="16"/>
      <c r="R45" s="17">
        <f t="shared" si="2"/>
        <v>0</v>
      </c>
      <c r="S45" s="16">
        <f>SUM(S$46:S$47)</f>
        <v>0</v>
      </c>
      <c r="T45" s="16"/>
      <c r="U45" s="17">
        <f t="shared" si="3"/>
        <v>0</v>
      </c>
      <c r="V45" s="16">
        <f>SUM(V$46:V$47)</f>
        <v>0</v>
      </c>
      <c r="W45" s="16"/>
      <c r="X45" s="17">
        <f t="shared" si="4"/>
        <v>0</v>
      </c>
      <c r="Y45" s="16">
        <f t="shared" si="5"/>
        <v>2620</v>
      </c>
      <c r="Z45" s="17">
        <f t="shared" si="6"/>
        <v>1</v>
      </c>
      <c r="AA45" s="17">
        <f t="shared" si="7"/>
        <v>1.6254268676497475E-3</v>
      </c>
    </row>
    <row r="46" spans="1:27" ht="72" x14ac:dyDescent="0.3">
      <c r="A46" s="23" t="s">
        <v>204</v>
      </c>
      <c r="B46" s="23">
        <f>VLOOKUP(A46,MEMORIA!$A:$N,2,FALSE)</f>
        <v>103329</v>
      </c>
      <c r="C46" s="23" t="str">
        <f>VLOOKUP(A46,MEMORIA!$A:$N,3,FALSE)</f>
        <v>SINAPI</v>
      </c>
      <c r="D46" s="24" t="str">
        <f>VLOOKUP(A46,MEMORIA!$A:$N,4,FALSE)</f>
        <v>ALVENARIA DE VEDAÇÃO DE BLOCOS CERÂMICOS FURADOS NA HORIZONTAL DE 9X19X19 CM (ESPESSURA 9 CM) E ARGAMASSA DE ASSENTAMENTO COM PREPARO MANUAL. AF_12/2021</v>
      </c>
      <c r="E46" s="23" t="str">
        <f>VLOOKUP(A46,MEMORIA!$A:$N,5,FALSE)</f>
        <v>M2</v>
      </c>
      <c r="F46" s="5">
        <f>VLOOKUP(A46,MEMORIA!$A:$N,14,FALSE)</f>
        <v>19.310000000000002</v>
      </c>
      <c r="G46" s="5">
        <f>VLOOKUP(A46,ORCAMENTO!$A:$I,7,FALSE)</f>
        <v>95.039999999999992</v>
      </c>
      <c r="H46" s="5">
        <f>VLOOKUP(A46,ORCAMENTO!$A:$I,8,FALSE)</f>
        <v>116.25999999999999</v>
      </c>
      <c r="I46" s="5">
        <f>ROUND(F46*H46,2)</f>
        <v>2244.98</v>
      </c>
      <c r="J46" s="5">
        <f>ROUND(K46*$H46,2)</f>
        <v>2244.98</v>
      </c>
      <c r="K46" s="5">
        <f t="shared" si="16"/>
        <v>19.310000000000002</v>
      </c>
      <c r="L46" s="25">
        <f t="shared" si="0"/>
        <v>1</v>
      </c>
      <c r="M46" s="5">
        <f>ROUND(N46*$H46,2)</f>
        <v>0</v>
      </c>
      <c r="N46" s="5">
        <v>0</v>
      </c>
      <c r="O46" s="25">
        <f t="shared" si="1"/>
        <v>0</v>
      </c>
      <c r="P46" s="5">
        <f>ROUND(Q46*$H46,2)</f>
        <v>0</v>
      </c>
      <c r="Q46" s="5">
        <v>0</v>
      </c>
      <c r="R46" s="25">
        <f t="shared" si="2"/>
        <v>0</v>
      </c>
      <c r="S46" s="5">
        <f>ROUND(T46*$H46,2)</f>
        <v>0</v>
      </c>
      <c r="T46" s="5">
        <v>0</v>
      </c>
      <c r="U46" s="25">
        <f t="shared" si="3"/>
        <v>0</v>
      </c>
      <c r="V46" s="5">
        <f>ROUND(W46*$H46,2)</f>
        <v>0</v>
      </c>
      <c r="W46" s="5">
        <v>0</v>
      </c>
      <c r="X46" s="25">
        <f t="shared" si="4"/>
        <v>0</v>
      </c>
      <c r="Y46" s="5">
        <f t="shared" si="5"/>
        <v>2244.98</v>
      </c>
      <c r="Z46" s="25">
        <f t="shared" si="6"/>
        <v>1</v>
      </c>
      <c r="AA46" s="25">
        <f t="shared" si="7"/>
        <v>1.3927674844795154E-3</v>
      </c>
    </row>
    <row r="47" spans="1:27" ht="72" x14ac:dyDescent="0.3">
      <c r="A47" s="23" t="s">
        <v>205</v>
      </c>
      <c r="B47" s="23">
        <f>VLOOKUP(A47,MEMORIA!$A:$N,2,FALSE)</f>
        <v>101161</v>
      </c>
      <c r="C47" s="23" t="str">
        <f>VLOOKUP(A47,MEMORIA!$A:$N,3,FALSE)</f>
        <v>SINAPI</v>
      </c>
      <c r="D47" s="24" t="str">
        <f>VLOOKUP(A47,MEMORIA!$A:$N,4,FALSE)</f>
        <v>ALVENARIA DE VEDAÇÃO COM ELEMENTO VAZADO DE CONCRETO (COBOGÓ) DE 7X50X50CM E ARGAMASSA DE ASSENTAMENTO COM PREPARO EM BETONEIRA. AF_05/2020</v>
      </c>
      <c r="E47" s="23" t="str">
        <f>VLOOKUP(A47,MEMORIA!$A:$N,5,FALSE)</f>
        <v>M2</v>
      </c>
      <c r="F47" s="5">
        <f>VLOOKUP(A47,MEMORIA!$A:$N,14,FALSE)</f>
        <v>1.5</v>
      </c>
      <c r="G47" s="5">
        <f>VLOOKUP(A47,ORCAMENTO!$A:$I,7,FALSE)</f>
        <v>204.37</v>
      </c>
      <c r="H47" s="5">
        <f>VLOOKUP(A47,ORCAMENTO!$A:$I,8,FALSE)</f>
        <v>250.01</v>
      </c>
      <c r="I47" s="5">
        <f>ROUND(F47*H47,2)</f>
        <v>375.02</v>
      </c>
      <c r="J47" s="5">
        <f>ROUND(K47*$H47,2)</f>
        <v>375.02</v>
      </c>
      <c r="K47" s="5">
        <f t="shared" si="16"/>
        <v>1.5</v>
      </c>
      <c r="L47" s="25">
        <f t="shared" si="0"/>
        <v>1</v>
      </c>
      <c r="M47" s="5">
        <f>ROUND(N47*$H47,2)</f>
        <v>0</v>
      </c>
      <c r="N47" s="5">
        <v>0</v>
      </c>
      <c r="O47" s="25">
        <f t="shared" si="1"/>
        <v>0</v>
      </c>
      <c r="P47" s="5">
        <f>ROUND(Q47*$H47,2)</f>
        <v>0</v>
      </c>
      <c r="Q47" s="5">
        <v>0</v>
      </c>
      <c r="R47" s="25">
        <f t="shared" si="2"/>
        <v>0</v>
      </c>
      <c r="S47" s="5">
        <f>ROUND(T47*$H47,2)</f>
        <v>0</v>
      </c>
      <c r="T47" s="5">
        <v>0</v>
      </c>
      <c r="U47" s="25">
        <f t="shared" si="3"/>
        <v>0</v>
      </c>
      <c r="V47" s="5">
        <f>ROUND(W47*$H47,2)</f>
        <v>0</v>
      </c>
      <c r="W47" s="5">
        <v>0</v>
      </c>
      <c r="X47" s="25">
        <f t="shared" si="4"/>
        <v>0</v>
      </c>
      <c r="Y47" s="5">
        <f t="shared" si="5"/>
        <v>375.02</v>
      </c>
      <c r="Z47" s="25">
        <f t="shared" si="6"/>
        <v>1</v>
      </c>
      <c r="AA47" s="25">
        <f t="shared" si="7"/>
        <v>2.3265938317023217E-4</v>
      </c>
    </row>
    <row r="48" spans="1:27" x14ac:dyDescent="0.3">
      <c r="A48" s="15" t="s">
        <v>28</v>
      </c>
      <c r="B48" s="48" t="str">
        <f>VLOOKUP(A48,MEMORIA!$A:$N,2,FALSE)</f>
        <v>COBERTURA</v>
      </c>
      <c r="C48" s="49"/>
      <c r="D48" s="49"/>
      <c r="E48" s="49"/>
      <c r="F48" s="49"/>
      <c r="G48" s="49"/>
      <c r="H48" s="50"/>
      <c r="I48" s="16">
        <f>SUM(I$49:I$50)</f>
        <v>1305.45</v>
      </c>
      <c r="J48" s="16">
        <f>SUM(J$49:J$50)</f>
        <v>1305.45</v>
      </c>
      <c r="K48" s="16"/>
      <c r="L48" s="17">
        <f t="shared" si="0"/>
        <v>1</v>
      </c>
      <c r="M48" s="16">
        <f>SUM(M$49:M$50)</f>
        <v>0</v>
      </c>
      <c r="N48" s="16"/>
      <c r="O48" s="17">
        <f t="shared" si="1"/>
        <v>0</v>
      </c>
      <c r="P48" s="16">
        <f>SUM(P$49:P$50)</f>
        <v>0</v>
      </c>
      <c r="Q48" s="16"/>
      <c r="R48" s="17">
        <f t="shared" si="2"/>
        <v>0</v>
      </c>
      <c r="S48" s="16">
        <f>SUM(S$49:S$50)</f>
        <v>0</v>
      </c>
      <c r="T48" s="16"/>
      <c r="U48" s="17">
        <f t="shared" si="3"/>
        <v>0</v>
      </c>
      <c r="V48" s="16">
        <f>SUM(V$49:V$50)</f>
        <v>0</v>
      </c>
      <c r="W48" s="16"/>
      <c r="X48" s="17">
        <f t="shared" si="4"/>
        <v>0</v>
      </c>
      <c r="Y48" s="16">
        <f t="shared" si="5"/>
        <v>1305.45</v>
      </c>
      <c r="Z48" s="17">
        <f t="shared" si="6"/>
        <v>1</v>
      </c>
      <c r="AA48" s="17">
        <f t="shared" si="7"/>
        <v>8.0989065052418439E-4</v>
      </c>
    </row>
    <row r="49" spans="1:27" ht="57.6" x14ac:dyDescent="0.3">
      <c r="A49" s="23" t="s">
        <v>206</v>
      </c>
      <c r="B49" s="23" t="str">
        <f>VLOOKUP(A49,MEMORIA!$A:$N,2,FALSE)</f>
        <v>COMPCOM03</v>
      </c>
      <c r="C49" s="23" t="str">
        <f>VLOOKUP(A49,MEMORIA!$A:$N,3,FALSE)</f>
        <v>PRÓPRIA</v>
      </c>
      <c r="D49" s="24" t="str">
        <f>VLOOKUP(A49,MEMORIA!$A:$N,4,FALSE)</f>
        <v>TELHAMENTO COM TELHA CERÂMICA CAPA-CANAL, TIPO COLONIAL, COM ATÉ 2 ÁGUAS, INCLUSO TRANSPORTE VERTICAL</v>
      </c>
      <c r="E49" s="23" t="str">
        <f>VLOOKUP(A49,MEMORIA!$A:$N,5,FALSE)</f>
        <v>M²</v>
      </c>
      <c r="F49" s="5">
        <f>VLOOKUP(A49,MEMORIA!$A:$N,14,FALSE)</f>
        <v>10.23</v>
      </c>
      <c r="G49" s="5">
        <f>VLOOKUP(A49,ORCAMENTO!$A:$I,7,FALSE)</f>
        <v>37.64</v>
      </c>
      <c r="H49" s="5">
        <f>VLOOKUP(A49,ORCAMENTO!$A:$I,8,FALSE)</f>
        <v>46.05</v>
      </c>
      <c r="I49" s="5">
        <f>ROUND(F49*H49,2)</f>
        <v>471.09</v>
      </c>
      <c r="J49" s="5">
        <f>ROUND(K49*$H49,2)</f>
        <v>471.09</v>
      </c>
      <c r="K49" s="5">
        <f t="shared" si="16"/>
        <v>10.23</v>
      </c>
      <c r="L49" s="25">
        <f t="shared" si="0"/>
        <v>1</v>
      </c>
      <c r="M49" s="5">
        <f>ROUND(N49*$H49,2)</f>
        <v>0</v>
      </c>
      <c r="N49" s="5">
        <v>0</v>
      </c>
      <c r="O49" s="25">
        <f t="shared" si="1"/>
        <v>0</v>
      </c>
      <c r="P49" s="5">
        <f>ROUND(Q49*$H49,2)</f>
        <v>0</v>
      </c>
      <c r="Q49" s="5">
        <v>0</v>
      </c>
      <c r="R49" s="25">
        <f t="shared" si="2"/>
        <v>0</v>
      </c>
      <c r="S49" s="5">
        <f>ROUND(T49*$H49,2)</f>
        <v>0</v>
      </c>
      <c r="T49" s="5">
        <v>0</v>
      </c>
      <c r="U49" s="25">
        <f t="shared" si="3"/>
        <v>0</v>
      </c>
      <c r="V49" s="5">
        <f>ROUND(W49*$H49,2)</f>
        <v>0</v>
      </c>
      <c r="W49" s="5">
        <v>0</v>
      </c>
      <c r="X49" s="25">
        <f t="shared" si="4"/>
        <v>0</v>
      </c>
      <c r="Y49" s="5">
        <f t="shared" si="5"/>
        <v>471.09</v>
      </c>
      <c r="Z49" s="25">
        <f t="shared" si="6"/>
        <v>1</v>
      </c>
      <c r="AA49" s="25">
        <f t="shared" si="7"/>
        <v>2.9226043629050364E-4</v>
      </c>
    </row>
    <row r="50" spans="1:27" ht="72" x14ac:dyDescent="0.3">
      <c r="A50" s="23" t="s">
        <v>207</v>
      </c>
      <c r="B50" s="23" t="str">
        <f>VLOOKUP(A50,MEMORIA!$A:$N,2,FALSE)</f>
        <v>COMPCOM04</v>
      </c>
      <c r="C50" s="23" t="str">
        <f>VLOOKUP(A50,MEMORIA!$A:$N,3,FALSE)</f>
        <v>PRÓPRIA</v>
      </c>
      <c r="D50" s="24" t="str">
        <f>VLOOKUP(A50,MEMORIA!$A:$N,4,FALSE)</f>
        <v>TRAMA DE MADEIRA COMPOSTA POR RIPAS, CAIBROS E TERÇAS PARA TELHADOS DE ATÉ 2 ÁGUAS PARA TELHA CERÂMICA CAPA-CANAL, INCLUSO TRANSPORTE VERTICAL</v>
      </c>
      <c r="E50" s="23" t="str">
        <f>VLOOKUP(A50,MEMORIA!$A:$N,5,FALSE)</f>
        <v>M²</v>
      </c>
      <c r="F50" s="5">
        <f>VLOOKUP(A50,MEMORIA!$A:$N,14,FALSE)</f>
        <v>10.23</v>
      </c>
      <c r="G50" s="5">
        <f>VLOOKUP(A50,ORCAMENTO!$A:$I,7,FALSE)</f>
        <v>66.67</v>
      </c>
      <c r="H50" s="5">
        <f>VLOOKUP(A50,ORCAMENTO!$A:$I,8,FALSE)</f>
        <v>81.56</v>
      </c>
      <c r="I50" s="5">
        <f>ROUND(F50*H50,2)</f>
        <v>834.36</v>
      </c>
      <c r="J50" s="5">
        <f>ROUND(K50*$H50,2)</f>
        <v>834.36</v>
      </c>
      <c r="K50" s="5">
        <f t="shared" si="16"/>
        <v>10.23</v>
      </c>
      <c r="L50" s="25">
        <f t="shared" si="0"/>
        <v>1</v>
      </c>
      <c r="M50" s="5">
        <f>ROUND(N50*$H50,2)</f>
        <v>0</v>
      </c>
      <c r="N50" s="5">
        <v>0</v>
      </c>
      <c r="O50" s="25">
        <f t="shared" si="1"/>
        <v>0</v>
      </c>
      <c r="P50" s="5">
        <f>ROUND(Q50*$H50,2)</f>
        <v>0</v>
      </c>
      <c r="Q50" s="5">
        <v>0</v>
      </c>
      <c r="R50" s="25">
        <f t="shared" si="2"/>
        <v>0</v>
      </c>
      <c r="S50" s="5">
        <f>ROUND(T50*$H50,2)</f>
        <v>0</v>
      </c>
      <c r="T50" s="5">
        <v>0</v>
      </c>
      <c r="U50" s="25">
        <f t="shared" si="3"/>
        <v>0</v>
      </c>
      <c r="V50" s="5">
        <f>ROUND(W50*$H50,2)</f>
        <v>0</v>
      </c>
      <c r="W50" s="5">
        <v>0</v>
      </c>
      <c r="X50" s="25">
        <f t="shared" si="4"/>
        <v>0</v>
      </c>
      <c r="Y50" s="5">
        <f t="shared" si="5"/>
        <v>834.36</v>
      </c>
      <c r="Z50" s="25">
        <f t="shared" si="6"/>
        <v>1</v>
      </c>
      <c r="AA50" s="25">
        <f t="shared" si="7"/>
        <v>5.1763021423368064E-4</v>
      </c>
    </row>
    <row r="51" spans="1:27" x14ac:dyDescent="0.3">
      <c r="A51" s="15" t="s">
        <v>29</v>
      </c>
      <c r="B51" s="48" t="str">
        <f>VLOOKUP(A51,MEMORIA!$A:$N,2,FALSE)</f>
        <v>PISO</v>
      </c>
      <c r="C51" s="49"/>
      <c r="D51" s="49"/>
      <c r="E51" s="49"/>
      <c r="F51" s="49"/>
      <c r="G51" s="49"/>
      <c r="H51" s="50"/>
      <c r="I51" s="16">
        <f>SUM(I$52:I$54)</f>
        <v>1174.01</v>
      </c>
      <c r="J51" s="16">
        <f>SUM(J$52:J$54)</f>
        <v>1174.01</v>
      </c>
      <c r="K51" s="16"/>
      <c r="L51" s="17">
        <f t="shared" si="0"/>
        <v>1</v>
      </c>
      <c r="M51" s="16">
        <f>SUM(M$52:M$54)</f>
        <v>0</v>
      </c>
      <c r="N51" s="16"/>
      <c r="O51" s="17">
        <f t="shared" si="1"/>
        <v>0</v>
      </c>
      <c r="P51" s="16">
        <f>SUM(P$52:P$54)</f>
        <v>0</v>
      </c>
      <c r="Q51" s="16"/>
      <c r="R51" s="17">
        <f t="shared" si="2"/>
        <v>0</v>
      </c>
      <c r="S51" s="16">
        <f>SUM(S$52:S$54)</f>
        <v>0</v>
      </c>
      <c r="T51" s="16"/>
      <c r="U51" s="17">
        <f t="shared" si="3"/>
        <v>0</v>
      </c>
      <c r="V51" s="16">
        <f>SUM(V$52:V$54)</f>
        <v>0</v>
      </c>
      <c r="W51" s="16"/>
      <c r="X51" s="17">
        <f t="shared" si="4"/>
        <v>0</v>
      </c>
      <c r="Y51" s="16">
        <f t="shared" si="5"/>
        <v>1174.01</v>
      </c>
      <c r="Z51" s="17">
        <f t="shared" si="6"/>
        <v>1</v>
      </c>
      <c r="AA51" s="17">
        <f t="shared" si="7"/>
        <v>7.2834633469064125E-4</v>
      </c>
    </row>
    <row r="52" spans="1:27" ht="28.8" x14ac:dyDescent="0.3">
      <c r="A52" s="23" t="s">
        <v>208</v>
      </c>
      <c r="B52" s="23">
        <f>VLOOKUP(A52,MEMORIA!$A:$N,2,FALSE)</f>
        <v>96617</v>
      </c>
      <c r="C52" s="23" t="str">
        <f>VLOOKUP(A52,MEMORIA!$A:$N,3,FALSE)</f>
        <v>SINAPI</v>
      </c>
      <c r="D52" s="24" t="str">
        <f>VLOOKUP(A52,MEMORIA!$A:$N,4,FALSE)</f>
        <v>LASTRO DE CONCRETO MAGRO, APLICADO EM BLOCOS DE COROAMENTO OU SAPATAS, ESPESSURA DE 3 CM. AF_01/2024</v>
      </c>
      <c r="E52" s="23" t="str">
        <f>VLOOKUP(A52,MEMORIA!$A:$N,5,FALSE)</f>
        <v>M2</v>
      </c>
      <c r="F52" s="5">
        <f>VLOOKUP(A52,MEMORIA!$A:$N,14,FALSE)</f>
        <v>4</v>
      </c>
      <c r="G52" s="5">
        <f>VLOOKUP(A52,ORCAMENTO!$A:$I,7,FALSE)</f>
        <v>23.57</v>
      </c>
      <c r="H52" s="5">
        <f>VLOOKUP(A52,ORCAMENTO!$A:$I,8,FALSE)</f>
        <v>28.83</v>
      </c>
      <c r="I52" s="5">
        <f>ROUND(F52*H52,2)</f>
        <v>115.32</v>
      </c>
      <c r="J52" s="5">
        <f>ROUND(K52*$H52,2)</f>
        <v>115.32</v>
      </c>
      <c r="K52" s="5">
        <f t="shared" si="16"/>
        <v>4</v>
      </c>
      <c r="L52" s="25">
        <f t="shared" si="0"/>
        <v>1</v>
      </c>
      <c r="M52" s="5">
        <f>ROUND(N52*$H52,2)</f>
        <v>0</v>
      </c>
      <c r="N52" s="5">
        <v>0</v>
      </c>
      <c r="O52" s="25">
        <f t="shared" si="1"/>
        <v>0</v>
      </c>
      <c r="P52" s="5">
        <f>ROUND(Q52*$H52,2)</f>
        <v>0</v>
      </c>
      <c r="Q52" s="5">
        <v>0</v>
      </c>
      <c r="R52" s="25">
        <f t="shared" si="2"/>
        <v>0</v>
      </c>
      <c r="S52" s="5">
        <f>ROUND(T52*$H52,2)</f>
        <v>0</v>
      </c>
      <c r="T52" s="5">
        <v>0</v>
      </c>
      <c r="U52" s="25">
        <f t="shared" si="3"/>
        <v>0</v>
      </c>
      <c r="V52" s="5">
        <f>ROUND(W52*$H52,2)</f>
        <v>0</v>
      </c>
      <c r="W52" s="5">
        <v>0</v>
      </c>
      <c r="X52" s="25">
        <f t="shared" si="4"/>
        <v>0</v>
      </c>
      <c r="Y52" s="5">
        <f t="shared" si="5"/>
        <v>115.32</v>
      </c>
      <c r="Z52" s="25">
        <f t="shared" si="6"/>
        <v>1</v>
      </c>
      <c r="AA52" s="25">
        <f t="shared" si="7"/>
        <v>7.1543597853957586E-5</v>
      </c>
    </row>
    <row r="53" spans="1:27" ht="72" x14ac:dyDescent="0.3">
      <c r="A53" s="23" t="s">
        <v>209</v>
      </c>
      <c r="B53" s="23">
        <f>VLOOKUP(A53,MEMORIA!$A:$N,2,FALSE)</f>
        <v>101749</v>
      </c>
      <c r="C53" s="23" t="str">
        <f>VLOOKUP(A53,MEMORIA!$A:$N,3,FALSE)</f>
        <v>SINAPI</v>
      </c>
      <c r="D53" s="24" t="str">
        <f>VLOOKUP(A53,MEMORIA!$A:$N,4,FALSE)</f>
        <v>PISO CIMENTADO, TRAÇO 1:3 (CIMENTO E AREIA), ACABAMENTO LISO, ESPESSURA 4,0 CM, PREPARO MECÂNICO DA ARGAMASSA. AF_09/2020</v>
      </c>
      <c r="E53" s="23" t="str">
        <f>VLOOKUP(A53,MEMORIA!$A:$N,5,FALSE)</f>
        <v>M2</v>
      </c>
      <c r="F53" s="5">
        <f>VLOOKUP(A53,MEMORIA!$A:$N,14,FALSE)</f>
        <v>4</v>
      </c>
      <c r="G53" s="5">
        <f>VLOOKUP(A53,ORCAMENTO!$A:$I,7,FALSE)</f>
        <v>64.739999999999995</v>
      </c>
      <c r="H53" s="5">
        <f>VLOOKUP(A53,ORCAMENTO!$A:$I,8,FALSE)</f>
        <v>79.199999999999989</v>
      </c>
      <c r="I53" s="5">
        <f>ROUND(F53*H53,2)</f>
        <v>316.8</v>
      </c>
      <c r="J53" s="5">
        <f>ROUND(K53*$H53,2)</f>
        <v>316.8</v>
      </c>
      <c r="K53" s="5">
        <f t="shared" si="16"/>
        <v>4</v>
      </c>
      <c r="L53" s="25">
        <f t="shared" si="0"/>
        <v>1</v>
      </c>
      <c r="M53" s="5">
        <f>ROUND(N53*$H53,2)</f>
        <v>0</v>
      </c>
      <c r="N53" s="5">
        <v>0</v>
      </c>
      <c r="O53" s="25">
        <f t="shared" si="1"/>
        <v>0</v>
      </c>
      <c r="P53" s="5">
        <f>ROUND(Q53*$H53,2)</f>
        <v>0</v>
      </c>
      <c r="Q53" s="5">
        <v>0</v>
      </c>
      <c r="R53" s="25">
        <f t="shared" si="2"/>
        <v>0</v>
      </c>
      <c r="S53" s="5">
        <f>ROUND(T53*$H53,2)</f>
        <v>0</v>
      </c>
      <c r="T53" s="5">
        <v>0</v>
      </c>
      <c r="U53" s="25">
        <f t="shared" si="3"/>
        <v>0</v>
      </c>
      <c r="V53" s="5">
        <f>ROUND(W53*$H53,2)</f>
        <v>0</v>
      </c>
      <c r="W53" s="5">
        <v>0</v>
      </c>
      <c r="X53" s="25">
        <f t="shared" si="4"/>
        <v>0</v>
      </c>
      <c r="Y53" s="5">
        <f t="shared" si="5"/>
        <v>316.8</v>
      </c>
      <c r="Z53" s="25">
        <f t="shared" si="6"/>
        <v>1</v>
      </c>
      <c r="AA53" s="25">
        <f t="shared" si="7"/>
        <v>1.9654016476009162E-4</v>
      </c>
    </row>
    <row r="54" spans="1:27" ht="72" x14ac:dyDescent="0.3">
      <c r="A54" s="23" t="s">
        <v>210</v>
      </c>
      <c r="B54" s="23">
        <f>VLOOKUP(A54,MEMORIA!$A:$N,2,FALSE)</f>
        <v>94994</v>
      </c>
      <c r="C54" s="23" t="str">
        <f>VLOOKUP(A54,MEMORIA!$A:$N,3,FALSE)</f>
        <v>SINAPI</v>
      </c>
      <c r="D54" s="24" t="str">
        <f>VLOOKUP(A54,MEMORIA!$A:$N,4,FALSE)</f>
        <v>EXECUÇÃO DE PASSEIO (CALÇADA) OU PISO DE CONCRETO COM CONCRETO MOLDADO IN LOCO, FEITO EM OBRA, ACABAMENTO CONVENCIONAL, ESPESSURA 8 CM, ARMADO. AF_08/2022</v>
      </c>
      <c r="E54" s="23" t="str">
        <f>VLOOKUP(A54,MEMORIA!$A:$N,5,FALSE)</f>
        <v>M2</v>
      </c>
      <c r="F54" s="5">
        <f>VLOOKUP(A54,MEMORIA!$A:$N,14,FALSE)</f>
        <v>5.6</v>
      </c>
      <c r="G54" s="5">
        <f>VLOOKUP(A54,ORCAMENTO!$A:$I,7,FALSE)</f>
        <v>108.30000000000003</v>
      </c>
      <c r="H54" s="5">
        <f>VLOOKUP(A54,ORCAMENTO!$A:$I,8,FALSE)</f>
        <v>132.48000000000002</v>
      </c>
      <c r="I54" s="5">
        <f>ROUND(F54*H54,2)</f>
        <v>741.89</v>
      </c>
      <c r="J54" s="5">
        <f>ROUND(K54*$H54,2)</f>
        <v>741.89</v>
      </c>
      <c r="K54" s="5">
        <f t="shared" si="16"/>
        <v>5.6</v>
      </c>
      <c r="L54" s="25">
        <f t="shared" si="0"/>
        <v>1</v>
      </c>
      <c r="M54" s="5">
        <f>ROUND(N54*$H54,2)</f>
        <v>0</v>
      </c>
      <c r="N54" s="5">
        <v>0</v>
      </c>
      <c r="O54" s="25">
        <f t="shared" si="1"/>
        <v>0</v>
      </c>
      <c r="P54" s="5">
        <f>ROUND(Q54*$H54,2)</f>
        <v>0</v>
      </c>
      <c r="Q54" s="5">
        <v>0</v>
      </c>
      <c r="R54" s="25">
        <f t="shared" si="2"/>
        <v>0</v>
      </c>
      <c r="S54" s="5">
        <f>ROUND(T54*$H54,2)</f>
        <v>0</v>
      </c>
      <c r="T54" s="5">
        <v>0</v>
      </c>
      <c r="U54" s="25">
        <f t="shared" si="3"/>
        <v>0</v>
      </c>
      <c r="V54" s="5">
        <f>ROUND(W54*$H54,2)</f>
        <v>0</v>
      </c>
      <c r="W54" s="5">
        <v>0</v>
      </c>
      <c r="X54" s="25">
        <f t="shared" si="4"/>
        <v>0</v>
      </c>
      <c r="Y54" s="5">
        <f t="shared" si="5"/>
        <v>741.89</v>
      </c>
      <c r="Z54" s="25">
        <f t="shared" si="6"/>
        <v>1</v>
      </c>
      <c r="AA54" s="25">
        <f t="shared" si="7"/>
        <v>4.6026257207659206E-4</v>
      </c>
    </row>
    <row r="55" spans="1:27" x14ac:dyDescent="0.3">
      <c r="A55" s="15" t="s">
        <v>30</v>
      </c>
      <c r="B55" s="48" t="str">
        <f>VLOOKUP(A55,MEMORIA!$A:$N,2,FALSE)</f>
        <v>REVESTIMENTO</v>
      </c>
      <c r="C55" s="49"/>
      <c r="D55" s="49"/>
      <c r="E55" s="49"/>
      <c r="F55" s="49"/>
      <c r="G55" s="49"/>
      <c r="H55" s="50"/>
      <c r="I55" s="16">
        <f>SUM(I$56:I$57)</f>
        <v>2341.92</v>
      </c>
      <c r="J55" s="16">
        <f>SUM(J$56:J$57)</f>
        <v>2341.92</v>
      </c>
      <c r="K55" s="16"/>
      <c r="L55" s="17">
        <f t="shared" si="0"/>
        <v>1</v>
      </c>
      <c r="M55" s="16">
        <f>SUM(M$56:M$57)</f>
        <v>0</v>
      </c>
      <c r="N55" s="16"/>
      <c r="O55" s="17">
        <f t="shared" si="1"/>
        <v>0</v>
      </c>
      <c r="P55" s="16">
        <f>SUM(P$56:P$57)</f>
        <v>0</v>
      </c>
      <c r="Q55" s="16"/>
      <c r="R55" s="17">
        <f t="shared" si="2"/>
        <v>0</v>
      </c>
      <c r="S55" s="16">
        <f>SUM(S$56:S$57)</f>
        <v>0</v>
      </c>
      <c r="T55" s="16"/>
      <c r="U55" s="17">
        <f t="shared" si="3"/>
        <v>0</v>
      </c>
      <c r="V55" s="16">
        <f>SUM(V$56:V$57)</f>
        <v>0</v>
      </c>
      <c r="W55" s="16"/>
      <c r="X55" s="17">
        <f t="shared" si="4"/>
        <v>0</v>
      </c>
      <c r="Y55" s="16">
        <f t="shared" si="5"/>
        <v>2341.92</v>
      </c>
      <c r="Z55" s="17">
        <f t="shared" si="6"/>
        <v>1</v>
      </c>
      <c r="AA55" s="17">
        <f t="shared" si="7"/>
        <v>1.452908278582556E-3</v>
      </c>
    </row>
    <row r="56" spans="1:27" ht="86.4" x14ac:dyDescent="0.3">
      <c r="A56" s="23" t="s">
        <v>211</v>
      </c>
      <c r="B56" s="23">
        <f>VLOOKUP(A56,MEMORIA!$A:$N,2,FALSE)</f>
        <v>87904</v>
      </c>
      <c r="C56" s="23" t="str">
        <f>VLOOKUP(A56,MEMORIA!$A:$N,3,FALSE)</f>
        <v>SINAPI</v>
      </c>
      <c r="D56" s="24" t="str">
        <f>VLOOKUP(A56,MEMORIA!$A:$N,4,FALSE)</f>
        <v>CHAPISCO APLICADO EM ALVENARIA (COM PRESENÇA DE VÃOS) E ESTRUTURAS DE CONCRETO DE FACHADA, COM COLHER DE PEDREIRO. ARGAMASSA TRAÇO 1:3 COM PREPARO MANUAL. AF_10/2022</v>
      </c>
      <c r="E56" s="23" t="str">
        <f>VLOOKUP(A56,MEMORIA!$A:$N,5,FALSE)</f>
        <v>M2</v>
      </c>
      <c r="F56" s="5">
        <f>VLOOKUP(A56,MEMORIA!$A:$N,14,FALSE)</f>
        <v>38.619999999999997</v>
      </c>
      <c r="G56" s="5">
        <f>VLOOKUP(A56,ORCAMENTO!$A:$I,7,FALSE)</f>
        <v>8.7199999999999989</v>
      </c>
      <c r="H56" s="5">
        <f>VLOOKUP(A56,ORCAMENTO!$A:$I,8,FALSE)</f>
        <v>10.669999999999998</v>
      </c>
      <c r="I56" s="5">
        <f>ROUND(F56*H56,2)</f>
        <v>412.08</v>
      </c>
      <c r="J56" s="5">
        <f>ROUND(K56*$H56,2)</f>
        <v>412.08</v>
      </c>
      <c r="K56" s="5">
        <f t="shared" si="16"/>
        <v>38.619999999999997</v>
      </c>
      <c r="L56" s="25">
        <f t="shared" si="0"/>
        <v>1</v>
      </c>
      <c r="M56" s="5">
        <f>ROUND(N56*$H56,2)</f>
        <v>0</v>
      </c>
      <c r="N56" s="5">
        <v>0</v>
      </c>
      <c r="O56" s="25">
        <f t="shared" si="1"/>
        <v>0</v>
      </c>
      <c r="P56" s="5">
        <f>ROUND(Q56*$H56,2)</f>
        <v>0</v>
      </c>
      <c r="Q56" s="5">
        <v>0</v>
      </c>
      <c r="R56" s="25">
        <f t="shared" si="2"/>
        <v>0</v>
      </c>
      <c r="S56" s="5">
        <f>ROUND(T56*$H56,2)</f>
        <v>0</v>
      </c>
      <c r="T56" s="5">
        <v>0</v>
      </c>
      <c r="U56" s="25">
        <f t="shared" si="3"/>
        <v>0</v>
      </c>
      <c r="V56" s="5">
        <f>ROUND(W56*$H56,2)</f>
        <v>0</v>
      </c>
      <c r="W56" s="5">
        <v>0</v>
      </c>
      <c r="X56" s="25">
        <f t="shared" si="4"/>
        <v>0</v>
      </c>
      <c r="Y56" s="5">
        <f t="shared" si="5"/>
        <v>412.08</v>
      </c>
      <c r="Z56" s="25">
        <f t="shared" si="6"/>
        <v>1</v>
      </c>
      <c r="AA56" s="25">
        <f t="shared" si="7"/>
        <v>2.5565110825233128E-4</v>
      </c>
    </row>
    <row r="57" spans="1:27" ht="86.4" x14ac:dyDescent="0.3">
      <c r="A57" s="23" t="s">
        <v>212</v>
      </c>
      <c r="B57" s="23">
        <f>VLOOKUP(A57,MEMORIA!$A:$N,2,FALSE)</f>
        <v>87530</v>
      </c>
      <c r="C57" s="23" t="str">
        <f>VLOOKUP(A57,MEMORIA!$A:$N,3,FALSE)</f>
        <v>SINAPI</v>
      </c>
      <c r="D57" s="24" t="str">
        <f>VLOOKUP(A57,MEMORIA!$A:$N,4,FALSE)</f>
        <v>MASSA ÚNICA, EM ARGAMASSA TRAÇO 1:2:8, PREPARO MANUAL, APLICADA MANUALMENTE EM PAREDES INTERNAS DE AMBIENTES COM ÁREA ENTRE 5M² E 10M², E = 17,5MM, COM TALISCAS. AF_03/2024</v>
      </c>
      <c r="E57" s="23" t="str">
        <f>VLOOKUP(A57,MEMORIA!$A:$N,5,FALSE)</f>
        <v>M2</v>
      </c>
      <c r="F57" s="5">
        <f>VLOOKUP(A57,MEMORIA!$A:$N,14,FALSE)</f>
        <v>38.619999999999997</v>
      </c>
      <c r="G57" s="5">
        <f>VLOOKUP(A57,ORCAMENTO!$A:$I,7,FALSE)</f>
        <v>40.85</v>
      </c>
      <c r="H57" s="5">
        <f>VLOOKUP(A57,ORCAMENTO!$A:$I,8,FALSE)</f>
        <v>49.97</v>
      </c>
      <c r="I57" s="5">
        <f>ROUND(F57*H57,2)</f>
        <v>1929.84</v>
      </c>
      <c r="J57" s="5">
        <f>ROUND(K57*$H57,2)</f>
        <v>1929.84</v>
      </c>
      <c r="K57" s="5">
        <f t="shared" si="16"/>
        <v>38.619999999999997</v>
      </c>
      <c r="L57" s="25">
        <f t="shared" si="0"/>
        <v>1</v>
      </c>
      <c r="M57" s="5">
        <f>ROUND(N57*$H57,2)</f>
        <v>0</v>
      </c>
      <c r="N57" s="5">
        <v>0</v>
      </c>
      <c r="O57" s="25">
        <f t="shared" si="1"/>
        <v>0</v>
      </c>
      <c r="P57" s="5">
        <f>ROUND(Q57*$H57,2)</f>
        <v>0</v>
      </c>
      <c r="Q57" s="5">
        <v>0</v>
      </c>
      <c r="R57" s="25">
        <f t="shared" si="2"/>
        <v>0</v>
      </c>
      <c r="S57" s="5">
        <f>ROUND(T57*$H57,2)</f>
        <v>0</v>
      </c>
      <c r="T57" s="5">
        <v>0</v>
      </c>
      <c r="U57" s="25">
        <f t="shared" si="3"/>
        <v>0</v>
      </c>
      <c r="V57" s="5">
        <f>ROUND(W57*$H57,2)</f>
        <v>0</v>
      </c>
      <c r="W57" s="5">
        <v>0</v>
      </c>
      <c r="X57" s="25">
        <f t="shared" si="4"/>
        <v>0</v>
      </c>
      <c r="Y57" s="5">
        <f t="shared" si="5"/>
        <v>1929.84</v>
      </c>
      <c r="Z57" s="25">
        <f t="shared" si="6"/>
        <v>1</v>
      </c>
      <c r="AA57" s="25">
        <f t="shared" si="7"/>
        <v>1.1972571703302247E-3</v>
      </c>
    </row>
    <row r="58" spans="1:27" x14ac:dyDescent="0.3">
      <c r="A58" s="15" t="s">
        <v>31</v>
      </c>
      <c r="B58" s="48" t="str">
        <f>VLOOKUP(A58,MEMORIA!$A:$N,2,FALSE)</f>
        <v>ESQUADRIAS</v>
      </c>
      <c r="C58" s="49"/>
      <c r="D58" s="49"/>
      <c r="E58" s="49"/>
      <c r="F58" s="49"/>
      <c r="G58" s="49"/>
      <c r="H58" s="50"/>
      <c r="I58" s="16">
        <f>SUM(I$59:I$60)</f>
        <v>2243.75</v>
      </c>
      <c r="J58" s="16">
        <f>SUM(J$59:J$60)</f>
        <v>2243.75</v>
      </c>
      <c r="K58" s="16"/>
      <c r="L58" s="17">
        <f t="shared" si="0"/>
        <v>1</v>
      </c>
      <c r="M58" s="16">
        <f>SUM(M$59:M$60)</f>
        <v>0</v>
      </c>
      <c r="N58" s="16"/>
      <c r="O58" s="17">
        <f t="shared" si="1"/>
        <v>0</v>
      </c>
      <c r="P58" s="16">
        <f>SUM(P$59:P$60)</f>
        <v>0</v>
      </c>
      <c r="Q58" s="16"/>
      <c r="R58" s="17">
        <f t="shared" si="2"/>
        <v>0</v>
      </c>
      <c r="S58" s="16">
        <f>SUM(S$59:S$60)</f>
        <v>0</v>
      </c>
      <c r="T58" s="16"/>
      <c r="U58" s="17">
        <f t="shared" si="3"/>
        <v>0</v>
      </c>
      <c r="V58" s="16">
        <f>SUM(V$59:V$60)</f>
        <v>0</v>
      </c>
      <c r="W58" s="16"/>
      <c r="X58" s="17">
        <f t="shared" si="4"/>
        <v>0</v>
      </c>
      <c r="Y58" s="16">
        <f t="shared" si="5"/>
        <v>2243.75</v>
      </c>
      <c r="Z58" s="17">
        <f t="shared" si="6"/>
        <v>1</v>
      </c>
      <c r="AA58" s="17">
        <f t="shared" si="7"/>
        <v>1.3920044024004279E-3</v>
      </c>
    </row>
    <row r="59" spans="1:27" ht="43.2" x14ac:dyDescent="0.3">
      <c r="A59" s="23" t="s">
        <v>213</v>
      </c>
      <c r="B59" s="23">
        <f>VLOOKUP(A59,MEMORIA!$A:$N,2,FALSE)</f>
        <v>100701</v>
      </c>
      <c r="C59" s="23" t="str">
        <f>VLOOKUP(A59,MEMORIA!$A:$N,3,FALSE)</f>
        <v>SINAPI</v>
      </c>
      <c r="D59" s="24" t="str">
        <f>VLOOKUP(A59,MEMORIA!$A:$N,4,FALSE)</f>
        <v>PORTA DE FERRO, DE ABRIR, TIPO GRADE COM CHAPA, COM GUARNIÇÕES. AF_12/2019</v>
      </c>
      <c r="E59" s="23" t="str">
        <f>VLOOKUP(A59,MEMORIA!$A:$N,5,FALSE)</f>
        <v>M2</v>
      </c>
      <c r="F59" s="5">
        <f>VLOOKUP(A59,MEMORIA!$A:$N,14,FALSE)</f>
        <v>1.68</v>
      </c>
      <c r="G59" s="5">
        <f>VLOOKUP(A59,ORCAMENTO!$A:$I,7,FALSE)</f>
        <v>415.24</v>
      </c>
      <c r="H59" s="5">
        <f>VLOOKUP(A59,ORCAMENTO!$A:$I,8,FALSE)</f>
        <v>507.96000000000004</v>
      </c>
      <c r="I59" s="5">
        <f>ROUND(F59*H59,2)</f>
        <v>853.37</v>
      </c>
      <c r="J59" s="5">
        <f>ROUND(K59*$H59,2)</f>
        <v>853.37</v>
      </c>
      <c r="K59" s="5">
        <f t="shared" si="16"/>
        <v>1.68</v>
      </c>
      <c r="L59" s="25">
        <f t="shared" si="0"/>
        <v>1</v>
      </c>
      <c r="M59" s="5">
        <f>ROUND(N59*$H59,2)</f>
        <v>0</v>
      </c>
      <c r="N59" s="5">
        <v>0</v>
      </c>
      <c r="O59" s="25">
        <f t="shared" si="1"/>
        <v>0</v>
      </c>
      <c r="P59" s="5">
        <f>ROUND(Q59*$H59,2)</f>
        <v>0</v>
      </c>
      <c r="Q59" s="5">
        <v>0</v>
      </c>
      <c r="R59" s="25">
        <f t="shared" si="2"/>
        <v>0</v>
      </c>
      <c r="S59" s="5">
        <f>ROUND(T59*$H59,2)</f>
        <v>0</v>
      </c>
      <c r="T59" s="5">
        <v>0</v>
      </c>
      <c r="U59" s="25">
        <f t="shared" si="3"/>
        <v>0</v>
      </c>
      <c r="V59" s="5">
        <f>ROUND(W59*$H59,2)</f>
        <v>0</v>
      </c>
      <c r="W59" s="5">
        <v>0</v>
      </c>
      <c r="X59" s="25">
        <f t="shared" si="4"/>
        <v>0</v>
      </c>
      <c r="Y59" s="5">
        <f t="shared" si="5"/>
        <v>853.37</v>
      </c>
      <c r="Z59" s="25">
        <f t="shared" si="6"/>
        <v>1</v>
      </c>
      <c r="AA59" s="25">
        <f t="shared" si="7"/>
        <v>5.2942386490315463E-4</v>
      </c>
    </row>
    <row r="60" spans="1:27" ht="43.2" x14ac:dyDescent="0.3">
      <c r="A60" s="23" t="s">
        <v>214</v>
      </c>
      <c r="B60" s="23" t="str">
        <f>VLOOKUP(A60,MEMORIA!$A:$N,2,FALSE)</f>
        <v>COMP219</v>
      </c>
      <c r="C60" s="23" t="str">
        <f>VLOOKUP(A60,MEMORIA!$A:$N,3,FALSE)</f>
        <v>PRÓPRIA</v>
      </c>
      <c r="D60" s="24" t="str">
        <f>VLOOKUP(A60,MEMORIA!$A:$N,4,FALSE)</f>
        <v>PORTÃO DE FERRO EM BARRA CHATA TIPO TIJOLINHO (REF: C1999-SEINFRA 28)</v>
      </c>
      <c r="E60" s="23" t="str">
        <f>VLOOKUP(A60,MEMORIA!$A:$N,5,FALSE)</f>
        <v>M2</v>
      </c>
      <c r="F60" s="5">
        <f>VLOOKUP(A60,MEMORIA!$A:$N,14,FALSE)</f>
        <v>6</v>
      </c>
      <c r="G60" s="5">
        <f>VLOOKUP(A60,ORCAMENTO!$A:$I,7,FALSE)</f>
        <v>189.43</v>
      </c>
      <c r="H60" s="5">
        <f>VLOOKUP(A60,ORCAMENTO!$A:$I,8,FALSE)</f>
        <v>231.73000000000002</v>
      </c>
      <c r="I60" s="5">
        <f>ROUND(F60*H60,2)</f>
        <v>1390.38</v>
      </c>
      <c r="J60" s="5">
        <f>ROUND(K60*$H60,2)</f>
        <v>1390.38</v>
      </c>
      <c r="K60" s="5">
        <f t="shared" si="16"/>
        <v>6</v>
      </c>
      <c r="L60" s="25">
        <f t="shared" si="0"/>
        <v>1</v>
      </c>
      <c r="M60" s="5">
        <f>ROUND(N60*$H60,2)</f>
        <v>0</v>
      </c>
      <c r="N60" s="5">
        <v>0</v>
      </c>
      <c r="O60" s="25">
        <f t="shared" si="1"/>
        <v>0</v>
      </c>
      <c r="P60" s="5">
        <f>ROUND(Q60*$H60,2)</f>
        <v>0</v>
      </c>
      <c r="Q60" s="5">
        <v>0</v>
      </c>
      <c r="R60" s="25">
        <f t="shared" si="2"/>
        <v>0</v>
      </c>
      <c r="S60" s="5">
        <f>ROUND(T60*$H60,2)</f>
        <v>0</v>
      </c>
      <c r="T60" s="5">
        <v>0</v>
      </c>
      <c r="U60" s="25">
        <f t="shared" si="3"/>
        <v>0</v>
      </c>
      <c r="V60" s="5">
        <f>ROUND(W60*$H60,2)</f>
        <v>0</v>
      </c>
      <c r="W60" s="5">
        <v>0</v>
      </c>
      <c r="X60" s="25">
        <f t="shared" si="4"/>
        <v>0</v>
      </c>
      <c r="Y60" s="5">
        <f t="shared" si="5"/>
        <v>1390.38</v>
      </c>
      <c r="Z60" s="25">
        <f t="shared" si="6"/>
        <v>1</v>
      </c>
      <c r="AA60" s="25">
        <f t="shared" si="7"/>
        <v>8.625805374972733E-4</v>
      </c>
    </row>
    <row r="61" spans="1:27" x14ac:dyDescent="0.3">
      <c r="A61" s="15" t="s">
        <v>32</v>
      </c>
      <c r="B61" s="48" t="str">
        <f>VLOOKUP(A61,MEMORIA!$A:$N,2,FALSE)</f>
        <v>PINTURA</v>
      </c>
      <c r="C61" s="49"/>
      <c r="D61" s="49"/>
      <c r="E61" s="49"/>
      <c r="F61" s="49"/>
      <c r="G61" s="49"/>
      <c r="H61" s="50"/>
      <c r="I61" s="16">
        <f>SUM(I$62:I$63)</f>
        <v>649.88</v>
      </c>
      <c r="J61" s="16">
        <f>SUM(J$62:J$63)</f>
        <v>649.88</v>
      </c>
      <c r="K61" s="16"/>
      <c r="L61" s="17">
        <f t="shared" si="0"/>
        <v>1</v>
      </c>
      <c r="M61" s="16">
        <f>SUM(M$62:M$63)</f>
        <v>0</v>
      </c>
      <c r="N61" s="16"/>
      <c r="O61" s="17">
        <f t="shared" si="1"/>
        <v>0</v>
      </c>
      <c r="P61" s="16">
        <f>SUM(P$62:P$63)</f>
        <v>0</v>
      </c>
      <c r="Q61" s="16"/>
      <c r="R61" s="17">
        <f t="shared" si="2"/>
        <v>0</v>
      </c>
      <c r="S61" s="16">
        <f>SUM(S$62:S$63)</f>
        <v>0</v>
      </c>
      <c r="T61" s="16"/>
      <c r="U61" s="17">
        <f t="shared" si="3"/>
        <v>0</v>
      </c>
      <c r="V61" s="16">
        <f>SUM(V$62:V$63)</f>
        <v>0</v>
      </c>
      <c r="W61" s="16"/>
      <c r="X61" s="17">
        <f t="shared" si="4"/>
        <v>0</v>
      </c>
      <c r="Y61" s="16">
        <f t="shared" si="5"/>
        <v>649.88</v>
      </c>
      <c r="Z61" s="17">
        <f t="shared" si="6"/>
        <v>1</v>
      </c>
      <c r="AA61" s="17">
        <f t="shared" si="7"/>
        <v>4.0318031020924349E-4</v>
      </c>
    </row>
    <row r="62" spans="1:27" ht="28.8" x14ac:dyDescent="0.3">
      <c r="A62" s="23" t="s">
        <v>215</v>
      </c>
      <c r="B62" s="23" t="str">
        <f>VLOOKUP(A62,MEMORIA!$A:$N,2,FALSE)</f>
        <v>COMP205</v>
      </c>
      <c r="C62" s="23" t="str">
        <f>VLOOKUP(A62,MEMORIA!$A:$N,3,FALSE)</f>
        <v>PRÓPRIA</v>
      </c>
      <c r="D62" s="24" t="str">
        <f>VLOOKUP(A62,MEMORIA!$A:$N,4,FALSE)</f>
        <v>CAIAÇÃO EM TRES DEMÃOS EM PAREDES (REF: C0589-SEINFRA 28)</v>
      </c>
      <c r="E62" s="23" t="str">
        <f>VLOOKUP(A62,MEMORIA!$A:$N,5,FALSE)</f>
        <v>M2</v>
      </c>
      <c r="F62" s="5">
        <f>VLOOKUP(A62,MEMORIA!$A:$N,14,FALSE)</f>
        <v>38.619999999999997</v>
      </c>
      <c r="G62" s="5">
        <f>VLOOKUP(A62,ORCAMENTO!$A:$I,7,FALSE)</f>
        <v>9.3800000000000008</v>
      </c>
      <c r="H62" s="5">
        <f>VLOOKUP(A62,ORCAMENTO!$A:$I,8,FALSE)</f>
        <v>11.47</v>
      </c>
      <c r="I62" s="5">
        <f>ROUND(F62*H62,2)</f>
        <v>442.97</v>
      </c>
      <c r="J62" s="5">
        <f>ROUND(K62*$H62,2)</f>
        <v>442.97</v>
      </c>
      <c r="K62" s="5">
        <f t="shared" si="16"/>
        <v>38.619999999999997</v>
      </c>
      <c r="L62" s="25">
        <f t="shared" si="0"/>
        <v>1</v>
      </c>
      <c r="M62" s="5">
        <f>ROUND(N62*$H62,2)</f>
        <v>0</v>
      </c>
      <c r="N62" s="5">
        <v>0</v>
      </c>
      <c r="O62" s="25">
        <f t="shared" si="1"/>
        <v>0</v>
      </c>
      <c r="P62" s="5">
        <f>ROUND(Q62*$H62,2)</f>
        <v>0</v>
      </c>
      <c r="Q62" s="5">
        <v>0</v>
      </c>
      <c r="R62" s="25">
        <f t="shared" si="2"/>
        <v>0</v>
      </c>
      <c r="S62" s="5">
        <f>ROUND(T62*$H62,2)</f>
        <v>0</v>
      </c>
      <c r="T62" s="5">
        <v>0</v>
      </c>
      <c r="U62" s="25">
        <f t="shared" si="3"/>
        <v>0</v>
      </c>
      <c r="V62" s="5">
        <f>ROUND(W62*$H62,2)</f>
        <v>0</v>
      </c>
      <c r="W62" s="5">
        <v>0</v>
      </c>
      <c r="X62" s="25">
        <f t="shared" si="4"/>
        <v>0</v>
      </c>
      <c r="Y62" s="5">
        <f t="shared" si="5"/>
        <v>442.97</v>
      </c>
      <c r="Z62" s="25">
        <f t="shared" si="6"/>
        <v>1</v>
      </c>
      <c r="AA62" s="25">
        <f t="shared" si="7"/>
        <v>2.7481501510030868E-4</v>
      </c>
    </row>
    <row r="63" spans="1:27" ht="86.4" x14ac:dyDescent="0.3">
      <c r="A63" s="23" t="s">
        <v>216</v>
      </c>
      <c r="B63" s="23">
        <f>VLOOKUP(A63,MEMORIA!$A:$N,2,FALSE)</f>
        <v>100758</v>
      </c>
      <c r="C63" s="23" t="str">
        <f>VLOOKUP(A63,MEMORIA!$A:$N,3,FALSE)</f>
        <v>SINAPI</v>
      </c>
      <c r="D63" s="24" t="str">
        <f>VLOOKUP(A63,MEMORIA!$A:$N,4,FALSE)</f>
        <v>PINTURA COM TINTA ALQUÍDICA DE ACABAMENTO (ESMALTE SINTÉTICO ACETINADO) APLICADA A ROLO OU PINCEL SOBRE SUPERFÍCIES METÁLICAS (EXCETO PERFIL) EXECUTADO EM OBRA (02 DEMÃOS). AF_01/2020</v>
      </c>
      <c r="E63" s="23" t="str">
        <f>VLOOKUP(A63,MEMORIA!$A:$N,5,FALSE)</f>
        <v>M2</v>
      </c>
      <c r="F63" s="5">
        <f>VLOOKUP(A63,MEMORIA!$A:$N,14,FALSE)</f>
        <v>3.36</v>
      </c>
      <c r="G63" s="5">
        <f>VLOOKUP(A63,ORCAMENTO!$A:$I,7,FALSE)</f>
        <v>50.339999999999996</v>
      </c>
      <c r="H63" s="5">
        <f>VLOOKUP(A63,ORCAMENTO!$A:$I,8,FALSE)</f>
        <v>61.58</v>
      </c>
      <c r="I63" s="5">
        <f>ROUND(F63*H63,2)</f>
        <v>206.91</v>
      </c>
      <c r="J63" s="5">
        <f>ROUND(K63*$H63,2)</f>
        <v>206.91</v>
      </c>
      <c r="K63" s="5">
        <f t="shared" si="16"/>
        <v>3.36</v>
      </c>
      <c r="L63" s="25">
        <f t="shared" si="0"/>
        <v>1</v>
      </c>
      <c r="M63" s="5">
        <f>ROUND(N63*$H63,2)</f>
        <v>0</v>
      </c>
      <c r="N63" s="5">
        <v>0</v>
      </c>
      <c r="O63" s="25">
        <f t="shared" si="1"/>
        <v>0</v>
      </c>
      <c r="P63" s="5">
        <f>ROUND(Q63*$H63,2)</f>
        <v>0</v>
      </c>
      <c r="Q63" s="5">
        <v>0</v>
      </c>
      <c r="R63" s="25">
        <f t="shared" si="2"/>
        <v>0</v>
      </c>
      <c r="S63" s="5">
        <f>ROUND(T63*$H63,2)</f>
        <v>0</v>
      </c>
      <c r="T63" s="5">
        <v>0</v>
      </c>
      <c r="U63" s="25">
        <f t="shared" si="3"/>
        <v>0</v>
      </c>
      <c r="V63" s="5">
        <f>ROUND(W63*$H63,2)</f>
        <v>0</v>
      </c>
      <c r="W63" s="5">
        <v>0</v>
      </c>
      <c r="X63" s="25">
        <f t="shared" si="4"/>
        <v>0</v>
      </c>
      <c r="Y63" s="5">
        <f t="shared" si="5"/>
        <v>206.91</v>
      </c>
      <c r="Z63" s="25">
        <f t="shared" si="6"/>
        <v>1</v>
      </c>
      <c r="AA63" s="25">
        <f t="shared" si="7"/>
        <v>1.2836529510893484E-4</v>
      </c>
    </row>
    <row r="64" spans="1:27" x14ac:dyDescent="0.3">
      <c r="A64" s="15" t="s">
        <v>33</v>
      </c>
      <c r="B64" s="48" t="str">
        <f>VLOOKUP(A64,MEMORIA!$A:$N,2,FALSE)</f>
        <v>CERCAMENTO</v>
      </c>
      <c r="C64" s="49"/>
      <c r="D64" s="49"/>
      <c r="E64" s="49"/>
      <c r="F64" s="49"/>
      <c r="G64" s="49"/>
      <c r="H64" s="50"/>
      <c r="I64" s="16">
        <f>SUM(I$65:I$65)</f>
        <v>5908.53</v>
      </c>
      <c r="J64" s="16">
        <f>SUM(J$65:J$65)</f>
        <v>5908.53</v>
      </c>
      <c r="K64" s="16"/>
      <c r="L64" s="17">
        <f t="shared" si="0"/>
        <v>1</v>
      </c>
      <c r="M64" s="16">
        <f>SUM(M$65:M$65)</f>
        <v>0</v>
      </c>
      <c r="N64" s="16"/>
      <c r="O64" s="17">
        <f t="shared" si="1"/>
        <v>0</v>
      </c>
      <c r="P64" s="16">
        <f>SUM(P$65:P$65)</f>
        <v>0</v>
      </c>
      <c r="Q64" s="16"/>
      <c r="R64" s="17">
        <f t="shared" si="2"/>
        <v>0</v>
      </c>
      <c r="S64" s="16">
        <f>SUM(S$65:S$65)</f>
        <v>0</v>
      </c>
      <c r="T64" s="16"/>
      <c r="U64" s="17">
        <f t="shared" si="3"/>
        <v>0</v>
      </c>
      <c r="V64" s="16">
        <f>SUM(V$65:V$65)</f>
        <v>0</v>
      </c>
      <c r="W64" s="16"/>
      <c r="X64" s="17">
        <f t="shared" si="4"/>
        <v>0</v>
      </c>
      <c r="Y64" s="16">
        <f t="shared" si="5"/>
        <v>5908.53</v>
      </c>
      <c r="Z64" s="17">
        <f t="shared" si="6"/>
        <v>1</v>
      </c>
      <c r="AA64" s="17">
        <f t="shared" si="7"/>
        <v>3.6656043550818943E-3</v>
      </c>
    </row>
    <row r="65" spans="1:27" ht="100.8" x14ac:dyDescent="0.3">
      <c r="A65" s="23" t="s">
        <v>217</v>
      </c>
      <c r="B65" s="23">
        <f>VLOOKUP(A65,MEMORIA!$A:$N,2,FALSE)</f>
        <v>101197</v>
      </c>
      <c r="C65" s="23" t="str">
        <f>VLOOKUP(A65,MEMORIA!$A:$N,3,FALSE)</f>
        <v>SINAPI</v>
      </c>
      <c r="D65" s="24" t="str">
        <f>VLOOKUP(A65,MEMORIA!$A:$N,4,FALSE)</f>
        <v>CERCA COM MOURÕES DE CONCRETO, SEÇÃO "T" PONTA INCLINADA, 10X10 CM, ESPAÇAMENTO DE 2,5 M, CRAVADOS 0,5 M, COM 11 FIOS DE ARAME FARPADO Nº 14 - FORNECIMENTO E INSTALAÇÃO. AF_05/2020</v>
      </c>
      <c r="E65" s="23" t="str">
        <f>VLOOKUP(A65,MEMORIA!$A:$N,5,FALSE)</f>
        <v>M</v>
      </c>
      <c r="F65" s="5">
        <f>VLOOKUP(A65,MEMORIA!$A:$N,14,FALSE)</f>
        <v>37</v>
      </c>
      <c r="G65" s="5">
        <f>VLOOKUP(A65,ORCAMENTO!$A:$I,7,FALSE)</f>
        <v>130.54</v>
      </c>
      <c r="H65" s="5">
        <f>VLOOKUP(A65,ORCAMENTO!$A:$I,8,FALSE)</f>
        <v>159.69</v>
      </c>
      <c r="I65" s="5">
        <f>ROUND(F65*H65,2)</f>
        <v>5908.53</v>
      </c>
      <c r="J65" s="5">
        <f>ROUND(K65*$H65,2)</f>
        <v>5908.53</v>
      </c>
      <c r="K65" s="5">
        <f t="shared" si="16"/>
        <v>37</v>
      </c>
      <c r="L65" s="25">
        <f t="shared" si="0"/>
        <v>1</v>
      </c>
      <c r="M65" s="5">
        <f>ROUND(N65*$H65,2)</f>
        <v>0</v>
      </c>
      <c r="N65" s="5">
        <v>0</v>
      </c>
      <c r="O65" s="25">
        <f t="shared" si="1"/>
        <v>0</v>
      </c>
      <c r="P65" s="5">
        <f>ROUND(Q65*$H65,2)</f>
        <v>0</v>
      </c>
      <c r="Q65" s="5">
        <v>0</v>
      </c>
      <c r="R65" s="25">
        <f t="shared" si="2"/>
        <v>0</v>
      </c>
      <c r="S65" s="5">
        <f>ROUND(T65*$H65,2)</f>
        <v>0</v>
      </c>
      <c r="T65" s="5">
        <v>0</v>
      </c>
      <c r="U65" s="25">
        <f t="shared" si="3"/>
        <v>0</v>
      </c>
      <c r="V65" s="5">
        <f>ROUND(W65*$H65,2)</f>
        <v>0</v>
      </c>
      <c r="W65" s="5">
        <v>0</v>
      </c>
      <c r="X65" s="25">
        <f t="shared" si="4"/>
        <v>0</v>
      </c>
      <c r="Y65" s="5">
        <f t="shared" si="5"/>
        <v>5908.53</v>
      </c>
      <c r="Z65" s="25">
        <f t="shared" si="6"/>
        <v>1</v>
      </c>
      <c r="AA65" s="25">
        <f t="shared" si="7"/>
        <v>3.6656043550818943E-3</v>
      </c>
    </row>
    <row r="66" spans="1:27" x14ac:dyDescent="0.3">
      <c r="A66" s="12" t="s">
        <v>34</v>
      </c>
      <c r="B66" s="51" t="str">
        <f>VLOOKUP(A66,MEMORIA!$A:$N,2,FALSE)</f>
        <v>INSTALAÇÕES ELÉTRICAS</v>
      </c>
      <c r="C66" s="52"/>
      <c r="D66" s="52"/>
      <c r="E66" s="52"/>
      <c r="F66" s="52"/>
      <c r="G66" s="52"/>
      <c r="H66" s="53"/>
      <c r="I66" s="13">
        <f>SUM(I$67:I$68)</f>
        <v>18545.48</v>
      </c>
      <c r="J66" s="13">
        <f>SUM(J$67:J$68)</f>
        <v>18545.48</v>
      </c>
      <c r="K66" s="13"/>
      <c r="L66" s="14">
        <f t="shared" si="0"/>
        <v>1</v>
      </c>
      <c r="M66" s="13">
        <f>SUM(M$67:M$68)</f>
        <v>0</v>
      </c>
      <c r="N66" s="13"/>
      <c r="O66" s="14">
        <f t="shared" si="1"/>
        <v>0</v>
      </c>
      <c r="P66" s="13">
        <f>SUM(P$67:P$68)</f>
        <v>0</v>
      </c>
      <c r="Q66" s="13"/>
      <c r="R66" s="14">
        <f t="shared" si="2"/>
        <v>0</v>
      </c>
      <c r="S66" s="13">
        <f>SUM(S$67:S$68)</f>
        <v>0</v>
      </c>
      <c r="T66" s="13"/>
      <c r="U66" s="14">
        <f t="shared" si="3"/>
        <v>0</v>
      </c>
      <c r="V66" s="13">
        <f>SUM(V$67:V$68)</f>
        <v>0</v>
      </c>
      <c r="W66" s="13"/>
      <c r="X66" s="14">
        <f t="shared" si="4"/>
        <v>0</v>
      </c>
      <c r="Y66" s="13">
        <f t="shared" si="5"/>
        <v>18545.48</v>
      </c>
      <c r="Z66" s="14">
        <f t="shared" si="6"/>
        <v>1</v>
      </c>
      <c r="AA66" s="14">
        <f t="shared" si="7"/>
        <v>1.1505466208191236E-2</v>
      </c>
    </row>
    <row r="67" spans="1:27" ht="100.8" x14ac:dyDescent="0.3">
      <c r="A67" s="23" t="s">
        <v>218</v>
      </c>
      <c r="B67" s="23" t="str">
        <f>VLOOKUP(A67,MEMORIA!$A:$N,2,FALSE)</f>
        <v>COMP223</v>
      </c>
      <c r="C67" s="23" t="str">
        <f>VLOOKUP(A67,MEMORIA!$A:$N,3,FALSE)</f>
        <v>PRÓPRIA</v>
      </c>
      <c r="D67" s="24" t="str">
        <f>VLOOKUP(A67,MEMORIA!$A:$N,4,FALSE)</f>
        <v>FORNECIMENTO E INSTALAÇÃO DE KIT DE BOMBEAMENTO SOLAR P/ POÇO COM PROFUNDIDADE DE 100 A 120 M, INCLUSO BOMBA 3CV, INVERSOR, PAINÉIS, QUADRO DE COMANDO, DISJUNTORES, CABOS E CONEXÕES E ESTRUTURA TIPO SOLO</v>
      </c>
      <c r="E67" s="23" t="str">
        <f>VLOOKUP(A67,MEMORIA!$A:$N,5,FALSE)</f>
        <v>UND</v>
      </c>
      <c r="F67" s="5">
        <f>VLOOKUP(A67,MEMORIA!$A:$N,14,FALSE)</f>
        <v>1</v>
      </c>
      <c r="G67" s="5">
        <f>VLOOKUP(A67,ORCAMENTO!$A:$I,7,FALSE)</f>
        <v>12042.74</v>
      </c>
      <c r="H67" s="5">
        <f>VLOOKUP(A67,ORCAMENTO!$A:$I,8,FALSE)</f>
        <v>14731.88</v>
      </c>
      <c r="I67" s="5">
        <f>ROUND(F67*H67,2)</f>
        <v>14731.88</v>
      </c>
      <c r="J67" s="5">
        <f>ROUND(K67*$H67,2)</f>
        <v>14731.88</v>
      </c>
      <c r="K67" s="5">
        <f t="shared" si="16"/>
        <v>1</v>
      </c>
      <c r="L67" s="25">
        <f t="shared" si="0"/>
        <v>1</v>
      </c>
      <c r="M67" s="5">
        <f>ROUND(N67*$H67,2)</f>
        <v>0</v>
      </c>
      <c r="N67" s="5">
        <v>0</v>
      </c>
      <c r="O67" s="25">
        <f t="shared" si="1"/>
        <v>0</v>
      </c>
      <c r="P67" s="5">
        <f>ROUND(Q67*$H67,2)</f>
        <v>0</v>
      </c>
      <c r="Q67" s="5">
        <v>0</v>
      </c>
      <c r="R67" s="25">
        <f t="shared" si="2"/>
        <v>0</v>
      </c>
      <c r="S67" s="5">
        <f>ROUND(T67*$H67,2)</f>
        <v>0</v>
      </c>
      <c r="T67" s="5">
        <v>0</v>
      </c>
      <c r="U67" s="25">
        <f t="shared" si="3"/>
        <v>0</v>
      </c>
      <c r="V67" s="5">
        <f>ROUND(W67*$H67,2)</f>
        <v>0</v>
      </c>
      <c r="W67" s="5">
        <v>0</v>
      </c>
      <c r="X67" s="25">
        <f t="shared" si="4"/>
        <v>0</v>
      </c>
      <c r="Y67" s="5">
        <f t="shared" si="5"/>
        <v>14731.88</v>
      </c>
      <c r="Z67" s="25">
        <f t="shared" si="6"/>
        <v>1</v>
      </c>
      <c r="AA67" s="25">
        <f t="shared" si="7"/>
        <v>9.1395395278595273E-3</v>
      </c>
    </row>
    <row r="68" spans="1:27" ht="28.8" x14ac:dyDescent="0.3">
      <c r="A68" s="23" t="s">
        <v>219</v>
      </c>
      <c r="B68" s="23" t="str">
        <f>VLOOKUP(A68,MEMORIA!$A:$N,2,FALSE)</f>
        <v>COMPOS24</v>
      </c>
      <c r="C68" s="23" t="str">
        <f>VLOOKUP(A68,MEMORIA!$A:$N,3,FALSE)</f>
        <v>PRÓPRIA</v>
      </c>
      <c r="D68" s="24" t="str">
        <f>VLOOKUP(A68,MEMORIA!$A:$N,4,FALSE)</f>
        <v>FORNECIMENTO E INSTALAÇÃO DE CABO CHATO SUBMERSO DE 3 X 6 MM²</v>
      </c>
      <c r="E68" s="23" t="str">
        <f>VLOOKUP(A68,MEMORIA!$A:$N,5,FALSE)</f>
        <v>M</v>
      </c>
      <c r="F68" s="5">
        <f>VLOOKUP(A68,MEMORIA!$A:$N,14,FALSE)</f>
        <v>120</v>
      </c>
      <c r="G68" s="5">
        <f>VLOOKUP(A68,ORCAMENTO!$A:$I,7,FALSE)</f>
        <v>25.98</v>
      </c>
      <c r="H68" s="5">
        <f>VLOOKUP(A68,ORCAMENTO!$A:$I,8,FALSE)</f>
        <v>31.78</v>
      </c>
      <c r="I68" s="5">
        <f>ROUND(F68*H68,2)</f>
        <v>3813.6</v>
      </c>
      <c r="J68" s="5">
        <f>ROUND(K68*$H68,2)</f>
        <v>3813.6</v>
      </c>
      <c r="K68" s="5">
        <f t="shared" si="16"/>
        <v>120</v>
      </c>
      <c r="L68" s="25">
        <f t="shared" si="0"/>
        <v>1</v>
      </c>
      <c r="M68" s="5">
        <f>ROUND(N68*$H68,2)</f>
        <v>0</v>
      </c>
      <c r="N68" s="5">
        <v>0</v>
      </c>
      <c r="O68" s="25">
        <f t="shared" si="1"/>
        <v>0</v>
      </c>
      <c r="P68" s="5">
        <f>ROUND(Q68*$H68,2)</f>
        <v>0</v>
      </c>
      <c r="Q68" s="5">
        <v>0</v>
      </c>
      <c r="R68" s="25">
        <f t="shared" si="2"/>
        <v>0</v>
      </c>
      <c r="S68" s="5">
        <f>ROUND(T68*$H68,2)</f>
        <v>0</v>
      </c>
      <c r="T68" s="5">
        <v>0</v>
      </c>
      <c r="U68" s="25">
        <f t="shared" si="3"/>
        <v>0</v>
      </c>
      <c r="V68" s="5">
        <f>ROUND(W68*$H68,2)</f>
        <v>0</v>
      </c>
      <c r="W68" s="5">
        <v>0</v>
      </c>
      <c r="X68" s="25">
        <f t="shared" si="4"/>
        <v>0</v>
      </c>
      <c r="Y68" s="5">
        <f t="shared" si="5"/>
        <v>3813.6</v>
      </c>
      <c r="Z68" s="25">
        <f t="shared" si="6"/>
        <v>1</v>
      </c>
      <c r="AA68" s="25">
        <f t="shared" si="7"/>
        <v>2.3659266803317089E-3</v>
      </c>
    </row>
    <row r="69" spans="1:27" x14ac:dyDescent="0.3">
      <c r="A69" s="12" t="s">
        <v>35</v>
      </c>
      <c r="B69" s="51" t="str">
        <f>VLOOKUP(A69,MEMORIA!$A:$N,2,FALSE)</f>
        <v>ADUÇÃO</v>
      </c>
      <c r="C69" s="52"/>
      <c r="D69" s="52"/>
      <c r="E69" s="52"/>
      <c r="F69" s="52"/>
      <c r="G69" s="52"/>
      <c r="H69" s="53"/>
      <c r="I69" s="13">
        <f>SUM(I$70,I$73,I$75,)</f>
        <v>1455.29</v>
      </c>
      <c r="J69" s="13">
        <f>SUM(J$70,J$73,J$75,)</f>
        <v>1455.29</v>
      </c>
      <c r="K69" s="13"/>
      <c r="L69" s="14">
        <f t="shared" si="0"/>
        <v>1</v>
      </c>
      <c r="M69" s="13">
        <f>SUM(M$70,M$73,M$75,)</f>
        <v>0</v>
      </c>
      <c r="N69" s="13"/>
      <c r="O69" s="14">
        <f t="shared" si="1"/>
        <v>0</v>
      </c>
      <c r="P69" s="13">
        <f>SUM(P$70,P$73,P$75,)</f>
        <v>0</v>
      </c>
      <c r="Q69" s="13"/>
      <c r="R69" s="14">
        <f t="shared" si="2"/>
        <v>0</v>
      </c>
      <c r="S69" s="13">
        <f>SUM(S$70,S$73,S$75,)</f>
        <v>0</v>
      </c>
      <c r="T69" s="13"/>
      <c r="U69" s="14">
        <f t="shared" si="3"/>
        <v>0</v>
      </c>
      <c r="V69" s="13">
        <f>SUM(V$70,V$73,V$75,)</f>
        <v>0</v>
      </c>
      <c r="W69" s="13"/>
      <c r="X69" s="14">
        <f t="shared" si="4"/>
        <v>0</v>
      </c>
      <c r="Y69" s="13">
        <f t="shared" si="5"/>
        <v>1455.29</v>
      </c>
      <c r="Z69" s="14">
        <f t="shared" si="6"/>
        <v>1</v>
      </c>
      <c r="AA69" s="14">
        <f t="shared" si="7"/>
        <v>9.028501779473286E-4</v>
      </c>
    </row>
    <row r="70" spans="1:27" x14ac:dyDescent="0.3">
      <c r="A70" s="15" t="s">
        <v>36</v>
      </c>
      <c r="B70" s="48" t="str">
        <f>VLOOKUP(A70,MEMORIA!$A:$N,2,FALSE)</f>
        <v>MOVIMENTO DE TERRA</v>
      </c>
      <c r="C70" s="49"/>
      <c r="D70" s="49"/>
      <c r="E70" s="49"/>
      <c r="F70" s="49"/>
      <c r="G70" s="49"/>
      <c r="H70" s="50"/>
      <c r="I70" s="16">
        <f>SUM(I$71:I$72)</f>
        <v>485.08</v>
      </c>
      <c r="J70" s="16">
        <f>SUM(J$71:J$72)</f>
        <v>485.08</v>
      </c>
      <c r="K70" s="16"/>
      <c r="L70" s="17">
        <f t="shared" si="0"/>
        <v>1</v>
      </c>
      <c r="M70" s="16">
        <f>SUM(M$71:M$72)</f>
        <v>0</v>
      </c>
      <c r="N70" s="16"/>
      <c r="O70" s="17">
        <f t="shared" si="1"/>
        <v>0</v>
      </c>
      <c r="P70" s="16">
        <f>SUM(P$71:P$72)</f>
        <v>0</v>
      </c>
      <c r="Q70" s="16"/>
      <c r="R70" s="17">
        <f t="shared" si="2"/>
        <v>0</v>
      </c>
      <c r="S70" s="16">
        <f>SUM(S$71:S$72)</f>
        <v>0</v>
      </c>
      <c r="T70" s="16"/>
      <c r="U70" s="17">
        <f t="shared" si="3"/>
        <v>0</v>
      </c>
      <c r="V70" s="16">
        <f>SUM(V$71:V$72)</f>
        <v>0</v>
      </c>
      <c r="W70" s="16"/>
      <c r="X70" s="17">
        <f t="shared" si="4"/>
        <v>0</v>
      </c>
      <c r="Y70" s="16">
        <f t="shared" si="5"/>
        <v>485.08</v>
      </c>
      <c r="Z70" s="17">
        <f t="shared" si="6"/>
        <v>1</v>
      </c>
      <c r="AA70" s="17">
        <f t="shared" si="7"/>
        <v>3.0093971945020591E-4</v>
      </c>
    </row>
    <row r="71" spans="1:27" ht="28.8" x14ac:dyDescent="0.3">
      <c r="A71" s="23" t="s">
        <v>220</v>
      </c>
      <c r="B71" s="23">
        <f>VLOOKUP(A71,MEMORIA!$A:$N,2,FALSE)</f>
        <v>93358</v>
      </c>
      <c r="C71" s="23" t="str">
        <f>VLOOKUP(A71,MEMORIA!$A:$N,3,FALSE)</f>
        <v>SINAPI</v>
      </c>
      <c r="D71" s="24" t="str">
        <f>VLOOKUP(A71,MEMORIA!$A:$N,4,FALSE)</f>
        <v>ESCAVAÇÃO MANUAL DE VALA. AF_09/2024</v>
      </c>
      <c r="E71" s="23" t="str">
        <f>VLOOKUP(A71,MEMORIA!$A:$N,5,FALSE)</f>
        <v>M3</v>
      </c>
      <c r="F71" s="5">
        <f>VLOOKUP(A71,MEMORIA!$A:$N,14,FALSE)</f>
        <v>3.23</v>
      </c>
      <c r="G71" s="5">
        <f>VLOOKUP(A71,ORCAMENTO!$A:$I,7,FALSE)</f>
        <v>85.87</v>
      </c>
      <c r="H71" s="5">
        <f>VLOOKUP(A71,ORCAMENTO!$A:$I,8,FALSE)</f>
        <v>105.04</v>
      </c>
      <c r="I71" s="5">
        <f>ROUND(F71*H71,2)</f>
        <v>339.28</v>
      </c>
      <c r="J71" s="5">
        <f>ROUND(K71*$H71,2)</f>
        <v>339.28</v>
      </c>
      <c r="K71" s="5">
        <f t="shared" ref="K71:K81" si="17">F71</f>
        <v>3.23</v>
      </c>
      <c r="L71" s="25">
        <f t="shared" si="0"/>
        <v>1</v>
      </c>
      <c r="M71" s="5">
        <f>ROUND(N71*$H71,2)</f>
        <v>0</v>
      </c>
      <c r="N71" s="5">
        <v>0</v>
      </c>
      <c r="O71" s="25">
        <f t="shared" si="1"/>
        <v>0</v>
      </c>
      <c r="P71" s="5">
        <f>ROUND(Q71*$H71,2)</f>
        <v>0</v>
      </c>
      <c r="Q71" s="5">
        <v>0</v>
      </c>
      <c r="R71" s="25">
        <f t="shared" si="2"/>
        <v>0</v>
      </c>
      <c r="S71" s="5">
        <f>ROUND(T71*$H71,2)</f>
        <v>0</v>
      </c>
      <c r="T71" s="5">
        <v>0</v>
      </c>
      <c r="U71" s="25">
        <f t="shared" si="3"/>
        <v>0</v>
      </c>
      <c r="V71" s="5">
        <f>ROUND(W71*$H71,2)</f>
        <v>0</v>
      </c>
      <c r="W71" s="5">
        <v>0</v>
      </c>
      <c r="X71" s="25">
        <f t="shared" si="4"/>
        <v>0</v>
      </c>
      <c r="Y71" s="5">
        <f t="shared" si="5"/>
        <v>339.28</v>
      </c>
      <c r="Z71" s="25">
        <f t="shared" si="6"/>
        <v>1</v>
      </c>
      <c r="AA71" s="25">
        <f t="shared" si="7"/>
        <v>2.1048657544130012E-4</v>
      </c>
    </row>
    <row r="72" spans="1:27" ht="28.8" x14ac:dyDescent="0.3">
      <c r="A72" s="23" t="s">
        <v>221</v>
      </c>
      <c r="B72" s="23" t="str">
        <f>VLOOKUP(A72,MEMORIA!$A:$N,2,FALSE)</f>
        <v>COMPOS28</v>
      </c>
      <c r="C72" s="23" t="str">
        <f>VLOOKUP(A72,MEMORIA!$A:$N,3,FALSE)</f>
        <v>PRÓPRIA</v>
      </c>
      <c r="D72" s="24" t="str">
        <f>VLOOKUP(A72,MEMORIA!$A:$N,4,FALSE)</f>
        <v>REATERRO DE VALA COM COMPACTAÇÃO MANUAL</v>
      </c>
      <c r="E72" s="23" t="str">
        <f>VLOOKUP(A72,MEMORIA!$A:$N,5,FALSE)</f>
        <v>M³</v>
      </c>
      <c r="F72" s="5">
        <f>VLOOKUP(A72,MEMORIA!$A:$N,14,FALSE)</f>
        <v>3.23</v>
      </c>
      <c r="G72" s="5">
        <f>VLOOKUP(A72,ORCAMENTO!$A:$I,7,FALSE)</f>
        <v>36.9</v>
      </c>
      <c r="H72" s="5">
        <f>VLOOKUP(A72,ORCAMENTO!$A:$I,8,FALSE)</f>
        <v>45.14</v>
      </c>
      <c r="I72" s="5">
        <f>ROUND(F72*H72,2)</f>
        <v>145.80000000000001</v>
      </c>
      <c r="J72" s="5">
        <f>ROUND(K72*$H72,2)</f>
        <v>145.80000000000001</v>
      </c>
      <c r="K72" s="5">
        <f t="shared" si="17"/>
        <v>3.23</v>
      </c>
      <c r="L72" s="25">
        <f t="shared" ref="L72:L135" si="18">J72/$I72</f>
        <v>1</v>
      </c>
      <c r="M72" s="5">
        <f>ROUND(N72*$H72,2)</f>
        <v>0</v>
      </c>
      <c r="N72" s="5">
        <v>0</v>
      </c>
      <c r="O72" s="25">
        <f t="shared" ref="O72:O135" si="19">M72/$I72</f>
        <v>0</v>
      </c>
      <c r="P72" s="5">
        <f>ROUND(Q72*$H72,2)</f>
        <v>0</v>
      </c>
      <c r="Q72" s="5">
        <v>0</v>
      </c>
      <c r="R72" s="25">
        <f t="shared" ref="R72:R135" si="20">P72/$I72</f>
        <v>0</v>
      </c>
      <c r="S72" s="5">
        <f>ROUND(T72*$H72,2)</f>
        <v>0</v>
      </c>
      <c r="T72" s="5">
        <v>0</v>
      </c>
      <c r="U72" s="25">
        <f t="shared" ref="U72:U135" si="21">S72/$I72</f>
        <v>0</v>
      </c>
      <c r="V72" s="5">
        <f>ROUND(W72*$H72,2)</f>
        <v>0</v>
      </c>
      <c r="W72" s="5">
        <v>0</v>
      </c>
      <c r="X72" s="25">
        <f t="shared" ref="X72:X135" si="22">V72/$I72</f>
        <v>0</v>
      </c>
      <c r="Y72" s="5">
        <f t="shared" ref="Y72:Y135" si="23">SUM(J72,M72,P72,S72,V72,)</f>
        <v>145.80000000000001</v>
      </c>
      <c r="Z72" s="25">
        <f t="shared" ref="Z72:Z135" si="24">SUM(L72,O72,R72,U72,X72,)</f>
        <v>1</v>
      </c>
      <c r="AA72" s="25">
        <f t="shared" ref="AA72:AA135" si="25">Y72/$I$479</f>
        <v>9.0453144008905803E-5</v>
      </c>
    </row>
    <row r="73" spans="1:27" x14ac:dyDescent="0.3">
      <c r="A73" s="15" t="s">
        <v>37</v>
      </c>
      <c r="B73" s="48" t="str">
        <f>VLOOKUP(A73,MEMORIA!$A:$N,2,FALSE)</f>
        <v>INFRAESTRUTURA</v>
      </c>
      <c r="C73" s="49"/>
      <c r="D73" s="49"/>
      <c r="E73" s="49"/>
      <c r="F73" s="49"/>
      <c r="G73" s="49"/>
      <c r="H73" s="50"/>
      <c r="I73" s="16">
        <f>SUM(I$74:I$74)</f>
        <v>264.64</v>
      </c>
      <c r="J73" s="16">
        <f>SUM(J$74:J$74)</f>
        <v>264.64</v>
      </c>
      <c r="K73" s="16"/>
      <c r="L73" s="17">
        <f t="shared" si="18"/>
        <v>1</v>
      </c>
      <c r="M73" s="16">
        <f>SUM(M$74:M$74)</f>
        <v>0</v>
      </c>
      <c r="N73" s="16"/>
      <c r="O73" s="17">
        <f t="shared" si="19"/>
        <v>0</v>
      </c>
      <c r="P73" s="16">
        <f>SUM(P$74:P$74)</f>
        <v>0</v>
      </c>
      <c r="Q73" s="16"/>
      <c r="R73" s="17">
        <f t="shared" si="20"/>
        <v>0</v>
      </c>
      <c r="S73" s="16">
        <f>SUM(S$74:S$74)</f>
        <v>0</v>
      </c>
      <c r="T73" s="16"/>
      <c r="U73" s="17">
        <f t="shared" si="21"/>
        <v>0</v>
      </c>
      <c r="V73" s="16">
        <f>SUM(V$74:V$74)</f>
        <v>0</v>
      </c>
      <c r="W73" s="16"/>
      <c r="X73" s="17">
        <f t="shared" si="22"/>
        <v>0</v>
      </c>
      <c r="Y73" s="16">
        <f t="shared" si="23"/>
        <v>264.64</v>
      </c>
      <c r="Z73" s="17">
        <f t="shared" si="24"/>
        <v>1</v>
      </c>
      <c r="AA73" s="17">
        <f t="shared" si="25"/>
        <v>1.6418052147130883E-4</v>
      </c>
    </row>
    <row r="74" spans="1:27" x14ac:dyDescent="0.3">
      <c r="A74" s="23" t="s">
        <v>222</v>
      </c>
      <c r="B74" s="23" t="str">
        <f>VLOOKUP(A74,MEMORIA!$A:$N,2,FALSE)</f>
        <v>COMP216</v>
      </c>
      <c r="C74" s="23" t="str">
        <f>VLOOKUP(A74,MEMORIA!$A:$N,3,FALSE)</f>
        <v>PRÓPRIA</v>
      </c>
      <c r="D74" s="24" t="str">
        <f>VLOOKUP(A74,MEMORIA!$A:$N,4,FALSE)</f>
        <v>BLOCO DE ANCORAGEM EM CONCRETO SIMPLES FCK=10MPA (REF: C3403-SEINFRA 28)</v>
      </c>
      <c r="E74" s="23" t="str">
        <f>VLOOKUP(A74,MEMORIA!$A:$N,5,FALSE)</f>
        <v>M3</v>
      </c>
      <c r="F74" s="5">
        <f>VLOOKUP(A74,MEMORIA!$A:$N,14,FALSE)</f>
        <v>0.26</v>
      </c>
      <c r="G74" s="5">
        <f>VLOOKUP(A74,ORCAMENTO!$A:$I,7,FALSE)</f>
        <v>832.05</v>
      </c>
      <c r="H74" s="5">
        <f>VLOOKUP(A74,ORCAMENTO!$A:$I,8,FALSE)</f>
        <v>1017.8499999999999</v>
      </c>
      <c r="I74" s="5">
        <f>ROUND(F74*H74,2)</f>
        <v>264.64</v>
      </c>
      <c r="J74" s="5">
        <f>ROUND(K74*$H74,2)</f>
        <v>264.64</v>
      </c>
      <c r="K74" s="5">
        <f t="shared" si="17"/>
        <v>0.26</v>
      </c>
      <c r="L74" s="25">
        <f t="shared" si="18"/>
        <v>1</v>
      </c>
      <c r="M74" s="5">
        <f>ROUND(N74*$H74,2)</f>
        <v>0</v>
      </c>
      <c r="N74" s="5">
        <v>0</v>
      </c>
      <c r="O74" s="25">
        <f t="shared" si="19"/>
        <v>0</v>
      </c>
      <c r="P74" s="5">
        <f>ROUND(Q74*$H74,2)</f>
        <v>0</v>
      </c>
      <c r="Q74" s="5">
        <v>0</v>
      </c>
      <c r="R74" s="25">
        <f t="shared" si="20"/>
        <v>0</v>
      </c>
      <c r="S74" s="5">
        <f>ROUND(T74*$H74,2)</f>
        <v>0</v>
      </c>
      <c r="T74" s="5">
        <v>0</v>
      </c>
      <c r="U74" s="25">
        <f t="shared" si="21"/>
        <v>0</v>
      </c>
      <c r="V74" s="5">
        <f>ROUND(W74*$H74,2)</f>
        <v>0</v>
      </c>
      <c r="W74" s="5">
        <v>0</v>
      </c>
      <c r="X74" s="25">
        <f t="shared" si="22"/>
        <v>0</v>
      </c>
      <c r="Y74" s="5">
        <f t="shared" si="23"/>
        <v>264.64</v>
      </c>
      <c r="Z74" s="25">
        <f t="shared" si="24"/>
        <v>1</v>
      </c>
      <c r="AA74" s="25">
        <f t="shared" si="25"/>
        <v>1.6418052147130883E-4</v>
      </c>
    </row>
    <row r="75" spans="1:27" x14ac:dyDescent="0.3">
      <c r="A75" s="15" t="s">
        <v>38</v>
      </c>
      <c r="B75" s="48" t="str">
        <f>VLOOKUP(A75,MEMORIA!$A:$N,2,FALSE)</f>
        <v>INSTALAÇÕES HIDRÁULICAS</v>
      </c>
      <c r="C75" s="49"/>
      <c r="D75" s="49"/>
      <c r="E75" s="49"/>
      <c r="F75" s="49"/>
      <c r="G75" s="49"/>
      <c r="H75" s="50"/>
      <c r="I75" s="16">
        <f>SUM(I$76:I$77)</f>
        <v>705.57</v>
      </c>
      <c r="J75" s="16">
        <f>SUM(J$76:J$77)</f>
        <v>705.57</v>
      </c>
      <c r="K75" s="16"/>
      <c r="L75" s="17">
        <f t="shared" si="18"/>
        <v>1</v>
      </c>
      <c r="M75" s="16">
        <f>SUM(M$76:M$77)</f>
        <v>0</v>
      </c>
      <c r="N75" s="16"/>
      <c r="O75" s="17">
        <f t="shared" si="19"/>
        <v>0</v>
      </c>
      <c r="P75" s="16">
        <f>SUM(P$76:P$77)</f>
        <v>0</v>
      </c>
      <c r="Q75" s="16"/>
      <c r="R75" s="17">
        <f t="shared" si="20"/>
        <v>0</v>
      </c>
      <c r="S75" s="16">
        <f>SUM(S$76:S$77)</f>
        <v>0</v>
      </c>
      <c r="T75" s="16"/>
      <c r="U75" s="17">
        <f t="shared" si="21"/>
        <v>0</v>
      </c>
      <c r="V75" s="16">
        <f>SUM(V$76:V$77)</f>
        <v>0</v>
      </c>
      <c r="W75" s="16"/>
      <c r="X75" s="17">
        <f t="shared" si="22"/>
        <v>0</v>
      </c>
      <c r="Y75" s="16">
        <f t="shared" si="23"/>
        <v>705.57</v>
      </c>
      <c r="Z75" s="17">
        <f t="shared" si="24"/>
        <v>1</v>
      </c>
      <c r="AA75" s="17">
        <f t="shared" si="25"/>
        <v>4.3772993702581391E-4</v>
      </c>
    </row>
    <row r="76" spans="1:27" ht="43.2" x14ac:dyDescent="0.3">
      <c r="A76" s="23" t="s">
        <v>223</v>
      </c>
      <c r="B76" s="23">
        <f>VLOOKUP(A76,MEMORIA!$A:$N,2,FALSE)</f>
        <v>94498</v>
      </c>
      <c r="C76" s="23" t="str">
        <f>VLOOKUP(A76,MEMORIA!$A:$N,3,FALSE)</f>
        <v>SINAPI</v>
      </c>
      <c r="D76" s="24" t="str">
        <f>VLOOKUP(A76,MEMORIA!$A:$N,4,FALSE)</f>
        <v>REGISTRO DE GAVETA BRUTO, LATÃO, ROSCÁVEL, 2" - FORNECIMENTO E INSTALAÇÃO. AF_08/2021</v>
      </c>
      <c r="E76" s="23" t="str">
        <f>VLOOKUP(A76,MEMORIA!$A:$N,5,FALSE)</f>
        <v>UN</v>
      </c>
      <c r="F76" s="5">
        <f>VLOOKUP(A76,MEMORIA!$A:$N,14,FALSE)</f>
        <v>1</v>
      </c>
      <c r="G76" s="5">
        <f>VLOOKUP(A76,ORCAMENTO!$A:$I,7,FALSE)</f>
        <v>164.12</v>
      </c>
      <c r="H76" s="5">
        <f>VLOOKUP(A76,ORCAMENTO!$A:$I,8,FALSE)</f>
        <v>200.77</v>
      </c>
      <c r="I76" s="5">
        <f>ROUND(F76*H76,2)</f>
        <v>200.77</v>
      </c>
      <c r="J76" s="5">
        <f>ROUND(K76*$H76,2)</f>
        <v>200.77</v>
      </c>
      <c r="K76" s="5">
        <f t="shared" si="17"/>
        <v>1</v>
      </c>
      <c r="L76" s="25">
        <f t="shared" si="18"/>
        <v>1</v>
      </c>
      <c r="M76" s="5">
        <f>ROUND(N76*$H76,2)</f>
        <v>0</v>
      </c>
      <c r="N76" s="5">
        <v>0</v>
      </c>
      <c r="O76" s="25">
        <f t="shared" si="19"/>
        <v>0</v>
      </c>
      <c r="P76" s="5">
        <f>ROUND(Q76*$H76,2)</f>
        <v>0</v>
      </c>
      <c r="Q76" s="5">
        <v>0</v>
      </c>
      <c r="R76" s="25">
        <f t="shared" si="20"/>
        <v>0</v>
      </c>
      <c r="S76" s="5">
        <f>ROUND(T76*$H76,2)</f>
        <v>0</v>
      </c>
      <c r="T76" s="5">
        <v>0</v>
      </c>
      <c r="U76" s="25">
        <f t="shared" si="21"/>
        <v>0</v>
      </c>
      <c r="V76" s="5">
        <f>ROUND(W76*$H76,2)</f>
        <v>0</v>
      </c>
      <c r="W76" s="5">
        <v>0</v>
      </c>
      <c r="X76" s="25">
        <f t="shared" si="22"/>
        <v>0</v>
      </c>
      <c r="Y76" s="5">
        <f t="shared" si="23"/>
        <v>200.77</v>
      </c>
      <c r="Z76" s="25">
        <f t="shared" si="24"/>
        <v>1</v>
      </c>
      <c r="AA76" s="25">
        <f t="shared" si="25"/>
        <v>1.2455608863283963E-4</v>
      </c>
    </row>
    <row r="77" spans="1:27" ht="43.2" x14ac:dyDescent="0.3">
      <c r="A77" s="23" t="s">
        <v>224</v>
      </c>
      <c r="B77" s="23" t="str">
        <f>VLOOKUP(A77,MEMORIA!$A:$N,2,FALSE)</f>
        <v>COMPOS27</v>
      </c>
      <c r="C77" s="23" t="str">
        <f>VLOOKUP(A77,MEMORIA!$A:$N,3,FALSE)</f>
        <v>PRÓPRIA</v>
      </c>
      <c r="D77" s="24" t="str">
        <f>VLOOKUP(A77,MEMORIA!$A:$N,4,FALSE)</f>
        <v>AQUISIÇÃO E ASSENTAMENTO DE TUBO RÍGIDO PVC, CLASSE 12, DN 50 MM, INCLUSO CONEXÕES</v>
      </c>
      <c r="E77" s="23" t="str">
        <f>VLOOKUP(A77,MEMORIA!$A:$N,5,FALSE)</f>
        <v>M</v>
      </c>
      <c r="F77" s="5">
        <f>VLOOKUP(A77,MEMORIA!$A:$N,14,FALSE)</f>
        <v>16</v>
      </c>
      <c r="G77" s="5">
        <f>VLOOKUP(A77,ORCAMENTO!$A:$I,7,FALSE)</f>
        <v>25.79</v>
      </c>
      <c r="H77" s="5">
        <f>VLOOKUP(A77,ORCAMENTO!$A:$I,8,FALSE)</f>
        <v>31.549999999999997</v>
      </c>
      <c r="I77" s="5">
        <f>ROUND(F77*H77,2)</f>
        <v>504.8</v>
      </c>
      <c r="J77" s="5">
        <f>ROUND(K77*$H77,2)</f>
        <v>504.8</v>
      </c>
      <c r="K77" s="5">
        <f t="shared" si="17"/>
        <v>16</v>
      </c>
      <c r="L77" s="25">
        <f t="shared" si="18"/>
        <v>1</v>
      </c>
      <c r="M77" s="5">
        <f>ROUND(N77*$H77,2)</f>
        <v>0</v>
      </c>
      <c r="N77" s="5">
        <v>0</v>
      </c>
      <c r="O77" s="25">
        <f t="shared" si="19"/>
        <v>0</v>
      </c>
      <c r="P77" s="5">
        <f>ROUND(Q77*$H77,2)</f>
        <v>0</v>
      </c>
      <c r="Q77" s="5">
        <v>0</v>
      </c>
      <c r="R77" s="25">
        <f t="shared" si="20"/>
        <v>0</v>
      </c>
      <c r="S77" s="5">
        <f>ROUND(T77*$H77,2)</f>
        <v>0</v>
      </c>
      <c r="T77" s="5">
        <v>0</v>
      </c>
      <c r="U77" s="25">
        <f t="shared" si="21"/>
        <v>0</v>
      </c>
      <c r="V77" s="5">
        <f>ROUND(W77*$H77,2)</f>
        <v>0</v>
      </c>
      <c r="W77" s="5">
        <v>0</v>
      </c>
      <c r="X77" s="25">
        <f t="shared" si="22"/>
        <v>0</v>
      </c>
      <c r="Y77" s="5">
        <f t="shared" si="23"/>
        <v>504.8</v>
      </c>
      <c r="Z77" s="25">
        <f t="shared" si="24"/>
        <v>1</v>
      </c>
      <c r="AA77" s="25">
        <f t="shared" si="25"/>
        <v>3.1317384839297429E-4</v>
      </c>
    </row>
    <row r="78" spans="1:27" x14ac:dyDescent="0.3">
      <c r="A78" s="12" t="s">
        <v>39</v>
      </c>
      <c r="B78" s="51" t="str">
        <f>VLOOKUP(A78,MEMORIA!$A:$N,2,FALSE)</f>
        <v>RESERVAÇÃO</v>
      </c>
      <c r="C78" s="52"/>
      <c r="D78" s="52"/>
      <c r="E78" s="52"/>
      <c r="F78" s="52"/>
      <c r="G78" s="52"/>
      <c r="H78" s="53"/>
      <c r="I78" s="13">
        <f>SUM(I$79:I$81)</f>
        <v>62127.229999999996</v>
      </c>
      <c r="J78" s="13">
        <f>SUM(J$79:J$81)</f>
        <v>62127.229999999996</v>
      </c>
      <c r="K78" s="13"/>
      <c r="L78" s="14">
        <f t="shared" si="18"/>
        <v>1</v>
      </c>
      <c r="M78" s="13">
        <f>SUM(M$79:M$81)</f>
        <v>0</v>
      </c>
      <c r="N78" s="13"/>
      <c r="O78" s="14">
        <f t="shared" si="19"/>
        <v>0</v>
      </c>
      <c r="P78" s="13">
        <f>SUM(P$79:P$81)</f>
        <v>0</v>
      </c>
      <c r="Q78" s="13"/>
      <c r="R78" s="14">
        <f t="shared" si="20"/>
        <v>0</v>
      </c>
      <c r="S78" s="13">
        <f>SUM(S$79:S$81)</f>
        <v>0</v>
      </c>
      <c r="T78" s="13"/>
      <c r="U78" s="14">
        <f t="shared" si="21"/>
        <v>0</v>
      </c>
      <c r="V78" s="13">
        <f>SUM(V$79:V$81)</f>
        <v>0</v>
      </c>
      <c r="W78" s="13"/>
      <c r="X78" s="14">
        <f t="shared" si="22"/>
        <v>0</v>
      </c>
      <c r="Y78" s="13">
        <f t="shared" si="23"/>
        <v>62127.229999999996</v>
      </c>
      <c r="Z78" s="14">
        <f t="shared" si="24"/>
        <v>1</v>
      </c>
      <c r="AA78" s="14">
        <f t="shared" si="25"/>
        <v>3.8543232387273058E-2</v>
      </c>
    </row>
    <row r="79" spans="1:27" ht="158.4" x14ac:dyDescent="0.3">
      <c r="A79" s="23" t="s">
        <v>225</v>
      </c>
      <c r="B79" s="23" t="str">
        <f>VLOOKUP(A79,MEMORIA!$A:$N,2,FALSE)</f>
        <v>COMPOS34</v>
      </c>
      <c r="C79" s="23" t="str">
        <f>VLOOKUP(A79,MEMORIA!$A:$N,3,FALSE)</f>
        <v>PRÓPRIA</v>
      </c>
      <c r="D79" s="24" t="str">
        <f>VLOOKUP(A79,MEMORIA!$A:$N,4,FALSE)</f>
        <v>FORNECIMENTO E INSTALAÇÃO DE RESERVATÓRIO ELEVADO C/ CAIXA D'AGUA EM POLIESTER REFORCADO COM FIBRA DE VIDRO DE 10.000 LITROS, APOIADO EM ESTRUTURA PRÉ-MOLDADA EM CONCRETO, COMPOSTA DE CAPITEL P/APOIO DA CAIXA E PILAR C/ALTURA ÚTIL = 10,00M, INCLUSO FRETE E MONTAGEM NO LOCAL, COM FUNDAÇÃO EM CONCRETO SIMPLES FCK=20MPA</v>
      </c>
      <c r="E79" s="23" t="str">
        <f>VLOOKUP(A79,MEMORIA!$A:$N,5,FALSE)</f>
        <v>UND</v>
      </c>
      <c r="F79" s="5">
        <f>VLOOKUP(A79,MEMORIA!$A:$N,14,FALSE)</f>
        <v>2</v>
      </c>
      <c r="G79" s="5">
        <f>VLOOKUP(A79,ORCAMENTO!$A:$I,7,FALSE)</f>
        <v>24798.26</v>
      </c>
      <c r="H79" s="5">
        <f>VLOOKUP(A79,ORCAMENTO!$A:$I,8,FALSE)</f>
        <v>30335.71</v>
      </c>
      <c r="I79" s="5">
        <f>ROUND(F79*H79,2)</f>
        <v>60671.42</v>
      </c>
      <c r="J79" s="5">
        <f>ROUND(K79*$H79,2)</f>
        <v>60671.42</v>
      </c>
      <c r="K79" s="5">
        <f t="shared" si="17"/>
        <v>2</v>
      </c>
      <c r="L79" s="25">
        <f t="shared" si="18"/>
        <v>1</v>
      </c>
      <c r="M79" s="5">
        <f>ROUND(N79*$H79,2)</f>
        <v>0</v>
      </c>
      <c r="N79" s="5">
        <v>0</v>
      </c>
      <c r="O79" s="25">
        <f t="shared" si="19"/>
        <v>0</v>
      </c>
      <c r="P79" s="5">
        <f>ROUND(Q79*$H79,2)</f>
        <v>0</v>
      </c>
      <c r="Q79" s="5">
        <v>0</v>
      </c>
      <c r="R79" s="25">
        <f t="shared" si="20"/>
        <v>0</v>
      </c>
      <c r="S79" s="5">
        <f>ROUND(T79*$H79,2)</f>
        <v>0</v>
      </c>
      <c r="T79" s="5">
        <v>0</v>
      </c>
      <c r="U79" s="25">
        <f t="shared" si="21"/>
        <v>0</v>
      </c>
      <c r="V79" s="5">
        <f>ROUND(W79*$H79,2)</f>
        <v>0</v>
      </c>
      <c r="W79" s="5">
        <v>0</v>
      </c>
      <c r="X79" s="25">
        <f t="shared" si="22"/>
        <v>0</v>
      </c>
      <c r="Y79" s="5">
        <f t="shared" si="23"/>
        <v>60671.42</v>
      </c>
      <c r="Z79" s="25">
        <f t="shared" si="24"/>
        <v>1</v>
      </c>
      <c r="AA79" s="25">
        <f t="shared" si="25"/>
        <v>3.7640059605519943E-2</v>
      </c>
    </row>
    <row r="80" spans="1:27" ht="43.2" x14ac:dyDescent="0.3">
      <c r="A80" s="23" t="s">
        <v>226</v>
      </c>
      <c r="B80" s="23">
        <f>VLOOKUP(A80,MEMORIA!$A:$N,2,FALSE)</f>
        <v>94498</v>
      </c>
      <c r="C80" s="23" t="str">
        <f>VLOOKUP(A80,MEMORIA!$A:$N,3,FALSE)</f>
        <v>SINAPI</v>
      </c>
      <c r="D80" s="24" t="str">
        <f>VLOOKUP(A80,MEMORIA!$A:$N,4,FALSE)</f>
        <v>REGISTRO DE GAVETA BRUTO, LATÃO, ROSCÁVEL, 2" - FORNECIMENTO E INSTALAÇÃO. AF_08/2021</v>
      </c>
      <c r="E80" s="23" t="str">
        <f>VLOOKUP(A80,MEMORIA!$A:$N,5,FALSE)</f>
        <v>UN</v>
      </c>
      <c r="F80" s="5">
        <f>VLOOKUP(A80,MEMORIA!$A:$N,14,FALSE)</f>
        <v>3</v>
      </c>
      <c r="G80" s="5">
        <f>VLOOKUP(A80,ORCAMENTO!$A:$I,7,FALSE)</f>
        <v>164.12</v>
      </c>
      <c r="H80" s="5">
        <f>VLOOKUP(A80,ORCAMENTO!$A:$I,8,FALSE)</f>
        <v>200.77</v>
      </c>
      <c r="I80" s="5">
        <f>ROUND(F80*H80,2)</f>
        <v>602.30999999999995</v>
      </c>
      <c r="J80" s="5">
        <f>ROUND(K80*$H80,2)</f>
        <v>602.30999999999995</v>
      </c>
      <c r="K80" s="5">
        <f t="shared" si="17"/>
        <v>3</v>
      </c>
      <c r="L80" s="25">
        <f t="shared" si="18"/>
        <v>1</v>
      </c>
      <c r="M80" s="5">
        <f>ROUND(N80*$H80,2)</f>
        <v>0</v>
      </c>
      <c r="N80" s="5">
        <v>0</v>
      </c>
      <c r="O80" s="25">
        <f t="shared" si="19"/>
        <v>0</v>
      </c>
      <c r="P80" s="5">
        <f>ROUND(Q80*$H80,2)</f>
        <v>0</v>
      </c>
      <c r="Q80" s="5">
        <v>0</v>
      </c>
      <c r="R80" s="25">
        <f t="shared" si="20"/>
        <v>0</v>
      </c>
      <c r="S80" s="5">
        <f>ROUND(T80*$H80,2)</f>
        <v>0</v>
      </c>
      <c r="T80" s="5">
        <v>0</v>
      </c>
      <c r="U80" s="25">
        <f t="shared" si="21"/>
        <v>0</v>
      </c>
      <c r="V80" s="5">
        <f>ROUND(W80*$H80,2)</f>
        <v>0</v>
      </c>
      <c r="W80" s="5">
        <v>0</v>
      </c>
      <c r="X80" s="25">
        <f t="shared" si="22"/>
        <v>0</v>
      </c>
      <c r="Y80" s="5">
        <f t="shared" si="23"/>
        <v>602.30999999999995</v>
      </c>
      <c r="Z80" s="25">
        <f t="shared" si="24"/>
        <v>1</v>
      </c>
      <c r="AA80" s="25">
        <f t="shared" si="25"/>
        <v>3.7366826589851882E-4</v>
      </c>
    </row>
    <row r="81" spans="1:27" ht="43.2" x14ac:dyDescent="0.3">
      <c r="A81" s="23" t="s">
        <v>227</v>
      </c>
      <c r="B81" s="23" t="str">
        <f>VLOOKUP(A81,MEMORIA!$A:$N,2,FALSE)</f>
        <v>COMPOS35</v>
      </c>
      <c r="C81" s="23" t="str">
        <f>VLOOKUP(A81,MEMORIA!$A:$N,3,FALSE)</f>
        <v>PRÓPRIA</v>
      </c>
      <c r="D81" s="24" t="str">
        <f>VLOOKUP(A81,MEMORIA!$A:$N,4,FALSE)</f>
        <v>AQUISIÇÃO E ASSENTAMENTO DE TUBO RÍGIDO PVC, CLASSE 12, DN 60 MM, INCLUSO CONEXÕES</v>
      </c>
      <c r="E81" s="23" t="str">
        <f>VLOOKUP(A81,MEMORIA!$A:$N,5,FALSE)</f>
        <v>M</v>
      </c>
      <c r="F81" s="5">
        <f>VLOOKUP(A81,MEMORIA!$A:$N,14,FALSE)</f>
        <v>25</v>
      </c>
      <c r="G81" s="5">
        <f>VLOOKUP(A81,ORCAMENTO!$A:$I,7,FALSE)</f>
        <v>27.91</v>
      </c>
      <c r="H81" s="5">
        <f>VLOOKUP(A81,ORCAMENTO!$A:$I,8,FALSE)</f>
        <v>34.14</v>
      </c>
      <c r="I81" s="5">
        <f>ROUND(F81*H81,2)</f>
        <v>853.5</v>
      </c>
      <c r="J81" s="5">
        <f>ROUND(K81*$H81,2)</f>
        <v>853.5</v>
      </c>
      <c r="K81" s="5">
        <f t="shared" si="17"/>
        <v>25</v>
      </c>
      <c r="L81" s="25">
        <f t="shared" si="18"/>
        <v>1</v>
      </c>
      <c r="M81" s="5">
        <f>ROUND(N81*$H81,2)</f>
        <v>0</v>
      </c>
      <c r="N81" s="5">
        <v>0</v>
      </c>
      <c r="O81" s="25">
        <f t="shared" si="19"/>
        <v>0</v>
      </c>
      <c r="P81" s="5">
        <f>ROUND(Q81*$H81,2)</f>
        <v>0</v>
      </c>
      <c r="Q81" s="5">
        <v>0</v>
      </c>
      <c r="R81" s="25">
        <f t="shared" si="20"/>
        <v>0</v>
      </c>
      <c r="S81" s="5">
        <f>ROUND(T81*$H81,2)</f>
        <v>0</v>
      </c>
      <c r="T81" s="5">
        <v>0</v>
      </c>
      <c r="U81" s="25">
        <f t="shared" si="21"/>
        <v>0</v>
      </c>
      <c r="V81" s="5">
        <f>ROUND(W81*$H81,2)</f>
        <v>0</v>
      </c>
      <c r="W81" s="5">
        <v>0</v>
      </c>
      <c r="X81" s="25">
        <f t="shared" si="22"/>
        <v>0</v>
      </c>
      <c r="Y81" s="5">
        <f t="shared" si="23"/>
        <v>853.5</v>
      </c>
      <c r="Z81" s="25">
        <f t="shared" si="24"/>
        <v>1</v>
      </c>
      <c r="AA81" s="25">
        <f t="shared" si="25"/>
        <v>5.2950451585460283E-4</v>
      </c>
    </row>
    <row r="82" spans="1:27" x14ac:dyDescent="0.3">
      <c r="A82" s="12" t="s">
        <v>40</v>
      </c>
      <c r="B82" s="51" t="str">
        <f>VLOOKUP(A82,MEMORIA!$A:$N,2,FALSE)</f>
        <v>DISTRIBUIÇÃO</v>
      </c>
      <c r="C82" s="52"/>
      <c r="D82" s="52"/>
      <c r="E82" s="52"/>
      <c r="F82" s="52"/>
      <c r="G82" s="52"/>
      <c r="H82" s="53"/>
      <c r="I82" s="13">
        <f>SUM(I$83,I$86,)</f>
        <v>390046.92000000004</v>
      </c>
      <c r="J82" s="13">
        <f>SUM(J$83,J$86,)</f>
        <v>195023.46000000002</v>
      </c>
      <c r="K82" s="13"/>
      <c r="L82" s="14">
        <f t="shared" si="18"/>
        <v>0.5</v>
      </c>
      <c r="M82" s="13">
        <f>SUM(M$83,M$86,)</f>
        <v>195023.46000000002</v>
      </c>
      <c r="N82" s="13"/>
      <c r="O82" s="14">
        <f t="shared" si="19"/>
        <v>0.5</v>
      </c>
      <c r="P82" s="13">
        <f>SUM(P$83,P$86,)</f>
        <v>0</v>
      </c>
      <c r="Q82" s="13"/>
      <c r="R82" s="14">
        <f t="shared" si="20"/>
        <v>0</v>
      </c>
      <c r="S82" s="13">
        <f>SUM(S$83,S$86,)</f>
        <v>0</v>
      </c>
      <c r="T82" s="13"/>
      <c r="U82" s="14">
        <f t="shared" si="21"/>
        <v>0</v>
      </c>
      <c r="V82" s="13">
        <f>SUM(V$83,V$86,)</f>
        <v>0</v>
      </c>
      <c r="W82" s="13"/>
      <c r="X82" s="14">
        <f t="shared" si="22"/>
        <v>0</v>
      </c>
      <c r="Y82" s="13">
        <f t="shared" si="23"/>
        <v>390046.92000000004</v>
      </c>
      <c r="Z82" s="14">
        <f t="shared" si="24"/>
        <v>1</v>
      </c>
      <c r="AA82" s="14">
        <f t="shared" si="25"/>
        <v>0.24198196313436326</v>
      </c>
    </row>
    <row r="83" spans="1:27" x14ac:dyDescent="0.3">
      <c r="A83" s="15" t="s">
        <v>41</v>
      </c>
      <c r="B83" s="48" t="str">
        <f>VLOOKUP(A83,MEMORIA!$A:$N,2,FALSE)</f>
        <v>MOVIMENTO DE TERRA</v>
      </c>
      <c r="C83" s="49"/>
      <c r="D83" s="49"/>
      <c r="E83" s="49"/>
      <c r="F83" s="49"/>
      <c r="G83" s="49"/>
      <c r="H83" s="50"/>
      <c r="I83" s="16">
        <f>SUM(I$84:I$85)</f>
        <v>88741.959999999992</v>
      </c>
      <c r="J83" s="16">
        <f>SUM(J$84:J$85)</f>
        <v>44370.979999999996</v>
      </c>
      <c r="K83" s="16"/>
      <c r="L83" s="17">
        <f t="shared" si="18"/>
        <v>0.5</v>
      </c>
      <c r="M83" s="16">
        <f>SUM(M$84:M$85)</f>
        <v>44370.979999999996</v>
      </c>
      <c r="N83" s="16"/>
      <c r="O83" s="17">
        <f t="shared" si="19"/>
        <v>0.5</v>
      </c>
      <c r="P83" s="16">
        <f>SUM(P$84:P$85)</f>
        <v>0</v>
      </c>
      <c r="Q83" s="16"/>
      <c r="R83" s="17">
        <f t="shared" si="20"/>
        <v>0</v>
      </c>
      <c r="S83" s="16">
        <f>SUM(S$84:S$85)</f>
        <v>0</v>
      </c>
      <c r="T83" s="16"/>
      <c r="U83" s="17">
        <f t="shared" si="21"/>
        <v>0</v>
      </c>
      <c r="V83" s="16">
        <f>SUM(V$84:V$85)</f>
        <v>0</v>
      </c>
      <c r="W83" s="16"/>
      <c r="X83" s="17">
        <f t="shared" si="22"/>
        <v>0</v>
      </c>
      <c r="Y83" s="16">
        <f t="shared" si="23"/>
        <v>88741.959999999992</v>
      </c>
      <c r="Z83" s="17">
        <f t="shared" si="24"/>
        <v>1</v>
      </c>
      <c r="AA83" s="17">
        <f t="shared" si="25"/>
        <v>5.5054796210648543E-2</v>
      </c>
    </row>
    <row r="84" spans="1:27" ht="115.2" x14ac:dyDescent="0.3">
      <c r="A84" s="23" t="s">
        <v>228</v>
      </c>
      <c r="B84" s="23">
        <f>VLOOKUP(A84,MEMORIA!$A:$N,2,FALSE)</f>
        <v>102314</v>
      </c>
      <c r="C84" s="23" t="str">
        <f>VLOOKUP(A84,MEMORIA!$A:$N,3,FALSE)</f>
        <v>SINAPI</v>
      </c>
      <c r="D84" s="24" t="str">
        <f>VLOOKUP(A84,MEMORIA!$A:$N,4,FALSE)</f>
        <v>ESCAVAÇÃO MECANIZADA DE VALA COM PROF. ATÉ 1,5 M (MÉDIA MONTANTE E JUSANTE/UMA COMPOSIÇÃO POR TRECHO),COM ESCAVADEIRA (0,8 M3), LARG. MENOR QUE 1,5 M, EM SOLO DE 2A CATEGORIA, LOCAIS COM BAIXO NÍVEL DE INTERFERÊNCIA. AF_09/2024</v>
      </c>
      <c r="E84" s="23" t="str">
        <f>VLOOKUP(A84,MEMORIA!$A:$N,5,FALSE)</f>
        <v>M3</v>
      </c>
      <c r="F84" s="5">
        <f>VLOOKUP(A84,MEMORIA!$A:$N,14,FALSE)</f>
        <v>3411.84</v>
      </c>
      <c r="G84" s="5">
        <f>VLOOKUP(A84,ORCAMENTO!$A:$I,7,FALSE)</f>
        <v>8.5</v>
      </c>
      <c r="H84" s="5">
        <f>VLOOKUP(A84,ORCAMENTO!$A:$I,8,FALSE)</f>
        <v>10.4</v>
      </c>
      <c r="I84" s="5">
        <f>ROUND(F84*H84,2)</f>
        <v>35483.14</v>
      </c>
      <c r="J84" s="5">
        <f>ROUND(K84*$H84,2)</f>
        <v>17741.57</v>
      </c>
      <c r="K84" s="5">
        <f>0.5*F84</f>
        <v>1705.92</v>
      </c>
      <c r="L84" s="25">
        <f t="shared" si="18"/>
        <v>0.5</v>
      </c>
      <c r="M84" s="5">
        <f>ROUND(N84*$H84,2)</f>
        <v>17741.57</v>
      </c>
      <c r="N84" s="5">
        <f>F84-K84</f>
        <v>1705.92</v>
      </c>
      <c r="O84" s="25">
        <f t="shared" si="19"/>
        <v>0.5</v>
      </c>
      <c r="P84" s="5">
        <f>ROUND(Q84*$H84,2)</f>
        <v>0</v>
      </c>
      <c r="Q84" s="5">
        <v>0</v>
      </c>
      <c r="R84" s="25">
        <f t="shared" si="20"/>
        <v>0</v>
      </c>
      <c r="S84" s="5">
        <f>ROUND(T84*$H84,2)</f>
        <v>0</v>
      </c>
      <c r="T84" s="5">
        <v>0</v>
      </c>
      <c r="U84" s="25">
        <f t="shared" si="21"/>
        <v>0</v>
      </c>
      <c r="V84" s="5">
        <f>ROUND(W84*$H84,2)</f>
        <v>0</v>
      </c>
      <c r="W84" s="5">
        <v>0</v>
      </c>
      <c r="X84" s="25">
        <f t="shared" si="22"/>
        <v>0</v>
      </c>
      <c r="Y84" s="5">
        <f t="shared" si="23"/>
        <v>35483.14</v>
      </c>
      <c r="Z84" s="25">
        <f t="shared" si="24"/>
        <v>1</v>
      </c>
      <c r="AA84" s="25">
        <f t="shared" si="25"/>
        <v>2.2013453856708956E-2</v>
      </c>
    </row>
    <row r="85" spans="1:27" ht="115.2" x14ac:dyDescent="0.3">
      <c r="A85" s="23" t="s">
        <v>229</v>
      </c>
      <c r="B85" s="23" t="str">
        <f>VLOOKUP(A85,MEMORIA!$A:$N,2,FALSE)</f>
        <v>COMP199</v>
      </c>
      <c r="C85" s="23" t="str">
        <f>VLOOKUP(A85,MEMORIA!$A:$N,3,FALSE)</f>
        <v>PRÓPRIA</v>
      </c>
      <c r="D85" s="24" t="str">
        <f>VLOOKUP(A85,MEMORIA!$A:$N,4,FALSE)</f>
        <v>REATERRO MECANIZADO DE VALA COM RETROESCAVADEIRA (CAPACIDADE DA CAÇAMBA DA RETRO: 0,26 M³/POTÊNCIA: 88 HP), LARGURA ATÉ 0,8 M, PROFUNDIDADE ATÉ 1,5 M, COM SOLO (SEM SUBSTITUIÇÃO) DE 1ª CATEGORIA. AF_08/2023 (REF: 104733-SINAPI-05/2025)</v>
      </c>
      <c r="E85" s="23" t="str">
        <f>VLOOKUP(A85,MEMORIA!$A:$N,5,FALSE)</f>
        <v>M3</v>
      </c>
      <c r="F85" s="5">
        <f>VLOOKUP(A85,MEMORIA!$A:$N,14,FALSE)</f>
        <v>3411.84</v>
      </c>
      <c r="G85" s="5">
        <f>VLOOKUP(A85,ORCAMENTO!$A:$I,7,FALSE)</f>
        <v>12.76</v>
      </c>
      <c r="H85" s="5">
        <f>VLOOKUP(A85,ORCAMENTO!$A:$I,8,FALSE)</f>
        <v>15.61</v>
      </c>
      <c r="I85" s="5">
        <f>ROUND(F85*H85,2)</f>
        <v>53258.82</v>
      </c>
      <c r="J85" s="5">
        <f>ROUND(K85*$H85,2)</f>
        <v>26629.41</v>
      </c>
      <c r="K85" s="5">
        <f>0.5*F85</f>
        <v>1705.92</v>
      </c>
      <c r="L85" s="25">
        <f t="shared" si="18"/>
        <v>0.5</v>
      </c>
      <c r="M85" s="5">
        <f>ROUND(N85*$H85,2)</f>
        <v>26629.41</v>
      </c>
      <c r="N85" s="5">
        <f>F85-K85</f>
        <v>1705.92</v>
      </c>
      <c r="O85" s="25">
        <f t="shared" si="19"/>
        <v>0.5</v>
      </c>
      <c r="P85" s="5">
        <f>ROUND(Q85*$H85,2)</f>
        <v>0</v>
      </c>
      <c r="Q85" s="5">
        <v>0</v>
      </c>
      <c r="R85" s="25">
        <f t="shared" si="20"/>
        <v>0</v>
      </c>
      <c r="S85" s="5">
        <f>ROUND(T85*$H85,2)</f>
        <v>0</v>
      </c>
      <c r="T85" s="5">
        <v>0</v>
      </c>
      <c r="U85" s="25">
        <f t="shared" si="21"/>
        <v>0</v>
      </c>
      <c r="V85" s="5">
        <f>ROUND(W85*$H85,2)</f>
        <v>0</v>
      </c>
      <c r="W85" s="5">
        <v>0</v>
      </c>
      <c r="X85" s="25">
        <f t="shared" si="22"/>
        <v>0</v>
      </c>
      <c r="Y85" s="5">
        <f t="shared" si="23"/>
        <v>53258.82</v>
      </c>
      <c r="Z85" s="25">
        <f t="shared" si="24"/>
        <v>1</v>
      </c>
      <c r="AA85" s="25">
        <f t="shared" si="25"/>
        <v>3.3041342353939594E-2</v>
      </c>
    </row>
    <row r="86" spans="1:27" x14ac:dyDescent="0.3">
      <c r="A86" s="15" t="s">
        <v>42</v>
      </c>
      <c r="B86" s="48" t="str">
        <f>VLOOKUP(A86,MEMORIA!$A:$N,2,FALSE)</f>
        <v>INSTALAÇÕES HIDRÁULICAS</v>
      </c>
      <c r="C86" s="49"/>
      <c r="D86" s="49"/>
      <c r="E86" s="49"/>
      <c r="F86" s="49"/>
      <c r="G86" s="49"/>
      <c r="H86" s="50"/>
      <c r="I86" s="16">
        <f>SUM(I$87:I$88)</f>
        <v>301304.96000000002</v>
      </c>
      <c r="J86" s="16">
        <f>SUM(J$87:J$88)</f>
        <v>150652.48000000001</v>
      </c>
      <c r="K86" s="16"/>
      <c r="L86" s="17">
        <f t="shared" si="18"/>
        <v>0.5</v>
      </c>
      <c r="M86" s="16">
        <f>SUM(M$87:M$88)</f>
        <v>150652.48000000001</v>
      </c>
      <c r="N86" s="16"/>
      <c r="O86" s="17">
        <f t="shared" si="19"/>
        <v>0.5</v>
      </c>
      <c r="P86" s="16">
        <f>SUM(P$87:P$88)</f>
        <v>0</v>
      </c>
      <c r="Q86" s="16"/>
      <c r="R86" s="17">
        <f t="shared" si="20"/>
        <v>0</v>
      </c>
      <c r="S86" s="16">
        <f>SUM(S$87:S$88)</f>
        <v>0</v>
      </c>
      <c r="T86" s="16"/>
      <c r="U86" s="17">
        <f t="shared" si="21"/>
        <v>0</v>
      </c>
      <c r="V86" s="16">
        <f>SUM(V$87:V$88)</f>
        <v>0</v>
      </c>
      <c r="W86" s="16"/>
      <c r="X86" s="17">
        <f t="shared" si="22"/>
        <v>0</v>
      </c>
      <c r="Y86" s="16">
        <f t="shared" si="23"/>
        <v>301304.96000000002</v>
      </c>
      <c r="Z86" s="17">
        <f t="shared" si="24"/>
        <v>1</v>
      </c>
      <c r="AA86" s="17">
        <f t="shared" si="25"/>
        <v>0.18692716692371469</v>
      </c>
    </row>
    <row r="87" spans="1:27" ht="43.2" x14ac:dyDescent="0.3">
      <c r="A87" s="23" t="s">
        <v>230</v>
      </c>
      <c r="B87" s="23" t="str">
        <f>VLOOKUP(A87,MEMORIA!$A:$N,2,FALSE)</f>
        <v>COMPOS35</v>
      </c>
      <c r="C87" s="23" t="str">
        <f>VLOOKUP(A87,MEMORIA!$A:$N,3,FALSE)</f>
        <v>PRÓPRIA</v>
      </c>
      <c r="D87" s="24" t="str">
        <f>VLOOKUP(A87,MEMORIA!$A:$N,4,FALSE)</f>
        <v>AQUISIÇÃO E ASSENTAMENTO DE TUBO RÍGIDO PVC, CLASSE 12, DN 60 MM, INCLUSO CONEXÕES</v>
      </c>
      <c r="E87" s="23" t="str">
        <f>VLOOKUP(A87,MEMORIA!$A:$N,5,FALSE)</f>
        <v>M</v>
      </c>
      <c r="F87" s="5">
        <f>VLOOKUP(A87,MEMORIA!$A:$N,14,FALSE)</f>
        <v>8412</v>
      </c>
      <c r="G87" s="5">
        <f>VLOOKUP(A87,ORCAMENTO!$A:$I,7,FALSE)</f>
        <v>27.91</v>
      </c>
      <c r="H87" s="5">
        <f>VLOOKUP(A87,ORCAMENTO!$A:$I,8,FALSE)</f>
        <v>34.14</v>
      </c>
      <c r="I87" s="5">
        <f>ROUND(F87*H87,2)</f>
        <v>287185.68</v>
      </c>
      <c r="J87" s="5">
        <f>ROUND(K87*$H87,2)</f>
        <v>143592.84</v>
      </c>
      <c r="K87" s="5">
        <f>0.5*F87</f>
        <v>4206</v>
      </c>
      <c r="L87" s="25">
        <f t="shared" si="18"/>
        <v>0.5</v>
      </c>
      <c r="M87" s="5">
        <f>ROUND(N87*$H87,2)</f>
        <v>143592.84</v>
      </c>
      <c r="N87" s="5">
        <f>F87-K87</f>
        <v>4206</v>
      </c>
      <c r="O87" s="25">
        <f t="shared" si="19"/>
        <v>0.5</v>
      </c>
      <c r="P87" s="5">
        <f>ROUND(Q87*$H87,2)</f>
        <v>0</v>
      </c>
      <c r="Q87" s="5">
        <v>0</v>
      </c>
      <c r="R87" s="25">
        <f t="shared" si="20"/>
        <v>0</v>
      </c>
      <c r="S87" s="5">
        <f>ROUND(T87*$H87,2)</f>
        <v>0</v>
      </c>
      <c r="T87" s="5">
        <v>0</v>
      </c>
      <c r="U87" s="25">
        <f t="shared" si="21"/>
        <v>0</v>
      </c>
      <c r="V87" s="5">
        <f>ROUND(W87*$H87,2)</f>
        <v>0</v>
      </c>
      <c r="W87" s="5">
        <v>0</v>
      </c>
      <c r="X87" s="25">
        <f t="shared" si="22"/>
        <v>0</v>
      </c>
      <c r="Y87" s="5">
        <f t="shared" si="23"/>
        <v>287185.68</v>
      </c>
      <c r="Z87" s="25">
        <f t="shared" si="24"/>
        <v>1</v>
      </c>
      <c r="AA87" s="25">
        <f t="shared" si="25"/>
        <v>0.17816767949475679</v>
      </c>
    </row>
    <row r="88" spans="1:27" x14ac:dyDescent="0.3">
      <c r="A88" s="23" t="s">
        <v>231</v>
      </c>
      <c r="B88" s="23" t="str">
        <f>VLOOKUP(A88,MEMORIA!$A:$N,2,FALSE)</f>
        <v>COMPOS36</v>
      </c>
      <c r="C88" s="23" t="str">
        <f>VLOOKUP(A88,MEMORIA!$A:$N,3,FALSE)</f>
        <v>PRÓPRIA</v>
      </c>
      <c r="D88" s="24" t="str">
        <f>VLOOKUP(A88,MEMORIA!$A:$N,4,FALSE)</f>
        <v>LIGAÇÃO DOMICILIAR</v>
      </c>
      <c r="E88" s="23" t="str">
        <f>VLOOKUP(A88,MEMORIA!$A:$N,5,FALSE)</f>
        <v>UND</v>
      </c>
      <c r="F88" s="5">
        <f>VLOOKUP(A88,MEMORIA!$A:$N,14,FALSE)</f>
        <v>56</v>
      </c>
      <c r="G88" s="5">
        <f>VLOOKUP(A88,ORCAMENTO!$A:$I,7,FALSE)</f>
        <v>206.11</v>
      </c>
      <c r="H88" s="5">
        <f>VLOOKUP(A88,ORCAMENTO!$A:$I,8,FALSE)</f>
        <v>252.13000000000002</v>
      </c>
      <c r="I88" s="5">
        <f>ROUND(F88*H88,2)</f>
        <v>14119.28</v>
      </c>
      <c r="J88" s="5">
        <f>ROUND(K88*$H88,2)</f>
        <v>7059.64</v>
      </c>
      <c r="K88" s="5">
        <f>0.5*F88</f>
        <v>28</v>
      </c>
      <c r="L88" s="25">
        <f t="shared" si="18"/>
        <v>0.5</v>
      </c>
      <c r="M88" s="5">
        <f>ROUND(N88*$H88,2)</f>
        <v>7059.64</v>
      </c>
      <c r="N88" s="5">
        <f>F88-K88</f>
        <v>28</v>
      </c>
      <c r="O88" s="25">
        <f t="shared" si="19"/>
        <v>0.5</v>
      </c>
      <c r="P88" s="5">
        <f>ROUND(Q88*$H88,2)</f>
        <v>0</v>
      </c>
      <c r="Q88" s="5">
        <v>0</v>
      </c>
      <c r="R88" s="25">
        <f t="shared" si="20"/>
        <v>0</v>
      </c>
      <c r="S88" s="5">
        <f>ROUND(T88*$H88,2)</f>
        <v>0</v>
      </c>
      <c r="T88" s="5">
        <v>0</v>
      </c>
      <c r="U88" s="25">
        <f t="shared" si="21"/>
        <v>0</v>
      </c>
      <c r="V88" s="5">
        <f>ROUND(W88*$H88,2)</f>
        <v>0</v>
      </c>
      <c r="W88" s="5">
        <v>0</v>
      </c>
      <c r="X88" s="25">
        <f t="shared" si="22"/>
        <v>0</v>
      </c>
      <c r="Y88" s="5">
        <f t="shared" si="23"/>
        <v>14119.28</v>
      </c>
      <c r="Z88" s="25">
        <f t="shared" si="24"/>
        <v>1</v>
      </c>
      <c r="AA88" s="25">
        <f t="shared" si="25"/>
        <v>8.7594874289579124E-3</v>
      </c>
    </row>
    <row r="89" spans="1:27" x14ac:dyDescent="0.3">
      <c r="A89" s="9">
        <v>3</v>
      </c>
      <c r="B89" s="54" t="str">
        <f>VLOOKUP(A89,MEMORIA!$A:$N,2,FALSE)</f>
        <v>LOCALIDADE NAZARÉ (PARNAGUÁ-PI)</v>
      </c>
      <c r="C89" s="55"/>
      <c r="D89" s="55"/>
      <c r="E89" s="55"/>
      <c r="F89" s="55"/>
      <c r="G89" s="55"/>
      <c r="H89" s="56"/>
      <c r="I89" s="10">
        <f>SUM(I$90,I$106,I$110,I$144,I$147,I$156,I$160,)</f>
        <v>282954.75</v>
      </c>
      <c r="J89" s="10">
        <f>SUM(J$90,J$106,J$110,J$144,J$147,J$156,J$160,)</f>
        <v>123609.16999999998</v>
      </c>
      <c r="K89" s="10"/>
      <c r="L89" s="11">
        <f t="shared" si="18"/>
        <v>0.43685136934439156</v>
      </c>
      <c r="M89" s="10">
        <f>SUM(M$90,M$106,M$110,M$144,M$147,M$156,M$160,)</f>
        <v>159345.58000000002</v>
      </c>
      <c r="N89" s="10"/>
      <c r="O89" s="11">
        <f t="shared" si="19"/>
        <v>0.56314863065560838</v>
      </c>
      <c r="P89" s="10">
        <f>SUM(P$90,P$106,P$110,P$144,P$147,P$156,P$160,)</f>
        <v>0</v>
      </c>
      <c r="Q89" s="10"/>
      <c r="R89" s="11">
        <f t="shared" si="20"/>
        <v>0</v>
      </c>
      <c r="S89" s="10">
        <f>SUM(S$90,S$106,S$110,S$144,S$147,S$156,S$160,)</f>
        <v>0</v>
      </c>
      <c r="T89" s="10"/>
      <c r="U89" s="11">
        <f t="shared" si="21"/>
        <v>0</v>
      </c>
      <c r="V89" s="10">
        <f>SUM(V$90,V$106,V$110,V$144,V$147,V$156,V$160,)</f>
        <v>0</v>
      </c>
      <c r="W89" s="10"/>
      <c r="X89" s="11">
        <f t="shared" si="22"/>
        <v>0</v>
      </c>
      <c r="Y89" s="10">
        <f t="shared" si="23"/>
        <v>282954.75</v>
      </c>
      <c r="Z89" s="11">
        <f t="shared" si="24"/>
        <v>1</v>
      </c>
      <c r="AA89" s="11">
        <f t="shared" si="25"/>
        <v>0.1755428446485181</v>
      </c>
    </row>
    <row r="90" spans="1:27" x14ac:dyDescent="0.3">
      <c r="A90" s="12" t="s">
        <v>43</v>
      </c>
      <c r="B90" s="51" t="str">
        <f>VLOOKUP(A90,MEMORIA!$A:$N,2,FALSE)</f>
        <v>PERFURAÇÃO DE POÇO TUBULAR</v>
      </c>
      <c r="C90" s="52"/>
      <c r="D90" s="52"/>
      <c r="E90" s="52"/>
      <c r="F90" s="52"/>
      <c r="G90" s="52"/>
      <c r="H90" s="53"/>
      <c r="I90" s="13">
        <f>SUM(I$91:I$105)</f>
        <v>41696.749999999993</v>
      </c>
      <c r="J90" s="13">
        <f>SUM(J$91:J$105)</f>
        <v>41696.749999999993</v>
      </c>
      <c r="K90" s="13"/>
      <c r="L90" s="14">
        <f t="shared" si="18"/>
        <v>1</v>
      </c>
      <c r="M90" s="13">
        <f>SUM(M$91:M$105)</f>
        <v>0</v>
      </c>
      <c r="N90" s="13"/>
      <c r="O90" s="14">
        <f t="shared" si="19"/>
        <v>0</v>
      </c>
      <c r="P90" s="13">
        <f>SUM(P$91:P$105)</f>
        <v>0</v>
      </c>
      <c r="Q90" s="13"/>
      <c r="R90" s="14">
        <f t="shared" si="20"/>
        <v>0</v>
      </c>
      <c r="S90" s="13">
        <f>SUM(S$91:S$105)</f>
        <v>0</v>
      </c>
      <c r="T90" s="13"/>
      <c r="U90" s="14">
        <f t="shared" si="21"/>
        <v>0</v>
      </c>
      <c r="V90" s="13">
        <f>SUM(V$91:V$105)</f>
        <v>0</v>
      </c>
      <c r="W90" s="13"/>
      <c r="X90" s="14">
        <f t="shared" si="22"/>
        <v>0</v>
      </c>
      <c r="Y90" s="13">
        <f t="shared" si="23"/>
        <v>41696.749999999993</v>
      </c>
      <c r="Z90" s="14">
        <f t="shared" si="24"/>
        <v>1</v>
      </c>
      <c r="AA90" s="14">
        <f t="shared" si="25"/>
        <v>2.586832738308191E-2</v>
      </c>
    </row>
    <row r="91" spans="1:27" ht="43.2" x14ac:dyDescent="0.3">
      <c r="A91" s="23" t="s">
        <v>232</v>
      </c>
      <c r="B91" s="23" t="str">
        <f>VLOOKUP(A91,MEMORIA!$A:$N,2,FALSE)</f>
        <v>COMPOS3</v>
      </c>
      <c r="C91" s="23" t="str">
        <f>VLOOKUP(A91,MEMORIA!$A:$N,3,FALSE)</f>
        <v>PRÓPRIA</v>
      </c>
      <c r="D91" s="24" t="str">
        <f>VLOOKUP(A91,MEMORIA!$A:$N,4,FALSE)</f>
        <v>LOCAÇÃO DO POÇO COM ESTUDO GEOLÓGICO/HIDROGEOLÓGICO/GEOFÍSICO</v>
      </c>
      <c r="E91" s="23" t="str">
        <f>VLOOKUP(A91,MEMORIA!$A:$N,5,FALSE)</f>
        <v>UN</v>
      </c>
      <c r="F91" s="5">
        <f>VLOOKUP(A91,MEMORIA!$A:$N,14,FALSE)</f>
        <v>1</v>
      </c>
      <c r="G91" s="5">
        <f>VLOOKUP(A91,ORCAMENTO!$A:$I,7,FALSE)</f>
        <v>1692.3999999999999</v>
      </c>
      <c r="H91" s="5">
        <f>VLOOKUP(A91,ORCAMENTO!$A:$I,8,FALSE)</f>
        <v>2070.31</v>
      </c>
      <c r="I91" s="5">
        <f t="shared" ref="I91:I105" si="26">ROUND(F91*H91,2)</f>
        <v>2070.31</v>
      </c>
      <c r="J91" s="5">
        <f t="shared" ref="J91:J105" si="27">ROUND(K91*$H91,2)</f>
        <v>2070.31</v>
      </c>
      <c r="K91" s="5">
        <f>F91</f>
        <v>1</v>
      </c>
      <c r="L91" s="25">
        <f t="shared" si="18"/>
        <v>1</v>
      </c>
      <c r="M91" s="5">
        <f t="shared" ref="M91:M105" si="28">ROUND(N91*$H91,2)</f>
        <v>0</v>
      </c>
      <c r="N91" s="5">
        <v>0</v>
      </c>
      <c r="O91" s="25">
        <f t="shared" si="19"/>
        <v>0</v>
      </c>
      <c r="P91" s="5">
        <f t="shared" ref="P91:P105" si="29">ROUND(Q91*$H91,2)</f>
        <v>0</v>
      </c>
      <c r="Q91" s="5">
        <v>0</v>
      </c>
      <c r="R91" s="25">
        <f t="shared" si="20"/>
        <v>0</v>
      </c>
      <c r="S91" s="5">
        <f t="shared" ref="S91:S105" si="30">ROUND(T91*$H91,2)</f>
        <v>0</v>
      </c>
      <c r="T91" s="5">
        <v>0</v>
      </c>
      <c r="U91" s="25">
        <f t="shared" si="21"/>
        <v>0</v>
      </c>
      <c r="V91" s="5">
        <f t="shared" ref="V91:V105" si="31">ROUND(W91*$H91,2)</f>
        <v>0</v>
      </c>
      <c r="W91" s="5">
        <v>0</v>
      </c>
      <c r="X91" s="25">
        <f t="shared" si="22"/>
        <v>0</v>
      </c>
      <c r="Y91" s="5">
        <f t="shared" si="23"/>
        <v>2070.31</v>
      </c>
      <c r="Z91" s="25">
        <f t="shared" si="24"/>
        <v>1</v>
      </c>
      <c r="AA91" s="25">
        <f t="shared" si="25"/>
        <v>1.2844036253297515E-3</v>
      </c>
    </row>
    <row r="92" spans="1:27" ht="28.8" x14ac:dyDescent="0.3">
      <c r="A92" s="23" t="s">
        <v>233</v>
      </c>
      <c r="B92" s="23" t="str">
        <f>VLOOKUP(A92,MEMORIA!$A:$N,2,FALSE)</f>
        <v>COMPOS4</v>
      </c>
      <c r="C92" s="23" t="str">
        <f>VLOOKUP(A92,MEMORIA!$A:$N,3,FALSE)</f>
        <v>PRÓPRIA</v>
      </c>
      <c r="D92" s="24" t="str">
        <f>VLOOKUP(A92,MEMORIA!$A:$N,4,FALSE)</f>
        <v>TRANSPORTE DE MÁQUINAS E EQUIPAMENTOS</v>
      </c>
      <c r="E92" s="23" t="str">
        <f>VLOOKUP(A92,MEMORIA!$A:$N,5,FALSE)</f>
        <v>KM</v>
      </c>
      <c r="F92" s="5">
        <f>VLOOKUP(A92,MEMORIA!$A:$N,14,FALSE)</f>
        <v>47.3</v>
      </c>
      <c r="G92" s="5">
        <f>VLOOKUP(A92,ORCAMENTO!$A:$I,7,FALSE)</f>
        <v>5.5</v>
      </c>
      <c r="H92" s="5">
        <f>VLOOKUP(A92,ORCAMENTO!$A:$I,8,FALSE)</f>
        <v>6.73</v>
      </c>
      <c r="I92" s="5">
        <f t="shared" si="26"/>
        <v>318.33</v>
      </c>
      <c r="J92" s="5">
        <f t="shared" si="27"/>
        <v>318.33</v>
      </c>
      <c r="K92" s="5">
        <f t="shared" ref="K92:K105" si="32">F92</f>
        <v>47.3</v>
      </c>
      <c r="L92" s="25">
        <f t="shared" si="18"/>
        <v>1</v>
      </c>
      <c r="M92" s="5">
        <f t="shared" si="28"/>
        <v>0</v>
      </c>
      <c r="N92" s="5">
        <v>0</v>
      </c>
      <c r="O92" s="25">
        <f t="shared" si="19"/>
        <v>0</v>
      </c>
      <c r="P92" s="5">
        <f t="shared" si="29"/>
        <v>0</v>
      </c>
      <c r="Q92" s="5">
        <v>0</v>
      </c>
      <c r="R92" s="25">
        <f t="shared" si="20"/>
        <v>0</v>
      </c>
      <c r="S92" s="5">
        <f t="shared" si="30"/>
        <v>0</v>
      </c>
      <c r="T92" s="5">
        <v>0</v>
      </c>
      <c r="U92" s="25">
        <f t="shared" si="21"/>
        <v>0</v>
      </c>
      <c r="V92" s="5">
        <f t="shared" si="31"/>
        <v>0</v>
      </c>
      <c r="W92" s="5">
        <v>0</v>
      </c>
      <c r="X92" s="25">
        <f t="shared" si="22"/>
        <v>0</v>
      </c>
      <c r="Y92" s="5">
        <f t="shared" si="23"/>
        <v>318.33</v>
      </c>
      <c r="Z92" s="25">
        <f t="shared" si="24"/>
        <v>1</v>
      </c>
      <c r="AA92" s="25">
        <f t="shared" si="25"/>
        <v>1.9748936441944432E-4</v>
      </c>
    </row>
    <row r="93" spans="1:27" ht="28.8" x14ac:dyDescent="0.3">
      <c r="A93" s="23" t="s">
        <v>234</v>
      </c>
      <c r="B93" s="23" t="str">
        <f>VLOOKUP(A93,MEMORIA!$A:$N,2,FALSE)</f>
        <v>COMPOS4</v>
      </c>
      <c r="C93" s="23" t="str">
        <f>VLOOKUP(A93,MEMORIA!$A:$N,3,FALSE)</f>
        <v>PRÓPRIA</v>
      </c>
      <c r="D93" s="24" t="str">
        <f>VLOOKUP(A93,MEMORIA!$A:$N,4,FALSE)</f>
        <v>TRANSPORTE DE MÁQUINAS E EQUIPAMENTOS</v>
      </c>
      <c r="E93" s="23" t="str">
        <f>VLOOKUP(A93,MEMORIA!$A:$N,5,FALSE)</f>
        <v>KM</v>
      </c>
      <c r="F93" s="5">
        <f>VLOOKUP(A93,MEMORIA!$A:$N,14,FALSE)</f>
        <v>47.3</v>
      </c>
      <c r="G93" s="5">
        <f>VLOOKUP(A93,ORCAMENTO!$A:$I,7,FALSE)</f>
        <v>5.5</v>
      </c>
      <c r="H93" s="5">
        <f>VLOOKUP(A93,ORCAMENTO!$A:$I,8,FALSE)</f>
        <v>6.73</v>
      </c>
      <c r="I93" s="5">
        <f t="shared" si="26"/>
        <v>318.33</v>
      </c>
      <c r="J93" s="5">
        <f t="shared" si="27"/>
        <v>318.33</v>
      </c>
      <c r="K93" s="5">
        <f t="shared" si="32"/>
        <v>47.3</v>
      </c>
      <c r="L93" s="25">
        <f t="shared" si="18"/>
        <v>1</v>
      </c>
      <c r="M93" s="5">
        <f t="shared" si="28"/>
        <v>0</v>
      </c>
      <c r="N93" s="5">
        <v>0</v>
      </c>
      <c r="O93" s="25">
        <f t="shared" si="19"/>
        <v>0</v>
      </c>
      <c r="P93" s="5">
        <f t="shared" si="29"/>
        <v>0</v>
      </c>
      <c r="Q93" s="5">
        <v>0</v>
      </c>
      <c r="R93" s="25">
        <f t="shared" si="20"/>
        <v>0</v>
      </c>
      <c r="S93" s="5">
        <f t="shared" si="30"/>
        <v>0</v>
      </c>
      <c r="T93" s="5">
        <v>0</v>
      </c>
      <c r="U93" s="25">
        <f t="shared" si="21"/>
        <v>0</v>
      </c>
      <c r="V93" s="5">
        <f t="shared" si="31"/>
        <v>0</v>
      </c>
      <c r="W93" s="5">
        <v>0</v>
      </c>
      <c r="X93" s="25">
        <f t="shared" si="22"/>
        <v>0</v>
      </c>
      <c r="Y93" s="5">
        <f t="shared" si="23"/>
        <v>318.33</v>
      </c>
      <c r="Z93" s="25">
        <f t="shared" si="24"/>
        <v>1</v>
      </c>
      <c r="AA93" s="25">
        <f t="shared" si="25"/>
        <v>1.9748936441944432E-4</v>
      </c>
    </row>
    <row r="94" spans="1:27" x14ac:dyDescent="0.3">
      <c r="A94" s="23" t="s">
        <v>235</v>
      </c>
      <c r="B94" s="23" t="str">
        <f>VLOOKUP(A94,MEMORIA!$A:$N,2,FALSE)</f>
        <v>COMPOS5</v>
      </c>
      <c r="C94" s="23" t="str">
        <f>VLOOKUP(A94,MEMORIA!$A:$N,3,FALSE)</f>
        <v>PRÓPRIA</v>
      </c>
      <c r="D94" s="24" t="str">
        <f>VLOOKUP(A94,MEMORIA!$A:$N,4,FALSE)</f>
        <v>PERFILAGEM ÓTICA</v>
      </c>
      <c r="E94" s="23" t="str">
        <f>VLOOKUP(A94,MEMORIA!$A:$N,5,FALSE)</f>
        <v>UN</v>
      </c>
      <c r="F94" s="5">
        <f>VLOOKUP(A94,MEMORIA!$A:$N,14,FALSE)</f>
        <v>1</v>
      </c>
      <c r="G94" s="5">
        <f>VLOOKUP(A94,ORCAMENTO!$A:$I,7,FALSE)</f>
        <v>2908.88</v>
      </c>
      <c r="H94" s="5">
        <f>VLOOKUP(A94,ORCAMENTO!$A:$I,8,FALSE)</f>
        <v>3558.4300000000003</v>
      </c>
      <c r="I94" s="5">
        <f t="shared" si="26"/>
        <v>3558.43</v>
      </c>
      <c r="J94" s="5">
        <f t="shared" si="27"/>
        <v>3558.43</v>
      </c>
      <c r="K94" s="5">
        <f t="shared" si="32"/>
        <v>1</v>
      </c>
      <c r="L94" s="25">
        <f t="shared" si="18"/>
        <v>1</v>
      </c>
      <c r="M94" s="5">
        <f t="shared" si="28"/>
        <v>0</v>
      </c>
      <c r="N94" s="5">
        <v>0</v>
      </c>
      <c r="O94" s="25">
        <f t="shared" si="19"/>
        <v>0</v>
      </c>
      <c r="P94" s="5">
        <f t="shared" si="29"/>
        <v>0</v>
      </c>
      <c r="Q94" s="5">
        <v>0</v>
      </c>
      <c r="R94" s="25">
        <f t="shared" si="20"/>
        <v>0</v>
      </c>
      <c r="S94" s="5">
        <f t="shared" si="30"/>
        <v>0</v>
      </c>
      <c r="T94" s="5">
        <v>0</v>
      </c>
      <c r="U94" s="25">
        <f t="shared" si="21"/>
        <v>0</v>
      </c>
      <c r="V94" s="5">
        <f t="shared" si="31"/>
        <v>0</v>
      </c>
      <c r="W94" s="5">
        <v>0</v>
      </c>
      <c r="X94" s="25">
        <f t="shared" si="22"/>
        <v>0</v>
      </c>
      <c r="Y94" s="5">
        <f t="shared" si="23"/>
        <v>3558.43</v>
      </c>
      <c r="Z94" s="25">
        <f t="shared" si="24"/>
        <v>1</v>
      </c>
      <c r="AA94" s="25">
        <f t="shared" si="25"/>
        <v>2.2076212704774394E-3</v>
      </c>
    </row>
    <row r="95" spans="1:27" ht="43.2" x14ac:dyDescent="0.3">
      <c r="A95" s="23" t="s">
        <v>236</v>
      </c>
      <c r="B95" s="23" t="str">
        <f>VLOOKUP(A95,MEMORIA!$A:$N,2,FALSE)</f>
        <v>COMP197</v>
      </c>
      <c r="C95" s="23" t="str">
        <f>VLOOKUP(A95,MEMORIA!$A:$N,3,FALSE)</f>
        <v>PRÓPRIA</v>
      </c>
      <c r="D95" s="24" t="str">
        <f>VLOOKUP(A95,MEMORIA!$A:$N,4,FALSE)</f>
        <v>PERFURAÇÃO EM ROCHA SEDIMENTAR DN 10" (REF: 06230/ORSE-ORSE-04/2025)</v>
      </c>
      <c r="E95" s="23" t="str">
        <f>VLOOKUP(A95,MEMORIA!$A:$N,5,FALSE)</f>
        <v>M</v>
      </c>
      <c r="F95" s="5">
        <f>VLOOKUP(A95,MEMORIA!$A:$N,14,FALSE)</f>
        <v>20</v>
      </c>
      <c r="G95" s="5">
        <f>VLOOKUP(A95,ORCAMENTO!$A:$I,7,FALSE)</f>
        <v>202.21</v>
      </c>
      <c r="H95" s="5">
        <f>VLOOKUP(A95,ORCAMENTO!$A:$I,8,FALSE)</f>
        <v>247.36</v>
      </c>
      <c r="I95" s="5">
        <f t="shared" si="26"/>
        <v>4947.2</v>
      </c>
      <c r="J95" s="5">
        <f t="shared" si="27"/>
        <v>4947.2</v>
      </c>
      <c r="K95" s="5">
        <f t="shared" si="32"/>
        <v>20</v>
      </c>
      <c r="L95" s="25">
        <f t="shared" si="18"/>
        <v>1</v>
      </c>
      <c r="M95" s="5">
        <f t="shared" si="28"/>
        <v>0</v>
      </c>
      <c r="N95" s="5">
        <v>0</v>
      </c>
      <c r="O95" s="25">
        <f t="shared" si="19"/>
        <v>0</v>
      </c>
      <c r="P95" s="5">
        <f t="shared" si="29"/>
        <v>0</v>
      </c>
      <c r="Q95" s="5">
        <v>0</v>
      </c>
      <c r="R95" s="25">
        <f t="shared" si="20"/>
        <v>0</v>
      </c>
      <c r="S95" s="5">
        <f t="shared" si="30"/>
        <v>0</v>
      </c>
      <c r="T95" s="5">
        <v>0</v>
      </c>
      <c r="U95" s="25">
        <f t="shared" si="21"/>
        <v>0</v>
      </c>
      <c r="V95" s="5">
        <f t="shared" si="31"/>
        <v>0</v>
      </c>
      <c r="W95" s="5">
        <v>0</v>
      </c>
      <c r="X95" s="25">
        <f t="shared" si="22"/>
        <v>0</v>
      </c>
      <c r="Y95" s="5">
        <f t="shared" si="23"/>
        <v>4947.2</v>
      </c>
      <c r="Z95" s="25">
        <f t="shared" si="24"/>
        <v>1</v>
      </c>
      <c r="AA95" s="25">
        <f t="shared" si="25"/>
        <v>3.0692029769606223E-3</v>
      </c>
    </row>
    <row r="96" spans="1:27" ht="28.8" x14ac:dyDescent="0.3">
      <c r="A96" s="23" t="s">
        <v>237</v>
      </c>
      <c r="B96" s="23" t="str">
        <f>VLOOKUP(A96,MEMORIA!$A:$N,2,FALSE)</f>
        <v>COMP198</v>
      </c>
      <c r="C96" s="23" t="str">
        <f>VLOOKUP(A96,MEMORIA!$A:$N,3,FALSE)</f>
        <v>PRÓPRIA</v>
      </c>
      <c r="D96" s="24" t="str">
        <f>VLOOKUP(A96,MEMORIA!$A:$N,4,FALSE)</f>
        <v>PERFURAÇÃO EM ROCHA CRISTALINA DN 6" (REF: 06237/ORSE-ORSE-04/2025)</v>
      </c>
      <c r="E96" s="23" t="str">
        <f>VLOOKUP(A96,MEMORIA!$A:$N,5,FALSE)</f>
        <v>M</v>
      </c>
      <c r="F96" s="5">
        <f>VLOOKUP(A96,MEMORIA!$A:$N,14,FALSE)</f>
        <v>100</v>
      </c>
      <c r="G96" s="5">
        <f>VLOOKUP(A96,ORCAMENTO!$A:$I,7,FALSE)</f>
        <v>125.23</v>
      </c>
      <c r="H96" s="5">
        <f>VLOOKUP(A96,ORCAMENTO!$A:$I,8,FALSE)</f>
        <v>153.19</v>
      </c>
      <c r="I96" s="5">
        <f t="shared" si="26"/>
        <v>15319</v>
      </c>
      <c r="J96" s="5">
        <f t="shared" si="27"/>
        <v>15319</v>
      </c>
      <c r="K96" s="5">
        <f t="shared" si="32"/>
        <v>100</v>
      </c>
      <c r="L96" s="25">
        <f t="shared" si="18"/>
        <v>1</v>
      </c>
      <c r="M96" s="5">
        <f t="shared" si="28"/>
        <v>0</v>
      </c>
      <c r="N96" s="5">
        <v>0</v>
      </c>
      <c r="O96" s="25">
        <f t="shared" si="19"/>
        <v>0</v>
      </c>
      <c r="P96" s="5">
        <f t="shared" si="29"/>
        <v>0</v>
      </c>
      <c r="Q96" s="5">
        <v>0</v>
      </c>
      <c r="R96" s="25">
        <f t="shared" si="20"/>
        <v>0</v>
      </c>
      <c r="S96" s="5">
        <f t="shared" si="30"/>
        <v>0</v>
      </c>
      <c r="T96" s="5">
        <v>0</v>
      </c>
      <c r="U96" s="25">
        <f t="shared" si="21"/>
        <v>0</v>
      </c>
      <c r="V96" s="5">
        <f t="shared" si="31"/>
        <v>0</v>
      </c>
      <c r="W96" s="5">
        <v>0</v>
      </c>
      <c r="X96" s="25">
        <f t="shared" si="22"/>
        <v>0</v>
      </c>
      <c r="Y96" s="5">
        <f t="shared" si="23"/>
        <v>15319</v>
      </c>
      <c r="Z96" s="25">
        <f t="shared" si="24"/>
        <v>1</v>
      </c>
      <c r="AA96" s="25">
        <f t="shared" si="25"/>
        <v>9.5037840402772827E-3</v>
      </c>
    </row>
    <row r="97" spans="1:27" x14ac:dyDescent="0.3">
      <c r="A97" s="23" t="s">
        <v>238</v>
      </c>
      <c r="B97" s="23" t="str">
        <f>VLOOKUP(A97,MEMORIA!$A:$N,2,FALSE)</f>
        <v>COMPOS10</v>
      </c>
      <c r="C97" s="23" t="str">
        <f>VLOOKUP(A97,MEMORIA!$A:$N,3,FALSE)</f>
        <v>PRÓPRIA</v>
      </c>
      <c r="D97" s="24" t="str">
        <f>VLOOKUP(A97,MEMORIA!$A:$N,4,FALSE)</f>
        <v>CIMENTAÇÃO SANITÁRIA</v>
      </c>
      <c r="E97" s="23" t="str">
        <f>VLOOKUP(A97,MEMORIA!$A:$N,5,FALSE)</f>
        <v>M</v>
      </c>
      <c r="F97" s="5">
        <f>VLOOKUP(A97,MEMORIA!$A:$N,14,FALSE)</f>
        <v>10</v>
      </c>
      <c r="G97" s="5">
        <f>VLOOKUP(A97,ORCAMENTO!$A:$I,7,FALSE)</f>
        <v>98.79</v>
      </c>
      <c r="H97" s="5">
        <f>VLOOKUP(A97,ORCAMENTO!$A:$I,8,FALSE)</f>
        <v>120.85000000000001</v>
      </c>
      <c r="I97" s="5">
        <f t="shared" si="26"/>
        <v>1208.5</v>
      </c>
      <c r="J97" s="5">
        <f t="shared" si="27"/>
        <v>1208.5</v>
      </c>
      <c r="K97" s="5">
        <f t="shared" si="32"/>
        <v>10</v>
      </c>
      <c r="L97" s="25">
        <f t="shared" si="18"/>
        <v>1</v>
      </c>
      <c r="M97" s="5">
        <f t="shared" si="28"/>
        <v>0</v>
      </c>
      <c r="N97" s="5">
        <v>0</v>
      </c>
      <c r="O97" s="25">
        <f t="shared" si="19"/>
        <v>0</v>
      </c>
      <c r="P97" s="5">
        <f t="shared" si="29"/>
        <v>0</v>
      </c>
      <c r="Q97" s="5">
        <v>0</v>
      </c>
      <c r="R97" s="25">
        <f t="shared" si="20"/>
        <v>0</v>
      </c>
      <c r="S97" s="5">
        <f t="shared" si="30"/>
        <v>0</v>
      </c>
      <c r="T97" s="5">
        <v>0</v>
      </c>
      <c r="U97" s="25">
        <f t="shared" si="21"/>
        <v>0</v>
      </c>
      <c r="V97" s="5">
        <f t="shared" si="31"/>
        <v>0</v>
      </c>
      <c r="W97" s="5">
        <v>0</v>
      </c>
      <c r="X97" s="25">
        <f t="shared" si="22"/>
        <v>0</v>
      </c>
      <c r="Y97" s="5">
        <f t="shared" si="23"/>
        <v>1208.5</v>
      </c>
      <c r="Z97" s="25">
        <f t="shared" si="24"/>
        <v>1</v>
      </c>
      <c r="AA97" s="25">
        <f t="shared" si="25"/>
        <v>7.4974365250180149E-4</v>
      </c>
    </row>
    <row r="98" spans="1:27" ht="28.8" x14ac:dyDescent="0.3">
      <c r="A98" s="23" t="s">
        <v>239</v>
      </c>
      <c r="B98" s="23" t="str">
        <f>VLOOKUP(A98,MEMORIA!$A:$N,2,FALSE)</f>
        <v>COMPOS11</v>
      </c>
      <c r="C98" s="23" t="str">
        <f>VLOOKUP(A98,MEMORIA!$A:$N,3,FALSE)</f>
        <v>PRÓPRIA</v>
      </c>
      <c r="D98" s="24" t="str">
        <f>VLOOKUP(A98,MEMORIA!$A:$N,4,FALSE)</f>
        <v>LAJE DE PROTEÇÃO EM CONCRETO (1,0 M X 1,0 M X 0,15 M)</v>
      </c>
      <c r="E98" s="23" t="str">
        <f>VLOOKUP(A98,MEMORIA!$A:$N,5,FALSE)</f>
        <v>M³</v>
      </c>
      <c r="F98" s="5">
        <f>VLOOKUP(A98,MEMORIA!$A:$N,14,FALSE)</f>
        <v>0.15</v>
      </c>
      <c r="G98" s="5">
        <f>VLOOKUP(A98,ORCAMENTO!$A:$I,7,FALSE)</f>
        <v>1246.81</v>
      </c>
      <c r="H98" s="5">
        <f>VLOOKUP(A98,ORCAMENTO!$A:$I,8,FALSE)</f>
        <v>1525.22</v>
      </c>
      <c r="I98" s="5">
        <f t="shared" si="26"/>
        <v>228.78</v>
      </c>
      <c r="J98" s="5">
        <f t="shared" si="27"/>
        <v>228.78</v>
      </c>
      <c r="K98" s="5">
        <f t="shared" si="32"/>
        <v>0.15</v>
      </c>
      <c r="L98" s="25">
        <f t="shared" si="18"/>
        <v>1</v>
      </c>
      <c r="M98" s="5">
        <f t="shared" si="28"/>
        <v>0</v>
      </c>
      <c r="N98" s="5">
        <v>0</v>
      </c>
      <c r="O98" s="25">
        <f t="shared" si="19"/>
        <v>0</v>
      </c>
      <c r="P98" s="5">
        <f t="shared" si="29"/>
        <v>0</v>
      </c>
      <c r="Q98" s="5">
        <v>0</v>
      </c>
      <c r="R98" s="25">
        <f t="shared" si="20"/>
        <v>0</v>
      </c>
      <c r="S98" s="5">
        <f t="shared" si="30"/>
        <v>0</v>
      </c>
      <c r="T98" s="5">
        <v>0</v>
      </c>
      <c r="U98" s="25">
        <f t="shared" si="21"/>
        <v>0</v>
      </c>
      <c r="V98" s="5">
        <f t="shared" si="31"/>
        <v>0</v>
      </c>
      <c r="W98" s="5">
        <v>0</v>
      </c>
      <c r="X98" s="25">
        <f t="shared" si="22"/>
        <v>0</v>
      </c>
      <c r="Y98" s="5">
        <f t="shared" si="23"/>
        <v>228.78</v>
      </c>
      <c r="Z98" s="25">
        <f t="shared" si="24"/>
        <v>1</v>
      </c>
      <c r="AA98" s="25">
        <f t="shared" si="25"/>
        <v>1.4193326671027072E-4</v>
      </c>
    </row>
    <row r="99" spans="1:27" x14ac:dyDescent="0.3">
      <c r="A99" s="23" t="s">
        <v>240</v>
      </c>
      <c r="B99" s="23" t="str">
        <f>VLOOKUP(A99,MEMORIA!$A:$N,2,FALSE)</f>
        <v>COMPOS12</v>
      </c>
      <c r="C99" s="23" t="str">
        <f>VLOOKUP(A99,MEMORIA!$A:$N,3,FALSE)</f>
        <v>PRÓPRIA</v>
      </c>
      <c r="D99" s="24" t="str">
        <f>VLOOKUP(A99,MEMORIA!$A:$N,4,FALSE)</f>
        <v>DESENVOLVIMENTO COM BOMBA SUBMERSA</v>
      </c>
      <c r="E99" s="23" t="str">
        <f>VLOOKUP(A99,MEMORIA!$A:$N,5,FALSE)</f>
        <v>H</v>
      </c>
      <c r="F99" s="5">
        <f>VLOOKUP(A99,MEMORIA!$A:$N,14,FALSE)</f>
        <v>6</v>
      </c>
      <c r="G99" s="5">
        <f>VLOOKUP(A99,ORCAMENTO!$A:$I,7,FALSE)</f>
        <v>515.70000000000005</v>
      </c>
      <c r="H99" s="5">
        <f>VLOOKUP(A99,ORCAMENTO!$A:$I,8,FALSE)</f>
        <v>630.86</v>
      </c>
      <c r="I99" s="5">
        <f t="shared" si="26"/>
        <v>3785.16</v>
      </c>
      <c r="J99" s="5">
        <f t="shared" si="27"/>
        <v>3785.16</v>
      </c>
      <c r="K99" s="5">
        <f t="shared" si="32"/>
        <v>6</v>
      </c>
      <c r="L99" s="25">
        <f t="shared" si="18"/>
        <v>1</v>
      </c>
      <c r="M99" s="5">
        <f t="shared" si="28"/>
        <v>0</v>
      </c>
      <c r="N99" s="5">
        <v>0</v>
      </c>
      <c r="O99" s="25">
        <f t="shared" si="19"/>
        <v>0</v>
      </c>
      <c r="P99" s="5">
        <f t="shared" si="29"/>
        <v>0</v>
      </c>
      <c r="Q99" s="5">
        <v>0</v>
      </c>
      <c r="R99" s="25">
        <f t="shared" si="20"/>
        <v>0</v>
      </c>
      <c r="S99" s="5">
        <f t="shared" si="30"/>
        <v>0</v>
      </c>
      <c r="T99" s="5">
        <v>0</v>
      </c>
      <c r="U99" s="25">
        <f t="shared" si="21"/>
        <v>0</v>
      </c>
      <c r="V99" s="5">
        <f t="shared" si="31"/>
        <v>0</v>
      </c>
      <c r="W99" s="5">
        <v>0</v>
      </c>
      <c r="X99" s="25">
        <f t="shared" si="22"/>
        <v>0</v>
      </c>
      <c r="Y99" s="5">
        <f t="shared" si="23"/>
        <v>3785.16</v>
      </c>
      <c r="Z99" s="25">
        <f t="shared" si="24"/>
        <v>1</v>
      </c>
      <c r="AA99" s="25">
        <f t="shared" si="25"/>
        <v>2.3482827337225642E-3</v>
      </c>
    </row>
    <row r="100" spans="1:27" x14ac:dyDescent="0.3">
      <c r="A100" s="23" t="s">
        <v>241</v>
      </c>
      <c r="B100" s="23" t="str">
        <f>VLOOKUP(A100,MEMORIA!$A:$N,2,FALSE)</f>
        <v>COMPOS13</v>
      </c>
      <c r="C100" s="23" t="str">
        <f>VLOOKUP(A100,MEMORIA!$A:$N,3,FALSE)</f>
        <v>PRÓPRIA</v>
      </c>
      <c r="D100" s="24" t="str">
        <f>VLOOKUP(A100,MEMORIA!$A:$N,4,FALSE)</f>
        <v>TESTE VAZÃO COM BOMBA SUBMERSA</v>
      </c>
      <c r="E100" s="23" t="str">
        <f>VLOOKUP(A100,MEMORIA!$A:$N,5,FALSE)</f>
        <v>H</v>
      </c>
      <c r="F100" s="5">
        <f>VLOOKUP(A100,MEMORIA!$A:$N,14,FALSE)</f>
        <v>24</v>
      </c>
      <c r="G100" s="5">
        <f>VLOOKUP(A100,ORCAMENTO!$A:$I,7,FALSE)</f>
        <v>97.789999999999992</v>
      </c>
      <c r="H100" s="5">
        <f>VLOOKUP(A100,ORCAMENTO!$A:$I,8,FALSE)</f>
        <v>119.63</v>
      </c>
      <c r="I100" s="5">
        <f t="shared" si="26"/>
        <v>2871.12</v>
      </c>
      <c r="J100" s="5">
        <f t="shared" si="27"/>
        <v>2871.12</v>
      </c>
      <c r="K100" s="5">
        <f t="shared" si="32"/>
        <v>24</v>
      </c>
      <c r="L100" s="25">
        <f t="shared" si="18"/>
        <v>1</v>
      </c>
      <c r="M100" s="5">
        <f t="shared" si="28"/>
        <v>0</v>
      </c>
      <c r="N100" s="5">
        <v>0</v>
      </c>
      <c r="O100" s="25">
        <f t="shared" si="19"/>
        <v>0</v>
      </c>
      <c r="P100" s="5">
        <f t="shared" si="29"/>
        <v>0</v>
      </c>
      <c r="Q100" s="5">
        <v>0</v>
      </c>
      <c r="R100" s="25">
        <f t="shared" si="20"/>
        <v>0</v>
      </c>
      <c r="S100" s="5">
        <f t="shared" si="30"/>
        <v>0</v>
      </c>
      <c r="T100" s="5">
        <v>0</v>
      </c>
      <c r="U100" s="25">
        <f t="shared" si="21"/>
        <v>0</v>
      </c>
      <c r="V100" s="5">
        <f t="shared" si="31"/>
        <v>0</v>
      </c>
      <c r="W100" s="5">
        <v>0</v>
      </c>
      <c r="X100" s="25">
        <f t="shared" si="22"/>
        <v>0</v>
      </c>
      <c r="Y100" s="5">
        <f t="shared" si="23"/>
        <v>2871.12</v>
      </c>
      <c r="Z100" s="25">
        <f t="shared" si="24"/>
        <v>1</v>
      </c>
      <c r="AA100" s="25">
        <f t="shared" si="25"/>
        <v>1.7812196901704363E-3</v>
      </c>
    </row>
    <row r="101" spans="1:27" x14ac:dyDescent="0.3">
      <c r="A101" s="23" t="s">
        <v>242</v>
      </c>
      <c r="B101" s="23" t="str">
        <f>VLOOKUP(A101,MEMORIA!$A:$N,2,FALSE)</f>
        <v>COMPOS14</v>
      </c>
      <c r="C101" s="23" t="str">
        <f>VLOOKUP(A101,MEMORIA!$A:$N,3,FALSE)</f>
        <v>PRÓPRIA</v>
      </c>
      <c r="D101" s="24" t="str">
        <f>VLOOKUP(A101,MEMORIA!$A:$N,4,FALSE)</f>
        <v>DESINFECÇÃO</v>
      </c>
      <c r="E101" s="23" t="str">
        <f>VLOOKUP(A101,MEMORIA!$A:$N,5,FALSE)</f>
        <v>H</v>
      </c>
      <c r="F101" s="5">
        <f>VLOOKUP(A101,MEMORIA!$A:$N,14,FALSE)</f>
        <v>4</v>
      </c>
      <c r="G101" s="5">
        <f>VLOOKUP(A101,ORCAMENTO!$A:$I,7,FALSE)</f>
        <v>102.36000000000003</v>
      </c>
      <c r="H101" s="5">
        <f>VLOOKUP(A101,ORCAMENTO!$A:$I,8,FALSE)</f>
        <v>125.22000000000003</v>
      </c>
      <c r="I101" s="5">
        <f t="shared" si="26"/>
        <v>500.88</v>
      </c>
      <c r="J101" s="5">
        <f t="shared" si="27"/>
        <v>500.88</v>
      </c>
      <c r="K101" s="5">
        <f t="shared" si="32"/>
        <v>4</v>
      </c>
      <c r="L101" s="25">
        <f t="shared" si="18"/>
        <v>1</v>
      </c>
      <c r="M101" s="5">
        <f t="shared" si="28"/>
        <v>0</v>
      </c>
      <c r="N101" s="5">
        <v>0</v>
      </c>
      <c r="O101" s="25">
        <f t="shared" si="19"/>
        <v>0</v>
      </c>
      <c r="P101" s="5">
        <f t="shared" si="29"/>
        <v>0</v>
      </c>
      <c r="Q101" s="5">
        <v>0</v>
      </c>
      <c r="R101" s="25">
        <f t="shared" si="20"/>
        <v>0</v>
      </c>
      <c r="S101" s="5">
        <f t="shared" si="30"/>
        <v>0</v>
      </c>
      <c r="T101" s="5">
        <v>0</v>
      </c>
      <c r="U101" s="25">
        <f t="shared" si="21"/>
        <v>0</v>
      </c>
      <c r="V101" s="5">
        <f t="shared" si="31"/>
        <v>0</v>
      </c>
      <c r="W101" s="5">
        <v>0</v>
      </c>
      <c r="X101" s="25">
        <f t="shared" si="22"/>
        <v>0</v>
      </c>
      <c r="Y101" s="5">
        <f t="shared" si="23"/>
        <v>500.88</v>
      </c>
      <c r="Z101" s="25">
        <f t="shared" si="24"/>
        <v>1</v>
      </c>
      <c r="AA101" s="25">
        <f t="shared" si="25"/>
        <v>3.107419120108418E-4</v>
      </c>
    </row>
    <row r="102" spans="1:27" x14ac:dyDescent="0.3">
      <c r="A102" s="23" t="s">
        <v>243</v>
      </c>
      <c r="B102" s="23" t="str">
        <f>VLOOKUP(A102,MEMORIA!$A:$N,2,FALSE)</f>
        <v>COMPOS15</v>
      </c>
      <c r="C102" s="23" t="str">
        <f>VLOOKUP(A102,MEMORIA!$A:$N,3,FALSE)</f>
        <v>PRÓPRIA</v>
      </c>
      <c r="D102" s="24" t="str">
        <f>VLOOKUP(A102,MEMORIA!$A:$N,4,FALSE)</f>
        <v>RELATÓRIO TÉCNICO</v>
      </c>
      <c r="E102" s="23" t="str">
        <f>VLOOKUP(A102,MEMORIA!$A:$N,5,FALSE)</f>
        <v>UN</v>
      </c>
      <c r="F102" s="5">
        <f>VLOOKUP(A102,MEMORIA!$A:$N,14,FALSE)</f>
        <v>1</v>
      </c>
      <c r="G102" s="5">
        <f>VLOOKUP(A102,ORCAMENTO!$A:$I,7,FALSE)</f>
        <v>1110.2</v>
      </c>
      <c r="H102" s="5">
        <f>VLOOKUP(A102,ORCAMENTO!$A:$I,8,FALSE)</f>
        <v>1358.1100000000001</v>
      </c>
      <c r="I102" s="5">
        <f t="shared" si="26"/>
        <v>1358.11</v>
      </c>
      <c r="J102" s="5">
        <f t="shared" si="27"/>
        <v>1358.11</v>
      </c>
      <c r="K102" s="5">
        <f t="shared" si="32"/>
        <v>1</v>
      </c>
      <c r="L102" s="25">
        <f t="shared" si="18"/>
        <v>1</v>
      </c>
      <c r="M102" s="5">
        <f t="shared" si="28"/>
        <v>0</v>
      </c>
      <c r="N102" s="5">
        <v>0</v>
      </c>
      <c r="O102" s="25">
        <f t="shared" si="19"/>
        <v>0</v>
      </c>
      <c r="P102" s="5">
        <f t="shared" si="29"/>
        <v>0</v>
      </c>
      <c r="Q102" s="5">
        <v>0</v>
      </c>
      <c r="R102" s="25">
        <f t="shared" si="20"/>
        <v>0</v>
      </c>
      <c r="S102" s="5">
        <f t="shared" si="30"/>
        <v>0</v>
      </c>
      <c r="T102" s="5">
        <v>0</v>
      </c>
      <c r="U102" s="25">
        <f t="shared" si="21"/>
        <v>0</v>
      </c>
      <c r="V102" s="5">
        <f t="shared" si="31"/>
        <v>0</v>
      </c>
      <c r="W102" s="5">
        <v>0</v>
      </c>
      <c r="X102" s="25">
        <f t="shared" si="22"/>
        <v>0</v>
      </c>
      <c r="Y102" s="5">
        <f t="shared" si="23"/>
        <v>1358.11</v>
      </c>
      <c r="Z102" s="25">
        <f t="shared" si="24"/>
        <v>1</v>
      </c>
      <c r="AA102" s="25">
        <f t="shared" si="25"/>
        <v>8.4256048978007577E-4</v>
      </c>
    </row>
    <row r="103" spans="1:27" x14ac:dyDescent="0.3">
      <c r="A103" s="23" t="s">
        <v>244</v>
      </c>
      <c r="B103" s="23" t="str">
        <f>VLOOKUP(A103,MEMORIA!$A:$N,2,FALSE)</f>
        <v>COMPOS16</v>
      </c>
      <c r="C103" s="23" t="str">
        <f>VLOOKUP(A103,MEMORIA!$A:$N,3,FALSE)</f>
        <v>PRÓPRIA</v>
      </c>
      <c r="D103" s="24" t="str">
        <f>VLOOKUP(A103,MEMORIA!$A:$N,4,FALSE)</f>
        <v>ANÁLISE FÍSICO-QUÍMICA DA ÁGUA</v>
      </c>
      <c r="E103" s="23" t="str">
        <f>VLOOKUP(A103,MEMORIA!$A:$N,5,FALSE)</f>
        <v>UN</v>
      </c>
      <c r="F103" s="5">
        <f>VLOOKUP(A103,MEMORIA!$A:$N,14,FALSE)</f>
        <v>1</v>
      </c>
      <c r="G103" s="5">
        <f>VLOOKUP(A103,ORCAMENTO!$A:$I,7,FALSE)</f>
        <v>565.21</v>
      </c>
      <c r="H103" s="5">
        <f>VLOOKUP(A103,ORCAMENTO!$A:$I,8,FALSE)</f>
        <v>691.42000000000007</v>
      </c>
      <c r="I103" s="5">
        <f t="shared" si="26"/>
        <v>691.42</v>
      </c>
      <c r="J103" s="5">
        <f t="shared" si="27"/>
        <v>691.42</v>
      </c>
      <c r="K103" s="5">
        <f t="shared" si="32"/>
        <v>1</v>
      </c>
      <c r="L103" s="25">
        <f t="shared" si="18"/>
        <v>1</v>
      </c>
      <c r="M103" s="5">
        <f t="shared" si="28"/>
        <v>0</v>
      </c>
      <c r="N103" s="5">
        <v>0</v>
      </c>
      <c r="O103" s="25">
        <f t="shared" si="19"/>
        <v>0</v>
      </c>
      <c r="P103" s="5">
        <f t="shared" si="29"/>
        <v>0</v>
      </c>
      <c r="Q103" s="5">
        <v>0</v>
      </c>
      <c r="R103" s="25">
        <f t="shared" si="20"/>
        <v>0</v>
      </c>
      <c r="S103" s="5">
        <f t="shared" si="30"/>
        <v>0</v>
      </c>
      <c r="T103" s="5">
        <v>0</v>
      </c>
      <c r="U103" s="25">
        <f t="shared" si="21"/>
        <v>0</v>
      </c>
      <c r="V103" s="5">
        <f t="shared" si="31"/>
        <v>0</v>
      </c>
      <c r="W103" s="5">
        <v>0</v>
      </c>
      <c r="X103" s="25">
        <f t="shared" si="22"/>
        <v>0</v>
      </c>
      <c r="Y103" s="5">
        <f t="shared" si="23"/>
        <v>691.42</v>
      </c>
      <c r="Z103" s="25">
        <f t="shared" si="24"/>
        <v>1</v>
      </c>
      <c r="AA103" s="25">
        <f t="shared" si="25"/>
        <v>4.2895139115663682E-4</v>
      </c>
    </row>
    <row r="104" spans="1:27" ht="43.2" x14ac:dyDescent="0.3">
      <c r="A104" s="23" t="s">
        <v>245</v>
      </c>
      <c r="B104" s="23" t="str">
        <f>VLOOKUP(A104,MEMORIA!$A:$N,2,FALSE)</f>
        <v>COMPOS1</v>
      </c>
      <c r="C104" s="23" t="str">
        <f>VLOOKUP(A104,MEMORIA!$A:$N,3,FALSE)</f>
        <v>PRÓPRIA</v>
      </c>
      <c r="D104" s="24" t="str">
        <f>VLOOKUP(A104,MEMORIA!$A:$N,4,FALSE)</f>
        <v>FORNECIMENTO E INSTALAÇÃO DE REVESTIMENTO GEOMECÂNICO STANDART DN-154-S</v>
      </c>
      <c r="E104" s="23" t="str">
        <f>VLOOKUP(A104,MEMORIA!$A:$N,5,FALSE)</f>
        <v>M</v>
      </c>
      <c r="F104" s="5">
        <f>VLOOKUP(A104,MEMORIA!$A:$N,14,FALSE)</f>
        <v>21</v>
      </c>
      <c r="G104" s="5">
        <f>VLOOKUP(A104,ORCAMENTO!$A:$I,7,FALSE)</f>
        <v>170.76</v>
      </c>
      <c r="H104" s="5">
        <f>VLOOKUP(A104,ORCAMENTO!$A:$I,8,FALSE)</f>
        <v>208.89</v>
      </c>
      <c r="I104" s="5">
        <f t="shared" si="26"/>
        <v>4386.6899999999996</v>
      </c>
      <c r="J104" s="5">
        <f t="shared" si="27"/>
        <v>4386.6899999999996</v>
      </c>
      <c r="K104" s="5">
        <f t="shared" si="32"/>
        <v>21</v>
      </c>
      <c r="L104" s="25">
        <f t="shared" si="18"/>
        <v>1</v>
      </c>
      <c r="M104" s="5">
        <f t="shared" si="28"/>
        <v>0</v>
      </c>
      <c r="N104" s="5">
        <v>0</v>
      </c>
      <c r="O104" s="25">
        <f t="shared" si="19"/>
        <v>0</v>
      </c>
      <c r="P104" s="5">
        <f t="shared" si="29"/>
        <v>0</v>
      </c>
      <c r="Q104" s="5">
        <v>0</v>
      </c>
      <c r="R104" s="25">
        <f t="shared" si="20"/>
        <v>0</v>
      </c>
      <c r="S104" s="5">
        <f t="shared" si="30"/>
        <v>0</v>
      </c>
      <c r="T104" s="5">
        <v>0</v>
      </c>
      <c r="U104" s="25">
        <f t="shared" si="21"/>
        <v>0</v>
      </c>
      <c r="V104" s="5">
        <f t="shared" si="31"/>
        <v>0</v>
      </c>
      <c r="W104" s="5">
        <v>0</v>
      </c>
      <c r="X104" s="25">
        <f t="shared" si="22"/>
        <v>0</v>
      </c>
      <c r="Y104" s="5">
        <f t="shared" si="23"/>
        <v>4386.6899999999996</v>
      </c>
      <c r="Z104" s="25">
        <f t="shared" si="24"/>
        <v>1</v>
      </c>
      <c r="AA104" s="25">
        <f t="shared" si="25"/>
        <v>2.7214670939123935E-3</v>
      </c>
    </row>
    <row r="105" spans="1:27" ht="28.8" x14ac:dyDescent="0.3">
      <c r="A105" s="23" t="s">
        <v>246</v>
      </c>
      <c r="B105" s="23" t="str">
        <f>VLOOKUP(A105,MEMORIA!$A:$N,2,FALSE)</f>
        <v>COMPOS2</v>
      </c>
      <c r="C105" s="23" t="str">
        <f>VLOOKUP(A105,MEMORIA!$A:$N,3,FALSE)</f>
        <v>PRÓPRIA</v>
      </c>
      <c r="D105" s="24" t="str">
        <f>VLOOKUP(A105,MEMORIA!$A:$N,4,FALSE)</f>
        <v>FORNECIMENTO E INSTALAÇÃO DE TAMPA PARA POÇO</v>
      </c>
      <c r="E105" s="23" t="str">
        <f>VLOOKUP(A105,MEMORIA!$A:$N,5,FALSE)</f>
        <v>UN</v>
      </c>
      <c r="F105" s="5">
        <f>VLOOKUP(A105,MEMORIA!$A:$N,14,FALSE)</f>
        <v>1</v>
      </c>
      <c r="G105" s="5">
        <f>VLOOKUP(A105,ORCAMENTO!$A:$I,7,FALSE)</f>
        <v>109.94</v>
      </c>
      <c r="H105" s="5">
        <f>VLOOKUP(A105,ORCAMENTO!$A:$I,8,FALSE)</f>
        <v>134.49</v>
      </c>
      <c r="I105" s="5">
        <f t="shared" si="26"/>
        <v>134.49</v>
      </c>
      <c r="J105" s="5">
        <f t="shared" si="27"/>
        <v>134.49</v>
      </c>
      <c r="K105" s="5">
        <f t="shared" si="32"/>
        <v>1</v>
      </c>
      <c r="L105" s="25">
        <f t="shared" si="18"/>
        <v>1</v>
      </c>
      <c r="M105" s="5">
        <f t="shared" si="28"/>
        <v>0</v>
      </c>
      <c r="N105" s="5">
        <v>0</v>
      </c>
      <c r="O105" s="25">
        <f t="shared" si="19"/>
        <v>0</v>
      </c>
      <c r="P105" s="5">
        <f t="shared" si="29"/>
        <v>0</v>
      </c>
      <c r="Q105" s="5">
        <v>0</v>
      </c>
      <c r="R105" s="25">
        <f t="shared" si="20"/>
        <v>0</v>
      </c>
      <c r="S105" s="5">
        <f t="shared" si="30"/>
        <v>0</v>
      </c>
      <c r="T105" s="5">
        <v>0</v>
      </c>
      <c r="U105" s="25">
        <f t="shared" si="21"/>
        <v>0</v>
      </c>
      <c r="V105" s="5">
        <f t="shared" si="31"/>
        <v>0</v>
      </c>
      <c r="W105" s="5">
        <v>0</v>
      </c>
      <c r="X105" s="25">
        <f t="shared" si="22"/>
        <v>0</v>
      </c>
      <c r="Y105" s="5">
        <f t="shared" si="23"/>
        <v>134.49</v>
      </c>
      <c r="Z105" s="25">
        <f t="shared" si="24"/>
        <v>1</v>
      </c>
      <c r="AA105" s="25">
        <f t="shared" si="25"/>
        <v>8.3436511232906329E-5</v>
      </c>
    </row>
    <row r="106" spans="1:27" x14ac:dyDescent="0.3">
      <c r="A106" s="12" t="s">
        <v>44</v>
      </c>
      <c r="B106" s="51" t="str">
        <f>VLOOKUP(A106,MEMORIA!$A:$N,2,FALSE)</f>
        <v>AQUISIÇÃO E INSTALAÇÃO DE EQUIPAMENTOS DE BOMBEAMENTO, RECALQUE/BARRILETE E CONEXÕES PARA INTERLIGAÇÃO COM RESERVATÓRIO</v>
      </c>
      <c r="C106" s="52"/>
      <c r="D106" s="52"/>
      <c r="E106" s="52"/>
      <c r="F106" s="52"/>
      <c r="G106" s="52"/>
      <c r="H106" s="53"/>
      <c r="I106" s="13">
        <f>SUM(I$107:I$109)</f>
        <v>10148.990000000002</v>
      </c>
      <c r="J106" s="13">
        <f>SUM(J$107:J$109)</f>
        <v>10148.990000000002</v>
      </c>
      <c r="K106" s="13"/>
      <c r="L106" s="14">
        <f t="shared" si="18"/>
        <v>1</v>
      </c>
      <c r="M106" s="13">
        <f>SUM(M$107:M$109)</f>
        <v>0</v>
      </c>
      <c r="N106" s="13"/>
      <c r="O106" s="14">
        <f t="shared" si="19"/>
        <v>0</v>
      </c>
      <c r="P106" s="13">
        <f>SUM(P$107:P$109)</f>
        <v>0</v>
      </c>
      <c r="Q106" s="13"/>
      <c r="R106" s="14">
        <f t="shared" si="20"/>
        <v>0</v>
      </c>
      <c r="S106" s="13">
        <f>SUM(S$107:S$109)</f>
        <v>0</v>
      </c>
      <c r="T106" s="13"/>
      <c r="U106" s="14">
        <f t="shared" si="21"/>
        <v>0</v>
      </c>
      <c r="V106" s="13">
        <f>SUM(V$107:V$109)</f>
        <v>0</v>
      </c>
      <c r="W106" s="13"/>
      <c r="X106" s="14">
        <f t="shared" si="22"/>
        <v>0</v>
      </c>
      <c r="Y106" s="13">
        <f t="shared" si="23"/>
        <v>10148.990000000002</v>
      </c>
      <c r="Z106" s="14">
        <f t="shared" si="24"/>
        <v>1</v>
      </c>
      <c r="AA106" s="14">
        <f t="shared" si="25"/>
        <v>6.2963515364536692E-3</v>
      </c>
    </row>
    <row r="107" spans="1:27" ht="43.2" x14ac:dyDescent="0.3">
      <c r="A107" s="23" t="s">
        <v>247</v>
      </c>
      <c r="B107" s="23" t="str">
        <f>VLOOKUP(A107,MEMORIA!$A:$N,2,FALSE)</f>
        <v>COMPOS19</v>
      </c>
      <c r="C107" s="23" t="str">
        <f>VLOOKUP(A107,MEMORIA!$A:$N,3,FALSE)</f>
        <v>PRÓPRIA</v>
      </c>
      <c r="D107" s="24" t="str">
        <f>VLOOKUP(A107,MEMORIA!$A:$N,4,FALSE)</f>
        <v>FORNECIMENTO E INSTALAÇÃO DE TUBO EDUTOR DE PVC DE 1.1/2'' COM LUVA</v>
      </c>
      <c r="E107" s="23" t="str">
        <f>VLOOKUP(A107,MEMORIA!$A:$N,5,FALSE)</f>
        <v>M</v>
      </c>
      <c r="F107" s="5">
        <f>VLOOKUP(A107,MEMORIA!$A:$N,14,FALSE)</f>
        <v>110</v>
      </c>
      <c r="G107" s="5">
        <f>VLOOKUP(A107,ORCAMENTO!$A:$I,7,FALSE)</f>
        <v>46.25</v>
      </c>
      <c r="H107" s="5">
        <f>VLOOKUP(A107,ORCAMENTO!$A:$I,8,FALSE)</f>
        <v>56.58</v>
      </c>
      <c r="I107" s="5">
        <f>ROUND(F107*H107,2)</f>
        <v>6223.8</v>
      </c>
      <c r="J107" s="5">
        <f>ROUND(K107*$H107,2)</f>
        <v>6223.8</v>
      </c>
      <c r="K107" s="5">
        <f>F107</f>
        <v>110</v>
      </c>
      <c r="L107" s="25">
        <f t="shared" si="18"/>
        <v>1</v>
      </c>
      <c r="M107" s="5">
        <f>ROUND(N107*$H107,2)</f>
        <v>0</v>
      </c>
      <c r="N107" s="5">
        <v>0</v>
      </c>
      <c r="O107" s="25">
        <f t="shared" si="19"/>
        <v>0</v>
      </c>
      <c r="P107" s="5">
        <f>ROUND(Q107*$H107,2)</f>
        <v>0</v>
      </c>
      <c r="Q107" s="5">
        <v>0</v>
      </c>
      <c r="R107" s="25">
        <f t="shared" si="20"/>
        <v>0</v>
      </c>
      <c r="S107" s="5">
        <f>ROUND(T107*$H107,2)</f>
        <v>0</v>
      </c>
      <c r="T107" s="5">
        <v>0</v>
      </c>
      <c r="U107" s="25">
        <f t="shared" si="21"/>
        <v>0</v>
      </c>
      <c r="V107" s="5">
        <f>ROUND(W107*$H107,2)</f>
        <v>0</v>
      </c>
      <c r="W107" s="5">
        <v>0</v>
      </c>
      <c r="X107" s="25">
        <f t="shared" si="22"/>
        <v>0</v>
      </c>
      <c r="Y107" s="5">
        <f t="shared" si="23"/>
        <v>6223.8</v>
      </c>
      <c r="Z107" s="25">
        <f t="shared" si="24"/>
        <v>1</v>
      </c>
      <c r="AA107" s="25">
        <f t="shared" si="25"/>
        <v>3.8611953201826334E-3</v>
      </c>
    </row>
    <row r="108" spans="1:27" x14ac:dyDescent="0.3">
      <c r="A108" s="23" t="s">
        <v>248</v>
      </c>
      <c r="B108" s="23" t="str">
        <f>VLOOKUP(A108,MEMORIA!$A:$N,2,FALSE)</f>
        <v>COMPOS21</v>
      </c>
      <c r="C108" s="23" t="str">
        <f>VLOOKUP(A108,MEMORIA!$A:$N,3,FALSE)</f>
        <v>PRÓPRIA</v>
      </c>
      <c r="D108" s="24" t="str">
        <f>VLOOKUP(A108,MEMORIA!$A:$N,4,FALSE)</f>
        <v>BARRILETE (CURVAS E CONEXÕES)</v>
      </c>
      <c r="E108" s="23" t="str">
        <f>VLOOKUP(A108,MEMORIA!$A:$N,5,FALSE)</f>
        <v>UN</v>
      </c>
      <c r="F108" s="5">
        <f>VLOOKUP(A108,MEMORIA!$A:$N,14,FALSE)</f>
        <v>1</v>
      </c>
      <c r="G108" s="5">
        <f>VLOOKUP(A108,ORCAMENTO!$A:$I,7,FALSE)</f>
        <v>2147.0500000000002</v>
      </c>
      <c r="H108" s="5">
        <f>VLOOKUP(A108,ORCAMENTO!$A:$I,8,FALSE)</f>
        <v>2626.4900000000002</v>
      </c>
      <c r="I108" s="5">
        <f>ROUND(F108*H108,2)</f>
        <v>2626.49</v>
      </c>
      <c r="J108" s="5">
        <f>ROUND(K108*$H108,2)</f>
        <v>2626.49</v>
      </c>
      <c r="K108" s="5">
        <f t="shared" ref="K108:K109" si="33">F108</f>
        <v>1</v>
      </c>
      <c r="L108" s="25">
        <f t="shared" si="18"/>
        <v>1</v>
      </c>
      <c r="M108" s="5">
        <f>ROUND(N108*$H108,2)</f>
        <v>0</v>
      </c>
      <c r="N108" s="5">
        <v>0</v>
      </c>
      <c r="O108" s="25">
        <f t="shared" si="19"/>
        <v>0</v>
      </c>
      <c r="P108" s="5">
        <f>ROUND(Q108*$H108,2)</f>
        <v>0</v>
      </c>
      <c r="Q108" s="5">
        <v>0</v>
      </c>
      <c r="R108" s="25">
        <f t="shared" si="20"/>
        <v>0</v>
      </c>
      <c r="S108" s="5">
        <f>ROUND(T108*$H108,2)</f>
        <v>0</v>
      </c>
      <c r="T108" s="5">
        <v>0</v>
      </c>
      <c r="U108" s="25">
        <f t="shared" si="21"/>
        <v>0</v>
      </c>
      <c r="V108" s="5">
        <f>ROUND(W108*$H108,2)</f>
        <v>0</v>
      </c>
      <c r="W108" s="5">
        <v>0</v>
      </c>
      <c r="X108" s="25">
        <f t="shared" si="22"/>
        <v>0</v>
      </c>
      <c r="Y108" s="5">
        <f t="shared" si="23"/>
        <v>2626.49</v>
      </c>
      <c r="Z108" s="25">
        <f t="shared" si="24"/>
        <v>1</v>
      </c>
      <c r="AA108" s="25">
        <f t="shared" si="25"/>
        <v>1.6294532113028187E-3</v>
      </c>
    </row>
    <row r="109" spans="1:27" ht="28.8" x14ac:dyDescent="0.3">
      <c r="A109" s="23" t="s">
        <v>249</v>
      </c>
      <c r="B109" s="23" t="str">
        <f>VLOOKUP(A109,MEMORIA!$A:$N,2,FALSE)</f>
        <v>COMPOS26</v>
      </c>
      <c r="C109" s="23" t="str">
        <f>VLOOKUP(A109,MEMORIA!$A:$N,3,FALSE)</f>
        <v>PRÓPRIA</v>
      </c>
      <c r="D109" s="24" t="str">
        <f>VLOOKUP(A109,MEMORIA!$A:$N,4,FALSE)</f>
        <v>AQUISIÇÃO E INSTALAÇÃO DE DOSADOR DE CLORO</v>
      </c>
      <c r="E109" s="23" t="str">
        <f>VLOOKUP(A109,MEMORIA!$A:$N,5,FALSE)</f>
        <v>UND</v>
      </c>
      <c r="F109" s="5">
        <f>VLOOKUP(A109,MEMORIA!$A:$N,14,FALSE)</f>
        <v>1</v>
      </c>
      <c r="G109" s="5">
        <f>VLOOKUP(A109,ORCAMENTO!$A:$I,7,FALSE)</f>
        <v>1061.6399999999999</v>
      </c>
      <c r="H109" s="5">
        <f>VLOOKUP(A109,ORCAMENTO!$A:$I,8,FALSE)</f>
        <v>1298.6999999999998</v>
      </c>
      <c r="I109" s="5">
        <f>ROUND(F109*H109,2)</f>
        <v>1298.7</v>
      </c>
      <c r="J109" s="5">
        <f>ROUND(K109*$H109,2)</f>
        <v>1298.7</v>
      </c>
      <c r="K109" s="5">
        <f t="shared" si="33"/>
        <v>1</v>
      </c>
      <c r="L109" s="25">
        <f t="shared" si="18"/>
        <v>1</v>
      </c>
      <c r="M109" s="5">
        <f>ROUND(N109*$H109,2)</f>
        <v>0</v>
      </c>
      <c r="N109" s="5">
        <v>0</v>
      </c>
      <c r="O109" s="25">
        <f t="shared" si="19"/>
        <v>0</v>
      </c>
      <c r="P109" s="5">
        <f>ROUND(Q109*$H109,2)</f>
        <v>0</v>
      </c>
      <c r="Q109" s="5">
        <v>0</v>
      </c>
      <c r="R109" s="25">
        <f t="shared" si="20"/>
        <v>0</v>
      </c>
      <c r="S109" s="5">
        <f>ROUND(T109*$H109,2)</f>
        <v>0</v>
      </c>
      <c r="T109" s="5">
        <v>0</v>
      </c>
      <c r="U109" s="25">
        <f t="shared" si="21"/>
        <v>0</v>
      </c>
      <c r="V109" s="5">
        <f>ROUND(W109*$H109,2)</f>
        <v>0</v>
      </c>
      <c r="W109" s="5">
        <v>0</v>
      </c>
      <c r="X109" s="25">
        <f t="shared" si="22"/>
        <v>0</v>
      </c>
      <c r="Y109" s="5">
        <f t="shared" si="23"/>
        <v>1298.7</v>
      </c>
      <c r="Z109" s="25">
        <f t="shared" si="24"/>
        <v>1</v>
      </c>
      <c r="AA109" s="25">
        <f t="shared" si="25"/>
        <v>8.0570300496821655E-4</v>
      </c>
    </row>
    <row r="110" spans="1:27" x14ac:dyDescent="0.3">
      <c r="A110" s="12" t="s">
        <v>45</v>
      </c>
      <c r="B110" s="51" t="str">
        <f>VLOOKUP(A110,MEMORIA!$A:$N,2,FALSE)</f>
        <v>CONSTRUÇÃO DA CASA DE COMANDO</v>
      </c>
      <c r="C110" s="52"/>
      <c r="D110" s="52"/>
      <c r="E110" s="52"/>
      <c r="F110" s="52"/>
      <c r="G110" s="52"/>
      <c r="H110" s="53"/>
      <c r="I110" s="13">
        <f>SUM(I$111,I$114,I$116,I$120,I$123,I$126,I$129,I$133,I$136,I$139,I$142,)</f>
        <v>20274.329999999998</v>
      </c>
      <c r="J110" s="13">
        <f>SUM(J$111,J$114,J$116,J$120,J$123,J$126,J$129,J$133,J$136,J$139,J$142,)</f>
        <v>20274.329999999998</v>
      </c>
      <c r="K110" s="13"/>
      <c r="L110" s="14">
        <f t="shared" si="18"/>
        <v>1</v>
      </c>
      <c r="M110" s="13">
        <f>SUM(M$111,M$114,M$116,M$120,M$123,M$126,M$129,M$133,M$136,M$139,M$142,)</f>
        <v>0</v>
      </c>
      <c r="N110" s="13"/>
      <c r="O110" s="14">
        <f t="shared" si="19"/>
        <v>0</v>
      </c>
      <c r="P110" s="13">
        <f>SUM(P$111,P$114,P$116,P$120,P$123,P$126,P$129,P$133,P$136,P$139,P$142,)</f>
        <v>0</v>
      </c>
      <c r="Q110" s="13"/>
      <c r="R110" s="14">
        <f t="shared" si="20"/>
        <v>0</v>
      </c>
      <c r="S110" s="13">
        <f>SUM(S$111,S$114,S$116,S$120,S$123,S$126,S$129,S$133,S$136,S$139,S$142,)</f>
        <v>0</v>
      </c>
      <c r="T110" s="13"/>
      <c r="U110" s="14">
        <f t="shared" si="21"/>
        <v>0</v>
      </c>
      <c r="V110" s="13">
        <f>SUM(V$111,V$114,V$116,V$120,V$123,V$126,V$129,V$133,V$136,V$139,V$142,)</f>
        <v>0</v>
      </c>
      <c r="W110" s="13"/>
      <c r="X110" s="14">
        <f t="shared" si="22"/>
        <v>0</v>
      </c>
      <c r="Y110" s="13">
        <f t="shared" si="23"/>
        <v>20274.329999999998</v>
      </c>
      <c r="Z110" s="14">
        <f t="shared" si="24"/>
        <v>1</v>
      </c>
      <c r="AA110" s="14">
        <f t="shared" si="25"/>
        <v>1.2578030803663093E-2</v>
      </c>
    </row>
    <row r="111" spans="1:27" x14ac:dyDescent="0.3">
      <c r="A111" s="15" t="s">
        <v>46</v>
      </c>
      <c r="B111" s="48" t="str">
        <f>VLOOKUP(A111,MEMORIA!$A:$N,2,FALSE)</f>
        <v>SERVIÇOS PRELIMINARES</v>
      </c>
      <c r="C111" s="49"/>
      <c r="D111" s="49"/>
      <c r="E111" s="49"/>
      <c r="F111" s="49"/>
      <c r="G111" s="49"/>
      <c r="H111" s="50"/>
      <c r="I111" s="16">
        <f>SUM(I$112:I$113)</f>
        <v>1315.92</v>
      </c>
      <c r="J111" s="16">
        <f>SUM(J$112:J$113)</f>
        <v>1315.92</v>
      </c>
      <c r="K111" s="16"/>
      <c r="L111" s="17">
        <f t="shared" si="18"/>
        <v>1</v>
      </c>
      <c r="M111" s="16">
        <f>SUM(M$112:M$113)</f>
        <v>0</v>
      </c>
      <c r="N111" s="16"/>
      <c r="O111" s="17">
        <f t="shared" si="19"/>
        <v>0</v>
      </c>
      <c r="P111" s="16">
        <f>SUM(P$112:P$113)</f>
        <v>0</v>
      </c>
      <c r="Q111" s="16"/>
      <c r="R111" s="17">
        <f t="shared" si="20"/>
        <v>0</v>
      </c>
      <c r="S111" s="16">
        <f>SUM(S$112:S$113)</f>
        <v>0</v>
      </c>
      <c r="T111" s="16"/>
      <c r="U111" s="17">
        <f t="shared" si="21"/>
        <v>0</v>
      </c>
      <c r="V111" s="16">
        <f>SUM(V$112:V$113)</f>
        <v>0</v>
      </c>
      <c r="W111" s="16"/>
      <c r="X111" s="17">
        <f t="shared" si="22"/>
        <v>0</v>
      </c>
      <c r="Y111" s="16">
        <f t="shared" si="23"/>
        <v>1315.92</v>
      </c>
      <c r="Z111" s="17">
        <f t="shared" si="24"/>
        <v>1</v>
      </c>
      <c r="AA111" s="17">
        <f t="shared" si="25"/>
        <v>8.1638615407544121E-4</v>
      </c>
    </row>
    <row r="112" spans="1:27" ht="28.8" x14ac:dyDescent="0.3">
      <c r="A112" s="23" t="s">
        <v>250</v>
      </c>
      <c r="B112" s="23">
        <f>VLOOKUP(A112,MEMORIA!$A:$N,2,FALSE)</f>
        <v>98524</v>
      </c>
      <c r="C112" s="23" t="str">
        <f>VLOOKUP(A112,MEMORIA!$A:$N,3,FALSE)</f>
        <v>SINAPI</v>
      </c>
      <c r="D112" s="24" t="str">
        <f>VLOOKUP(A112,MEMORIA!$A:$N,4,FALSE)</f>
        <v>LIMPEZA MANUAL DE VEGETAÇÃO EM TERRENO COM ENXADA. AF_03/2024</v>
      </c>
      <c r="E112" s="23" t="str">
        <f>VLOOKUP(A112,MEMORIA!$A:$N,5,FALSE)</f>
        <v>M2</v>
      </c>
      <c r="F112" s="5">
        <f>VLOOKUP(A112,MEMORIA!$A:$N,14,FALSE)</f>
        <v>100</v>
      </c>
      <c r="G112" s="5">
        <f>VLOOKUP(A112,ORCAMENTO!$A:$I,7,FALSE)</f>
        <v>4.62</v>
      </c>
      <c r="H112" s="5">
        <f>VLOOKUP(A112,ORCAMENTO!$A:$I,8,FALSE)</f>
        <v>5.65</v>
      </c>
      <c r="I112" s="5">
        <f>ROUND(F112*H112,2)</f>
        <v>565</v>
      </c>
      <c r="J112" s="5">
        <f>ROUND(K112*$H112,2)</f>
        <v>565</v>
      </c>
      <c r="K112" s="5">
        <f t="shared" ref="K112:K146" si="34">F112</f>
        <v>100</v>
      </c>
      <c r="L112" s="25">
        <f t="shared" si="18"/>
        <v>1</v>
      </c>
      <c r="M112" s="5">
        <f>ROUND(N112*$H112,2)</f>
        <v>0</v>
      </c>
      <c r="N112" s="5">
        <v>0</v>
      </c>
      <c r="O112" s="25">
        <f t="shared" si="19"/>
        <v>0</v>
      </c>
      <c r="P112" s="5">
        <f>ROUND(Q112*$H112,2)</f>
        <v>0</v>
      </c>
      <c r="Q112" s="5">
        <v>0</v>
      </c>
      <c r="R112" s="25">
        <f t="shared" si="20"/>
        <v>0</v>
      </c>
      <c r="S112" s="5">
        <f>ROUND(T112*$H112,2)</f>
        <v>0</v>
      </c>
      <c r="T112" s="5">
        <v>0</v>
      </c>
      <c r="U112" s="25">
        <f t="shared" si="21"/>
        <v>0</v>
      </c>
      <c r="V112" s="5">
        <f>ROUND(W112*$H112,2)</f>
        <v>0</v>
      </c>
      <c r="W112" s="5">
        <v>0</v>
      </c>
      <c r="X112" s="25">
        <f t="shared" si="22"/>
        <v>0</v>
      </c>
      <c r="Y112" s="5">
        <f t="shared" si="23"/>
        <v>565</v>
      </c>
      <c r="Z112" s="25">
        <f t="shared" si="24"/>
        <v>1</v>
      </c>
      <c r="AA112" s="25">
        <f t="shared" si="25"/>
        <v>3.5052144283286539E-4</v>
      </c>
    </row>
    <row r="113" spans="1:27" ht="57.6" x14ac:dyDescent="0.3">
      <c r="A113" s="23" t="s">
        <v>251</v>
      </c>
      <c r="B113" s="23">
        <f>VLOOKUP(A113,MEMORIA!$A:$N,2,FALSE)</f>
        <v>99059</v>
      </c>
      <c r="C113" s="23" t="str">
        <f>VLOOKUP(A113,MEMORIA!$A:$N,3,FALSE)</f>
        <v>SINAPI</v>
      </c>
      <c r="D113" s="24" t="str">
        <f>VLOOKUP(A113,MEMORIA!$A:$N,4,FALSE)</f>
        <v>LOCAÇÃO CONVENCIONAL DE OBRA, UTILIZANDO GABARITO DE TÁBUAS CORRIDAS PONTALETADAS A CADA 2,00M - 2 UTILIZAÇÕES. AF_03/2024</v>
      </c>
      <c r="E113" s="23" t="str">
        <f>VLOOKUP(A113,MEMORIA!$A:$N,5,FALSE)</f>
        <v>M</v>
      </c>
      <c r="F113" s="5">
        <f>VLOOKUP(A113,MEMORIA!$A:$N,14,FALSE)</f>
        <v>10.199999999999999</v>
      </c>
      <c r="G113" s="5">
        <f>VLOOKUP(A113,ORCAMENTO!$A:$I,7,FALSE)</f>
        <v>60.18</v>
      </c>
      <c r="H113" s="5">
        <f>VLOOKUP(A113,ORCAMENTO!$A:$I,8,FALSE)</f>
        <v>73.62</v>
      </c>
      <c r="I113" s="5">
        <f>ROUND(F113*H113,2)</f>
        <v>750.92</v>
      </c>
      <c r="J113" s="5">
        <f>ROUND(K113*$H113,2)</f>
        <v>750.92</v>
      </c>
      <c r="K113" s="5">
        <f t="shared" si="34"/>
        <v>10.199999999999999</v>
      </c>
      <c r="L113" s="25">
        <f t="shared" si="18"/>
        <v>1</v>
      </c>
      <c r="M113" s="5">
        <f>ROUND(N113*$H113,2)</f>
        <v>0</v>
      </c>
      <c r="N113" s="5">
        <v>0</v>
      </c>
      <c r="O113" s="25">
        <f t="shared" si="19"/>
        <v>0</v>
      </c>
      <c r="P113" s="5">
        <f>ROUND(Q113*$H113,2)</f>
        <v>0</v>
      </c>
      <c r="Q113" s="5">
        <v>0</v>
      </c>
      <c r="R113" s="25">
        <f t="shared" si="20"/>
        <v>0</v>
      </c>
      <c r="S113" s="5">
        <f>ROUND(T113*$H113,2)</f>
        <v>0</v>
      </c>
      <c r="T113" s="5">
        <v>0</v>
      </c>
      <c r="U113" s="25">
        <f t="shared" si="21"/>
        <v>0</v>
      </c>
      <c r="V113" s="5">
        <f>ROUND(W113*$H113,2)</f>
        <v>0</v>
      </c>
      <c r="W113" s="5">
        <v>0</v>
      </c>
      <c r="X113" s="25">
        <f t="shared" si="22"/>
        <v>0</v>
      </c>
      <c r="Y113" s="5">
        <f t="shared" si="23"/>
        <v>750.92</v>
      </c>
      <c r="Z113" s="25">
        <f t="shared" si="24"/>
        <v>1</v>
      </c>
      <c r="AA113" s="25">
        <f t="shared" si="25"/>
        <v>4.6586471124257571E-4</v>
      </c>
    </row>
    <row r="114" spans="1:27" x14ac:dyDescent="0.3">
      <c r="A114" s="15" t="s">
        <v>47</v>
      </c>
      <c r="B114" s="48" t="str">
        <f>VLOOKUP(A114,MEMORIA!$A:$N,2,FALSE)</f>
        <v>MOVIMENTO DE TERRA</v>
      </c>
      <c r="C114" s="49"/>
      <c r="D114" s="49"/>
      <c r="E114" s="49"/>
      <c r="F114" s="49"/>
      <c r="G114" s="49"/>
      <c r="H114" s="50"/>
      <c r="I114" s="16">
        <f>SUM(I$115:I$115)</f>
        <v>161.76</v>
      </c>
      <c r="J114" s="16">
        <f>SUM(J$115:J$115)</f>
        <v>161.76</v>
      </c>
      <c r="K114" s="16"/>
      <c r="L114" s="17">
        <f t="shared" si="18"/>
        <v>1</v>
      </c>
      <c r="M114" s="16">
        <f>SUM(M$115:M$115)</f>
        <v>0</v>
      </c>
      <c r="N114" s="16"/>
      <c r="O114" s="17">
        <f t="shared" si="19"/>
        <v>0</v>
      </c>
      <c r="P114" s="16">
        <f>SUM(P$115:P$115)</f>
        <v>0</v>
      </c>
      <c r="Q114" s="16"/>
      <c r="R114" s="17">
        <f t="shared" si="20"/>
        <v>0</v>
      </c>
      <c r="S114" s="16">
        <f>SUM(S$115:S$115)</f>
        <v>0</v>
      </c>
      <c r="T114" s="16"/>
      <c r="U114" s="17">
        <f t="shared" si="21"/>
        <v>0</v>
      </c>
      <c r="V114" s="16">
        <f>SUM(V$115:V$115)</f>
        <v>0</v>
      </c>
      <c r="W114" s="16"/>
      <c r="X114" s="17">
        <f t="shared" si="22"/>
        <v>0</v>
      </c>
      <c r="Y114" s="16">
        <f t="shared" si="23"/>
        <v>161.76</v>
      </c>
      <c r="Z114" s="17">
        <f t="shared" si="24"/>
        <v>1</v>
      </c>
      <c r="AA114" s="17">
        <f t="shared" si="25"/>
        <v>1.0035459927901647E-4</v>
      </c>
    </row>
    <row r="115" spans="1:27" ht="28.8" x14ac:dyDescent="0.3">
      <c r="A115" s="23" t="s">
        <v>252</v>
      </c>
      <c r="B115" s="23">
        <f>VLOOKUP(A115,MEMORIA!$A:$N,2,FALSE)</f>
        <v>93358</v>
      </c>
      <c r="C115" s="23" t="str">
        <f>VLOOKUP(A115,MEMORIA!$A:$N,3,FALSE)</f>
        <v>SINAPI</v>
      </c>
      <c r="D115" s="24" t="str">
        <f>VLOOKUP(A115,MEMORIA!$A:$N,4,FALSE)</f>
        <v>ESCAVAÇÃO MANUAL DE VALA. AF_09/2024</v>
      </c>
      <c r="E115" s="23" t="str">
        <f>VLOOKUP(A115,MEMORIA!$A:$N,5,FALSE)</f>
        <v>M3</v>
      </c>
      <c r="F115" s="5">
        <f>VLOOKUP(A115,MEMORIA!$A:$N,14,FALSE)</f>
        <v>1.54</v>
      </c>
      <c r="G115" s="5">
        <f>VLOOKUP(A115,ORCAMENTO!$A:$I,7,FALSE)</f>
        <v>85.87</v>
      </c>
      <c r="H115" s="5">
        <f>VLOOKUP(A115,ORCAMENTO!$A:$I,8,FALSE)</f>
        <v>105.04</v>
      </c>
      <c r="I115" s="5">
        <f>ROUND(F115*H115,2)</f>
        <v>161.76</v>
      </c>
      <c r="J115" s="5">
        <f>ROUND(K115*$H115,2)</f>
        <v>161.76</v>
      </c>
      <c r="K115" s="5">
        <f t="shared" si="34"/>
        <v>1.54</v>
      </c>
      <c r="L115" s="25">
        <f t="shared" si="18"/>
        <v>1</v>
      </c>
      <c r="M115" s="5">
        <f>ROUND(N115*$H115,2)</f>
        <v>0</v>
      </c>
      <c r="N115" s="5">
        <v>0</v>
      </c>
      <c r="O115" s="25">
        <f t="shared" si="19"/>
        <v>0</v>
      </c>
      <c r="P115" s="5">
        <f>ROUND(Q115*$H115,2)</f>
        <v>0</v>
      </c>
      <c r="Q115" s="5">
        <v>0</v>
      </c>
      <c r="R115" s="25">
        <f t="shared" si="20"/>
        <v>0</v>
      </c>
      <c r="S115" s="5">
        <f>ROUND(T115*$H115,2)</f>
        <v>0</v>
      </c>
      <c r="T115" s="5">
        <v>0</v>
      </c>
      <c r="U115" s="25">
        <f t="shared" si="21"/>
        <v>0</v>
      </c>
      <c r="V115" s="5">
        <f>ROUND(W115*$H115,2)</f>
        <v>0</v>
      </c>
      <c r="W115" s="5">
        <v>0</v>
      </c>
      <c r="X115" s="25">
        <f t="shared" si="22"/>
        <v>0</v>
      </c>
      <c r="Y115" s="5">
        <f t="shared" si="23"/>
        <v>161.76</v>
      </c>
      <c r="Z115" s="25">
        <f t="shared" si="24"/>
        <v>1</v>
      </c>
      <c r="AA115" s="25">
        <f t="shared" si="25"/>
        <v>1.0035459927901647E-4</v>
      </c>
    </row>
    <row r="116" spans="1:27" x14ac:dyDescent="0.3">
      <c r="A116" s="15" t="s">
        <v>48</v>
      </c>
      <c r="B116" s="48" t="str">
        <f>VLOOKUP(A116,MEMORIA!$A:$N,2,FALSE)</f>
        <v>INFRAESTRUTURA</v>
      </c>
      <c r="C116" s="49"/>
      <c r="D116" s="49"/>
      <c r="E116" s="49"/>
      <c r="F116" s="49"/>
      <c r="G116" s="49"/>
      <c r="H116" s="50"/>
      <c r="I116" s="16">
        <f>SUM(I$117:I$119)</f>
        <v>1229.81</v>
      </c>
      <c r="J116" s="16">
        <f>SUM(J$117:J$119)</f>
        <v>1229.81</v>
      </c>
      <c r="K116" s="16"/>
      <c r="L116" s="17">
        <f t="shared" si="18"/>
        <v>1</v>
      </c>
      <c r="M116" s="16">
        <f>SUM(M$117:M$119)</f>
        <v>0</v>
      </c>
      <c r="N116" s="16"/>
      <c r="O116" s="17">
        <f t="shared" si="19"/>
        <v>0</v>
      </c>
      <c r="P116" s="16">
        <f>SUM(P$117:P$119)</f>
        <v>0</v>
      </c>
      <c r="Q116" s="16"/>
      <c r="R116" s="17">
        <f t="shared" si="20"/>
        <v>0</v>
      </c>
      <c r="S116" s="16">
        <f>SUM(S$117:S$119)</f>
        <v>0</v>
      </c>
      <c r="T116" s="16"/>
      <c r="U116" s="17">
        <f t="shared" si="21"/>
        <v>0</v>
      </c>
      <c r="V116" s="16">
        <f>SUM(V$117:V$119)</f>
        <v>0</v>
      </c>
      <c r="W116" s="16"/>
      <c r="X116" s="17">
        <f t="shared" si="22"/>
        <v>0</v>
      </c>
      <c r="Y116" s="16">
        <f t="shared" si="23"/>
        <v>1229.81</v>
      </c>
      <c r="Z116" s="17">
        <f t="shared" si="24"/>
        <v>1</v>
      </c>
      <c r="AA116" s="17">
        <f t="shared" si="25"/>
        <v>7.6296420461997557E-4</v>
      </c>
    </row>
    <row r="117" spans="1:27" ht="28.8" x14ac:dyDescent="0.3">
      <c r="A117" s="23" t="s">
        <v>253</v>
      </c>
      <c r="B117" s="23">
        <f>VLOOKUP(A117,MEMORIA!$A:$N,2,FALSE)</f>
        <v>96617</v>
      </c>
      <c r="C117" s="23" t="str">
        <f>VLOOKUP(A117,MEMORIA!$A:$N,3,FALSE)</f>
        <v>SINAPI</v>
      </c>
      <c r="D117" s="24" t="str">
        <f>VLOOKUP(A117,MEMORIA!$A:$N,4,FALSE)</f>
        <v>LASTRO DE CONCRETO MAGRO, APLICADO EM BLOCOS DE COROAMENTO OU SAPATAS, ESPESSURA DE 3 CM. AF_01/2024</v>
      </c>
      <c r="E117" s="23" t="str">
        <f>VLOOKUP(A117,MEMORIA!$A:$N,5,FALSE)</f>
        <v>M2</v>
      </c>
      <c r="F117" s="5">
        <f>VLOOKUP(A117,MEMORIA!$A:$N,14,FALSE)</f>
        <v>2.58</v>
      </c>
      <c r="G117" s="5">
        <f>VLOOKUP(A117,ORCAMENTO!$A:$I,7,FALSE)</f>
        <v>23.57</v>
      </c>
      <c r="H117" s="5">
        <f>VLOOKUP(A117,ORCAMENTO!$A:$I,8,FALSE)</f>
        <v>28.83</v>
      </c>
      <c r="I117" s="5">
        <f>ROUND(F117*H117,2)</f>
        <v>74.38</v>
      </c>
      <c r="J117" s="5">
        <f>ROUND(K117*$H117,2)</f>
        <v>74.38</v>
      </c>
      <c r="K117" s="5">
        <f t="shared" si="34"/>
        <v>2.58</v>
      </c>
      <c r="L117" s="25">
        <f t="shared" si="18"/>
        <v>1</v>
      </c>
      <c r="M117" s="5">
        <f>ROUND(N117*$H117,2)</f>
        <v>0</v>
      </c>
      <c r="N117" s="5">
        <v>0</v>
      </c>
      <c r="O117" s="25">
        <f t="shared" si="19"/>
        <v>0</v>
      </c>
      <c r="P117" s="5">
        <f>ROUND(Q117*$H117,2)</f>
        <v>0</v>
      </c>
      <c r="Q117" s="5">
        <v>0</v>
      </c>
      <c r="R117" s="25">
        <f t="shared" si="20"/>
        <v>0</v>
      </c>
      <c r="S117" s="5">
        <f>ROUND(T117*$H117,2)</f>
        <v>0</v>
      </c>
      <c r="T117" s="5">
        <v>0</v>
      </c>
      <c r="U117" s="25">
        <f t="shared" si="21"/>
        <v>0</v>
      </c>
      <c r="V117" s="5">
        <f>ROUND(W117*$H117,2)</f>
        <v>0</v>
      </c>
      <c r="W117" s="5">
        <v>0</v>
      </c>
      <c r="X117" s="25">
        <f t="shared" si="22"/>
        <v>0</v>
      </c>
      <c r="Y117" s="5">
        <f t="shared" si="23"/>
        <v>74.38</v>
      </c>
      <c r="Z117" s="25">
        <f t="shared" si="24"/>
        <v>1</v>
      </c>
      <c r="AA117" s="25">
        <f t="shared" si="25"/>
        <v>4.6144752067094741E-5</v>
      </c>
    </row>
    <row r="118" spans="1:27" ht="72" x14ac:dyDescent="0.3">
      <c r="A118" s="23" t="s">
        <v>254</v>
      </c>
      <c r="B118" s="23">
        <f>VLOOKUP(A118,MEMORIA!$A:$N,2,FALSE)</f>
        <v>103800</v>
      </c>
      <c r="C118" s="23" t="str">
        <f>VLOOKUP(A118,MEMORIA!$A:$N,3,FALSE)</f>
        <v>SINAPI</v>
      </c>
      <c r="D118" s="24" t="str">
        <f>VLOOKUP(A118,MEMORIA!$A:$N,4,FALSE)</f>
        <v>PEDRA ARGAMASSADA COM CIMENTO E AREIA 1:3, 40% DE ARGAMASSA EM VOLUME - AREIA E PEDRA DE MÃO COMERCIAIS - FORNECIMENTO E ASSENTAMENTO. AF_08/2022</v>
      </c>
      <c r="E118" s="23" t="str">
        <f>VLOOKUP(A118,MEMORIA!$A:$N,5,FALSE)</f>
        <v>M3</v>
      </c>
      <c r="F118" s="5">
        <f>VLOOKUP(A118,MEMORIA!$A:$N,14,FALSE)</f>
        <v>1.04</v>
      </c>
      <c r="G118" s="5">
        <f>VLOOKUP(A118,ORCAMENTO!$A:$I,7,FALSE)</f>
        <v>666</v>
      </c>
      <c r="H118" s="5">
        <f>VLOOKUP(A118,ORCAMENTO!$A:$I,8,FALSE)</f>
        <v>814.72</v>
      </c>
      <c r="I118" s="5">
        <f>ROUND(F118*H118,2)</f>
        <v>847.31</v>
      </c>
      <c r="J118" s="5">
        <f>ROUND(K118*$H118,2)</f>
        <v>847.31</v>
      </c>
      <c r="K118" s="5">
        <f t="shared" si="34"/>
        <v>1.04</v>
      </c>
      <c r="L118" s="25">
        <f t="shared" si="18"/>
        <v>1</v>
      </c>
      <c r="M118" s="5">
        <f>ROUND(N118*$H118,2)</f>
        <v>0</v>
      </c>
      <c r="N118" s="5">
        <v>0</v>
      </c>
      <c r="O118" s="25">
        <f t="shared" si="19"/>
        <v>0</v>
      </c>
      <c r="P118" s="5">
        <f>ROUND(Q118*$H118,2)</f>
        <v>0</v>
      </c>
      <c r="Q118" s="5">
        <v>0</v>
      </c>
      <c r="R118" s="25">
        <f t="shared" si="20"/>
        <v>0</v>
      </c>
      <c r="S118" s="5">
        <f>ROUND(T118*$H118,2)</f>
        <v>0</v>
      </c>
      <c r="T118" s="5">
        <v>0</v>
      </c>
      <c r="U118" s="25">
        <f t="shared" si="21"/>
        <v>0</v>
      </c>
      <c r="V118" s="5">
        <f>ROUND(W118*$H118,2)</f>
        <v>0</v>
      </c>
      <c r="W118" s="5">
        <v>0</v>
      </c>
      <c r="X118" s="25">
        <f t="shared" si="22"/>
        <v>0</v>
      </c>
      <c r="Y118" s="5">
        <f t="shared" si="23"/>
        <v>847.31</v>
      </c>
      <c r="Z118" s="25">
        <f t="shared" si="24"/>
        <v>1</v>
      </c>
      <c r="AA118" s="25">
        <f t="shared" si="25"/>
        <v>5.2566428978179677E-4</v>
      </c>
    </row>
    <row r="119" spans="1:27" ht="86.4" x14ac:dyDescent="0.3">
      <c r="A119" s="23" t="s">
        <v>255</v>
      </c>
      <c r="B119" s="23">
        <f>VLOOKUP(A119,MEMORIA!$A:$N,2,FALSE)</f>
        <v>103335</v>
      </c>
      <c r="C119" s="23" t="str">
        <f>VLOOKUP(A119,MEMORIA!$A:$N,3,FALSE)</f>
        <v>SINAPI</v>
      </c>
      <c r="D119" s="24" t="str">
        <f>VLOOKUP(A119,MEMORIA!$A:$N,4,FALSE)</f>
        <v>ALVENARIA DE VEDAÇÃO DE BLOCOS CERÂMICOS FURADOS NA HORIZONTAL DE 14X9X19 CM (ESPESSURA 14 CM, BLOCO DEITADO) E ARGAMASSA DE ASSENTAMENTO COM PREPARO MANUAL. AF_12/2021</v>
      </c>
      <c r="E119" s="23" t="str">
        <f>VLOOKUP(A119,MEMORIA!$A:$N,5,FALSE)</f>
        <v>M2</v>
      </c>
      <c r="F119" s="5">
        <f>VLOOKUP(A119,MEMORIA!$A:$N,14,FALSE)</f>
        <v>1.7200000000000002</v>
      </c>
      <c r="G119" s="5">
        <f>VLOOKUP(A119,ORCAMENTO!$A:$I,7,FALSE)</f>
        <v>146.44</v>
      </c>
      <c r="H119" s="5">
        <f>VLOOKUP(A119,ORCAMENTO!$A:$I,8,FALSE)</f>
        <v>179.14</v>
      </c>
      <c r="I119" s="5">
        <f>ROUND(F119*H119,2)</f>
        <v>308.12</v>
      </c>
      <c r="J119" s="5">
        <f>ROUND(K119*$H119,2)</f>
        <v>308.12</v>
      </c>
      <c r="K119" s="5">
        <f t="shared" si="34"/>
        <v>1.7200000000000002</v>
      </c>
      <c r="L119" s="25">
        <f t="shared" si="18"/>
        <v>1</v>
      </c>
      <c r="M119" s="5">
        <f>ROUND(N119*$H119,2)</f>
        <v>0</v>
      </c>
      <c r="N119" s="5">
        <v>0</v>
      </c>
      <c r="O119" s="25">
        <f t="shared" si="19"/>
        <v>0</v>
      </c>
      <c r="P119" s="5">
        <f>ROUND(Q119*$H119,2)</f>
        <v>0</v>
      </c>
      <c r="Q119" s="5">
        <v>0</v>
      </c>
      <c r="R119" s="25">
        <f t="shared" si="20"/>
        <v>0</v>
      </c>
      <c r="S119" s="5">
        <f>ROUND(T119*$H119,2)</f>
        <v>0</v>
      </c>
      <c r="T119" s="5">
        <v>0</v>
      </c>
      <c r="U119" s="25">
        <f t="shared" si="21"/>
        <v>0</v>
      </c>
      <c r="V119" s="5">
        <f>ROUND(W119*$H119,2)</f>
        <v>0</v>
      </c>
      <c r="W119" s="5">
        <v>0</v>
      </c>
      <c r="X119" s="25">
        <f t="shared" si="22"/>
        <v>0</v>
      </c>
      <c r="Y119" s="5">
        <f t="shared" si="23"/>
        <v>308.12</v>
      </c>
      <c r="Z119" s="25">
        <f t="shared" si="24"/>
        <v>1</v>
      </c>
      <c r="AA119" s="25">
        <f t="shared" si="25"/>
        <v>1.9115516277108405E-4</v>
      </c>
    </row>
    <row r="120" spans="1:27" x14ac:dyDescent="0.3">
      <c r="A120" s="15" t="s">
        <v>49</v>
      </c>
      <c r="B120" s="48" t="str">
        <f>VLOOKUP(A120,MEMORIA!$A:$N,2,FALSE)</f>
        <v>SUPERESTRUTURA</v>
      </c>
      <c r="C120" s="49"/>
      <c r="D120" s="49"/>
      <c r="E120" s="49"/>
      <c r="F120" s="49"/>
      <c r="G120" s="49"/>
      <c r="H120" s="50"/>
      <c r="I120" s="16">
        <f>SUM(I$121:I$122)</f>
        <v>1323.3</v>
      </c>
      <c r="J120" s="16">
        <f>SUM(J$121:J$122)</f>
        <v>1323.3</v>
      </c>
      <c r="K120" s="16"/>
      <c r="L120" s="17">
        <f t="shared" si="18"/>
        <v>1</v>
      </c>
      <c r="M120" s="16">
        <f>SUM(M$121:M$122)</f>
        <v>0</v>
      </c>
      <c r="N120" s="16"/>
      <c r="O120" s="17">
        <f t="shared" si="19"/>
        <v>0</v>
      </c>
      <c r="P120" s="16">
        <f>SUM(P$121:P$122)</f>
        <v>0</v>
      </c>
      <c r="Q120" s="16"/>
      <c r="R120" s="17">
        <f t="shared" si="20"/>
        <v>0</v>
      </c>
      <c r="S120" s="16">
        <f>SUM(S$121:S$122)</f>
        <v>0</v>
      </c>
      <c r="T120" s="16"/>
      <c r="U120" s="17">
        <f t="shared" si="21"/>
        <v>0</v>
      </c>
      <c r="V120" s="16">
        <f>SUM(V$121:V$122)</f>
        <v>0</v>
      </c>
      <c r="W120" s="16"/>
      <c r="X120" s="17">
        <f t="shared" si="22"/>
        <v>0</v>
      </c>
      <c r="Y120" s="16">
        <f t="shared" si="23"/>
        <v>1323.3</v>
      </c>
      <c r="Z120" s="17">
        <f t="shared" si="24"/>
        <v>1</v>
      </c>
      <c r="AA120" s="17">
        <f t="shared" si="25"/>
        <v>8.20964646549966E-4</v>
      </c>
    </row>
    <row r="121" spans="1:27" ht="28.8" x14ac:dyDescent="0.3">
      <c r="A121" s="23" t="s">
        <v>256</v>
      </c>
      <c r="B121" s="23" t="str">
        <f>VLOOKUP(A121,MEMORIA!$A:$N,2,FALSE)</f>
        <v>COMPCOM01</v>
      </c>
      <c r="C121" s="23" t="str">
        <f>VLOOKUP(A121,MEMORIA!$A:$N,3,FALSE)</f>
        <v>PRÓPRIA</v>
      </c>
      <c r="D121" s="24" t="str">
        <f>VLOOKUP(A121,MEMORIA!$A:$N,4,FALSE)</f>
        <v>CINTA DE AMARRAÇÃO DE ALVENARIA MOLDADA IN LOCO EM CONCRETO</v>
      </c>
      <c r="E121" s="23" t="str">
        <f>VLOOKUP(A121,MEMORIA!$A:$N,5,FALSE)</f>
        <v>M</v>
      </c>
      <c r="F121" s="5">
        <f>VLOOKUP(A121,MEMORIA!$A:$N,14,FALSE)</f>
        <v>8.6</v>
      </c>
      <c r="G121" s="5">
        <f>VLOOKUP(A121,ORCAMENTO!$A:$I,7,FALSE)</f>
        <v>81.47999999999999</v>
      </c>
      <c r="H121" s="5">
        <f>VLOOKUP(A121,ORCAMENTO!$A:$I,8,FALSE)</f>
        <v>99.669999999999987</v>
      </c>
      <c r="I121" s="5">
        <f>ROUND(F121*H121,2)</f>
        <v>857.16</v>
      </c>
      <c r="J121" s="5">
        <f>ROUND(K121*$H121,2)</f>
        <v>857.16</v>
      </c>
      <c r="K121" s="5">
        <f t="shared" si="34"/>
        <v>8.6</v>
      </c>
      <c r="L121" s="25">
        <f t="shared" si="18"/>
        <v>1</v>
      </c>
      <c r="M121" s="5">
        <f>ROUND(N121*$H121,2)</f>
        <v>0</v>
      </c>
      <c r="N121" s="5">
        <v>0</v>
      </c>
      <c r="O121" s="25">
        <f t="shared" si="19"/>
        <v>0</v>
      </c>
      <c r="P121" s="5">
        <f>ROUND(Q121*$H121,2)</f>
        <v>0</v>
      </c>
      <c r="Q121" s="5">
        <v>0</v>
      </c>
      <c r="R121" s="25">
        <f t="shared" si="20"/>
        <v>0</v>
      </c>
      <c r="S121" s="5">
        <f>ROUND(T121*$H121,2)</f>
        <v>0</v>
      </c>
      <c r="T121" s="5">
        <v>0</v>
      </c>
      <c r="U121" s="25">
        <f t="shared" si="21"/>
        <v>0</v>
      </c>
      <c r="V121" s="5">
        <f>ROUND(W121*$H121,2)</f>
        <v>0</v>
      </c>
      <c r="W121" s="5">
        <v>0</v>
      </c>
      <c r="X121" s="25">
        <f t="shared" si="22"/>
        <v>0</v>
      </c>
      <c r="Y121" s="5">
        <f t="shared" si="23"/>
        <v>857.16</v>
      </c>
      <c r="Z121" s="25">
        <f t="shared" si="24"/>
        <v>1</v>
      </c>
      <c r="AA121" s="25">
        <f t="shared" si="25"/>
        <v>5.3177515033383876E-4</v>
      </c>
    </row>
    <row r="122" spans="1:27" ht="72" x14ac:dyDescent="0.3">
      <c r="A122" s="23" t="s">
        <v>257</v>
      </c>
      <c r="B122" s="23" t="str">
        <f>VLOOKUP(A122,MEMORIA!$A:$N,2,FALSE)</f>
        <v>COMPCOM02</v>
      </c>
      <c r="C122" s="23" t="str">
        <f>VLOOKUP(A122,MEMORIA!$A:$N,3,FALSE)</f>
        <v>PRÓPRIA</v>
      </c>
      <c r="D122" s="24" t="str">
        <f>VLOOKUP(A122,MEMORIA!$A:$N,4,FALSE)</f>
        <v>(COMPOSIÇÃO REPRESENTATIVA) EXECUÇÃO DE ESTRUTURAS DE CONCRETO ARMADO, PARA EDIFICAÇÃO INSTITUCIONAL TÉRREA, FCK = 25 MPA</v>
      </c>
      <c r="E122" s="23" t="str">
        <f>VLOOKUP(A122,MEMORIA!$A:$N,5,FALSE)</f>
        <v>M³</v>
      </c>
      <c r="F122" s="5">
        <f>VLOOKUP(A122,MEMORIA!$A:$N,14,FALSE)</f>
        <v>0.30000000000000004</v>
      </c>
      <c r="G122" s="5">
        <f>VLOOKUP(A122,ORCAMENTO!$A:$I,7,FALSE)</f>
        <v>1270.1599999999999</v>
      </c>
      <c r="H122" s="5">
        <f>VLOOKUP(A122,ORCAMENTO!$A:$I,8,FALSE)</f>
        <v>1553.79</v>
      </c>
      <c r="I122" s="5">
        <f>ROUND(F122*H122,2)</f>
        <v>466.14</v>
      </c>
      <c r="J122" s="5">
        <f>ROUND(K122*$H122,2)</f>
        <v>466.14</v>
      </c>
      <c r="K122" s="5">
        <f t="shared" si="34"/>
        <v>0.30000000000000004</v>
      </c>
      <c r="L122" s="25">
        <f t="shared" si="18"/>
        <v>1</v>
      </c>
      <c r="M122" s="5">
        <f>ROUND(N122*$H122,2)</f>
        <v>0</v>
      </c>
      <c r="N122" s="5">
        <v>0</v>
      </c>
      <c r="O122" s="25">
        <f t="shared" si="19"/>
        <v>0</v>
      </c>
      <c r="P122" s="5">
        <f>ROUND(Q122*$H122,2)</f>
        <v>0</v>
      </c>
      <c r="Q122" s="5">
        <v>0</v>
      </c>
      <c r="R122" s="25">
        <f t="shared" si="20"/>
        <v>0</v>
      </c>
      <c r="S122" s="5">
        <f>ROUND(T122*$H122,2)</f>
        <v>0</v>
      </c>
      <c r="T122" s="5">
        <v>0</v>
      </c>
      <c r="U122" s="25">
        <f t="shared" si="21"/>
        <v>0</v>
      </c>
      <c r="V122" s="5">
        <f>ROUND(W122*$H122,2)</f>
        <v>0</v>
      </c>
      <c r="W122" s="5">
        <v>0</v>
      </c>
      <c r="X122" s="25">
        <f t="shared" si="22"/>
        <v>0</v>
      </c>
      <c r="Y122" s="5">
        <f t="shared" si="23"/>
        <v>466.14</v>
      </c>
      <c r="Z122" s="25">
        <f t="shared" si="24"/>
        <v>1</v>
      </c>
      <c r="AA122" s="25">
        <f t="shared" si="25"/>
        <v>2.8918949621612724E-4</v>
      </c>
    </row>
    <row r="123" spans="1:27" x14ac:dyDescent="0.3">
      <c r="A123" s="15" t="s">
        <v>50</v>
      </c>
      <c r="B123" s="48" t="str">
        <f>VLOOKUP(A123,MEMORIA!$A:$N,2,FALSE)</f>
        <v>VEDAÇÃO VERTICAL</v>
      </c>
      <c r="C123" s="49"/>
      <c r="D123" s="49"/>
      <c r="E123" s="49"/>
      <c r="F123" s="49"/>
      <c r="G123" s="49"/>
      <c r="H123" s="50"/>
      <c r="I123" s="16">
        <f>SUM(I$124:I$125)</f>
        <v>2620</v>
      </c>
      <c r="J123" s="16">
        <f>SUM(J$124:J$125)</f>
        <v>2620</v>
      </c>
      <c r="K123" s="16"/>
      <c r="L123" s="17">
        <f t="shared" si="18"/>
        <v>1</v>
      </c>
      <c r="M123" s="16">
        <f>SUM(M$124:M$125)</f>
        <v>0</v>
      </c>
      <c r="N123" s="16"/>
      <c r="O123" s="17">
        <f t="shared" si="19"/>
        <v>0</v>
      </c>
      <c r="P123" s="16">
        <f>SUM(P$124:P$125)</f>
        <v>0</v>
      </c>
      <c r="Q123" s="16"/>
      <c r="R123" s="17">
        <f t="shared" si="20"/>
        <v>0</v>
      </c>
      <c r="S123" s="16">
        <f>SUM(S$124:S$125)</f>
        <v>0</v>
      </c>
      <c r="T123" s="16"/>
      <c r="U123" s="17">
        <f t="shared" si="21"/>
        <v>0</v>
      </c>
      <c r="V123" s="16">
        <f>SUM(V$124:V$125)</f>
        <v>0</v>
      </c>
      <c r="W123" s="16"/>
      <c r="X123" s="17">
        <f t="shared" si="22"/>
        <v>0</v>
      </c>
      <c r="Y123" s="16">
        <f t="shared" si="23"/>
        <v>2620</v>
      </c>
      <c r="Z123" s="17">
        <f t="shared" si="24"/>
        <v>1</v>
      </c>
      <c r="AA123" s="17">
        <f t="shared" si="25"/>
        <v>1.6254268676497475E-3</v>
      </c>
    </row>
    <row r="124" spans="1:27" ht="72" x14ac:dyDescent="0.3">
      <c r="A124" s="23" t="s">
        <v>258</v>
      </c>
      <c r="B124" s="23">
        <f>VLOOKUP(A124,MEMORIA!$A:$N,2,FALSE)</f>
        <v>103329</v>
      </c>
      <c r="C124" s="23" t="str">
        <f>VLOOKUP(A124,MEMORIA!$A:$N,3,FALSE)</f>
        <v>SINAPI</v>
      </c>
      <c r="D124" s="24" t="str">
        <f>VLOOKUP(A124,MEMORIA!$A:$N,4,FALSE)</f>
        <v>ALVENARIA DE VEDAÇÃO DE BLOCOS CERÂMICOS FURADOS NA HORIZONTAL DE 9X19X19 CM (ESPESSURA 9 CM) E ARGAMASSA DE ASSENTAMENTO COM PREPARO MANUAL. AF_12/2021</v>
      </c>
      <c r="E124" s="23" t="str">
        <f>VLOOKUP(A124,MEMORIA!$A:$N,5,FALSE)</f>
        <v>M2</v>
      </c>
      <c r="F124" s="5">
        <f>VLOOKUP(A124,MEMORIA!$A:$N,14,FALSE)</f>
        <v>19.310000000000002</v>
      </c>
      <c r="G124" s="5">
        <f>VLOOKUP(A124,ORCAMENTO!$A:$I,7,FALSE)</f>
        <v>95.039999999999992</v>
      </c>
      <c r="H124" s="5">
        <f>VLOOKUP(A124,ORCAMENTO!$A:$I,8,FALSE)</f>
        <v>116.25999999999999</v>
      </c>
      <c r="I124" s="5">
        <f>ROUND(F124*H124,2)</f>
        <v>2244.98</v>
      </c>
      <c r="J124" s="5">
        <f>ROUND(K124*$H124,2)</f>
        <v>2244.98</v>
      </c>
      <c r="K124" s="5">
        <f t="shared" si="34"/>
        <v>19.310000000000002</v>
      </c>
      <c r="L124" s="25">
        <f t="shared" si="18"/>
        <v>1</v>
      </c>
      <c r="M124" s="5">
        <f>ROUND(N124*$H124,2)</f>
        <v>0</v>
      </c>
      <c r="N124" s="5">
        <v>0</v>
      </c>
      <c r="O124" s="25">
        <f t="shared" si="19"/>
        <v>0</v>
      </c>
      <c r="P124" s="5">
        <f>ROUND(Q124*$H124,2)</f>
        <v>0</v>
      </c>
      <c r="Q124" s="5">
        <v>0</v>
      </c>
      <c r="R124" s="25">
        <f t="shared" si="20"/>
        <v>0</v>
      </c>
      <c r="S124" s="5">
        <f>ROUND(T124*$H124,2)</f>
        <v>0</v>
      </c>
      <c r="T124" s="5">
        <v>0</v>
      </c>
      <c r="U124" s="25">
        <f t="shared" si="21"/>
        <v>0</v>
      </c>
      <c r="V124" s="5">
        <f>ROUND(W124*$H124,2)</f>
        <v>0</v>
      </c>
      <c r="W124" s="5">
        <v>0</v>
      </c>
      <c r="X124" s="25">
        <f t="shared" si="22"/>
        <v>0</v>
      </c>
      <c r="Y124" s="5">
        <f t="shared" si="23"/>
        <v>2244.98</v>
      </c>
      <c r="Z124" s="25">
        <f t="shared" si="24"/>
        <v>1</v>
      </c>
      <c r="AA124" s="25">
        <f t="shared" si="25"/>
        <v>1.3927674844795154E-3</v>
      </c>
    </row>
    <row r="125" spans="1:27" ht="72" x14ac:dyDescent="0.3">
      <c r="A125" s="23" t="s">
        <v>259</v>
      </c>
      <c r="B125" s="23">
        <f>VLOOKUP(A125,MEMORIA!$A:$N,2,FALSE)</f>
        <v>101161</v>
      </c>
      <c r="C125" s="23" t="str">
        <f>VLOOKUP(A125,MEMORIA!$A:$N,3,FALSE)</f>
        <v>SINAPI</v>
      </c>
      <c r="D125" s="24" t="str">
        <f>VLOOKUP(A125,MEMORIA!$A:$N,4,FALSE)</f>
        <v>ALVENARIA DE VEDAÇÃO COM ELEMENTO VAZADO DE CONCRETO (COBOGÓ) DE 7X50X50CM E ARGAMASSA DE ASSENTAMENTO COM PREPARO EM BETONEIRA. AF_05/2020</v>
      </c>
      <c r="E125" s="23" t="str">
        <f>VLOOKUP(A125,MEMORIA!$A:$N,5,FALSE)</f>
        <v>M2</v>
      </c>
      <c r="F125" s="5">
        <f>VLOOKUP(A125,MEMORIA!$A:$N,14,FALSE)</f>
        <v>1.5</v>
      </c>
      <c r="G125" s="5">
        <f>VLOOKUP(A125,ORCAMENTO!$A:$I,7,FALSE)</f>
        <v>204.37</v>
      </c>
      <c r="H125" s="5">
        <f>VLOOKUP(A125,ORCAMENTO!$A:$I,8,FALSE)</f>
        <v>250.01</v>
      </c>
      <c r="I125" s="5">
        <f>ROUND(F125*H125,2)</f>
        <v>375.02</v>
      </c>
      <c r="J125" s="5">
        <f>ROUND(K125*$H125,2)</f>
        <v>375.02</v>
      </c>
      <c r="K125" s="5">
        <f t="shared" si="34"/>
        <v>1.5</v>
      </c>
      <c r="L125" s="25">
        <f t="shared" si="18"/>
        <v>1</v>
      </c>
      <c r="M125" s="5">
        <f>ROUND(N125*$H125,2)</f>
        <v>0</v>
      </c>
      <c r="N125" s="5">
        <v>0</v>
      </c>
      <c r="O125" s="25">
        <f t="shared" si="19"/>
        <v>0</v>
      </c>
      <c r="P125" s="5">
        <f>ROUND(Q125*$H125,2)</f>
        <v>0</v>
      </c>
      <c r="Q125" s="5">
        <v>0</v>
      </c>
      <c r="R125" s="25">
        <f t="shared" si="20"/>
        <v>0</v>
      </c>
      <c r="S125" s="5">
        <f>ROUND(T125*$H125,2)</f>
        <v>0</v>
      </c>
      <c r="T125" s="5">
        <v>0</v>
      </c>
      <c r="U125" s="25">
        <f t="shared" si="21"/>
        <v>0</v>
      </c>
      <c r="V125" s="5">
        <f>ROUND(W125*$H125,2)</f>
        <v>0</v>
      </c>
      <c r="W125" s="5">
        <v>0</v>
      </c>
      <c r="X125" s="25">
        <f t="shared" si="22"/>
        <v>0</v>
      </c>
      <c r="Y125" s="5">
        <f t="shared" si="23"/>
        <v>375.02</v>
      </c>
      <c r="Z125" s="25">
        <f t="shared" si="24"/>
        <v>1</v>
      </c>
      <c r="AA125" s="25">
        <f t="shared" si="25"/>
        <v>2.3265938317023217E-4</v>
      </c>
    </row>
    <row r="126" spans="1:27" x14ac:dyDescent="0.3">
      <c r="A126" s="15" t="s">
        <v>51</v>
      </c>
      <c r="B126" s="48" t="str">
        <f>VLOOKUP(A126,MEMORIA!$A:$N,2,FALSE)</f>
        <v>COBERTURA</v>
      </c>
      <c r="C126" s="49"/>
      <c r="D126" s="49"/>
      <c r="E126" s="49"/>
      <c r="F126" s="49"/>
      <c r="G126" s="49"/>
      <c r="H126" s="50"/>
      <c r="I126" s="16">
        <f>SUM(I$127:I$128)</f>
        <v>1305.45</v>
      </c>
      <c r="J126" s="16">
        <f>SUM(J$127:J$128)</f>
        <v>1305.45</v>
      </c>
      <c r="K126" s="16"/>
      <c r="L126" s="17">
        <f t="shared" si="18"/>
        <v>1</v>
      </c>
      <c r="M126" s="16">
        <f>SUM(M$127:M$128)</f>
        <v>0</v>
      </c>
      <c r="N126" s="16"/>
      <c r="O126" s="17">
        <f t="shared" si="19"/>
        <v>0</v>
      </c>
      <c r="P126" s="16">
        <f>SUM(P$127:P$128)</f>
        <v>0</v>
      </c>
      <c r="Q126" s="16"/>
      <c r="R126" s="17">
        <f t="shared" si="20"/>
        <v>0</v>
      </c>
      <c r="S126" s="16">
        <f>SUM(S$127:S$128)</f>
        <v>0</v>
      </c>
      <c r="T126" s="16"/>
      <c r="U126" s="17">
        <f t="shared" si="21"/>
        <v>0</v>
      </c>
      <c r="V126" s="16">
        <f>SUM(V$127:V$128)</f>
        <v>0</v>
      </c>
      <c r="W126" s="16"/>
      <c r="X126" s="17">
        <f t="shared" si="22"/>
        <v>0</v>
      </c>
      <c r="Y126" s="16">
        <f t="shared" si="23"/>
        <v>1305.45</v>
      </c>
      <c r="Z126" s="17">
        <f t="shared" si="24"/>
        <v>1</v>
      </c>
      <c r="AA126" s="17">
        <f t="shared" si="25"/>
        <v>8.0989065052418439E-4</v>
      </c>
    </row>
    <row r="127" spans="1:27" ht="57.6" x14ac:dyDescent="0.3">
      <c r="A127" s="23" t="s">
        <v>260</v>
      </c>
      <c r="B127" s="23" t="str">
        <f>VLOOKUP(A127,MEMORIA!$A:$N,2,FALSE)</f>
        <v>COMPCOM03</v>
      </c>
      <c r="C127" s="23" t="str">
        <f>VLOOKUP(A127,MEMORIA!$A:$N,3,FALSE)</f>
        <v>PRÓPRIA</v>
      </c>
      <c r="D127" s="24" t="str">
        <f>VLOOKUP(A127,MEMORIA!$A:$N,4,FALSE)</f>
        <v>TELHAMENTO COM TELHA CERÂMICA CAPA-CANAL, TIPO COLONIAL, COM ATÉ 2 ÁGUAS, INCLUSO TRANSPORTE VERTICAL</v>
      </c>
      <c r="E127" s="23" t="str">
        <f>VLOOKUP(A127,MEMORIA!$A:$N,5,FALSE)</f>
        <v>M²</v>
      </c>
      <c r="F127" s="5">
        <f>VLOOKUP(A127,MEMORIA!$A:$N,14,FALSE)</f>
        <v>10.23</v>
      </c>
      <c r="G127" s="5">
        <f>VLOOKUP(A127,ORCAMENTO!$A:$I,7,FALSE)</f>
        <v>37.64</v>
      </c>
      <c r="H127" s="5">
        <f>VLOOKUP(A127,ORCAMENTO!$A:$I,8,FALSE)</f>
        <v>46.05</v>
      </c>
      <c r="I127" s="5">
        <f>ROUND(F127*H127,2)</f>
        <v>471.09</v>
      </c>
      <c r="J127" s="5">
        <f>ROUND(K127*$H127,2)</f>
        <v>471.09</v>
      </c>
      <c r="K127" s="5">
        <f t="shared" si="34"/>
        <v>10.23</v>
      </c>
      <c r="L127" s="25">
        <f t="shared" si="18"/>
        <v>1</v>
      </c>
      <c r="M127" s="5">
        <f>ROUND(N127*$H127,2)</f>
        <v>0</v>
      </c>
      <c r="N127" s="5">
        <v>0</v>
      </c>
      <c r="O127" s="25">
        <f t="shared" si="19"/>
        <v>0</v>
      </c>
      <c r="P127" s="5">
        <f>ROUND(Q127*$H127,2)</f>
        <v>0</v>
      </c>
      <c r="Q127" s="5">
        <v>0</v>
      </c>
      <c r="R127" s="25">
        <f t="shared" si="20"/>
        <v>0</v>
      </c>
      <c r="S127" s="5">
        <f>ROUND(T127*$H127,2)</f>
        <v>0</v>
      </c>
      <c r="T127" s="5">
        <v>0</v>
      </c>
      <c r="U127" s="25">
        <f t="shared" si="21"/>
        <v>0</v>
      </c>
      <c r="V127" s="5">
        <f>ROUND(W127*$H127,2)</f>
        <v>0</v>
      </c>
      <c r="W127" s="5">
        <v>0</v>
      </c>
      <c r="X127" s="25">
        <f t="shared" si="22"/>
        <v>0</v>
      </c>
      <c r="Y127" s="5">
        <f t="shared" si="23"/>
        <v>471.09</v>
      </c>
      <c r="Z127" s="25">
        <f t="shared" si="24"/>
        <v>1</v>
      </c>
      <c r="AA127" s="25">
        <f t="shared" si="25"/>
        <v>2.9226043629050364E-4</v>
      </c>
    </row>
    <row r="128" spans="1:27" ht="72" x14ac:dyDescent="0.3">
      <c r="A128" s="23" t="s">
        <v>261</v>
      </c>
      <c r="B128" s="23" t="str">
        <f>VLOOKUP(A128,MEMORIA!$A:$N,2,FALSE)</f>
        <v>COMPCOM04</v>
      </c>
      <c r="C128" s="23" t="str">
        <f>VLOOKUP(A128,MEMORIA!$A:$N,3,FALSE)</f>
        <v>PRÓPRIA</v>
      </c>
      <c r="D128" s="24" t="str">
        <f>VLOOKUP(A128,MEMORIA!$A:$N,4,FALSE)</f>
        <v>TRAMA DE MADEIRA COMPOSTA POR RIPAS, CAIBROS E TERÇAS PARA TELHADOS DE ATÉ 2 ÁGUAS PARA TELHA CERÂMICA CAPA-CANAL, INCLUSO TRANSPORTE VERTICAL</v>
      </c>
      <c r="E128" s="23" t="str">
        <f>VLOOKUP(A128,MEMORIA!$A:$N,5,FALSE)</f>
        <v>M²</v>
      </c>
      <c r="F128" s="5">
        <f>VLOOKUP(A128,MEMORIA!$A:$N,14,FALSE)</f>
        <v>10.23</v>
      </c>
      <c r="G128" s="5">
        <f>VLOOKUP(A128,ORCAMENTO!$A:$I,7,FALSE)</f>
        <v>66.67</v>
      </c>
      <c r="H128" s="5">
        <f>VLOOKUP(A128,ORCAMENTO!$A:$I,8,FALSE)</f>
        <v>81.56</v>
      </c>
      <c r="I128" s="5">
        <f>ROUND(F128*H128,2)</f>
        <v>834.36</v>
      </c>
      <c r="J128" s="5">
        <f>ROUND(K128*$H128,2)</f>
        <v>834.36</v>
      </c>
      <c r="K128" s="5">
        <f t="shared" si="34"/>
        <v>10.23</v>
      </c>
      <c r="L128" s="25">
        <f t="shared" si="18"/>
        <v>1</v>
      </c>
      <c r="M128" s="5">
        <f>ROUND(N128*$H128,2)</f>
        <v>0</v>
      </c>
      <c r="N128" s="5">
        <v>0</v>
      </c>
      <c r="O128" s="25">
        <f t="shared" si="19"/>
        <v>0</v>
      </c>
      <c r="P128" s="5">
        <f>ROUND(Q128*$H128,2)</f>
        <v>0</v>
      </c>
      <c r="Q128" s="5">
        <v>0</v>
      </c>
      <c r="R128" s="25">
        <f t="shared" si="20"/>
        <v>0</v>
      </c>
      <c r="S128" s="5">
        <f>ROUND(T128*$H128,2)</f>
        <v>0</v>
      </c>
      <c r="T128" s="5">
        <v>0</v>
      </c>
      <c r="U128" s="25">
        <f t="shared" si="21"/>
        <v>0</v>
      </c>
      <c r="V128" s="5">
        <f>ROUND(W128*$H128,2)</f>
        <v>0</v>
      </c>
      <c r="W128" s="5">
        <v>0</v>
      </c>
      <c r="X128" s="25">
        <f t="shared" si="22"/>
        <v>0</v>
      </c>
      <c r="Y128" s="5">
        <f t="shared" si="23"/>
        <v>834.36</v>
      </c>
      <c r="Z128" s="25">
        <f t="shared" si="24"/>
        <v>1</v>
      </c>
      <c r="AA128" s="25">
        <f t="shared" si="25"/>
        <v>5.1763021423368064E-4</v>
      </c>
    </row>
    <row r="129" spans="1:27" x14ac:dyDescent="0.3">
      <c r="A129" s="15" t="s">
        <v>52</v>
      </c>
      <c r="B129" s="48" t="str">
        <f>VLOOKUP(A129,MEMORIA!$A:$N,2,FALSE)</f>
        <v>PISO</v>
      </c>
      <c r="C129" s="49"/>
      <c r="D129" s="49"/>
      <c r="E129" s="49"/>
      <c r="F129" s="49"/>
      <c r="G129" s="49"/>
      <c r="H129" s="50"/>
      <c r="I129" s="16">
        <f>SUM(I$130:I$132)</f>
        <v>1174.01</v>
      </c>
      <c r="J129" s="16">
        <f>SUM(J$130:J$132)</f>
        <v>1174.01</v>
      </c>
      <c r="K129" s="16"/>
      <c r="L129" s="17">
        <f t="shared" si="18"/>
        <v>1</v>
      </c>
      <c r="M129" s="16">
        <f>SUM(M$130:M$132)</f>
        <v>0</v>
      </c>
      <c r="N129" s="16"/>
      <c r="O129" s="17">
        <f t="shared" si="19"/>
        <v>0</v>
      </c>
      <c r="P129" s="16">
        <f>SUM(P$130:P$132)</f>
        <v>0</v>
      </c>
      <c r="Q129" s="16"/>
      <c r="R129" s="17">
        <f t="shared" si="20"/>
        <v>0</v>
      </c>
      <c r="S129" s="16">
        <f>SUM(S$130:S$132)</f>
        <v>0</v>
      </c>
      <c r="T129" s="16"/>
      <c r="U129" s="17">
        <f t="shared" si="21"/>
        <v>0</v>
      </c>
      <c r="V129" s="16">
        <f>SUM(V$130:V$132)</f>
        <v>0</v>
      </c>
      <c r="W129" s="16"/>
      <c r="X129" s="17">
        <f t="shared" si="22"/>
        <v>0</v>
      </c>
      <c r="Y129" s="16">
        <f t="shared" si="23"/>
        <v>1174.01</v>
      </c>
      <c r="Z129" s="17">
        <f t="shared" si="24"/>
        <v>1</v>
      </c>
      <c r="AA129" s="17">
        <f t="shared" si="25"/>
        <v>7.2834633469064125E-4</v>
      </c>
    </row>
    <row r="130" spans="1:27" ht="28.8" x14ac:dyDescent="0.3">
      <c r="A130" s="23" t="s">
        <v>262</v>
      </c>
      <c r="B130" s="23">
        <f>VLOOKUP(A130,MEMORIA!$A:$N,2,FALSE)</f>
        <v>96617</v>
      </c>
      <c r="C130" s="23" t="str">
        <f>VLOOKUP(A130,MEMORIA!$A:$N,3,FALSE)</f>
        <v>SINAPI</v>
      </c>
      <c r="D130" s="24" t="str">
        <f>VLOOKUP(A130,MEMORIA!$A:$N,4,FALSE)</f>
        <v>LASTRO DE CONCRETO MAGRO, APLICADO EM BLOCOS DE COROAMENTO OU SAPATAS, ESPESSURA DE 3 CM. AF_01/2024</v>
      </c>
      <c r="E130" s="23" t="str">
        <f>VLOOKUP(A130,MEMORIA!$A:$N,5,FALSE)</f>
        <v>M2</v>
      </c>
      <c r="F130" s="5">
        <f>VLOOKUP(A130,MEMORIA!$A:$N,14,FALSE)</f>
        <v>4</v>
      </c>
      <c r="G130" s="5">
        <f>VLOOKUP(A130,ORCAMENTO!$A:$I,7,FALSE)</f>
        <v>23.57</v>
      </c>
      <c r="H130" s="5">
        <f>VLOOKUP(A130,ORCAMENTO!$A:$I,8,FALSE)</f>
        <v>28.83</v>
      </c>
      <c r="I130" s="5">
        <f>ROUND(F130*H130,2)</f>
        <v>115.32</v>
      </c>
      <c r="J130" s="5">
        <f>ROUND(K130*$H130,2)</f>
        <v>115.32</v>
      </c>
      <c r="K130" s="5">
        <f t="shared" si="34"/>
        <v>4</v>
      </c>
      <c r="L130" s="25">
        <f t="shared" si="18"/>
        <v>1</v>
      </c>
      <c r="M130" s="5">
        <f>ROUND(N130*$H130,2)</f>
        <v>0</v>
      </c>
      <c r="N130" s="5">
        <v>0</v>
      </c>
      <c r="O130" s="25">
        <f t="shared" si="19"/>
        <v>0</v>
      </c>
      <c r="P130" s="5">
        <f>ROUND(Q130*$H130,2)</f>
        <v>0</v>
      </c>
      <c r="Q130" s="5">
        <v>0</v>
      </c>
      <c r="R130" s="25">
        <f t="shared" si="20"/>
        <v>0</v>
      </c>
      <c r="S130" s="5">
        <f>ROUND(T130*$H130,2)</f>
        <v>0</v>
      </c>
      <c r="T130" s="5">
        <v>0</v>
      </c>
      <c r="U130" s="25">
        <f t="shared" si="21"/>
        <v>0</v>
      </c>
      <c r="V130" s="5">
        <f>ROUND(W130*$H130,2)</f>
        <v>0</v>
      </c>
      <c r="W130" s="5">
        <v>0</v>
      </c>
      <c r="X130" s="25">
        <f t="shared" si="22"/>
        <v>0</v>
      </c>
      <c r="Y130" s="5">
        <f t="shared" si="23"/>
        <v>115.32</v>
      </c>
      <c r="Z130" s="25">
        <f t="shared" si="24"/>
        <v>1</v>
      </c>
      <c r="AA130" s="25">
        <f t="shared" si="25"/>
        <v>7.1543597853957586E-5</v>
      </c>
    </row>
    <row r="131" spans="1:27" ht="72" x14ac:dyDescent="0.3">
      <c r="A131" s="23" t="s">
        <v>263</v>
      </c>
      <c r="B131" s="23">
        <f>VLOOKUP(A131,MEMORIA!$A:$N,2,FALSE)</f>
        <v>101749</v>
      </c>
      <c r="C131" s="23" t="str">
        <f>VLOOKUP(A131,MEMORIA!$A:$N,3,FALSE)</f>
        <v>SINAPI</v>
      </c>
      <c r="D131" s="24" t="str">
        <f>VLOOKUP(A131,MEMORIA!$A:$N,4,FALSE)</f>
        <v>PISO CIMENTADO, TRAÇO 1:3 (CIMENTO E AREIA), ACABAMENTO LISO, ESPESSURA 4,0 CM, PREPARO MECÂNICO DA ARGAMASSA. AF_09/2020</v>
      </c>
      <c r="E131" s="23" t="str">
        <f>VLOOKUP(A131,MEMORIA!$A:$N,5,FALSE)</f>
        <v>M2</v>
      </c>
      <c r="F131" s="5">
        <f>VLOOKUP(A131,MEMORIA!$A:$N,14,FALSE)</f>
        <v>4</v>
      </c>
      <c r="G131" s="5">
        <f>VLOOKUP(A131,ORCAMENTO!$A:$I,7,FALSE)</f>
        <v>64.739999999999995</v>
      </c>
      <c r="H131" s="5">
        <f>VLOOKUP(A131,ORCAMENTO!$A:$I,8,FALSE)</f>
        <v>79.199999999999989</v>
      </c>
      <c r="I131" s="5">
        <f>ROUND(F131*H131,2)</f>
        <v>316.8</v>
      </c>
      <c r="J131" s="5">
        <f>ROUND(K131*$H131,2)</f>
        <v>316.8</v>
      </c>
      <c r="K131" s="5">
        <f t="shared" si="34"/>
        <v>4</v>
      </c>
      <c r="L131" s="25">
        <f t="shared" si="18"/>
        <v>1</v>
      </c>
      <c r="M131" s="5">
        <f>ROUND(N131*$H131,2)</f>
        <v>0</v>
      </c>
      <c r="N131" s="5">
        <v>0</v>
      </c>
      <c r="O131" s="25">
        <f t="shared" si="19"/>
        <v>0</v>
      </c>
      <c r="P131" s="5">
        <f>ROUND(Q131*$H131,2)</f>
        <v>0</v>
      </c>
      <c r="Q131" s="5">
        <v>0</v>
      </c>
      <c r="R131" s="25">
        <f t="shared" si="20"/>
        <v>0</v>
      </c>
      <c r="S131" s="5">
        <f>ROUND(T131*$H131,2)</f>
        <v>0</v>
      </c>
      <c r="T131" s="5">
        <v>0</v>
      </c>
      <c r="U131" s="25">
        <f t="shared" si="21"/>
        <v>0</v>
      </c>
      <c r="V131" s="5">
        <f>ROUND(W131*$H131,2)</f>
        <v>0</v>
      </c>
      <c r="W131" s="5">
        <v>0</v>
      </c>
      <c r="X131" s="25">
        <f t="shared" si="22"/>
        <v>0</v>
      </c>
      <c r="Y131" s="5">
        <f t="shared" si="23"/>
        <v>316.8</v>
      </c>
      <c r="Z131" s="25">
        <f t="shared" si="24"/>
        <v>1</v>
      </c>
      <c r="AA131" s="25">
        <f t="shared" si="25"/>
        <v>1.9654016476009162E-4</v>
      </c>
    </row>
    <row r="132" spans="1:27" ht="72" x14ac:dyDescent="0.3">
      <c r="A132" s="23" t="s">
        <v>264</v>
      </c>
      <c r="B132" s="23">
        <f>VLOOKUP(A132,MEMORIA!$A:$N,2,FALSE)</f>
        <v>94994</v>
      </c>
      <c r="C132" s="23" t="str">
        <f>VLOOKUP(A132,MEMORIA!$A:$N,3,FALSE)</f>
        <v>SINAPI</v>
      </c>
      <c r="D132" s="24" t="str">
        <f>VLOOKUP(A132,MEMORIA!$A:$N,4,FALSE)</f>
        <v>EXECUÇÃO DE PASSEIO (CALÇADA) OU PISO DE CONCRETO COM CONCRETO MOLDADO IN LOCO, FEITO EM OBRA, ACABAMENTO CONVENCIONAL, ESPESSURA 8 CM, ARMADO. AF_08/2022</v>
      </c>
      <c r="E132" s="23" t="str">
        <f>VLOOKUP(A132,MEMORIA!$A:$N,5,FALSE)</f>
        <v>M2</v>
      </c>
      <c r="F132" s="5">
        <f>VLOOKUP(A132,MEMORIA!$A:$N,14,FALSE)</f>
        <v>5.6</v>
      </c>
      <c r="G132" s="5">
        <f>VLOOKUP(A132,ORCAMENTO!$A:$I,7,FALSE)</f>
        <v>108.30000000000003</v>
      </c>
      <c r="H132" s="5">
        <f>VLOOKUP(A132,ORCAMENTO!$A:$I,8,FALSE)</f>
        <v>132.48000000000002</v>
      </c>
      <c r="I132" s="5">
        <f>ROUND(F132*H132,2)</f>
        <v>741.89</v>
      </c>
      <c r="J132" s="5">
        <f>ROUND(K132*$H132,2)</f>
        <v>741.89</v>
      </c>
      <c r="K132" s="5">
        <f t="shared" si="34"/>
        <v>5.6</v>
      </c>
      <c r="L132" s="25">
        <f t="shared" si="18"/>
        <v>1</v>
      </c>
      <c r="M132" s="5">
        <f>ROUND(N132*$H132,2)</f>
        <v>0</v>
      </c>
      <c r="N132" s="5">
        <v>0</v>
      </c>
      <c r="O132" s="25">
        <f t="shared" si="19"/>
        <v>0</v>
      </c>
      <c r="P132" s="5">
        <f>ROUND(Q132*$H132,2)</f>
        <v>0</v>
      </c>
      <c r="Q132" s="5">
        <v>0</v>
      </c>
      <c r="R132" s="25">
        <f t="shared" si="20"/>
        <v>0</v>
      </c>
      <c r="S132" s="5">
        <f>ROUND(T132*$H132,2)</f>
        <v>0</v>
      </c>
      <c r="T132" s="5">
        <v>0</v>
      </c>
      <c r="U132" s="25">
        <f t="shared" si="21"/>
        <v>0</v>
      </c>
      <c r="V132" s="5">
        <f>ROUND(W132*$H132,2)</f>
        <v>0</v>
      </c>
      <c r="W132" s="5">
        <v>0</v>
      </c>
      <c r="X132" s="25">
        <f t="shared" si="22"/>
        <v>0</v>
      </c>
      <c r="Y132" s="5">
        <f t="shared" si="23"/>
        <v>741.89</v>
      </c>
      <c r="Z132" s="25">
        <f t="shared" si="24"/>
        <v>1</v>
      </c>
      <c r="AA132" s="25">
        <f t="shared" si="25"/>
        <v>4.6026257207659206E-4</v>
      </c>
    </row>
    <row r="133" spans="1:27" x14ac:dyDescent="0.3">
      <c r="A133" s="15" t="s">
        <v>53</v>
      </c>
      <c r="B133" s="48" t="str">
        <f>VLOOKUP(A133,MEMORIA!$A:$N,2,FALSE)</f>
        <v>REVESTIMENTO</v>
      </c>
      <c r="C133" s="49"/>
      <c r="D133" s="49"/>
      <c r="E133" s="49"/>
      <c r="F133" s="49"/>
      <c r="G133" s="49"/>
      <c r="H133" s="50"/>
      <c r="I133" s="16">
        <f>SUM(I$134:I$135)</f>
        <v>2341.92</v>
      </c>
      <c r="J133" s="16">
        <f>SUM(J$134:J$135)</f>
        <v>2341.92</v>
      </c>
      <c r="K133" s="16"/>
      <c r="L133" s="17">
        <f t="shared" si="18"/>
        <v>1</v>
      </c>
      <c r="M133" s="16">
        <f>SUM(M$134:M$135)</f>
        <v>0</v>
      </c>
      <c r="N133" s="16"/>
      <c r="O133" s="17">
        <f t="shared" si="19"/>
        <v>0</v>
      </c>
      <c r="P133" s="16">
        <f>SUM(P$134:P$135)</f>
        <v>0</v>
      </c>
      <c r="Q133" s="16"/>
      <c r="R133" s="17">
        <f t="shared" si="20"/>
        <v>0</v>
      </c>
      <c r="S133" s="16">
        <f>SUM(S$134:S$135)</f>
        <v>0</v>
      </c>
      <c r="T133" s="16"/>
      <c r="U133" s="17">
        <f t="shared" si="21"/>
        <v>0</v>
      </c>
      <c r="V133" s="16">
        <f>SUM(V$134:V$135)</f>
        <v>0</v>
      </c>
      <c r="W133" s="16"/>
      <c r="X133" s="17">
        <f t="shared" si="22"/>
        <v>0</v>
      </c>
      <c r="Y133" s="16">
        <f t="shared" si="23"/>
        <v>2341.92</v>
      </c>
      <c r="Z133" s="17">
        <f t="shared" si="24"/>
        <v>1</v>
      </c>
      <c r="AA133" s="17">
        <f t="shared" si="25"/>
        <v>1.452908278582556E-3</v>
      </c>
    </row>
    <row r="134" spans="1:27" ht="86.4" x14ac:dyDescent="0.3">
      <c r="A134" s="23" t="s">
        <v>265</v>
      </c>
      <c r="B134" s="23">
        <f>VLOOKUP(A134,MEMORIA!$A:$N,2,FALSE)</f>
        <v>87904</v>
      </c>
      <c r="C134" s="23" t="str">
        <f>VLOOKUP(A134,MEMORIA!$A:$N,3,FALSE)</f>
        <v>SINAPI</v>
      </c>
      <c r="D134" s="24" t="str">
        <f>VLOOKUP(A134,MEMORIA!$A:$N,4,FALSE)</f>
        <v>CHAPISCO APLICADO EM ALVENARIA (COM PRESENÇA DE VÃOS) E ESTRUTURAS DE CONCRETO DE FACHADA, COM COLHER DE PEDREIRO. ARGAMASSA TRAÇO 1:3 COM PREPARO MANUAL. AF_10/2022</v>
      </c>
      <c r="E134" s="23" t="str">
        <f>VLOOKUP(A134,MEMORIA!$A:$N,5,FALSE)</f>
        <v>M2</v>
      </c>
      <c r="F134" s="5">
        <f>VLOOKUP(A134,MEMORIA!$A:$N,14,FALSE)</f>
        <v>38.619999999999997</v>
      </c>
      <c r="G134" s="5">
        <f>VLOOKUP(A134,ORCAMENTO!$A:$I,7,FALSE)</f>
        <v>8.7199999999999989</v>
      </c>
      <c r="H134" s="5">
        <f>VLOOKUP(A134,ORCAMENTO!$A:$I,8,FALSE)</f>
        <v>10.669999999999998</v>
      </c>
      <c r="I134" s="5">
        <f>ROUND(F134*H134,2)</f>
        <v>412.08</v>
      </c>
      <c r="J134" s="5">
        <f>ROUND(K134*$H134,2)</f>
        <v>412.08</v>
      </c>
      <c r="K134" s="5">
        <f t="shared" si="34"/>
        <v>38.619999999999997</v>
      </c>
      <c r="L134" s="25">
        <f t="shared" si="18"/>
        <v>1</v>
      </c>
      <c r="M134" s="5">
        <f>ROUND(N134*$H134,2)</f>
        <v>0</v>
      </c>
      <c r="N134" s="5">
        <v>0</v>
      </c>
      <c r="O134" s="25">
        <f t="shared" si="19"/>
        <v>0</v>
      </c>
      <c r="P134" s="5">
        <f>ROUND(Q134*$H134,2)</f>
        <v>0</v>
      </c>
      <c r="Q134" s="5">
        <v>0</v>
      </c>
      <c r="R134" s="25">
        <f t="shared" si="20"/>
        <v>0</v>
      </c>
      <c r="S134" s="5">
        <f>ROUND(T134*$H134,2)</f>
        <v>0</v>
      </c>
      <c r="T134" s="5">
        <v>0</v>
      </c>
      <c r="U134" s="25">
        <f t="shared" si="21"/>
        <v>0</v>
      </c>
      <c r="V134" s="5">
        <f>ROUND(W134*$H134,2)</f>
        <v>0</v>
      </c>
      <c r="W134" s="5">
        <v>0</v>
      </c>
      <c r="X134" s="25">
        <f t="shared" si="22"/>
        <v>0</v>
      </c>
      <c r="Y134" s="5">
        <f t="shared" si="23"/>
        <v>412.08</v>
      </c>
      <c r="Z134" s="25">
        <f t="shared" si="24"/>
        <v>1</v>
      </c>
      <c r="AA134" s="25">
        <f t="shared" si="25"/>
        <v>2.5565110825233128E-4</v>
      </c>
    </row>
    <row r="135" spans="1:27" ht="86.4" x14ac:dyDescent="0.3">
      <c r="A135" s="23" t="s">
        <v>266</v>
      </c>
      <c r="B135" s="23">
        <f>VLOOKUP(A135,MEMORIA!$A:$N,2,FALSE)</f>
        <v>87530</v>
      </c>
      <c r="C135" s="23" t="str">
        <f>VLOOKUP(A135,MEMORIA!$A:$N,3,FALSE)</f>
        <v>SINAPI</v>
      </c>
      <c r="D135" s="24" t="str">
        <f>VLOOKUP(A135,MEMORIA!$A:$N,4,FALSE)</f>
        <v>MASSA ÚNICA, EM ARGAMASSA TRAÇO 1:2:8, PREPARO MANUAL, APLICADA MANUALMENTE EM PAREDES INTERNAS DE AMBIENTES COM ÁREA ENTRE 5M² E 10M², E = 17,5MM, COM TALISCAS. AF_03/2024</v>
      </c>
      <c r="E135" s="23" t="str">
        <f>VLOOKUP(A135,MEMORIA!$A:$N,5,FALSE)</f>
        <v>M2</v>
      </c>
      <c r="F135" s="5">
        <f>VLOOKUP(A135,MEMORIA!$A:$N,14,FALSE)</f>
        <v>38.619999999999997</v>
      </c>
      <c r="G135" s="5">
        <f>VLOOKUP(A135,ORCAMENTO!$A:$I,7,FALSE)</f>
        <v>40.85</v>
      </c>
      <c r="H135" s="5">
        <f>VLOOKUP(A135,ORCAMENTO!$A:$I,8,FALSE)</f>
        <v>49.97</v>
      </c>
      <c r="I135" s="5">
        <f>ROUND(F135*H135,2)</f>
        <v>1929.84</v>
      </c>
      <c r="J135" s="5">
        <f>ROUND(K135*$H135,2)</f>
        <v>1929.84</v>
      </c>
      <c r="K135" s="5">
        <f t="shared" si="34"/>
        <v>38.619999999999997</v>
      </c>
      <c r="L135" s="25">
        <f t="shared" si="18"/>
        <v>1</v>
      </c>
      <c r="M135" s="5">
        <f>ROUND(N135*$H135,2)</f>
        <v>0</v>
      </c>
      <c r="N135" s="5">
        <v>0</v>
      </c>
      <c r="O135" s="25">
        <f t="shared" si="19"/>
        <v>0</v>
      </c>
      <c r="P135" s="5">
        <f>ROUND(Q135*$H135,2)</f>
        <v>0</v>
      </c>
      <c r="Q135" s="5">
        <v>0</v>
      </c>
      <c r="R135" s="25">
        <f t="shared" si="20"/>
        <v>0</v>
      </c>
      <c r="S135" s="5">
        <f>ROUND(T135*$H135,2)</f>
        <v>0</v>
      </c>
      <c r="T135" s="5">
        <v>0</v>
      </c>
      <c r="U135" s="25">
        <f t="shared" si="21"/>
        <v>0</v>
      </c>
      <c r="V135" s="5">
        <f>ROUND(W135*$H135,2)</f>
        <v>0</v>
      </c>
      <c r="W135" s="5">
        <v>0</v>
      </c>
      <c r="X135" s="25">
        <f t="shared" si="22"/>
        <v>0</v>
      </c>
      <c r="Y135" s="5">
        <f t="shared" si="23"/>
        <v>1929.84</v>
      </c>
      <c r="Z135" s="25">
        <f t="shared" si="24"/>
        <v>1</v>
      </c>
      <c r="AA135" s="25">
        <f t="shared" si="25"/>
        <v>1.1972571703302247E-3</v>
      </c>
    </row>
    <row r="136" spans="1:27" x14ac:dyDescent="0.3">
      <c r="A136" s="15" t="s">
        <v>54</v>
      </c>
      <c r="B136" s="48" t="str">
        <f>VLOOKUP(A136,MEMORIA!$A:$N,2,FALSE)</f>
        <v>ESQUADRIAS</v>
      </c>
      <c r="C136" s="49"/>
      <c r="D136" s="49"/>
      <c r="E136" s="49"/>
      <c r="F136" s="49"/>
      <c r="G136" s="49"/>
      <c r="H136" s="50"/>
      <c r="I136" s="16">
        <f>SUM(I$137:I$138)</f>
        <v>2243.75</v>
      </c>
      <c r="J136" s="16">
        <f>SUM(J$137:J$138)</f>
        <v>2243.75</v>
      </c>
      <c r="K136" s="16"/>
      <c r="L136" s="17">
        <f t="shared" ref="L136:L199" si="35">J136/$I136</f>
        <v>1</v>
      </c>
      <c r="M136" s="16">
        <f>SUM(M$137:M$138)</f>
        <v>0</v>
      </c>
      <c r="N136" s="16"/>
      <c r="O136" s="17">
        <f t="shared" ref="O136:O199" si="36">M136/$I136</f>
        <v>0</v>
      </c>
      <c r="P136" s="16">
        <f>SUM(P$137:P$138)</f>
        <v>0</v>
      </c>
      <c r="Q136" s="16"/>
      <c r="R136" s="17">
        <f t="shared" ref="R136:R199" si="37">P136/$I136</f>
        <v>0</v>
      </c>
      <c r="S136" s="16">
        <f>SUM(S$137:S$138)</f>
        <v>0</v>
      </c>
      <c r="T136" s="16"/>
      <c r="U136" s="17">
        <f t="shared" ref="U136:U199" si="38">S136/$I136</f>
        <v>0</v>
      </c>
      <c r="V136" s="16">
        <f>SUM(V$137:V$138)</f>
        <v>0</v>
      </c>
      <c r="W136" s="16"/>
      <c r="X136" s="17">
        <f t="shared" ref="X136:X199" si="39">V136/$I136</f>
        <v>0</v>
      </c>
      <c r="Y136" s="16">
        <f t="shared" ref="Y136:Y199" si="40">SUM(J136,M136,P136,S136,V136,)</f>
        <v>2243.75</v>
      </c>
      <c r="Z136" s="17">
        <f t="shared" ref="Z136:Z199" si="41">SUM(L136,O136,R136,U136,X136,)</f>
        <v>1</v>
      </c>
      <c r="AA136" s="17">
        <f t="shared" ref="AA136:AA199" si="42">Y136/$I$479</f>
        <v>1.3920044024004279E-3</v>
      </c>
    </row>
    <row r="137" spans="1:27" ht="43.2" x14ac:dyDescent="0.3">
      <c r="A137" s="23" t="s">
        <v>267</v>
      </c>
      <c r="B137" s="23">
        <f>VLOOKUP(A137,MEMORIA!$A:$N,2,FALSE)</f>
        <v>100701</v>
      </c>
      <c r="C137" s="23" t="str">
        <f>VLOOKUP(A137,MEMORIA!$A:$N,3,FALSE)</f>
        <v>SINAPI</v>
      </c>
      <c r="D137" s="24" t="str">
        <f>VLOOKUP(A137,MEMORIA!$A:$N,4,FALSE)</f>
        <v>PORTA DE FERRO, DE ABRIR, TIPO GRADE COM CHAPA, COM GUARNIÇÕES. AF_12/2019</v>
      </c>
      <c r="E137" s="23" t="str">
        <f>VLOOKUP(A137,MEMORIA!$A:$N,5,FALSE)</f>
        <v>M2</v>
      </c>
      <c r="F137" s="5">
        <f>VLOOKUP(A137,MEMORIA!$A:$N,14,FALSE)</f>
        <v>1.68</v>
      </c>
      <c r="G137" s="5">
        <f>VLOOKUP(A137,ORCAMENTO!$A:$I,7,FALSE)</f>
        <v>415.24</v>
      </c>
      <c r="H137" s="5">
        <f>VLOOKUP(A137,ORCAMENTO!$A:$I,8,FALSE)</f>
        <v>507.96000000000004</v>
      </c>
      <c r="I137" s="5">
        <f>ROUND(F137*H137,2)</f>
        <v>853.37</v>
      </c>
      <c r="J137" s="5">
        <f>ROUND(K137*$H137,2)</f>
        <v>853.37</v>
      </c>
      <c r="K137" s="5">
        <f t="shared" si="34"/>
        <v>1.68</v>
      </c>
      <c r="L137" s="25">
        <f t="shared" si="35"/>
        <v>1</v>
      </c>
      <c r="M137" s="5">
        <f>ROUND(N137*$H137,2)</f>
        <v>0</v>
      </c>
      <c r="N137" s="5">
        <v>0</v>
      </c>
      <c r="O137" s="25">
        <f t="shared" si="36"/>
        <v>0</v>
      </c>
      <c r="P137" s="5">
        <f>ROUND(Q137*$H137,2)</f>
        <v>0</v>
      </c>
      <c r="Q137" s="5">
        <v>0</v>
      </c>
      <c r="R137" s="25">
        <f t="shared" si="37"/>
        <v>0</v>
      </c>
      <c r="S137" s="5">
        <f>ROUND(T137*$H137,2)</f>
        <v>0</v>
      </c>
      <c r="T137" s="5">
        <v>0</v>
      </c>
      <c r="U137" s="25">
        <f t="shared" si="38"/>
        <v>0</v>
      </c>
      <c r="V137" s="5">
        <f>ROUND(W137*$H137,2)</f>
        <v>0</v>
      </c>
      <c r="W137" s="5">
        <v>0</v>
      </c>
      <c r="X137" s="25">
        <f t="shared" si="39"/>
        <v>0</v>
      </c>
      <c r="Y137" s="5">
        <f t="shared" si="40"/>
        <v>853.37</v>
      </c>
      <c r="Z137" s="25">
        <f t="shared" si="41"/>
        <v>1</v>
      </c>
      <c r="AA137" s="25">
        <f t="shared" si="42"/>
        <v>5.2942386490315463E-4</v>
      </c>
    </row>
    <row r="138" spans="1:27" ht="43.2" x14ac:dyDescent="0.3">
      <c r="A138" s="23" t="s">
        <v>268</v>
      </c>
      <c r="B138" s="23" t="str">
        <f>VLOOKUP(A138,MEMORIA!$A:$N,2,FALSE)</f>
        <v>COMP219</v>
      </c>
      <c r="C138" s="23" t="str">
        <f>VLOOKUP(A138,MEMORIA!$A:$N,3,FALSE)</f>
        <v>PRÓPRIA</v>
      </c>
      <c r="D138" s="24" t="str">
        <f>VLOOKUP(A138,MEMORIA!$A:$N,4,FALSE)</f>
        <v>PORTÃO DE FERRO EM BARRA CHATA TIPO TIJOLINHO (REF: C1999-SEINFRA 28)</v>
      </c>
      <c r="E138" s="23" t="str">
        <f>VLOOKUP(A138,MEMORIA!$A:$N,5,FALSE)</f>
        <v>M2</v>
      </c>
      <c r="F138" s="5">
        <f>VLOOKUP(A138,MEMORIA!$A:$N,14,FALSE)</f>
        <v>6</v>
      </c>
      <c r="G138" s="5">
        <f>VLOOKUP(A138,ORCAMENTO!$A:$I,7,FALSE)</f>
        <v>189.43</v>
      </c>
      <c r="H138" s="5">
        <f>VLOOKUP(A138,ORCAMENTO!$A:$I,8,FALSE)</f>
        <v>231.73000000000002</v>
      </c>
      <c r="I138" s="5">
        <f>ROUND(F138*H138,2)</f>
        <v>1390.38</v>
      </c>
      <c r="J138" s="5">
        <f>ROUND(K138*$H138,2)</f>
        <v>1390.38</v>
      </c>
      <c r="K138" s="5">
        <f t="shared" si="34"/>
        <v>6</v>
      </c>
      <c r="L138" s="25">
        <f t="shared" si="35"/>
        <v>1</v>
      </c>
      <c r="M138" s="5">
        <f>ROUND(N138*$H138,2)</f>
        <v>0</v>
      </c>
      <c r="N138" s="5">
        <v>0</v>
      </c>
      <c r="O138" s="25">
        <f t="shared" si="36"/>
        <v>0</v>
      </c>
      <c r="P138" s="5">
        <f>ROUND(Q138*$H138,2)</f>
        <v>0</v>
      </c>
      <c r="Q138" s="5">
        <v>0</v>
      </c>
      <c r="R138" s="25">
        <f t="shared" si="37"/>
        <v>0</v>
      </c>
      <c r="S138" s="5">
        <f>ROUND(T138*$H138,2)</f>
        <v>0</v>
      </c>
      <c r="T138" s="5">
        <v>0</v>
      </c>
      <c r="U138" s="25">
        <f t="shared" si="38"/>
        <v>0</v>
      </c>
      <c r="V138" s="5">
        <f>ROUND(W138*$H138,2)</f>
        <v>0</v>
      </c>
      <c r="W138" s="5">
        <v>0</v>
      </c>
      <c r="X138" s="25">
        <f t="shared" si="39"/>
        <v>0</v>
      </c>
      <c r="Y138" s="5">
        <f t="shared" si="40"/>
        <v>1390.38</v>
      </c>
      <c r="Z138" s="25">
        <f t="shared" si="41"/>
        <v>1</v>
      </c>
      <c r="AA138" s="25">
        <f t="shared" si="42"/>
        <v>8.625805374972733E-4</v>
      </c>
    </row>
    <row r="139" spans="1:27" x14ac:dyDescent="0.3">
      <c r="A139" s="15" t="s">
        <v>55</v>
      </c>
      <c r="B139" s="48" t="str">
        <f>VLOOKUP(A139,MEMORIA!$A:$N,2,FALSE)</f>
        <v>PINTURA</v>
      </c>
      <c r="C139" s="49"/>
      <c r="D139" s="49"/>
      <c r="E139" s="49"/>
      <c r="F139" s="49"/>
      <c r="G139" s="49"/>
      <c r="H139" s="50"/>
      <c r="I139" s="16">
        <f>SUM(I$140:I$141)</f>
        <v>649.88</v>
      </c>
      <c r="J139" s="16">
        <f>SUM(J$140:J$141)</f>
        <v>649.88</v>
      </c>
      <c r="K139" s="16"/>
      <c r="L139" s="17">
        <f t="shared" si="35"/>
        <v>1</v>
      </c>
      <c r="M139" s="16">
        <f>SUM(M$140:M$141)</f>
        <v>0</v>
      </c>
      <c r="N139" s="16"/>
      <c r="O139" s="17">
        <f t="shared" si="36"/>
        <v>0</v>
      </c>
      <c r="P139" s="16">
        <f>SUM(P$140:P$141)</f>
        <v>0</v>
      </c>
      <c r="Q139" s="16"/>
      <c r="R139" s="17">
        <f t="shared" si="37"/>
        <v>0</v>
      </c>
      <c r="S139" s="16">
        <f>SUM(S$140:S$141)</f>
        <v>0</v>
      </c>
      <c r="T139" s="16"/>
      <c r="U139" s="17">
        <f t="shared" si="38"/>
        <v>0</v>
      </c>
      <c r="V139" s="16">
        <f>SUM(V$140:V$141)</f>
        <v>0</v>
      </c>
      <c r="W139" s="16"/>
      <c r="X139" s="17">
        <f t="shared" si="39"/>
        <v>0</v>
      </c>
      <c r="Y139" s="16">
        <f t="shared" si="40"/>
        <v>649.88</v>
      </c>
      <c r="Z139" s="17">
        <f t="shared" si="41"/>
        <v>1</v>
      </c>
      <c r="AA139" s="17">
        <f t="shared" si="42"/>
        <v>4.0318031020924349E-4</v>
      </c>
    </row>
    <row r="140" spans="1:27" ht="28.8" x14ac:dyDescent="0.3">
      <c r="A140" s="23" t="s">
        <v>269</v>
      </c>
      <c r="B140" s="23" t="str">
        <f>VLOOKUP(A140,MEMORIA!$A:$N,2,FALSE)</f>
        <v>COMP205</v>
      </c>
      <c r="C140" s="23" t="str">
        <f>VLOOKUP(A140,MEMORIA!$A:$N,3,FALSE)</f>
        <v>PRÓPRIA</v>
      </c>
      <c r="D140" s="24" t="str">
        <f>VLOOKUP(A140,MEMORIA!$A:$N,4,FALSE)</f>
        <v>CAIAÇÃO EM TRES DEMÃOS EM PAREDES (REF: C0589-SEINFRA 28)</v>
      </c>
      <c r="E140" s="23" t="str">
        <f>VLOOKUP(A140,MEMORIA!$A:$N,5,FALSE)</f>
        <v>M2</v>
      </c>
      <c r="F140" s="5">
        <f>VLOOKUP(A140,MEMORIA!$A:$N,14,FALSE)</f>
        <v>38.619999999999997</v>
      </c>
      <c r="G140" s="5">
        <f>VLOOKUP(A140,ORCAMENTO!$A:$I,7,FALSE)</f>
        <v>9.3800000000000008</v>
      </c>
      <c r="H140" s="5">
        <f>VLOOKUP(A140,ORCAMENTO!$A:$I,8,FALSE)</f>
        <v>11.47</v>
      </c>
      <c r="I140" s="5">
        <f>ROUND(F140*H140,2)</f>
        <v>442.97</v>
      </c>
      <c r="J140" s="5">
        <f>ROUND(K140*$H140,2)</f>
        <v>442.97</v>
      </c>
      <c r="K140" s="5">
        <f t="shared" si="34"/>
        <v>38.619999999999997</v>
      </c>
      <c r="L140" s="25">
        <f t="shared" si="35"/>
        <v>1</v>
      </c>
      <c r="M140" s="5">
        <f>ROUND(N140*$H140,2)</f>
        <v>0</v>
      </c>
      <c r="N140" s="5">
        <v>0</v>
      </c>
      <c r="O140" s="25">
        <f t="shared" si="36"/>
        <v>0</v>
      </c>
      <c r="P140" s="5">
        <f>ROUND(Q140*$H140,2)</f>
        <v>0</v>
      </c>
      <c r="Q140" s="5">
        <v>0</v>
      </c>
      <c r="R140" s="25">
        <f t="shared" si="37"/>
        <v>0</v>
      </c>
      <c r="S140" s="5">
        <f>ROUND(T140*$H140,2)</f>
        <v>0</v>
      </c>
      <c r="T140" s="5">
        <v>0</v>
      </c>
      <c r="U140" s="25">
        <f t="shared" si="38"/>
        <v>0</v>
      </c>
      <c r="V140" s="5">
        <f>ROUND(W140*$H140,2)</f>
        <v>0</v>
      </c>
      <c r="W140" s="5">
        <v>0</v>
      </c>
      <c r="X140" s="25">
        <f t="shared" si="39"/>
        <v>0</v>
      </c>
      <c r="Y140" s="5">
        <f t="shared" si="40"/>
        <v>442.97</v>
      </c>
      <c r="Z140" s="25">
        <f t="shared" si="41"/>
        <v>1</v>
      </c>
      <c r="AA140" s="25">
        <f t="shared" si="42"/>
        <v>2.7481501510030868E-4</v>
      </c>
    </row>
    <row r="141" spans="1:27" ht="86.4" x14ac:dyDescent="0.3">
      <c r="A141" s="23" t="s">
        <v>270</v>
      </c>
      <c r="B141" s="23">
        <f>VLOOKUP(A141,MEMORIA!$A:$N,2,FALSE)</f>
        <v>100758</v>
      </c>
      <c r="C141" s="23" t="str">
        <f>VLOOKUP(A141,MEMORIA!$A:$N,3,FALSE)</f>
        <v>SINAPI</v>
      </c>
      <c r="D141" s="24" t="str">
        <f>VLOOKUP(A141,MEMORIA!$A:$N,4,FALSE)</f>
        <v>PINTURA COM TINTA ALQUÍDICA DE ACABAMENTO (ESMALTE SINTÉTICO ACETINADO) APLICADA A ROLO OU PINCEL SOBRE SUPERFÍCIES METÁLICAS (EXCETO PERFIL) EXECUTADO EM OBRA (02 DEMÃOS). AF_01/2020</v>
      </c>
      <c r="E141" s="23" t="str">
        <f>VLOOKUP(A141,MEMORIA!$A:$N,5,FALSE)</f>
        <v>M2</v>
      </c>
      <c r="F141" s="5">
        <f>VLOOKUP(A141,MEMORIA!$A:$N,14,FALSE)</f>
        <v>3.36</v>
      </c>
      <c r="G141" s="5">
        <f>VLOOKUP(A141,ORCAMENTO!$A:$I,7,FALSE)</f>
        <v>50.339999999999996</v>
      </c>
      <c r="H141" s="5">
        <f>VLOOKUP(A141,ORCAMENTO!$A:$I,8,FALSE)</f>
        <v>61.58</v>
      </c>
      <c r="I141" s="5">
        <f>ROUND(F141*H141,2)</f>
        <v>206.91</v>
      </c>
      <c r="J141" s="5">
        <f>ROUND(K141*$H141,2)</f>
        <v>206.91</v>
      </c>
      <c r="K141" s="5">
        <f t="shared" si="34"/>
        <v>3.36</v>
      </c>
      <c r="L141" s="25">
        <f t="shared" si="35"/>
        <v>1</v>
      </c>
      <c r="M141" s="5">
        <f>ROUND(N141*$H141,2)</f>
        <v>0</v>
      </c>
      <c r="N141" s="5">
        <v>0</v>
      </c>
      <c r="O141" s="25">
        <f t="shared" si="36"/>
        <v>0</v>
      </c>
      <c r="P141" s="5">
        <f>ROUND(Q141*$H141,2)</f>
        <v>0</v>
      </c>
      <c r="Q141" s="5">
        <v>0</v>
      </c>
      <c r="R141" s="25">
        <f t="shared" si="37"/>
        <v>0</v>
      </c>
      <c r="S141" s="5">
        <f>ROUND(T141*$H141,2)</f>
        <v>0</v>
      </c>
      <c r="T141" s="5">
        <v>0</v>
      </c>
      <c r="U141" s="25">
        <f t="shared" si="38"/>
        <v>0</v>
      </c>
      <c r="V141" s="5">
        <f>ROUND(W141*$H141,2)</f>
        <v>0</v>
      </c>
      <c r="W141" s="5">
        <v>0</v>
      </c>
      <c r="X141" s="25">
        <f t="shared" si="39"/>
        <v>0</v>
      </c>
      <c r="Y141" s="5">
        <f t="shared" si="40"/>
        <v>206.91</v>
      </c>
      <c r="Z141" s="25">
        <f t="shared" si="41"/>
        <v>1</v>
      </c>
      <c r="AA141" s="25">
        <f t="shared" si="42"/>
        <v>1.2836529510893484E-4</v>
      </c>
    </row>
    <row r="142" spans="1:27" x14ac:dyDescent="0.3">
      <c r="A142" s="15" t="s">
        <v>56</v>
      </c>
      <c r="B142" s="48" t="str">
        <f>VLOOKUP(A142,MEMORIA!$A:$N,2,FALSE)</f>
        <v>CERCAMENTO</v>
      </c>
      <c r="C142" s="49"/>
      <c r="D142" s="49"/>
      <c r="E142" s="49"/>
      <c r="F142" s="49"/>
      <c r="G142" s="49"/>
      <c r="H142" s="50"/>
      <c r="I142" s="16">
        <f>SUM(I$143:I$143)</f>
        <v>5908.53</v>
      </c>
      <c r="J142" s="16">
        <f>SUM(J$143:J$143)</f>
        <v>5908.53</v>
      </c>
      <c r="K142" s="16"/>
      <c r="L142" s="17">
        <f t="shared" si="35"/>
        <v>1</v>
      </c>
      <c r="M142" s="16">
        <f>SUM(M$143:M$143)</f>
        <v>0</v>
      </c>
      <c r="N142" s="16"/>
      <c r="O142" s="17">
        <f t="shared" si="36"/>
        <v>0</v>
      </c>
      <c r="P142" s="16">
        <f>SUM(P$143:P$143)</f>
        <v>0</v>
      </c>
      <c r="Q142" s="16"/>
      <c r="R142" s="17">
        <f t="shared" si="37"/>
        <v>0</v>
      </c>
      <c r="S142" s="16">
        <f>SUM(S$143:S$143)</f>
        <v>0</v>
      </c>
      <c r="T142" s="16"/>
      <c r="U142" s="17">
        <f t="shared" si="38"/>
        <v>0</v>
      </c>
      <c r="V142" s="16">
        <f>SUM(V$143:V$143)</f>
        <v>0</v>
      </c>
      <c r="W142" s="16"/>
      <c r="X142" s="17">
        <f t="shared" si="39"/>
        <v>0</v>
      </c>
      <c r="Y142" s="16">
        <f t="shared" si="40"/>
        <v>5908.53</v>
      </c>
      <c r="Z142" s="17">
        <f t="shared" si="41"/>
        <v>1</v>
      </c>
      <c r="AA142" s="17">
        <f t="shared" si="42"/>
        <v>3.6656043550818943E-3</v>
      </c>
    </row>
    <row r="143" spans="1:27" ht="100.8" x14ac:dyDescent="0.3">
      <c r="A143" s="23" t="s">
        <v>271</v>
      </c>
      <c r="B143" s="23">
        <f>VLOOKUP(A143,MEMORIA!$A:$N,2,FALSE)</f>
        <v>101197</v>
      </c>
      <c r="C143" s="23" t="str">
        <f>VLOOKUP(A143,MEMORIA!$A:$N,3,FALSE)</f>
        <v>SINAPI</v>
      </c>
      <c r="D143" s="24" t="str">
        <f>VLOOKUP(A143,MEMORIA!$A:$N,4,FALSE)</f>
        <v>CERCA COM MOURÕES DE CONCRETO, SEÇÃO "T" PONTA INCLINADA, 10X10 CM, ESPAÇAMENTO DE 2,5 M, CRAVADOS 0,5 M, COM 11 FIOS DE ARAME FARPADO Nº 14 - FORNECIMENTO E INSTALAÇÃO. AF_05/2020</v>
      </c>
      <c r="E143" s="23" t="str">
        <f>VLOOKUP(A143,MEMORIA!$A:$N,5,FALSE)</f>
        <v>M</v>
      </c>
      <c r="F143" s="5">
        <f>VLOOKUP(A143,MEMORIA!$A:$N,14,FALSE)</f>
        <v>37</v>
      </c>
      <c r="G143" s="5">
        <f>VLOOKUP(A143,ORCAMENTO!$A:$I,7,FALSE)</f>
        <v>130.54</v>
      </c>
      <c r="H143" s="5">
        <f>VLOOKUP(A143,ORCAMENTO!$A:$I,8,FALSE)</f>
        <v>159.69</v>
      </c>
      <c r="I143" s="5">
        <f>ROUND(F143*H143,2)</f>
        <v>5908.53</v>
      </c>
      <c r="J143" s="5">
        <f>ROUND(K143*$H143,2)</f>
        <v>5908.53</v>
      </c>
      <c r="K143" s="5">
        <f t="shared" si="34"/>
        <v>37</v>
      </c>
      <c r="L143" s="25">
        <f t="shared" si="35"/>
        <v>1</v>
      </c>
      <c r="M143" s="5">
        <f>ROUND(N143*$H143,2)</f>
        <v>0</v>
      </c>
      <c r="N143" s="5">
        <v>0</v>
      </c>
      <c r="O143" s="25">
        <f t="shared" si="36"/>
        <v>0</v>
      </c>
      <c r="P143" s="5">
        <f>ROUND(Q143*$H143,2)</f>
        <v>0</v>
      </c>
      <c r="Q143" s="5">
        <v>0</v>
      </c>
      <c r="R143" s="25">
        <f t="shared" si="37"/>
        <v>0</v>
      </c>
      <c r="S143" s="5">
        <f>ROUND(T143*$H143,2)</f>
        <v>0</v>
      </c>
      <c r="T143" s="5">
        <v>0</v>
      </c>
      <c r="U143" s="25">
        <f t="shared" si="38"/>
        <v>0</v>
      </c>
      <c r="V143" s="5">
        <f>ROUND(W143*$H143,2)</f>
        <v>0</v>
      </c>
      <c r="W143" s="5">
        <v>0</v>
      </c>
      <c r="X143" s="25">
        <f t="shared" si="39"/>
        <v>0</v>
      </c>
      <c r="Y143" s="5">
        <f t="shared" si="40"/>
        <v>5908.53</v>
      </c>
      <c r="Z143" s="25">
        <f t="shared" si="41"/>
        <v>1</v>
      </c>
      <c r="AA143" s="25">
        <f t="shared" si="42"/>
        <v>3.6656043550818943E-3</v>
      </c>
    </row>
    <row r="144" spans="1:27" x14ac:dyDescent="0.3">
      <c r="A144" s="12" t="s">
        <v>57</v>
      </c>
      <c r="B144" s="51" t="str">
        <f>VLOOKUP(A144,MEMORIA!$A:$N,2,FALSE)</f>
        <v>INSTALAÇÕES ELÉTRICAS</v>
      </c>
      <c r="C144" s="52"/>
      <c r="D144" s="52"/>
      <c r="E144" s="52"/>
      <c r="F144" s="52"/>
      <c r="G144" s="52"/>
      <c r="H144" s="53"/>
      <c r="I144" s="13">
        <f>SUM(I$145:I$146)</f>
        <v>18545.48</v>
      </c>
      <c r="J144" s="13">
        <f>SUM(J$145:J$146)</f>
        <v>18545.48</v>
      </c>
      <c r="K144" s="13"/>
      <c r="L144" s="14">
        <f t="shared" si="35"/>
        <v>1</v>
      </c>
      <c r="M144" s="13">
        <f>SUM(M$145:M$146)</f>
        <v>0</v>
      </c>
      <c r="N144" s="13"/>
      <c r="O144" s="14">
        <f t="shared" si="36"/>
        <v>0</v>
      </c>
      <c r="P144" s="13">
        <f>SUM(P$145:P$146)</f>
        <v>0</v>
      </c>
      <c r="Q144" s="13"/>
      <c r="R144" s="14">
        <f t="shared" si="37"/>
        <v>0</v>
      </c>
      <c r="S144" s="13">
        <f>SUM(S$145:S$146)</f>
        <v>0</v>
      </c>
      <c r="T144" s="13"/>
      <c r="U144" s="14">
        <f t="shared" si="38"/>
        <v>0</v>
      </c>
      <c r="V144" s="13">
        <f>SUM(V$145:V$146)</f>
        <v>0</v>
      </c>
      <c r="W144" s="13"/>
      <c r="X144" s="14">
        <f t="shared" si="39"/>
        <v>0</v>
      </c>
      <c r="Y144" s="13">
        <f t="shared" si="40"/>
        <v>18545.48</v>
      </c>
      <c r="Z144" s="14">
        <f t="shared" si="41"/>
        <v>1</v>
      </c>
      <c r="AA144" s="14">
        <f t="shared" si="42"/>
        <v>1.1505466208191236E-2</v>
      </c>
    </row>
    <row r="145" spans="1:27" ht="100.8" x14ac:dyDescent="0.3">
      <c r="A145" s="23" t="s">
        <v>272</v>
      </c>
      <c r="B145" s="23" t="str">
        <f>VLOOKUP(A145,MEMORIA!$A:$N,2,FALSE)</f>
        <v>COMP223</v>
      </c>
      <c r="C145" s="23" t="str">
        <f>VLOOKUP(A145,MEMORIA!$A:$N,3,FALSE)</f>
        <v>PRÓPRIA</v>
      </c>
      <c r="D145" s="24" t="str">
        <f>VLOOKUP(A145,MEMORIA!$A:$N,4,FALSE)</f>
        <v>FORNECIMENTO E INSTALAÇÃO DE KIT DE BOMBEAMENTO SOLAR P/ POÇO COM PROFUNDIDADE DE 100 A 120 M, INCLUSO BOMBA 3CV, INVERSOR, PAINÉIS, QUADRO DE COMANDO, DISJUNTORES, CABOS E CONEXÕES E ESTRUTURA TIPO SOLO</v>
      </c>
      <c r="E145" s="23" t="str">
        <f>VLOOKUP(A145,MEMORIA!$A:$N,5,FALSE)</f>
        <v>UND</v>
      </c>
      <c r="F145" s="5">
        <f>VLOOKUP(A145,MEMORIA!$A:$N,14,FALSE)</f>
        <v>1</v>
      </c>
      <c r="G145" s="5">
        <f>VLOOKUP(A145,ORCAMENTO!$A:$I,7,FALSE)</f>
        <v>12042.74</v>
      </c>
      <c r="H145" s="5">
        <f>VLOOKUP(A145,ORCAMENTO!$A:$I,8,FALSE)</f>
        <v>14731.88</v>
      </c>
      <c r="I145" s="5">
        <f>ROUND(F145*H145,2)</f>
        <v>14731.88</v>
      </c>
      <c r="J145" s="5">
        <f>ROUND(K145*$H145,2)</f>
        <v>14731.88</v>
      </c>
      <c r="K145" s="5">
        <f t="shared" si="34"/>
        <v>1</v>
      </c>
      <c r="L145" s="25">
        <f t="shared" si="35"/>
        <v>1</v>
      </c>
      <c r="M145" s="5">
        <f>ROUND(N145*$H145,2)</f>
        <v>0</v>
      </c>
      <c r="N145" s="5">
        <v>0</v>
      </c>
      <c r="O145" s="25">
        <f t="shared" si="36"/>
        <v>0</v>
      </c>
      <c r="P145" s="5">
        <f>ROUND(Q145*$H145,2)</f>
        <v>0</v>
      </c>
      <c r="Q145" s="5">
        <v>0</v>
      </c>
      <c r="R145" s="25">
        <f t="shared" si="37"/>
        <v>0</v>
      </c>
      <c r="S145" s="5">
        <f>ROUND(T145*$H145,2)</f>
        <v>0</v>
      </c>
      <c r="T145" s="5">
        <v>0</v>
      </c>
      <c r="U145" s="25">
        <f t="shared" si="38"/>
        <v>0</v>
      </c>
      <c r="V145" s="5">
        <f>ROUND(W145*$H145,2)</f>
        <v>0</v>
      </c>
      <c r="W145" s="5">
        <v>0</v>
      </c>
      <c r="X145" s="25">
        <f t="shared" si="39"/>
        <v>0</v>
      </c>
      <c r="Y145" s="5">
        <f t="shared" si="40"/>
        <v>14731.88</v>
      </c>
      <c r="Z145" s="25">
        <f t="shared" si="41"/>
        <v>1</v>
      </c>
      <c r="AA145" s="25">
        <f t="shared" si="42"/>
        <v>9.1395395278595273E-3</v>
      </c>
    </row>
    <row r="146" spans="1:27" ht="28.8" x14ac:dyDescent="0.3">
      <c r="A146" s="23" t="s">
        <v>273</v>
      </c>
      <c r="B146" s="23" t="str">
        <f>VLOOKUP(A146,MEMORIA!$A:$N,2,FALSE)</f>
        <v>COMPOS24</v>
      </c>
      <c r="C146" s="23" t="str">
        <f>VLOOKUP(A146,MEMORIA!$A:$N,3,FALSE)</f>
        <v>PRÓPRIA</v>
      </c>
      <c r="D146" s="24" t="str">
        <f>VLOOKUP(A146,MEMORIA!$A:$N,4,FALSE)</f>
        <v>FORNECIMENTO E INSTALAÇÃO DE CABO CHATO SUBMERSO DE 3 X 6 MM²</v>
      </c>
      <c r="E146" s="23" t="str">
        <f>VLOOKUP(A146,MEMORIA!$A:$N,5,FALSE)</f>
        <v>M</v>
      </c>
      <c r="F146" s="5">
        <f>VLOOKUP(A146,MEMORIA!$A:$N,14,FALSE)</f>
        <v>120</v>
      </c>
      <c r="G146" s="5">
        <f>VLOOKUP(A146,ORCAMENTO!$A:$I,7,FALSE)</f>
        <v>25.98</v>
      </c>
      <c r="H146" s="5">
        <f>VLOOKUP(A146,ORCAMENTO!$A:$I,8,FALSE)</f>
        <v>31.78</v>
      </c>
      <c r="I146" s="5">
        <f>ROUND(F146*H146,2)</f>
        <v>3813.6</v>
      </c>
      <c r="J146" s="5">
        <f>ROUND(K146*$H146,2)</f>
        <v>3813.6</v>
      </c>
      <c r="K146" s="5">
        <f t="shared" si="34"/>
        <v>120</v>
      </c>
      <c r="L146" s="25">
        <f t="shared" si="35"/>
        <v>1</v>
      </c>
      <c r="M146" s="5">
        <f>ROUND(N146*$H146,2)</f>
        <v>0</v>
      </c>
      <c r="N146" s="5">
        <v>0</v>
      </c>
      <c r="O146" s="25">
        <f t="shared" si="36"/>
        <v>0</v>
      </c>
      <c r="P146" s="5">
        <f>ROUND(Q146*$H146,2)</f>
        <v>0</v>
      </c>
      <c r="Q146" s="5">
        <v>0</v>
      </c>
      <c r="R146" s="25">
        <f t="shared" si="37"/>
        <v>0</v>
      </c>
      <c r="S146" s="5">
        <f>ROUND(T146*$H146,2)</f>
        <v>0</v>
      </c>
      <c r="T146" s="5">
        <v>0</v>
      </c>
      <c r="U146" s="25">
        <f t="shared" si="38"/>
        <v>0</v>
      </c>
      <c r="V146" s="5">
        <f>ROUND(W146*$H146,2)</f>
        <v>0</v>
      </c>
      <c r="W146" s="5">
        <v>0</v>
      </c>
      <c r="X146" s="25">
        <f t="shared" si="39"/>
        <v>0</v>
      </c>
      <c r="Y146" s="5">
        <f t="shared" si="40"/>
        <v>3813.6</v>
      </c>
      <c r="Z146" s="25">
        <f t="shared" si="41"/>
        <v>1</v>
      </c>
      <c r="AA146" s="25">
        <f t="shared" si="42"/>
        <v>2.3659266803317089E-3</v>
      </c>
    </row>
    <row r="147" spans="1:27" x14ac:dyDescent="0.3">
      <c r="A147" s="12" t="s">
        <v>58</v>
      </c>
      <c r="B147" s="51" t="str">
        <f>VLOOKUP(A147,MEMORIA!$A:$N,2,FALSE)</f>
        <v>ADUÇÃO</v>
      </c>
      <c r="C147" s="52"/>
      <c r="D147" s="52"/>
      <c r="E147" s="52"/>
      <c r="F147" s="52"/>
      <c r="G147" s="52"/>
      <c r="H147" s="53"/>
      <c r="I147" s="13">
        <f>SUM(I$148,I$151,I$153,)</f>
        <v>1455.29</v>
      </c>
      <c r="J147" s="13">
        <f>SUM(J$148,J$151,J$153,)</f>
        <v>1455.29</v>
      </c>
      <c r="K147" s="13"/>
      <c r="L147" s="14">
        <f t="shared" si="35"/>
        <v>1</v>
      </c>
      <c r="M147" s="13">
        <f>SUM(M$148,M$151,M$153,)</f>
        <v>0</v>
      </c>
      <c r="N147" s="13"/>
      <c r="O147" s="14">
        <f t="shared" si="36"/>
        <v>0</v>
      </c>
      <c r="P147" s="13">
        <f>SUM(P$148,P$151,P$153,)</f>
        <v>0</v>
      </c>
      <c r="Q147" s="13"/>
      <c r="R147" s="14">
        <f t="shared" si="37"/>
        <v>0</v>
      </c>
      <c r="S147" s="13">
        <f>SUM(S$148,S$151,S$153,)</f>
        <v>0</v>
      </c>
      <c r="T147" s="13"/>
      <c r="U147" s="14">
        <f t="shared" si="38"/>
        <v>0</v>
      </c>
      <c r="V147" s="13">
        <f>SUM(V$148,V$151,V$153,)</f>
        <v>0</v>
      </c>
      <c r="W147" s="13"/>
      <c r="X147" s="14">
        <f t="shared" si="39"/>
        <v>0</v>
      </c>
      <c r="Y147" s="13">
        <f t="shared" si="40"/>
        <v>1455.29</v>
      </c>
      <c r="Z147" s="14">
        <f t="shared" si="41"/>
        <v>1</v>
      </c>
      <c r="AA147" s="14">
        <f t="shared" si="42"/>
        <v>9.028501779473286E-4</v>
      </c>
    </row>
    <row r="148" spans="1:27" x14ac:dyDescent="0.3">
      <c r="A148" s="15" t="s">
        <v>59</v>
      </c>
      <c r="B148" s="48" t="str">
        <f>VLOOKUP(A148,MEMORIA!$A:$N,2,FALSE)</f>
        <v>MOVIMENTO DE TERRA</v>
      </c>
      <c r="C148" s="49"/>
      <c r="D148" s="49"/>
      <c r="E148" s="49"/>
      <c r="F148" s="49"/>
      <c r="G148" s="49"/>
      <c r="H148" s="50"/>
      <c r="I148" s="16">
        <f>SUM(I$149:I$150)</f>
        <v>485.08</v>
      </c>
      <c r="J148" s="16">
        <f>SUM(J$149:J$150)</f>
        <v>485.08</v>
      </c>
      <c r="K148" s="16"/>
      <c r="L148" s="17">
        <f t="shared" si="35"/>
        <v>1</v>
      </c>
      <c r="M148" s="16">
        <f>SUM(M$149:M$150)</f>
        <v>0</v>
      </c>
      <c r="N148" s="16"/>
      <c r="O148" s="17">
        <f t="shared" si="36"/>
        <v>0</v>
      </c>
      <c r="P148" s="16">
        <f>SUM(P$149:P$150)</f>
        <v>0</v>
      </c>
      <c r="Q148" s="16"/>
      <c r="R148" s="17">
        <f t="shared" si="37"/>
        <v>0</v>
      </c>
      <c r="S148" s="16">
        <f>SUM(S$149:S$150)</f>
        <v>0</v>
      </c>
      <c r="T148" s="16"/>
      <c r="U148" s="17">
        <f t="shared" si="38"/>
        <v>0</v>
      </c>
      <c r="V148" s="16">
        <f>SUM(V$149:V$150)</f>
        <v>0</v>
      </c>
      <c r="W148" s="16"/>
      <c r="X148" s="17">
        <f t="shared" si="39"/>
        <v>0</v>
      </c>
      <c r="Y148" s="16">
        <f t="shared" si="40"/>
        <v>485.08</v>
      </c>
      <c r="Z148" s="17">
        <f t="shared" si="41"/>
        <v>1</v>
      </c>
      <c r="AA148" s="17">
        <f t="shared" si="42"/>
        <v>3.0093971945020591E-4</v>
      </c>
    </row>
    <row r="149" spans="1:27" ht="28.8" x14ac:dyDescent="0.3">
      <c r="A149" s="23" t="s">
        <v>274</v>
      </c>
      <c r="B149" s="23">
        <f>VLOOKUP(A149,MEMORIA!$A:$N,2,FALSE)</f>
        <v>93358</v>
      </c>
      <c r="C149" s="23" t="str">
        <f>VLOOKUP(A149,MEMORIA!$A:$N,3,FALSE)</f>
        <v>SINAPI</v>
      </c>
      <c r="D149" s="24" t="str">
        <f>VLOOKUP(A149,MEMORIA!$A:$N,4,FALSE)</f>
        <v>ESCAVAÇÃO MANUAL DE VALA. AF_09/2024</v>
      </c>
      <c r="E149" s="23" t="str">
        <f>VLOOKUP(A149,MEMORIA!$A:$N,5,FALSE)</f>
        <v>M3</v>
      </c>
      <c r="F149" s="5">
        <f>VLOOKUP(A149,MEMORIA!$A:$N,14,FALSE)</f>
        <v>3.23</v>
      </c>
      <c r="G149" s="5">
        <f>VLOOKUP(A149,ORCAMENTO!$A:$I,7,FALSE)</f>
        <v>85.87</v>
      </c>
      <c r="H149" s="5">
        <f>VLOOKUP(A149,ORCAMENTO!$A:$I,8,FALSE)</f>
        <v>105.04</v>
      </c>
      <c r="I149" s="5">
        <f>ROUND(F149*H149,2)</f>
        <v>339.28</v>
      </c>
      <c r="J149" s="5">
        <f>ROUND(K149*$H149,2)</f>
        <v>339.28</v>
      </c>
      <c r="K149" s="5">
        <f t="shared" ref="K149:K159" si="43">F149</f>
        <v>3.23</v>
      </c>
      <c r="L149" s="25">
        <f t="shared" si="35"/>
        <v>1</v>
      </c>
      <c r="M149" s="5">
        <f>ROUND(N149*$H149,2)</f>
        <v>0</v>
      </c>
      <c r="N149" s="5">
        <v>0</v>
      </c>
      <c r="O149" s="25">
        <f t="shared" si="36"/>
        <v>0</v>
      </c>
      <c r="P149" s="5">
        <f>ROUND(Q149*$H149,2)</f>
        <v>0</v>
      </c>
      <c r="Q149" s="5">
        <v>0</v>
      </c>
      <c r="R149" s="25">
        <f t="shared" si="37"/>
        <v>0</v>
      </c>
      <c r="S149" s="5">
        <f>ROUND(T149*$H149,2)</f>
        <v>0</v>
      </c>
      <c r="T149" s="5">
        <v>0</v>
      </c>
      <c r="U149" s="25">
        <f t="shared" si="38"/>
        <v>0</v>
      </c>
      <c r="V149" s="5">
        <f>ROUND(W149*$H149,2)</f>
        <v>0</v>
      </c>
      <c r="W149" s="5">
        <v>0</v>
      </c>
      <c r="X149" s="25">
        <f t="shared" si="39"/>
        <v>0</v>
      </c>
      <c r="Y149" s="5">
        <f t="shared" si="40"/>
        <v>339.28</v>
      </c>
      <c r="Z149" s="25">
        <f t="shared" si="41"/>
        <v>1</v>
      </c>
      <c r="AA149" s="25">
        <f t="shared" si="42"/>
        <v>2.1048657544130012E-4</v>
      </c>
    </row>
    <row r="150" spans="1:27" ht="28.8" x14ac:dyDescent="0.3">
      <c r="A150" s="23" t="s">
        <v>275</v>
      </c>
      <c r="B150" s="23" t="str">
        <f>VLOOKUP(A150,MEMORIA!$A:$N,2,FALSE)</f>
        <v>COMPOS28</v>
      </c>
      <c r="C150" s="23" t="str">
        <f>VLOOKUP(A150,MEMORIA!$A:$N,3,FALSE)</f>
        <v>PRÓPRIA</v>
      </c>
      <c r="D150" s="24" t="str">
        <f>VLOOKUP(A150,MEMORIA!$A:$N,4,FALSE)</f>
        <v>REATERRO DE VALA COM COMPACTAÇÃO MANUAL</v>
      </c>
      <c r="E150" s="23" t="str">
        <f>VLOOKUP(A150,MEMORIA!$A:$N,5,FALSE)</f>
        <v>M³</v>
      </c>
      <c r="F150" s="5">
        <f>VLOOKUP(A150,MEMORIA!$A:$N,14,FALSE)</f>
        <v>3.23</v>
      </c>
      <c r="G150" s="5">
        <f>VLOOKUP(A150,ORCAMENTO!$A:$I,7,FALSE)</f>
        <v>36.9</v>
      </c>
      <c r="H150" s="5">
        <f>VLOOKUP(A150,ORCAMENTO!$A:$I,8,FALSE)</f>
        <v>45.14</v>
      </c>
      <c r="I150" s="5">
        <f>ROUND(F150*H150,2)</f>
        <v>145.80000000000001</v>
      </c>
      <c r="J150" s="5">
        <f>ROUND(K150*$H150,2)</f>
        <v>145.80000000000001</v>
      </c>
      <c r="K150" s="5">
        <f t="shared" si="43"/>
        <v>3.23</v>
      </c>
      <c r="L150" s="25">
        <f t="shared" si="35"/>
        <v>1</v>
      </c>
      <c r="M150" s="5">
        <f>ROUND(N150*$H150,2)</f>
        <v>0</v>
      </c>
      <c r="N150" s="5">
        <v>0</v>
      </c>
      <c r="O150" s="25">
        <f t="shared" si="36"/>
        <v>0</v>
      </c>
      <c r="P150" s="5">
        <f>ROUND(Q150*$H150,2)</f>
        <v>0</v>
      </c>
      <c r="Q150" s="5">
        <v>0</v>
      </c>
      <c r="R150" s="25">
        <f t="shared" si="37"/>
        <v>0</v>
      </c>
      <c r="S150" s="5">
        <f>ROUND(T150*$H150,2)</f>
        <v>0</v>
      </c>
      <c r="T150" s="5">
        <v>0</v>
      </c>
      <c r="U150" s="25">
        <f t="shared" si="38"/>
        <v>0</v>
      </c>
      <c r="V150" s="5">
        <f>ROUND(W150*$H150,2)</f>
        <v>0</v>
      </c>
      <c r="W150" s="5">
        <v>0</v>
      </c>
      <c r="X150" s="25">
        <f t="shared" si="39"/>
        <v>0</v>
      </c>
      <c r="Y150" s="5">
        <f t="shared" si="40"/>
        <v>145.80000000000001</v>
      </c>
      <c r="Z150" s="25">
        <f t="shared" si="41"/>
        <v>1</v>
      </c>
      <c r="AA150" s="25">
        <f t="shared" si="42"/>
        <v>9.0453144008905803E-5</v>
      </c>
    </row>
    <row r="151" spans="1:27" x14ac:dyDescent="0.3">
      <c r="A151" s="15" t="s">
        <v>60</v>
      </c>
      <c r="B151" s="48" t="str">
        <f>VLOOKUP(A151,MEMORIA!$A:$N,2,FALSE)</f>
        <v>INFRAESTRUTURA</v>
      </c>
      <c r="C151" s="49"/>
      <c r="D151" s="49"/>
      <c r="E151" s="49"/>
      <c r="F151" s="49"/>
      <c r="G151" s="49"/>
      <c r="H151" s="50"/>
      <c r="I151" s="16">
        <f>SUM(I$152:I$152)</f>
        <v>264.64</v>
      </c>
      <c r="J151" s="16">
        <f>SUM(J$152:J$152)</f>
        <v>264.64</v>
      </c>
      <c r="K151" s="16"/>
      <c r="L151" s="17">
        <f t="shared" si="35"/>
        <v>1</v>
      </c>
      <c r="M151" s="16">
        <f>SUM(M$152:M$152)</f>
        <v>0</v>
      </c>
      <c r="N151" s="16"/>
      <c r="O151" s="17">
        <f t="shared" si="36"/>
        <v>0</v>
      </c>
      <c r="P151" s="16">
        <f>SUM(P$152:P$152)</f>
        <v>0</v>
      </c>
      <c r="Q151" s="16"/>
      <c r="R151" s="17">
        <f t="shared" si="37"/>
        <v>0</v>
      </c>
      <c r="S151" s="16">
        <f>SUM(S$152:S$152)</f>
        <v>0</v>
      </c>
      <c r="T151" s="16"/>
      <c r="U151" s="17">
        <f t="shared" si="38"/>
        <v>0</v>
      </c>
      <c r="V151" s="16">
        <f>SUM(V$152:V$152)</f>
        <v>0</v>
      </c>
      <c r="W151" s="16"/>
      <c r="X151" s="17">
        <f t="shared" si="39"/>
        <v>0</v>
      </c>
      <c r="Y151" s="16">
        <f t="shared" si="40"/>
        <v>264.64</v>
      </c>
      <c r="Z151" s="17">
        <f t="shared" si="41"/>
        <v>1</v>
      </c>
      <c r="AA151" s="17">
        <f t="shared" si="42"/>
        <v>1.6418052147130883E-4</v>
      </c>
    </row>
    <row r="152" spans="1:27" x14ac:dyDescent="0.3">
      <c r="A152" s="23" t="s">
        <v>276</v>
      </c>
      <c r="B152" s="23" t="str">
        <f>VLOOKUP(A152,MEMORIA!$A:$N,2,FALSE)</f>
        <v>COMP216</v>
      </c>
      <c r="C152" s="23" t="str">
        <f>VLOOKUP(A152,MEMORIA!$A:$N,3,FALSE)</f>
        <v>PRÓPRIA</v>
      </c>
      <c r="D152" s="24" t="str">
        <f>VLOOKUP(A152,MEMORIA!$A:$N,4,FALSE)</f>
        <v>BLOCO DE ANCORAGEM EM CONCRETO SIMPLES FCK=10MPA (REF: C3403-SEINFRA 28)</v>
      </c>
      <c r="E152" s="23" t="str">
        <f>VLOOKUP(A152,MEMORIA!$A:$N,5,FALSE)</f>
        <v>M3</v>
      </c>
      <c r="F152" s="5">
        <f>VLOOKUP(A152,MEMORIA!$A:$N,14,FALSE)</f>
        <v>0.26</v>
      </c>
      <c r="G152" s="5">
        <f>VLOOKUP(A152,ORCAMENTO!$A:$I,7,FALSE)</f>
        <v>832.05</v>
      </c>
      <c r="H152" s="5">
        <f>VLOOKUP(A152,ORCAMENTO!$A:$I,8,FALSE)</f>
        <v>1017.8499999999999</v>
      </c>
      <c r="I152" s="5">
        <f>ROUND(F152*H152,2)</f>
        <v>264.64</v>
      </c>
      <c r="J152" s="5">
        <f>ROUND(K152*$H152,2)</f>
        <v>264.64</v>
      </c>
      <c r="K152" s="5">
        <f t="shared" si="43"/>
        <v>0.26</v>
      </c>
      <c r="L152" s="25">
        <f t="shared" si="35"/>
        <v>1</v>
      </c>
      <c r="M152" s="5">
        <f>ROUND(N152*$H152,2)</f>
        <v>0</v>
      </c>
      <c r="N152" s="5">
        <v>0</v>
      </c>
      <c r="O152" s="25">
        <f t="shared" si="36"/>
        <v>0</v>
      </c>
      <c r="P152" s="5">
        <f>ROUND(Q152*$H152,2)</f>
        <v>0</v>
      </c>
      <c r="Q152" s="5">
        <v>0</v>
      </c>
      <c r="R152" s="25">
        <f t="shared" si="37"/>
        <v>0</v>
      </c>
      <c r="S152" s="5">
        <f>ROUND(T152*$H152,2)</f>
        <v>0</v>
      </c>
      <c r="T152" s="5">
        <v>0</v>
      </c>
      <c r="U152" s="25">
        <f t="shared" si="38"/>
        <v>0</v>
      </c>
      <c r="V152" s="5">
        <f>ROUND(W152*$H152,2)</f>
        <v>0</v>
      </c>
      <c r="W152" s="5">
        <v>0</v>
      </c>
      <c r="X152" s="25">
        <f t="shared" si="39"/>
        <v>0</v>
      </c>
      <c r="Y152" s="5">
        <f t="shared" si="40"/>
        <v>264.64</v>
      </c>
      <c r="Z152" s="25">
        <f t="shared" si="41"/>
        <v>1</v>
      </c>
      <c r="AA152" s="25">
        <f t="shared" si="42"/>
        <v>1.6418052147130883E-4</v>
      </c>
    </row>
    <row r="153" spans="1:27" x14ac:dyDescent="0.3">
      <c r="A153" s="15" t="s">
        <v>61</v>
      </c>
      <c r="B153" s="48" t="str">
        <f>VLOOKUP(A153,MEMORIA!$A:$N,2,FALSE)</f>
        <v>INSTALAÇÕES HIDRÁULICAS</v>
      </c>
      <c r="C153" s="49"/>
      <c r="D153" s="49"/>
      <c r="E153" s="49"/>
      <c r="F153" s="49"/>
      <c r="G153" s="49"/>
      <c r="H153" s="50"/>
      <c r="I153" s="16">
        <f>SUM(I$154:I$155)</f>
        <v>705.57</v>
      </c>
      <c r="J153" s="16">
        <f>SUM(J$154:J$155)</f>
        <v>705.57</v>
      </c>
      <c r="K153" s="16"/>
      <c r="L153" s="17">
        <f t="shared" si="35"/>
        <v>1</v>
      </c>
      <c r="M153" s="16">
        <f>SUM(M$154:M$155)</f>
        <v>0</v>
      </c>
      <c r="N153" s="16"/>
      <c r="O153" s="17">
        <f t="shared" si="36"/>
        <v>0</v>
      </c>
      <c r="P153" s="16">
        <f>SUM(P$154:P$155)</f>
        <v>0</v>
      </c>
      <c r="Q153" s="16"/>
      <c r="R153" s="17">
        <f t="shared" si="37"/>
        <v>0</v>
      </c>
      <c r="S153" s="16">
        <f>SUM(S$154:S$155)</f>
        <v>0</v>
      </c>
      <c r="T153" s="16"/>
      <c r="U153" s="17">
        <f t="shared" si="38"/>
        <v>0</v>
      </c>
      <c r="V153" s="16">
        <f>SUM(V$154:V$155)</f>
        <v>0</v>
      </c>
      <c r="W153" s="16"/>
      <c r="X153" s="17">
        <f t="shared" si="39"/>
        <v>0</v>
      </c>
      <c r="Y153" s="16">
        <f t="shared" si="40"/>
        <v>705.57</v>
      </c>
      <c r="Z153" s="17">
        <f t="shared" si="41"/>
        <v>1</v>
      </c>
      <c r="AA153" s="17">
        <f t="shared" si="42"/>
        <v>4.3772993702581391E-4</v>
      </c>
    </row>
    <row r="154" spans="1:27" ht="43.2" x14ac:dyDescent="0.3">
      <c r="A154" s="23" t="s">
        <v>277</v>
      </c>
      <c r="B154" s="23">
        <f>VLOOKUP(A154,MEMORIA!$A:$N,2,FALSE)</f>
        <v>94498</v>
      </c>
      <c r="C154" s="23" t="str">
        <f>VLOOKUP(A154,MEMORIA!$A:$N,3,FALSE)</f>
        <v>SINAPI</v>
      </c>
      <c r="D154" s="24" t="str">
        <f>VLOOKUP(A154,MEMORIA!$A:$N,4,FALSE)</f>
        <v>REGISTRO DE GAVETA BRUTO, LATÃO, ROSCÁVEL, 2" - FORNECIMENTO E INSTALAÇÃO. AF_08/2021</v>
      </c>
      <c r="E154" s="23" t="str">
        <f>VLOOKUP(A154,MEMORIA!$A:$N,5,FALSE)</f>
        <v>UN</v>
      </c>
      <c r="F154" s="5">
        <f>VLOOKUP(A154,MEMORIA!$A:$N,14,FALSE)</f>
        <v>1</v>
      </c>
      <c r="G154" s="5">
        <f>VLOOKUP(A154,ORCAMENTO!$A:$I,7,FALSE)</f>
        <v>164.12</v>
      </c>
      <c r="H154" s="5">
        <f>VLOOKUP(A154,ORCAMENTO!$A:$I,8,FALSE)</f>
        <v>200.77</v>
      </c>
      <c r="I154" s="5">
        <f>ROUND(F154*H154,2)</f>
        <v>200.77</v>
      </c>
      <c r="J154" s="5">
        <f>ROUND(K154*$H154,2)</f>
        <v>200.77</v>
      </c>
      <c r="K154" s="5">
        <f t="shared" si="43"/>
        <v>1</v>
      </c>
      <c r="L154" s="25">
        <f t="shared" si="35"/>
        <v>1</v>
      </c>
      <c r="M154" s="5">
        <f>ROUND(N154*$H154,2)</f>
        <v>0</v>
      </c>
      <c r="N154" s="5">
        <v>0</v>
      </c>
      <c r="O154" s="25">
        <f t="shared" si="36"/>
        <v>0</v>
      </c>
      <c r="P154" s="5">
        <f>ROUND(Q154*$H154,2)</f>
        <v>0</v>
      </c>
      <c r="Q154" s="5">
        <v>0</v>
      </c>
      <c r="R154" s="25">
        <f t="shared" si="37"/>
        <v>0</v>
      </c>
      <c r="S154" s="5">
        <f>ROUND(T154*$H154,2)</f>
        <v>0</v>
      </c>
      <c r="T154" s="5">
        <v>0</v>
      </c>
      <c r="U154" s="25">
        <f t="shared" si="38"/>
        <v>0</v>
      </c>
      <c r="V154" s="5">
        <f>ROUND(W154*$H154,2)</f>
        <v>0</v>
      </c>
      <c r="W154" s="5">
        <v>0</v>
      </c>
      <c r="X154" s="25">
        <f t="shared" si="39"/>
        <v>0</v>
      </c>
      <c r="Y154" s="5">
        <f t="shared" si="40"/>
        <v>200.77</v>
      </c>
      <c r="Z154" s="25">
        <f t="shared" si="41"/>
        <v>1</v>
      </c>
      <c r="AA154" s="25">
        <f t="shared" si="42"/>
        <v>1.2455608863283963E-4</v>
      </c>
    </row>
    <row r="155" spans="1:27" ht="43.2" x14ac:dyDescent="0.3">
      <c r="A155" s="23" t="s">
        <v>278</v>
      </c>
      <c r="B155" s="23" t="str">
        <f>VLOOKUP(A155,MEMORIA!$A:$N,2,FALSE)</f>
        <v>COMPOS27</v>
      </c>
      <c r="C155" s="23" t="str">
        <f>VLOOKUP(A155,MEMORIA!$A:$N,3,FALSE)</f>
        <v>PRÓPRIA</v>
      </c>
      <c r="D155" s="24" t="str">
        <f>VLOOKUP(A155,MEMORIA!$A:$N,4,FALSE)</f>
        <v>AQUISIÇÃO E ASSENTAMENTO DE TUBO RÍGIDO PVC, CLASSE 12, DN 50 MM, INCLUSO CONEXÕES</v>
      </c>
      <c r="E155" s="23" t="str">
        <f>VLOOKUP(A155,MEMORIA!$A:$N,5,FALSE)</f>
        <v>M</v>
      </c>
      <c r="F155" s="5">
        <f>VLOOKUP(A155,MEMORIA!$A:$N,14,FALSE)</f>
        <v>16</v>
      </c>
      <c r="G155" s="5">
        <f>VLOOKUP(A155,ORCAMENTO!$A:$I,7,FALSE)</f>
        <v>25.79</v>
      </c>
      <c r="H155" s="5">
        <f>VLOOKUP(A155,ORCAMENTO!$A:$I,8,FALSE)</f>
        <v>31.549999999999997</v>
      </c>
      <c r="I155" s="5">
        <f>ROUND(F155*H155,2)</f>
        <v>504.8</v>
      </c>
      <c r="J155" s="5">
        <f>ROUND(K155*$H155,2)</f>
        <v>504.8</v>
      </c>
      <c r="K155" s="5">
        <f t="shared" si="43"/>
        <v>16</v>
      </c>
      <c r="L155" s="25">
        <f t="shared" si="35"/>
        <v>1</v>
      </c>
      <c r="M155" s="5">
        <f>ROUND(N155*$H155,2)</f>
        <v>0</v>
      </c>
      <c r="N155" s="5">
        <v>0</v>
      </c>
      <c r="O155" s="25">
        <f t="shared" si="36"/>
        <v>0</v>
      </c>
      <c r="P155" s="5">
        <f>ROUND(Q155*$H155,2)</f>
        <v>0</v>
      </c>
      <c r="Q155" s="5">
        <v>0</v>
      </c>
      <c r="R155" s="25">
        <f t="shared" si="37"/>
        <v>0</v>
      </c>
      <c r="S155" s="5">
        <f>ROUND(T155*$H155,2)</f>
        <v>0</v>
      </c>
      <c r="T155" s="5">
        <v>0</v>
      </c>
      <c r="U155" s="25">
        <f t="shared" si="38"/>
        <v>0</v>
      </c>
      <c r="V155" s="5">
        <f>ROUND(W155*$H155,2)</f>
        <v>0</v>
      </c>
      <c r="W155" s="5">
        <v>0</v>
      </c>
      <c r="X155" s="25">
        <f t="shared" si="39"/>
        <v>0</v>
      </c>
      <c r="Y155" s="5">
        <f t="shared" si="40"/>
        <v>504.8</v>
      </c>
      <c r="Z155" s="25">
        <f t="shared" si="41"/>
        <v>1</v>
      </c>
      <c r="AA155" s="25">
        <f t="shared" si="42"/>
        <v>3.1317384839297429E-4</v>
      </c>
    </row>
    <row r="156" spans="1:27" x14ac:dyDescent="0.3">
      <c r="A156" s="12" t="s">
        <v>62</v>
      </c>
      <c r="B156" s="51" t="str">
        <f>VLOOKUP(A156,MEMORIA!$A:$N,2,FALSE)</f>
        <v>RESERVAÇÃO</v>
      </c>
      <c r="C156" s="52"/>
      <c r="D156" s="52"/>
      <c r="E156" s="52"/>
      <c r="F156" s="52"/>
      <c r="G156" s="52"/>
      <c r="H156" s="53"/>
      <c r="I156" s="13">
        <f>SUM(I$157:I$159)</f>
        <v>31488.33</v>
      </c>
      <c r="J156" s="13">
        <f>SUM(J$157:J$159)</f>
        <v>31488.33</v>
      </c>
      <c r="K156" s="13"/>
      <c r="L156" s="14">
        <f t="shared" si="35"/>
        <v>1</v>
      </c>
      <c r="M156" s="13">
        <f>SUM(M$157:M$159)</f>
        <v>0</v>
      </c>
      <c r="N156" s="13"/>
      <c r="O156" s="14">
        <f t="shared" si="36"/>
        <v>0</v>
      </c>
      <c r="P156" s="13">
        <f>SUM(P$157:P$159)</f>
        <v>0</v>
      </c>
      <c r="Q156" s="13"/>
      <c r="R156" s="14">
        <f t="shared" si="37"/>
        <v>0</v>
      </c>
      <c r="S156" s="13">
        <f>SUM(S$157:S$159)</f>
        <v>0</v>
      </c>
      <c r="T156" s="13"/>
      <c r="U156" s="14">
        <f t="shared" si="38"/>
        <v>0</v>
      </c>
      <c r="V156" s="13">
        <f>SUM(V$157:V$159)</f>
        <v>0</v>
      </c>
      <c r="W156" s="13"/>
      <c r="X156" s="14">
        <f t="shared" si="39"/>
        <v>0</v>
      </c>
      <c r="Y156" s="13">
        <f t="shared" si="40"/>
        <v>31488.33</v>
      </c>
      <c r="Z156" s="14">
        <f t="shared" si="41"/>
        <v>1</v>
      </c>
      <c r="AA156" s="14">
        <f t="shared" si="42"/>
        <v>1.9535105953977703E-2</v>
      </c>
    </row>
    <row r="157" spans="1:27" ht="158.4" x14ac:dyDescent="0.3">
      <c r="A157" s="23" t="s">
        <v>279</v>
      </c>
      <c r="B157" s="23" t="str">
        <f>VLOOKUP(A157,MEMORIA!$A:$N,2,FALSE)</f>
        <v>COMPOS34</v>
      </c>
      <c r="C157" s="23" t="str">
        <f>VLOOKUP(A157,MEMORIA!$A:$N,3,FALSE)</f>
        <v>PRÓPRIA</v>
      </c>
      <c r="D157" s="24" t="str">
        <f>VLOOKUP(A157,MEMORIA!$A:$N,4,FALSE)</f>
        <v>FORNECIMENTO E INSTALAÇÃO DE RESERVATÓRIO ELEVADO C/ CAIXA D'AGUA EM POLIESTER REFORCADO COM FIBRA DE VIDRO DE 10.000 LITROS, APOIADO EM ESTRUTURA PRÉ-MOLDADA EM CONCRETO, COMPOSTA DE CAPITEL P/APOIO DA CAIXA E PILAR C/ALTURA ÚTIL = 10,00M, INCLUSO FRETE E MONTAGEM NO LOCAL, COM FUNDAÇÃO EM CONCRETO SIMPLES FCK=20MPA</v>
      </c>
      <c r="E157" s="23" t="str">
        <f>VLOOKUP(A157,MEMORIA!$A:$N,5,FALSE)</f>
        <v>UND</v>
      </c>
      <c r="F157" s="5">
        <f>VLOOKUP(A157,MEMORIA!$A:$N,14,FALSE)</f>
        <v>1</v>
      </c>
      <c r="G157" s="5">
        <f>VLOOKUP(A157,ORCAMENTO!$A:$I,7,FALSE)</f>
        <v>24798.26</v>
      </c>
      <c r="H157" s="5">
        <f>VLOOKUP(A157,ORCAMENTO!$A:$I,8,FALSE)</f>
        <v>30335.71</v>
      </c>
      <c r="I157" s="5">
        <f>ROUND(F157*H157,2)</f>
        <v>30335.71</v>
      </c>
      <c r="J157" s="5">
        <f>ROUND(K157*$H157,2)</f>
        <v>30335.71</v>
      </c>
      <c r="K157" s="5">
        <f t="shared" si="43"/>
        <v>1</v>
      </c>
      <c r="L157" s="25">
        <f t="shared" si="35"/>
        <v>1</v>
      </c>
      <c r="M157" s="5">
        <f>ROUND(N157*$H157,2)</f>
        <v>0</v>
      </c>
      <c r="N157" s="5">
        <v>0</v>
      </c>
      <c r="O157" s="25">
        <f t="shared" si="36"/>
        <v>0</v>
      </c>
      <c r="P157" s="5">
        <f>ROUND(Q157*$H157,2)</f>
        <v>0</v>
      </c>
      <c r="Q157" s="5">
        <v>0</v>
      </c>
      <c r="R157" s="25">
        <f t="shared" si="37"/>
        <v>0</v>
      </c>
      <c r="S157" s="5">
        <f>ROUND(T157*$H157,2)</f>
        <v>0</v>
      </c>
      <c r="T157" s="5">
        <v>0</v>
      </c>
      <c r="U157" s="25">
        <f t="shared" si="38"/>
        <v>0</v>
      </c>
      <c r="V157" s="5">
        <f>ROUND(W157*$H157,2)</f>
        <v>0</v>
      </c>
      <c r="W157" s="5">
        <v>0</v>
      </c>
      <c r="X157" s="25">
        <f t="shared" si="39"/>
        <v>0</v>
      </c>
      <c r="Y157" s="5">
        <f t="shared" si="40"/>
        <v>30335.71</v>
      </c>
      <c r="Z157" s="25">
        <f t="shared" si="41"/>
        <v>1</v>
      </c>
      <c r="AA157" s="25">
        <f t="shared" si="42"/>
        <v>1.8820029802759972E-2</v>
      </c>
    </row>
    <row r="158" spans="1:27" ht="43.2" x14ac:dyDescent="0.3">
      <c r="A158" s="23" t="s">
        <v>280</v>
      </c>
      <c r="B158" s="23">
        <f>VLOOKUP(A158,MEMORIA!$A:$N,2,FALSE)</f>
        <v>94498</v>
      </c>
      <c r="C158" s="23" t="str">
        <f>VLOOKUP(A158,MEMORIA!$A:$N,3,FALSE)</f>
        <v>SINAPI</v>
      </c>
      <c r="D158" s="24" t="str">
        <f>VLOOKUP(A158,MEMORIA!$A:$N,4,FALSE)</f>
        <v>REGISTRO DE GAVETA BRUTO, LATÃO, ROSCÁVEL, 2" - FORNECIMENTO E INSTALAÇÃO. AF_08/2021</v>
      </c>
      <c r="E158" s="23" t="str">
        <f>VLOOKUP(A158,MEMORIA!$A:$N,5,FALSE)</f>
        <v>UN</v>
      </c>
      <c r="F158" s="5">
        <f>VLOOKUP(A158,MEMORIA!$A:$N,14,FALSE)</f>
        <v>2</v>
      </c>
      <c r="G158" s="5">
        <f>VLOOKUP(A158,ORCAMENTO!$A:$I,7,FALSE)</f>
        <v>164.12</v>
      </c>
      <c r="H158" s="5">
        <f>VLOOKUP(A158,ORCAMENTO!$A:$I,8,FALSE)</f>
        <v>200.77</v>
      </c>
      <c r="I158" s="5">
        <f>ROUND(F158*H158,2)</f>
        <v>401.54</v>
      </c>
      <c r="J158" s="5">
        <f>ROUND(K158*$H158,2)</f>
        <v>401.54</v>
      </c>
      <c r="K158" s="5">
        <f t="shared" si="43"/>
        <v>2</v>
      </c>
      <c r="L158" s="25">
        <f t="shared" si="35"/>
        <v>1</v>
      </c>
      <c r="M158" s="5">
        <f>ROUND(N158*$H158,2)</f>
        <v>0</v>
      </c>
      <c r="N158" s="5">
        <v>0</v>
      </c>
      <c r="O158" s="25">
        <f t="shared" si="36"/>
        <v>0</v>
      </c>
      <c r="P158" s="5">
        <f>ROUND(Q158*$H158,2)</f>
        <v>0</v>
      </c>
      <c r="Q158" s="5">
        <v>0</v>
      </c>
      <c r="R158" s="25">
        <f t="shared" si="37"/>
        <v>0</v>
      </c>
      <c r="S158" s="5">
        <f>ROUND(T158*$H158,2)</f>
        <v>0</v>
      </c>
      <c r="T158" s="5">
        <v>0</v>
      </c>
      <c r="U158" s="25">
        <f t="shared" si="38"/>
        <v>0</v>
      </c>
      <c r="V158" s="5">
        <f>ROUND(W158*$H158,2)</f>
        <v>0</v>
      </c>
      <c r="W158" s="5">
        <v>0</v>
      </c>
      <c r="X158" s="25">
        <f t="shared" si="39"/>
        <v>0</v>
      </c>
      <c r="Y158" s="5">
        <f t="shared" si="40"/>
        <v>401.54</v>
      </c>
      <c r="Z158" s="25">
        <f t="shared" si="41"/>
        <v>1</v>
      </c>
      <c r="AA158" s="25">
        <f t="shared" si="42"/>
        <v>2.4911217726567925E-4</v>
      </c>
    </row>
    <row r="159" spans="1:27" ht="43.2" x14ac:dyDescent="0.3">
      <c r="A159" s="23" t="s">
        <v>281</v>
      </c>
      <c r="B159" s="23" t="str">
        <f>VLOOKUP(A159,MEMORIA!$A:$N,2,FALSE)</f>
        <v>COMPOS35</v>
      </c>
      <c r="C159" s="23" t="str">
        <f>VLOOKUP(A159,MEMORIA!$A:$N,3,FALSE)</f>
        <v>PRÓPRIA</v>
      </c>
      <c r="D159" s="24" t="str">
        <f>VLOOKUP(A159,MEMORIA!$A:$N,4,FALSE)</f>
        <v>AQUISIÇÃO E ASSENTAMENTO DE TUBO RÍGIDO PVC, CLASSE 12, DN 60 MM, INCLUSO CONEXÕES</v>
      </c>
      <c r="E159" s="23" t="str">
        <f>VLOOKUP(A159,MEMORIA!$A:$N,5,FALSE)</f>
        <v>M</v>
      </c>
      <c r="F159" s="5">
        <f>VLOOKUP(A159,MEMORIA!$A:$N,14,FALSE)</f>
        <v>22</v>
      </c>
      <c r="G159" s="5">
        <f>VLOOKUP(A159,ORCAMENTO!$A:$I,7,FALSE)</f>
        <v>27.91</v>
      </c>
      <c r="H159" s="5">
        <f>VLOOKUP(A159,ORCAMENTO!$A:$I,8,FALSE)</f>
        <v>34.14</v>
      </c>
      <c r="I159" s="5">
        <f>ROUND(F159*H159,2)</f>
        <v>751.08</v>
      </c>
      <c r="J159" s="5">
        <f>ROUND(K159*$H159,2)</f>
        <v>751.08</v>
      </c>
      <c r="K159" s="5">
        <f t="shared" si="43"/>
        <v>22</v>
      </c>
      <c r="L159" s="25">
        <f t="shared" si="35"/>
        <v>1</v>
      </c>
      <c r="M159" s="5">
        <f>ROUND(N159*$H159,2)</f>
        <v>0</v>
      </c>
      <c r="N159" s="5">
        <v>0</v>
      </c>
      <c r="O159" s="25">
        <f t="shared" si="36"/>
        <v>0</v>
      </c>
      <c r="P159" s="5">
        <f>ROUND(Q159*$H159,2)</f>
        <v>0</v>
      </c>
      <c r="Q159" s="5">
        <v>0</v>
      </c>
      <c r="R159" s="25">
        <f t="shared" si="37"/>
        <v>0</v>
      </c>
      <c r="S159" s="5">
        <f>ROUND(T159*$H159,2)</f>
        <v>0</v>
      </c>
      <c r="T159" s="5">
        <v>0</v>
      </c>
      <c r="U159" s="25">
        <f t="shared" si="38"/>
        <v>0</v>
      </c>
      <c r="V159" s="5">
        <f>ROUND(W159*$H159,2)</f>
        <v>0</v>
      </c>
      <c r="W159" s="5">
        <v>0</v>
      </c>
      <c r="X159" s="25">
        <f t="shared" si="39"/>
        <v>0</v>
      </c>
      <c r="Y159" s="5">
        <f t="shared" si="40"/>
        <v>751.08</v>
      </c>
      <c r="Z159" s="25">
        <f t="shared" si="41"/>
        <v>1</v>
      </c>
      <c r="AA159" s="25">
        <f t="shared" si="42"/>
        <v>4.6596397395205058E-4</v>
      </c>
    </row>
    <row r="160" spans="1:27" x14ac:dyDescent="0.3">
      <c r="A160" s="12" t="s">
        <v>63</v>
      </c>
      <c r="B160" s="51" t="str">
        <f>VLOOKUP(A160,MEMORIA!$A:$N,2,FALSE)</f>
        <v>DISTRIBUIÇÃO</v>
      </c>
      <c r="C160" s="52"/>
      <c r="D160" s="52"/>
      <c r="E160" s="52"/>
      <c r="F160" s="52"/>
      <c r="G160" s="52"/>
      <c r="H160" s="53"/>
      <c r="I160" s="13">
        <f>SUM(I$161,I$164,)</f>
        <v>159345.58000000002</v>
      </c>
      <c r="J160" s="13">
        <f>SUM(J$161,J$164,)</f>
        <v>0</v>
      </c>
      <c r="K160" s="13"/>
      <c r="L160" s="14">
        <f t="shared" si="35"/>
        <v>0</v>
      </c>
      <c r="M160" s="13">
        <f>SUM(M$161,M$164,)</f>
        <v>159345.58000000002</v>
      </c>
      <c r="N160" s="13"/>
      <c r="O160" s="14">
        <f t="shared" si="36"/>
        <v>1</v>
      </c>
      <c r="P160" s="13">
        <f>SUM(P$161,P$164,)</f>
        <v>0</v>
      </c>
      <c r="Q160" s="13"/>
      <c r="R160" s="14">
        <f t="shared" si="37"/>
        <v>0</v>
      </c>
      <c r="S160" s="13">
        <f>SUM(S$161,S$164,)</f>
        <v>0</v>
      </c>
      <c r="T160" s="13"/>
      <c r="U160" s="14">
        <f t="shared" si="38"/>
        <v>0</v>
      </c>
      <c r="V160" s="13">
        <f>SUM(V$161,V$164,)</f>
        <v>0</v>
      </c>
      <c r="W160" s="13"/>
      <c r="X160" s="14">
        <f t="shared" si="39"/>
        <v>0</v>
      </c>
      <c r="Y160" s="13">
        <f t="shared" si="40"/>
        <v>159345.58000000002</v>
      </c>
      <c r="Z160" s="14">
        <f t="shared" si="41"/>
        <v>1</v>
      </c>
      <c r="AA160" s="14">
        <f t="shared" si="42"/>
        <v>9.8856712585203163E-2</v>
      </c>
    </row>
    <row r="161" spans="1:27" x14ac:dyDescent="0.3">
      <c r="A161" s="15" t="s">
        <v>64</v>
      </c>
      <c r="B161" s="48" t="str">
        <f>VLOOKUP(A161,MEMORIA!$A:$N,2,FALSE)</f>
        <v>MOVIMENTO DE TERRA</v>
      </c>
      <c r="C161" s="49"/>
      <c r="D161" s="49"/>
      <c r="E161" s="49"/>
      <c r="F161" s="49"/>
      <c r="G161" s="49"/>
      <c r="H161" s="50"/>
      <c r="I161" s="16">
        <f>SUM(I$162:I$163)</f>
        <v>36501.39</v>
      </c>
      <c r="J161" s="16">
        <f>SUM(J$162:J$163)</f>
        <v>0</v>
      </c>
      <c r="K161" s="16"/>
      <c r="L161" s="17">
        <f t="shared" si="35"/>
        <v>0</v>
      </c>
      <c r="M161" s="16">
        <f>SUM(M$162:M$163)</f>
        <v>36501.39</v>
      </c>
      <c r="N161" s="16"/>
      <c r="O161" s="17">
        <f t="shared" si="36"/>
        <v>1</v>
      </c>
      <c r="P161" s="16">
        <f>SUM(P$162:P$163)</f>
        <v>0</v>
      </c>
      <c r="Q161" s="16"/>
      <c r="R161" s="17">
        <f t="shared" si="37"/>
        <v>0</v>
      </c>
      <c r="S161" s="16">
        <f>SUM(S$162:S$163)</f>
        <v>0</v>
      </c>
      <c r="T161" s="16"/>
      <c r="U161" s="17">
        <f t="shared" si="38"/>
        <v>0</v>
      </c>
      <c r="V161" s="16">
        <f>SUM(V$162:V$163)</f>
        <v>0</v>
      </c>
      <c r="W161" s="16"/>
      <c r="X161" s="17">
        <f t="shared" si="39"/>
        <v>0</v>
      </c>
      <c r="Y161" s="16">
        <f t="shared" si="40"/>
        <v>36501.39</v>
      </c>
      <c r="Z161" s="17">
        <f t="shared" si="41"/>
        <v>1</v>
      </c>
      <c r="AA161" s="17">
        <f t="shared" si="42"/>
        <v>2.2645167943725886E-2</v>
      </c>
    </row>
    <row r="162" spans="1:27" ht="115.2" x14ac:dyDescent="0.3">
      <c r="A162" s="23" t="s">
        <v>282</v>
      </c>
      <c r="B162" s="23">
        <f>VLOOKUP(A162,MEMORIA!$A:$N,2,FALSE)</f>
        <v>102314</v>
      </c>
      <c r="C162" s="23" t="str">
        <f>VLOOKUP(A162,MEMORIA!$A:$N,3,FALSE)</f>
        <v>SINAPI</v>
      </c>
      <c r="D162" s="24" t="str">
        <f>VLOOKUP(A162,MEMORIA!$A:$N,4,FALSE)</f>
        <v>ESCAVAÇÃO MECANIZADA DE VALA COM PROF. ATÉ 1,5 M (MÉDIA MONTANTE E JUSANTE/UMA COMPOSIÇÃO POR TRECHO),COM ESCAVADEIRA (0,8 M3), LARG. MENOR QUE 1,5 M, EM SOLO DE 2A CATEGORIA, LOCAIS COM BAIXO NÍVEL DE INTERFERÊNCIA. AF_09/2024</v>
      </c>
      <c r="E162" s="23" t="str">
        <f>VLOOKUP(A162,MEMORIA!$A:$N,5,FALSE)</f>
        <v>M3</v>
      </c>
      <c r="F162" s="5">
        <f>VLOOKUP(A162,MEMORIA!$A:$N,14,FALSE)</f>
        <v>1403.36</v>
      </c>
      <c r="G162" s="5">
        <f>VLOOKUP(A162,ORCAMENTO!$A:$I,7,FALSE)</f>
        <v>8.5</v>
      </c>
      <c r="H162" s="5">
        <f>VLOOKUP(A162,ORCAMENTO!$A:$I,8,FALSE)</f>
        <v>10.4</v>
      </c>
      <c r="I162" s="5">
        <f>ROUND(F162*H162,2)</f>
        <v>14594.94</v>
      </c>
      <c r="J162" s="5">
        <f>ROUND(K162*$H162,2)</f>
        <v>0</v>
      </c>
      <c r="K162" s="5">
        <v>0</v>
      </c>
      <c r="L162" s="25">
        <f t="shared" si="35"/>
        <v>0</v>
      </c>
      <c r="M162" s="5">
        <f>ROUND(N162*$H162,2)</f>
        <v>14594.94</v>
      </c>
      <c r="N162" s="5">
        <f>F162</f>
        <v>1403.36</v>
      </c>
      <c r="O162" s="25">
        <f t="shared" si="36"/>
        <v>1</v>
      </c>
      <c r="P162" s="5">
        <f>ROUND(Q162*$H162,2)</f>
        <v>0</v>
      </c>
      <c r="Q162" s="5">
        <v>0</v>
      </c>
      <c r="R162" s="25">
        <f t="shared" si="37"/>
        <v>0</v>
      </c>
      <c r="S162" s="5">
        <f>ROUND(T162*$H162,2)</f>
        <v>0</v>
      </c>
      <c r="T162" s="5">
        <v>0</v>
      </c>
      <c r="U162" s="25">
        <f t="shared" si="38"/>
        <v>0</v>
      </c>
      <c r="V162" s="5">
        <f>ROUND(W162*$H162,2)</f>
        <v>0</v>
      </c>
      <c r="W162" s="5">
        <v>0</v>
      </c>
      <c r="X162" s="25">
        <f t="shared" si="39"/>
        <v>0</v>
      </c>
      <c r="Y162" s="5">
        <f t="shared" si="40"/>
        <v>14594.94</v>
      </c>
      <c r="Z162" s="25">
        <f t="shared" si="41"/>
        <v>1</v>
      </c>
      <c r="AA162" s="25">
        <f t="shared" si="42"/>
        <v>9.05458305638779E-3</v>
      </c>
    </row>
    <row r="163" spans="1:27" ht="115.2" x14ac:dyDescent="0.3">
      <c r="A163" s="23" t="s">
        <v>283</v>
      </c>
      <c r="B163" s="23" t="str">
        <f>VLOOKUP(A163,MEMORIA!$A:$N,2,FALSE)</f>
        <v>COMP199</v>
      </c>
      <c r="C163" s="23" t="str">
        <f>VLOOKUP(A163,MEMORIA!$A:$N,3,FALSE)</f>
        <v>PRÓPRIA</v>
      </c>
      <c r="D163" s="24" t="str">
        <f>VLOOKUP(A163,MEMORIA!$A:$N,4,FALSE)</f>
        <v>REATERRO MECANIZADO DE VALA COM RETROESCAVADEIRA (CAPACIDADE DA CAÇAMBA DA RETRO: 0,26 M³/POTÊNCIA: 88 HP), LARGURA ATÉ 0,8 M, PROFUNDIDADE ATÉ 1,5 M, COM SOLO (SEM SUBSTITUIÇÃO) DE 1ª CATEGORIA. AF_08/2023 (REF: 104733-SINAPI-05/2025)</v>
      </c>
      <c r="E163" s="23" t="str">
        <f>VLOOKUP(A163,MEMORIA!$A:$N,5,FALSE)</f>
        <v>M3</v>
      </c>
      <c r="F163" s="5">
        <f>VLOOKUP(A163,MEMORIA!$A:$N,14,FALSE)</f>
        <v>1403.36</v>
      </c>
      <c r="G163" s="5">
        <f>VLOOKUP(A163,ORCAMENTO!$A:$I,7,FALSE)</f>
        <v>12.76</v>
      </c>
      <c r="H163" s="5">
        <f>VLOOKUP(A163,ORCAMENTO!$A:$I,8,FALSE)</f>
        <v>15.61</v>
      </c>
      <c r="I163" s="5">
        <f>ROUND(F163*H163,2)</f>
        <v>21906.45</v>
      </c>
      <c r="J163" s="5">
        <f>ROUND(K163*$H163,2)</f>
        <v>0</v>
      </c>
      <c r="K163" s="5">
        <v>0</v>
      </c>
      <c r="L163" s="25">
        <f t="shared" si="35"/>
        <v>0</v>
      </c>
      <c r="M163" s="5">
        <f>ROUND(N163*$H163,2)</f>
        <v>21906.45</v>
      </c>
      <c r="N163" s="5">
        <f>F163</f>
        <v>1403.36</v>
      </c>
      <c r="O163" s="25">
        <f t="shared" si="36"/>
        <v>1</v>
      </c>
      <c r="P163" s="5">
        <f>ROUND(Q163*$H163,2)</f>
        <v>0</v>
      </c>
      <c r="Q163" s="5">
        <v>0</v>
      </c>
      <c r="R163" s="25">
        <f t="shared" si="37"/>
        <v>0</v>
      </c>
      <c r="S163" s="5">
        <f>ROUND(T163*$H163,2)</f>
        <v>0</v>
      </c>
      <c r="T163" s="5">
        <v>0</v>
      </c>
      <c r="U163" s="25">
        <f t="shared" si="38"/>
        <v>0</v>
      </c>
      <c r="V163" s="5">
        <f>ROUND(W163*$H163,2)</f>
        <v>0</v>
      </c>
      <c r="W163" s="5">
        <v>0</v>
      </c>
      <c r="X163" s="25">
        <f t="shared" si="39"/>
        <v>0</v>
      </c>
      <c r="Y163" s="5">
        <f t="shared" si="40"/>
        <v>21906.45</v>
      </c>
      <c r="Z163" s="25">
        <f t="shared" si="41"/>
        <v>1</v>
      </c>
      <c r="AA163" s="25">
        <f t="shared" si="42"/>
        <v>1.3590584887338096E-2</v>
      </c>
    </row>
    <row r="164" spans="1:27" x14ac:dyDescent="0.3">
      <c r="A164" s="15" t="s">
        <v>65</v>
      </c>
      <c r="B164" s="48" t="str">
        <f>VLOOKUP(A164,MEMORIA!$A:$N,2,FALSE)</f>
        <v>INSTALAÇÕES HIDRÁULICAS</v>
      </c>
      <c r="C164" s="49"/>
      <c r="D164" s="49"/>
      <c r="E164" s="49"/>
      <c r="F164" s="49"/>
      <c r="G164" s="49"/>
      <c r="H164" s="50"/>
      <c r="I164" s="16">
        <f>SUM(I$165:I$166)</f>
        <v>122844.19</v>
      </c>
      <c r="J164" s="16">
        <f>SUM(J$165:J$166)</f>
        <v>0</v>
      </c>
      <c r="K164" s="16"/>
      <c r="L164" s="17">
        <f t="shared" si="35"/>
        <v>0</v>
      </c>
      <c r="M164" s="16">
        <f>SUM(M$165:M$166)</f>
        <v>122844.19</v>
      </c>
      <c r="N164" s="16"/>
      <c r="O164" s="17">
        <f t="shared" si="36"/>
        <v>1</v>
      </c>
      <c r="P164" s="16">
        <f>SUM(P$165:P$166)</f>
        <v>0</v>
      </c>
      <c r="Q164" s="16"/>
      <c r="R164" s="17">
        <f t="shared" si="37"/>
        <v>0</v>
      </c>
      <c r="S164" s="16">
        <f>SUM(S$165:S$166)</f>
        <v>0</v>
      </c>
      <c r="T164" s="16"/>
      <c r="U164" s="17">
        <f t="shared" si="38"/>
        <v>0</v>
      </c>
      <c r="V164" s="16">
        <f>SUM(V$165:V$166)</f>
        <v>0</v>
      </c>
      <c r="W164" s="16"/>
      <c r="X164" s="17">
        <f t="shared" si="39"/>
        <v>0</v>
      </c>
      <c r="Y164" s="16">
        <f t="shared" si="40"/>
        <v>122844.19</v>
      </c>
      <c r="Z164" s="17">
        <f t="shared" si="41"/>
        <v>1</v>
      </c>
      <c r="AA164" s="17">
        <f t="shared" si="42"/>
        <v>7.6211544641477266E-2</v>
      </c>
    </row>
    <row r="165" spans="1:27" ht="43.2" x14ac:dyDescent="0.3">
      <c r="A165" s="23" t="s">
        <v>284</v>
      </c>
      <c r="B165" s="23" t="str">
        <f>VLOOKUP(A165,MEMORIA!$A:$N,2,FALSE)</f>
        <v>COMPOS35</v>
      </c>
      <c r="C165" s="23" t="str">
        <f>VLOOKUP(A165,MEMORIA!$A:$N,3,FALSE)</f>
        <v>PRÓPRIA</v>
      </c>
      <c r="D165" s="24" t="str">
        <f>VLOOKUP(A165,MEMORIA!$A:$N,4,FALSE)</f>
        <v>AQUISIÇÃO E ASSENTAMENTO DE TUBO RÍGIDO PVC, CLASSE 12, DN 60 MM, INCLUSO CONEXÕES</v>
      </c>
      <c r="E165" s="23" t="str">
        <f>VLOOKUP(A165,MEMORIA!$A:$N,5,FALSE)</f>
        <v>M</v>
      </c>
      <c r="F165" s="5">
        <f>VLOOKUP(A165,MEMORIA!$A:$N,14,FALSE)</f>
        <v>3472.7</v>
      </c>
      <c r="G165" s="5">
        <f>VLOOKUP(A165,ORCAMENTO!$A:$I,7,FALSE)</f>
        <v>27.91</v>
      </c>
      <c r="H165" s="5">
        <f>VLOOKUP(A165,ORCAMENTO!$A:$I,8,FALSE)</f>
        <v>34.14</v>
      </c>
      <c r="I165" s="5">
        <f>ROUND(F165*H165,2)</f>
        <v>118557.98</v>
      </c>
      <c r="J165" s="5">
        <f>ROUND(K165*$H165,2)</f>
        <v>0</v>
      </c>
      <c r="K165" s="5">
        <v>0</v>
      </c>
      <c r="L165" s="25">
        <f t="shared" si="35"/>
        <v>0</v>
      </c>
      <c r="M165" s="5">
        <f>ROUND(N165*$H165,2)</f>
        <v>118557.98</v>
      </c>
      <c r="N165" s="5">
        <f>F165</f>
        <v>3472.7</v>
      </c>
      <c r="O165" s="25">
        <f t="shared" si="36"/>
        <v>1</v>
      </c>
      <c r="P165" s="5">
        <f>ROUND(Q165*$H165,2)</f>
        <v>0</v>
      </c>
      <c r="Q165" s="5">
        <v>0</v>
      </c>
      <c r="R165" s="25">
        <f t="shared" si="37"/>
        <v>0</v>
      </c>
      <c r="S165" s="5">
        <f>ROUND(T165*$H165,2)</f>
        <v>0</v>
      </c>
      <c r="T165" s="5">
        <v>0</v>
      </c>
      <c r="U165" s="25">
        <f t="shared" si="38"/>
        <v>0</v>
      </c>
      <c r="V165" s="5">
        <f>ROUND(W165*$H165,2)</f>
        <v>0</v>
      </c>
      <c r="W165" s="5">
        <v>0</v>
      </c>
      <c r="X165" s="25">
        <f t="shared" si="39"/>
        <v>0</v>
      </c>
      <c r="Y165" s="5">
        <f t="shared" si="40"/>
        <v>118557.98</v>
      </c>
      <c r="Z165" s="25">
        <f t="shared" si="41"/>
        <v>1</v>
      </c>
      <c r="AA165" s="25">
        <f t="shared" si="42"/>
        <v>7.355241452911504E-2</v>
      </c>
    </row>
    <row r="166" spans="1:27" x14ac:dyDescent="0.3">
      <c r="A166" s="23" t="s">
        <v>285</v>
      </c>
      <c r="B166" s="23" t="str">
        <f>VLOOKUP(A166,MEMORIA!$A:$N,2,FALSE)</f>
        <v>COMPOS36</v>
      </c>
      <c r="C166" s="23" t="str">
        <f>VLOOKUP(A166,MEMORIA!$A:$N,3,FALSE)</f>
        <v>PRÓPRIA</v>
      </c>
      <c r="D166" s="24" t="str">
        <f>VLOOKUP(A166,MEMORIA!$A:$N,4,FALSE)</f>
        <v>LIGAÇÃO DOMICILIAR</v>
      </c>
      <c r="E166" s="23" t="str">
        <f>VLOOKUP(A166,MEMORIA!$A:$N,5,FALSE)</f>
        <v>UND</v>
      </c>
      <c r="F166" s="5">
        <f>VLOOKUP(A166,MEMORIA!$A:$N,14,FALSE)</f>
        <v>17</v>
      </c>
      <c r="G166" s="5">
        <f>VLOOKUP(A166,ORCAMENTO!$A:$I,7,FALSE)</f>
        <v>206.11</v>
      </c>
      <c r="H166" s="5">
        <f>VLOOKUP(A166,ORCAMENTO!$A:$I,8,FALSE)</f>
        <v>252.13000000000002</v>
      </c>
      <c r="I166" s="5">
        <f>ROUND(F166*H166,2)</f>
        <v>4286.21</v>
      </c>
      <c r="J166" s="5">
        <f>ROUND(K166*$H166,2)</f>
        <v>0</v>
      </c>
      <c r="K166" s="5">
        <v>0</v>
      </c>
      <c r="L166" s="25">
        <f t="shared" si="35"/>
        <v>0</v>
      </c>
      <c r="M166" s="5">
        <f>ROUND(N166*$H166,2)</f>
        <v>4286.21</v>
      </c>
      <c r="N166" s="5">
        <f>F166</f>
        <v>17</v>
      </c>
      <c r="O166" s="25">
        <f t="shared" si="36"/>
        <v>1</v>
      </c>
      <c r="P166" s="5">
        <f>ROUND(Q166*$H166,2)</f>
        <v>0</v>
      </c>
      <c r="Q166" s="5">
        <v>0</v>
      </c>
      <c r="R166" s="25">
        <f t="shared" si="37"/>
        <v>0</v>
      </c>
      <c r="S166" s="5">
        <f>ROUND(T166*$H166,2)</f>
        <v>0</v>
      </c>
      <c r="T166" s="5">
        <v>0</v>
      </c>
      <c r="U166" s="25">
        <f t="shared" si="38"/>
        <v>0</v>
      </c>
      <c r="V166" s="5">
        <f>ROUND(W166*$H166,2)</f>
        <v>0</v>
      </c>
      <c r="W166" s="5">
        <v>0</v>
      </c>
      <c r="X166" s="25">
        <f t="shared" si="39"/>
        <v>0</v>
      </c>
      <c r="Y166" s="5">
        <f t="shared" si="40"/>
        <v>4286.21</v>
      </c>
      <c r="Z166" s="25">
        <f t="shared" si="41"/>
        <v>1</v>
      </c>
      <c r="AA166" s="25">
        <f t="shared" si="42"/>
        <v>2.6591301123622233E-3</v>
      </c>
    </row>
    <row r="167" spans="1:27" x14ac:dyDescent="0.3">
      <c r="A167" s="9">
        <v>4</v>
      </c>
      <c r="B167" s="54" t="str">
        <f>VLOOKUP(A167,MEMORIA!$A:$N,2,FALSE)</f>
        <v>LOCALIDADE BAIXÃO DA GAMELEIRA II (ANÍSIO DE ABREU-PI)</v>
      </c>
      <c r="C167" s="55"/>
      <c r="D167" s="55"/>
      <c r="E167" s="55"/>
      <c r="F167" s="55"/>
      <c r="G167" s="55"/>
      <c r="H167" s="56"/>
      <c r="I167" s="10">
        <f>SUM(I$168,I$184,I$188,I$222,I$225,I$234,I$238,)</f>
        <v>194268.83000000002</v>
      </c>
      <c r="J167" s="10">
        <f>SUM(J$168,J$184,J$188,J$222,J$225,J$234,J$238,)</f>
        <v>0</v>
      </c>
      <c r="K167" s="10"/>
      <c r="L167" s="11">
        <f t="shared" si="35"/>
        <v>0</v>
      </c>
      <c r="M167" s="10">
        <f>SUM(M$168,M$184,M$188,M$222,M$225,M$234,M$238,)</f>
        <v>121910.31</v>
      </c>
      <c r="N167" s="10"/>
      <c r="O167" s="11">
        <f t="shared" si="36"/>
        <v>0.6275340722441165</v>
      </c>
      <c r="P167" s="10">
        <f>SUM(P$168,P$184,P$188,P$222,P$225,P$234,P$238,)</f>
        <v>72358.52</v>
      </c>
      <c r="Q167" s="10"/>
      <c r="R167" s="11">
        <f t="shared" si="37"/>
        <v>0.37246592775588344</v>
      </c>
      <c r="S167" s="10">
        <f>SUM(S$168,S$184,S$188,S$222,S$225,S$234,S$238,)</f>
        <v>0</v>
      </c>
      <c r="T167" s="10"/>
      <c r="U167" s="11">
        <f t="shared" si="38"/>
        <v>0</v>
      </c>
      <c r="V167" s="10">
        <f>SUM(V$168,V$184,V$188,V$222,V$225,V$234,V$238,)</f>
        <v>0</v>
      </c>
      <c r="W167" s="10"/>
      <c r="X167" s="11">
        <f t="shared" si="39"/>
        <v>0</v>
      </c>
      <c r="Y167" s="10">
        <f t="shared" si="40"/>
        <v>194268.83000000002</v>
      </c>
      <c r="Z167" s="11">
        <f t="shared" si="41"/>
        <v>1</v>
      </c>
      <c r="AA167" s="11">
        <f t="shared" si="42"/>
        <v>0.1205228152018631</v>
      </c>
    </row>
    <row r="168" spans="1:27" x14ac:dyDescent="0.3">
      <c r="A168" s="12" t="s">
        <v>66</v>
      </c>
      <c r="B168" s="51" t="str">
        <f>VLOOKUP(A168,MEMORIA!$A:$N,2,FALSE)</f>
        <v>PERFURAÇÃO DE POÇO TUBULAR</v>
      </c>
      <c r="C168" s="52"/>
      <c r="D168" s="52"/>
      <c r="E168" s="52"/>
      <c r="F168" s="52"/>
      <c r="G168" s="52"/>
      <c r="H168" s="53"/>
      <c r="I168" s="13">
        <f>SUM(I$169:I$183)</f>
        <v>41765.089999999997</v>
      </c>
      <c r="J168" s="13">
        <f>SUM(J$169:J$183)</f>
        <v>0</v>
      </c>
      <c r="K168" s="13"/>
      <c r="L168" s="14">
        <f t="shared" si="35"/>
        <v>0</v>
      </c>
      <c r="M168" s="13">
        <f>SUM(M$169:M$183)</f>
        <v>41765.089999999997</v>
      </c>
      <c r="N168" s="13"/>
      <c r="O168" s="14">
        <f t="shared" si="36"/>
        <v>1</v>
      </c>
      <c r="P168" s="13">
        <f>SUM(P$169:P$183)</f>
        <v>0</v>
      </c>
      <c r="Q168" s="13"/>
      <c r="R168" s="14">
        <f t="shared" si="37"/>
        <v>0</v>
      </c>
      <c r="S168" s="13">
        <f>SUM(S$169:S$183)</f>
        <v>0</v>
      </c>
      <c r="T168" s="13"/>
      <c r="U168" s="14">
        <f t="shared" si="38"/>
        <v>0</v>
      </c>
      <c r="V168" s="13">
        <f>SUM(V$169:V$183)</f>
        <v>0</v>
      </c>
      <c r="W168" s="13"/>
      <c r="X168" s="14">
        <f t="shared" si="39"/>
        <v>0</v>
      </c>
      <c r="Y168" s="13">
        <f t="shared" si="40"/>
        <v>41765.089999999997</v>
      </c>
      <c r="Z168" s="14">
        <f t="shared" si="41"/>
        <v>1</v>
      </c>
      <c r="AA168" s="14">
        <f t="shared" si="42"/>
        <v>2.5910724967866332E-2</v>
      </c>
    </row>
    <row r="169" spans="1:27" ht="43.2" x14ac:dyDescent="0.3">
      <c r="A169" s="23" t="s">
        <v>286</v>
      </c>
      <c r="B169" s="23" t="str">
        <f>VLOOKUP(A169,MEMORIA!$A:$N,2,FALSE)</f>
        <v>COMPOS3</v>
      </c>
      <c r="C169" s="23" t="str">
        <f>VLOOKUP(A169,MEMORIA!$A:$N,3,FALSE)</f>
        <v>PRÓPRIA</v>
      </c>
      <c r="D169" s="24" t="str">
        <f>VLOOKUP(A169,MEMORIA!$A:$N,4,FALSE)</f>
        <v>LOCAÇÃO DO POÇO COM ESTUDO GEOLÓGICO/HIDROGEOLÓGICO/GEOFÍSICO</v>
      </c>
      <c r="E169" s="23" t="str">
        <f>VLOOKUP(A169,MEMORIA!$A:$N,5,FALSE)</f>
        <v>UN</v>
      </c>
      <c r="F169" s="5">
        <f>VLOOKUP(A169,MEMORIA!$A:$N,14,FALSE)</f>
        <v>1</v>
      </c>
      <c r="G169" s="5">
        <f>VLOOKUP(A169,ORCAMENTO!$A:$I,7,FALSE)</f>
        <v>1692.3999999999999</v>
      </c>
      <c r="H169" s="5">
        <f>VLOOKUP(A169,ORCAMENTO!$A:$I,8,FALSE)</f>
        <v>2070.31</v>
      </c>
      <c r="I169" s="5">
        <f t="shared" ref="I169:I183" si="44">ROUND(F169*H169,2)</f>
        <v>2070.31</v>
      </c>
      <c r="J169" s="5">
        <f t="shared" ref="J169:J183" si="45">ROUND(K169*$H169,2)</f>
        <v>0</v>
      </c>
      <c r="K169" s="5">
        <v>0</v>
      </c>
      <c r="L169" s="25">
        <f t="shared" si="35"/>
        <v>0</v>
      </c>
      <c r="M169" s="5">
        <f t="shared" ref="M169:M183" si="46">ROUND(N169*$H169,2)</f>
        <v>2070.31</v>
      </c>
      <c r="N169" s="5">
        <f>F169</f>
        <v>1</v>
      </c>
      <c r="O169" s="25">
        <f t="shared" si="36"/>
        <v>1</v>
      </c>
      <c r="P169" s="5">
        <f t="shared" ref="P169:P183" si="47">ROUND(Q169*$H169,2)</f>
        <v>0</v>
      </c>
      <c r="Q169" s="5">
        <v>0</v>
      </c>
      <c r="R169" s="25">
        <f t="shared" si="37"/>
        <v>0</v>
      </c>
      <c r="S169" s="5">
        <f t="shared" ref="S169:S183" si="48">ROUND(T169*$H169,2)</f>
        <v>0</v>
      </c>
      <c r="T169" s="5">
        <v>0</v>
      </c>
      <c r="U169" s="25">
        <f t="shared" si="38"/>
        <v>0</v>
      </c>
      <c r="V169" s="5">
        <f t="shared" ref="V169:V183" si="49">ROUND(W169*$H169,2)</f>
        <v>0</v>
      </c>
      <c r="W169" s="5">
        <v>0</v>
      </c>
      <c r="X169" s="25">
        <f t="shared" si="39"/>
        <v>0</v>
      </c>
      <c r="Y169" s="5">
        <f t="shared" si="40"/>
        <v>2070.31</v>
      </c>
      <c r="Z169" s="25">
        <f t="shared" si="41"/>
        <v>1</v>
      </c>
      <c r="AA169" s="25">
        <f t="shared" si="42"/>
        <v>1.2844036253297515E-3</v>
      </c>
    </row>
    <row r="170" spans="1:27" ht="28.8" x14ac:dyDescent="0.3">
      <c r="A170" s="23" t="s">
        <v>287</v>
      </c>
      <c r="B170" s="23" t="str">
        <f>VLOOKUP(A170,MEMORIA!$A:$N,2,FALSE)</f>
        <v>COMPOS4</v>
      </c>
      <c r="C170" s="23" t="str">
        <f>VLOOKUP(A170,MEMORIA!$A:$N,3,FALSE)</f>
        <v>PRÓPRIA</v>
      </c>
      <c r="D170" s="24" t="str">
        <f>VLOOKUP(A170,MEMORIA!$A:$N,4,FALSE)</f>
        <v>TRANSPORTE DE MÁQUINAS E EQUIPAMENTOS</v>
      </c>
      <c r="E170" s="23" t="str">
        <f>VLOOKUP(A170,MEMORIA!$A:$N,5,FALSE)</f>
        <v>KM</v>
      </c>
      <c r="F170" s="5">
        <f>VLOOKUP(A170,MEMORIA!$A:$N,14,FALSE)</f>
        <v>280</v>
      </c>
      <c r="G170" s="5">
        <f>VLOOKUP(A170,ORCAMENTO!$A:$I,7,FALSE)</f>
        <v>5.5</v>
      </c>
      <c r="H170" s="5">
        <f>VLOOKUP(A170,ORCAMENTO!$A:$I,8,FALSE)</f>
        <v>6.73</v>
      </c>
      <c r="I170" s="5">
        <f t="shared" si="44"/>
        <v>1884.4</v>
      </c>
      <c r="J170" s="5">
        <f t="shared" si="45"/>
        <v>0</v>
      </c>
      <c r="K170" s="5">
        <v>0</v>
      </c>
      <c r="L170" s="25">
        <f t="shared" si="35"/>
        <v>0</v>
      </c>
      <c r="M170" s="5">
        <f t="shared" si="46"/>
        <v>1884.4</v>
      </c>
      <c r="N170" s="5">
        <f t="shared" ref="N170:N187" si="50">F170</f>
        <v>280</v>
      </c>
      <c r="O170" s="25">
        <f t="shared" si="36"/>
        <v>1</v>
      </c>
      <c r="P170" s="5">
        <f t="shared" si="47"/>
        <v>0</v>
      </c>
      <c r="Q170" s="5">
        <v>0</v>
      </c>
      <c r="R170" s="25">
        <f t="shared" si="37"/>
        <v>0</v>
      </c>
      <c r="S170" s="5">
        <f t="shared" si="48"/>
        <v>0</v>
      </c>
      <c r="T170" s="5">
        <v>0</v>
      </c>
      <c r="U170" s="25">
        <f t="shared" si="38"/>
        <v>0</v>
      </c>
      <c r="V170" s="5">
        <f t="shared" si="49"/>
        <v>0</v>
      </c>
      <c r="W170" s="5">
        <v>0</v>
      </c>
      <c r="X170" s="25">
        <f t="shared" si="39"/>
        <v>0</v>
      </c>
      <c r="Y170" s="5">
        <f t="shared" si="40"/>
        <v>1884.4</v>
      </c>
      <c r="Z170" s="25">
        <f t="shared" si="41"/>
        <v>1</v>
      </c>
      <c r="AA170" s="25">
        <f t="shared" si="42"/>
        <v>1.1690665608393835E-3</v>
      </c>
    </row>
    <row r="171" spans="1:27" ht="28.8" x14ac:dyDescent="0.3">
      <c r="A171" s="23" t="s">
        <v>288</v>
      </c>
      <c r="B171" s="23" t="str">
        <f>VLOOKUP(A171,MEMORIA!$A:$N,2,FALSE)</f>
        <v>COMPOS4</v>
      </c>
      <c r="C171" s="23" t="str">
        <f>VLOOKUP(A171,MEMORIA!$A:$N,3,FALSE)</f>
        <v>PRÓPRIA</v>
      </c>
      <c r="D171" s="24" t="str">
        <f>VLOOKUP(A171,MEMORIA!$A:$N,4,FALSE)</f>
        <v>TRANSPORTE DE MÁQUINAS E EQUIPAMENTOS</v>
      </c>
      <c r="E171" s="23" t="str">
        <f>VLOOKUP(A171,MEMORIA!$A:$N,5,FALSE)</f>
        <v>KM</v>
      </c>
      <c r="F171" s="5">
        <f>VLOOKUP(A171,MEMORIA!$A:$N,14,FALSE)</f>
        <v>280</v>
      </c>
      <c r="G171" s="5">
        <f>VLOOKUP(A171,ORCAMENTO!$A:$I,7,FALSE)</f>
        <v>5.5</v>
      </c>
      <c r="H171" s="5">
        <f>VLOOKUP(A171,ORCAMENTO!$A:$I,8,FALSE)</f>
        <v>6.73</v>
      </c>
      <c r="I171" s="5">
        <f t="shared" si="44"/>
        <v>1884.4</v>
      </c>
      <c r="J171" s="5">
        <f t="shared" si="45"/>
        <v>0</v>
      </c>
      <c r="K171" s="5">
        <v>0</v>
      </c>
      <c r="L171" s="25">
        <f t="shared" si="35"/>
        <v>0</v>
      </c>
      <c r="M171" s="5">
        <f t="shared" si="46"/>
        <v>1884.4</v>
      </c>
      <c r="N171" s="5">
        <f t="shared" si="50"/>
        <v>280</v>
      </c>
      <c r="O171" s="25">
        <f t="shared" si="36"/>
        <v>1</v>
      </c>
      <c r="P171" s="5">
        <f t="shared" si="47"/>
        <v>0</v>
      </c>
      <c r="Q171" s="5">
        <v>0</v>
      </c>
      <c r="R171" s="25">
        <f t="shared" si="37"/>
        <v>0</v>
      </c>
      <c r="S171" s="5">
        <f t="shared" si="48"/>
        <v>0</v>
      </c>
      <c r="T171" s="5">
        <v>0</v>
      </c>
      <c r="U171" s="25">
        <f t="shared" si="38"/>
        <v>0</v>
      </c>
      <c r="V171" s="5">
        <f t="shared" si="49"/>
        <v>0</v>
      </c>
      <c r="W171" s="5">
        <v>0</v>
      </c>
      <c r="X171" s="25">
        <f t="shared" si="39"/>
        <v>0</v>
      </c>
      <c r="Y171" s="5">
        <f t="shared" si="40"/>
        <v>1884.4</v>
      </c>
      <c r="Z171" s="25">
        <f t="shared" si="41"/>
        <v>1</v>
      </c>
      <c r="AA171" s="25">
        <f t="shared" si="42"/>
        <v>1.1690665608393835E-3</v>
      </c>
    </row>
    <row r="172" spans="1:27" x14ac:dyDescent="0.3">
      <c r="A172" s="23" t="s">
        <v>289</v>
      </c>
      <c r="B172" s="23" t="str">
        <f>VLOOKUP(A172,MEMORIA!$A:$N,2,FALSE)</f>
        <v>COMPOS5</v>
      </c>
      <c r="C172" s="23" t="str">
        <f>VLOOKUP(A172,MEMORIA!$A:$N,3,FALSE)</f>
        <v>PRÓPRIA</v>
      </c>
      <c r="D172" s="24" t="str">
        <f>VLOOKUP(A172,MEMORIA!$A:$N,4,FALSE)</f>
        <v>PERFILAGEM ÓTICA</v>
      </c>
      <c r="E172" s="23" t="str">
        <f>VLOOKUP(A172,MEMORIA!$A:$N,5,FALSE)</f>
        <v>UN</v>
      </c>
      <c r="F172" s="5">
        <f>VLOOKUP(A172,MEMORIA!$A:$N,14,FALSE)</f>
        <v>1</v>
      </c>
      <c r="G172" s="5">
        <f>VLOOKUP(A172,ORCAMENTO!$A:$I,7,FALSE)</f>
        <v>2908.88</v>
      </c>
      <c r="H172" s="5">
        <f>VLOOKUP(A172,ORCAMENTO!$A:$I,8,FALSE)</f>
        <v>3558.4300000000003</v>
      </c>
      <c r="I172" s="5">
        <f t="shared" si="44"/>
        <v>3558.43</v>
      </c>
      <c r="J172" s="5">
        <f t="shared" si="45"/>
        <v>0</v>
      </c>
      <c r="K172" s="5">
        <v>0</v>
      </c>
      <c r="L172" s="25">
        <f t="shared" si="35"/>
        <v>0</v>
      </c>
      <c r="M172" s="5">
        <f t="shared" si="46"/>
        <v>3558.43</v>
      </c>
      <c r="N172" s="5">
        <f t="shared" si="50"/>
        <v>1</v>
      </c>
      <c r="O172" s="25">
        <f t="shared" si="36"/>
        <v>1</v>
      </c>
      <c r="P172" s="5">
        <f t="shared" si="47"/>
        <v>0</v>
      </c>
      <c r="Q172" s="5">
        <v>0</v>
      </c>
      <c r="R172" s="25">
        <f t="shared" si="37"/>
        <v>0</v>
      </c>
      <c r="S172" s="5">
        <f t="shared" si="48"/>
        <v>0</v>
      </c>
      <c r="T172" s="5">
        <v>0</v>
      </c>
      <c r="U172" s="25">
        <f t="shared" si="38"/>
        <v>0</v>
      </c>
      <c r="V172" s="5">
        <f t="shared" si="49"/>
        <v>0</v>
      </c>
      <c r="W172" s="5">
        <v>0</v>
      </c>
      <c r="X172" s="25">
        <f t="shared" si="39"/>
        <v>0</v>
      </c>
      <c r="Y172" s="5">
        <f t="shared" si="40"/>
        <v>3558.43</v>
      </c>
      <c r="Z172" s="25">
        <f t="shared" si="41"/>
        <v>1</v>
      </c>
      <c r="AA172" s="25">
        <f t="shared" si="42"/>
        <v>2.2076212704774394E-3</v>
      </c>
    </row>
    <row r="173" spans="1:27" ht="43.2" x14ac:dyDescent="0.3">
      <c r="A173" s="23" t="s">
        <v>290</v>
      </c>
      <c r="B173" s="23" t="str">
        <f>VLOOKUP(A173,MEMORIA!$A:$N,2,FALSE)</f>
        <v>COMP197</v>
      </c>
      <c r="C173" s="23" t="str">
        <f>VLOOKUP(A173,MEMORIA!$A:$N,3,FALSE)</f>
        <v>PRÓPRIA</v>
      </c>
      <c r="D173" s="24" t="str">
        <f>VLOOKUP(A173,MEMORIA!$A:$N,4,FALSE)</f>
        <v>PERFURAÇÃO EM ROCHA SEDIMENTAR DN 10" (REF: 06230/ORSE-ORSE-04/2025)</v>
      </c>
      <c r="E173" s="23" t="str">
        <f>VLOOKUP(A173,MEMORIA!$A:$N,5,FALSE)</f>
        <v>M</v>
      </c>
      <c r="F173" s="5">
        <f>VLOOKUP(A173,MEMORIA!$A:$N,14,FALSE)</f>
        <v>20</v>
      </c>
      <c r="G173" s="5">
        <f>VLOOKUP(A173,ORCAMENTO!$A:$I,7,FALSE)</f>
        <v>202.21</v>
      </c>
      <c r="H173" s="5">
        <f>VLOOKUP(A173,ORCAMENTO!$A:$I,8,FALSE)</f>
        <v>247.36</v>
      </c>
      <c r="I173" s="5">
        <f t="shared" si="44"/>
        <v>4947.2</v>
      </c>
      <c r="J173" s="5">
        <f t="shared" si="45"/>
        <v>0</v>
      </c>
      <c r="K173" s="5">
        <v>0</v>
      </c>
      <c r="L173" s="25">
        <f t="shared" si="35"/>
        <v>0</v>
      </c>
      <c r="M173" s="5">
        <f t="shared" si="46"/>
        <v>4947.2</v>
      </c>
      <c r="N173" s="5">
        <f t="shared" si="50"/>
        <v>20</v>
      </c>
      <c r="O173" s="25">
        <f t="shared" si="36"/>
        <v>1</v>
      </c>
      <c r="P173" s="5">
        <f t="shared" si="47"/>
        <v>0</v>
      </c>
      <c r="Q173" s="5">
        <v>0</v>
      </c>
      <c r="R173" s="25">
        <f t="shared" si="37"/>
        <v>0</v>
      </c>
      <c r="S173" s="5">
        <f t="shared" si="48"/>
        <v>0</v>
      </c>
      <c r="T173" s="5">
        <v>0</v>
      </c>
      <c r="U173" s="25">
        <f t="shared" si="38"/>
        <v>0</v>
      </c>
      <c r="V173" s="5">
        <f t="shared" si="49"/>
        <v>0</v>
      </c>
      <c r="W173" s="5">
        <v>0</v>
      </c>
      <c r="X173" s="25">
        <f t="shared" si="39"/>
        <v>0</v>
      </c>
      <c r="Y173" s="5">
        <f t="shared" si="40"/>
        <v>4947.2</v>
      </c>
      <c r="Z173" s="25">
        <f t="shared" si="41"/>
        <v>1</v>
      </c>
      <c r="AA173" s="25">
        <f t="shared" si="42"/>
        <v>3.0692029769606223E-3</v>
      </c>
    </row>
    <row r="174" spans="1:27" ht="28.8" x14ac:dyDescent="0.3">
      <c r="A174" s="23" t="s">
        <v>291</v>
      </c>
      <c r="B174" s="23" t="str">
        <f>VLOOKUP(A174,MEMORIA!$A:$N,2,FALSE)</f>
        <v>COMP198</v>
      </c>
      <c r="C174" s="23" t="str">
        <f>VLOOKUP(A174,MEMORIA!$A:$N,3,FALSE)</f>
        <v>PRÓPRIA</v>
      </c>
      <c r="D174" s="24" t="str">
        <f>VLOOKUP(A174,MEMORIA!$A:$N,4,FALSE)</f>
        <v>PERFURAÇÃO EM ROCHA CRISTALINA DN 6" (REF: 06237/ORSE-ORSE-04/2025)</v>
      </c>
      <c r="E174" s="23" t="str">
        <f>VLOOKUP(A174,MEMORIA!$A:$N,5,FALSE)</f>
        <v>M</v>
      </c>
      <c r="F174" s="5">
        <f>VLOOKUP(A174,MEMORIA!$A:$N,14,FALSE)</f>
        <v>80</v>
      </c>
      <c r="G174" s="5">
        <f>VLOOKUP(A174,ORCAMENTO!$A:$I,7,FALSE)</f>
        <v>125.23</v>
      </c>
      <c r="H174" s="5">
        <f>VLOOKUP(A174,ORCAMENTO!$A:$I,8,FALSE)</f>
        <v>153.19</v>
      </c>
      <c r="I174" s="5">
        <f t="shared" si="44"/>
        <v>12255.2</v>
      </c>
      <c r="J174" s="5">
        <f t="shared" si="45"/>
        <v>0</v>
      </c>
      <c r="K174" s="5">
        <v>0</v>
      </c>
      <c r="L174" s="25">
        <f t="shared" si="35"/>
        <v>0</v>
      </c>
      <c r="M174" s="5">
        <f t="shared" si="46"/>
        <v>12255.2</v>
      </c>
      <c r="N174" s="5">
        <f t="shared" si="50"/>
        <v>80</v>
      </c>
      <c r="O174" s="25">
        <f t="shared" si="36"/>
        <v>1</v>
      </c>
      <c r="P174" s="5">
        <f t="shared" si="47"/>
        <v>0</v>
      </c>
      <c r="Q174" s="5">
        <v>0</v>
      </c>
      <c r="R174" s="25">
        <f t="shared" si="37"/>
        <v>0</v>
      </c>
      <c r="S174" s="5">
        <f t="shared" si="48"/>
        <v>0</v>
      </c>
      <c r="T174" s="5">
        <v>0</v>
      </c>
      <c r="U174" s="25">
        <f t="shared" si="38"/>
        <v>0</v>
      </c>
      <c r="V174" s="5">
        <f t="shared" si="49"/>
        <v>0</v>
      </c>
      <c r="W174" s="5">
        <v>0</v>
      </c>
      <c r="X174" s="25">
        <f t="shared" si="39"/>
        <v>0</v>
      </c>
      <c r="Y174" s="5">
        <f t="shared" si="40"/>
        <v>12255.2</v>
      </c>
      <c r="Z174" s="25">
        <f t="shared" si="41"/>
        <v>1</v>
      </c>
      <c r="AA174" s="25">
        <f t="shared" si="42"/>
        <v>7.6030272322218269E-3</v>
      </c>
    </row>
    <row r="175" spans="1:27" x14ac:dyDescent="0.3">
      <c r="A175" s="23" t="s">
        <v>292</v>
      </c>
      <c r="B175" s="23" t="str">
        <f>VLOOKUP(A175,MEMORIA!$A:$N,2,FALSE)</f>
        <v>COMPOS10</v>
      </c>
      <c r="C175" s="23" t="str">
        <f>VLOOKUP(A175,MEMORIA!$A:$N,3,FALSE)</f>
        <v>PRÓPRIA</v>
      </c>
      <c r="D175" s="24" t="str">
        <f>VLOOKUP(A175,MEMORIA!$A:$N,4,FALSE)</f>
        <v>CIMENTAÇÃO SANITÁRIA</v>
      </c>
      <c r="E175" s="23" t="str">
        <f>VLOOKUP(A175,MEMORIA!$A:$N,5,FALSE)</f>
        <v>M</v>
      </c>
      <c r="F175" s="5">
        <f>VLOOKUP(A175,MEMORIA!$A:$N,14,FALSE)</f>
        <v>10</v>
      </c>
      <c r="G175" s="5">
        <f>VLOOKUP(A175,ORCAMENTO!$A:$I,7,FALSE)</f>
        <v>98.79</v>
      </c>
      <c r="H175" s="5">
        <f>VLOOKUP(A175,ORCAMENTO!$A:$I,8,FALSE)</f>
        <v>120.85000000000001</v>
      </c>
      <c r="I175" s="5">
        <f t="shared" si="44"/>
        <v>1208.5</v>
      </c>
      <c r="J175" s="5">
        <f t="shared" si="45"/>
        <v>0</v>
      </c>
      <c r="K175" s="5">
        <v>0</v>
      </c>
      <c r="L175" s="25">
        <f t="shared" si="35"/>
        <v>0</v>
      </c>
      <c r="M175" s="5">
        <f t="shared" si="46"/>
        <v>1208.5</v>
      </c>
      <c r="N175" s="5">
        <f t="shared" si="50"/>
        <v>10</v>
      </c>
      <c r="O175" s="25">
        <f t="shared" si="36"/>
        <v>1</v>
      </c>
      <c r="P175" s="5">
        <f t="shared" si="47"/>
        <v>0</v>
      </c>
      <c r="Q175" s="5">
        <v>0</v>
      </c>
      <c r="R175" s="25">
        <f t="shared" si="37"/>
        <v>0</v>
      </c>
      <c r="S175" s="5">
        <f t="shared" si="48"/>
        <v>0</v>
      </c>
      <c r="T175" s="5">
        <v>0</v>
      </c>
      <c r="U175" s="25">
        <f t="shared" si="38"/>
        <v>0</v>
      </c>
      <c r="V175" s="5">
        <f t="shared" si="49"/>
        <v>0</v>
      </c>
      <c r="W175" s="5">
        <v>0</v>
      </c>
      <c r="X175" s="25">
        <f t="shared" si="39"/>
        <v>0</v>
      </c>
      <c r="Y175" s="5">
        <f t="shared" si="40"/>
        <v>1208.5</v>
      </c>
      <c r="Z175" s="25">
        <f t="shared" si="41"/>
        <v>1</v>
      </c>
      <c r="AA175" s="25">
        <f t="shared" si="42"/>
        <v>7.4974365250180149E-4</v>
      </c>
    </row>
    <row r="176" spans="1:27" ht="28.8" x14ac:dyDescent="0.3">
      <c r="A176" s="23" t="s">
        <v>293</v>
      </c>
      <c r="B176" s="23" t="str">
        <f>VLOOKUP(A176,MEMORIA!$A:$N,2,FALSE)</f>
        <v>COMPOS11</v>
      </c>
      <c r="C176" s="23" t="str">
        <f>VLOOKUP(A176,MEMORIA!$A:$N,3,FALSE)</f>
        <v>PRÓPRIA</v>
      </c>
      <c r="D176" s="24" t="str">
        <f>VLOOKUP(A176,MEMORIA!$A:$N,4,FALSE)</f>
        <v>LAJE DE PROTEÇÃO EM CONCRETO (1,0 M X 1,0 M X 0,15 M)</v>
      </c>
      <c r="E176" s="23" t="str">
        <f>VLOOKUP(A176,MEMORIA!$A:$N,5,FALSE)</f>
        <v>M³</v>
      </c>
      <c r="F176" s="5">
        <f>VLOOKUP(A176,MEMORIA!$A:$N,14,FALSE)</f>
        <v>0.15</v>
      </c>
      <c r="G176" s="5">
        <f>VLOOKUP(A176,ORCAMENTO!$A:$I,7,FALSE)</f>
        <v>1246.81</v>
      </c>
      <c r="H176" s="5">
        <f>VLOOKUP(A176,ORCAMENTO!$A:$I,8,FALSE)</f>
        <v>1525.22</v>
      </c>
      <c r="I176" s="5">
        <f t="shared" si="44"/>
        <v>228.78</v>
      </c>
      <c r="J176" s="5">
        <f t="shared" si="45"/>
        <v>0</v>
      </c>
      <c r="K176" s="5">
        <v>0</v>
      </c>
      <c r="L176" s="25">
        <f t="shared" si="35"/>
        <v>0</v>
      </c>
      <c r="M176" s="5">
        <f t="shared" si="46"/>
        <v>228.78</v>
      </c>
      <c r="N176" s="5">
        <f t="shared" si="50"/>
        <v>0.15</v>
      </c>
      <c r="O176" s="25">
        <f t="shared" si="36"/>
        <v>1</v>
      </c>
      <c r="P176" s="5">
        <f t="shared" si="47"/>
        <v>0</v>
      </c>
      <c r="Q176" s="5">
        <v>0</v>
      </c>
      <c r="R176" s="25">
        <f t="shared" si="37"/>
        <v>0</v>
      </c>
      <c r="S176" s="5">
        <f t="shared" si="48"/>
        <v>0</v>
      </c>
      <c r="T176" s="5">
        <v>0</v>
      </c>
      <c r="U176" s="25">
        <f t="shared" si="38"/>
        <v>0</v>
      </c>
      <c r="V176" s="5">
        <f t="shared" si="49"/>
        <v>0</v>
      </c>
      <c r="W176" s="5">
        <v>0</v>
      </c>
      <c r="X176" s="25">
        <f t="shared" si="39"/>
        <v>0</v>
      </c>
      <c r="Y176" s="5">
        <f t="shared" si="40"/>
        <v>228.78</v>
      </c>
      <c r="Z176" s="25">
        <f t="shared" si="41"/>
        <v>1</v>
      </c>
      <c r="AA176" s="25">
        <f t="shared" si="42"/>
        <v>1.4193326671027072E-4</v>
      </c>
    </row>
    <row r="177" spans="1:27" x14ac:dyDescent="0.3">
      <c r="A177" s="23" t="s">
        <v>294</v>
      </c>
      <c r="B177" s="23" t="str">
        <f>VLOOKUP(A177,MEMORIA!$A:$N,2,FALSE)</f>
        <v>COMPOS12</v>
      </c>
      <c r="C177" s="23" t="str">
        <f>VLOOKUP(A177,MEMORIA!$A:$N,3,FALSE)</f>
        <v>PRÓPRIA</v>
      </c>
      <c r="D177" s="24" t="str">
        <f>VLOOKUP(A177,MEMORIA!$A:$N,4,FALSE)</f>
        <v>DESENVOLVIMENTO COM BOMBA SUBMERSA</v>
      </c>
      <c r="E177" s="23" t="str">
        <f>VLOOKUP(A177,MEMORIA!$A:$N,5,FALSE)</f>
        <v>H</v>
      </c>
      <c r="F177" s="5">
        <f>VLOOKUP(A177,MEMORIA!$A:$N,14,FALSE)</f>
        <v>6</v>
      </c>
      <c r="G177" s="5">
        <f>VLOOKUP(A177,ORCAMENTO!$A:$I,7,FALSE)</f>
        <v>515.70000000000005</v>
      </c>
      <c r="H177" s="5">
        <f>VLOOKUP(A177,ORCAMENTO!$A:$I,8,FALSE)</f>
        <v>630.86</v>
      </c>
      <c r="I177" s="5">
        <f t="shared" si="44"/>
        <v>3785.16</v>
      </c>
      <c r="J177" s="5">
        <f t="shared" si="45"/>
        <v>0</v>
      </c>
      <c r="K177" s="5">
        <v>0</v>
      </c>
      <c r="L177" s="25">
        <f t="shared" si="35"/>
        <v>0</v>
      </c>
      <c r="M177" s="5">
        <f t="shared" si="46"/>
        <v>3785.16</v>
      </c>
      <c r="N177" s="5">
        <f t="shared" si="50"/>
        <v>6</v>
      </c>
      <c r="O177" s="25">
        <f t="shared" si="36"/>
        <v>1</v>
      </c>
      <c r="P177" s="5">
        <f t="shared" si="47"/>
        <v>0</v>
      </c>
      <c r="Q177" s="5">
        <v>0</v>
      </c>
      <c r="R177" s="25">
        <f t="shared" si="37"/>
        <v>0</v>
      </c>
      <c r="S177" s="5">
        <f t="shared" si="48"/>
        <v>0</v>
      </c>
      <c r="T177" s="5">
        <v>0</v>
      </c>
      <c r="U177" s="25">
        <f t="shared" si="38"/>
        <v>0</v>
      </c>
      <c r="V177" s="5">
        <f t="shared" si="49"/>
        <v>0</v>
      </c>
      <c r="W177" s="5">
        <v>0</v>
      </c>
      <c r="X177" s="25">
        <f t="shared" si="39"/>
        <v>0</v>
      </c>
      <c r="Y177" s="5">
        <f t="shared" si="40"/>
        <v>3785.16</v>
      </c>
      <c r="Z177" s="25">
        <f t="shared" si="41"/>
        <v>1</v>
      </c>
      <c r="AA177" s="25">
        <f t="shared" si="42"/>
        <v>2.3482827337225642E-3</v>
      </c>
    </row>
    <row r="178" spans="1:27" x14ac:dyDescent="0.3">
      <c r="A178" s="23" t="s">
        <v>295</v>
      </c>
      <c r="B178" s="23" t="str">
        <f>VLOOKUP(A178,MEMORIA!$A:$N,2,FALSE)</f>
        <v>COMPOS13</v>
      </c>
      <c r="C178" s="23" t="str">
        <f>VLOOKUP(A178,MEMORIA!$A:$N,3,FALSE)</f>
        <v>PRÓPRIA</v>
      </c>
      <c r="D178" s="24" t="str">
        <f>VLOOKUP(A178,MEMORIA!$A:$N,4,FALSE)</f>
        <v>TESTE VAZÃO COM BOMBA SUBMERSA</v>
      </c>
      <c r="E178" s="23" t="str">
        <f>VLOOKUP(A178,MEMORIA!$A:$N,5,FALSE)</f>
        <v>H</v>
      </c>
      <c r="F178" s="5">
        <f>VLOOKUP(A178,MEMORIA!$A:$N,14,FALSE)</f>
        <v>24</v>
      </c>
      <c r="G178" s="5">
        <f>VLOOKUP(A178,ORCAMENTO!$A:$I,7,FALSE)</f>
        <v>97.789999999999992</v>
      </c>
      <c r="H178" s="5">
        <f>VLOOKUP(A178,ORCAMENTO!$A:$I,8,FALSE)</f>
        <v>119.63</v>
      </c>
      <c r="I178" s="5">
        <f t="shared" si="44"/>
        <v>2871.12</v>
      </c>
      <c r="J178" s="5">
        <f t="shared" si="45"/>
        <v>0</v>
      </c>
      <c r="K178" s="5">
        <v>0</v>
      </c>
      <c r="L178" s="25">
        <f t="shared" si="35"/>
        <v>0</v>
      </c>
      <c r="M178" s="5">
        <f t="shared" si="46"/>
        <v>2871.12</v>
      </c>
      <c r="N178" s="5">
        <f t="shared" si="50"/>
        <v>24</v>
      </c>
      <c r="O178" s="25">
        <f t="shared" si="36"/>
        <v>1</v>
      </c>
      <c r="P178" s="5">
        <f t="shared" si="47"/>
        <v>0</v>
      </c>
      <c r="Q178" s="5">
        <v>0</v>
      </c>
      <c r="R178" s="25">
        <f t="shared" si="37"/>
        <v>0</v>
      </c>
      <c r="S178" s="5">
        <f t="shared" si="48"/>
        <v>0</v>
      </c>
      <c r="T178" s="5">
        <v>0</v>
      </c>
      <c r="U178" s="25">
        <f t="shared" si="38"/>
        <v>0</v>
      </c>
      <c r="V178" s="5">
        <f t="shared" si="49"/>
        <v>0</v>
      </c>
      <c r="W178" s="5">
        <v>0</v>
      </c>
      <c r="X178" s="25">
        <f t="shared" si="39"/>
        <v>0</v>
      </c>
      <c r="Y178" s="5">
        <f t="shared" si="40"/>
        <v>2871.12</v>
      </c>
      <c r="Z178" s="25">
        <f t="shared" si="41"/>
        <v>1</v>
      </c>
      <c r="AA178" s="25">
        <f t="shared" si="42"/>
        <v>1.7812196901704363E-3</v>
      </c>
    </row>
    <row r="179" spans="1:27" x14ac:dyDescent="0.3">
      <c r="A179" s="23" t="s">
        <v>296</v>
      </c>
      <c r="B179" s="23" t="str">
        <f>VLOOKUP(A179,MEMORIA!$A:$N,2,FALSE)</f>
        <v>COMPOS14</v>
      </c>
      <c r="C179" s="23" t="str">
        <f>VLOOKUP(A179,MEMORIA!$A:$N,3,FALSE)</f>
        <v>PRÓPRIA</v>
      </c>
      <c r="D179" s="24" t="str">
        <f>VLOOKUP(A179,MEMORIA!$A:$N,4,FALSE)</f>
        <v>DESINFECÇÃO</v>
      </c>
      <c r="E179" s="23" t="str">
        <f>VLOOKUP(A179,MEMORIA!$A:$N,5,FALSE)</f>
        <v>H</v>
      </c>
      <c r="F179" s="5">
        <f>VLOOKUP(A179,MEMORIA!$A:$N,14,FALSE)</f>
        <v>4</v>
      </c>
      <c r="G179" s="5">
        <f>VLOOKUP(A179,ORCAMENTO!$A:$I,7,FALSE)</f>
        <v>102.36000000000003</v>
      </c>
      <c r="H179" s="5">
        <f>VLOOKUP(A179,ORCAMENTO!$A:$I,8,FALSE)</f>
        <v>125.22000000000003</v>
      </c>
      <c r="I179" s="5">
        <f t="shared" si="44"/>
        <v>500.88</v>
      </c>
      <c r="J179" s="5">
        <f t="shared" si="45"/>
        <v>0</v>
      </c>
      <c r="K179" s="5">
        <v>0</v>
      </c>
      <c r="L179" s="25">
        <f t="shared" si="35"/>
        <v>0</v>
      </c>
      <c r="M179" s="5">
        <f t="shared" si="46"/>
        <v>500.88</v>
      </c>
      <c r="N179" s="5">
        <f t="shared" si="50"/>
        <v>4</v>
      </c>
      <c r="O179" s="25">
        <f t="shared" si="36"/>
        <v>1</v>
      </c>
      <c r="P179" s="5">
        <f t="shared" si="47"/>
        <v>0</v>
      </c>
      <c r="Q179" s="5">
        <v>0</v>
      </c>
      <c r="R179" s="25">
        <f t="shared" si="37"/>
        <v>0</v>
      </c>
      <c r="S179" s="5">
        <f t="shared" si="48"/>
        <v>0</v>
      </c>
      <c r="T179" s="5">
        <v>0</v>
      </c>
      <c r="U179" s="25">
        <f t="shared" si="38"/>
        <v>0</v>
      </c>
      <c r="V179" s="5">
        <f t="shared" si="49"/>
        <v>0</v>
      </c>
      <c r="W179" s="5">
        <v>0</v>
      </c>
      <c r="X179" s="25">
        <f t="shared" si="39"/>
        <v>0</v>
      </c>
      <c r="Y179" s="5">
        <f t="shared" si="40"/>
        <v>500.88</v>
      </c>
      <c r="Z179" s="25">
        <f t="shared" si="41"/>
        <v>1</v>
      </c>
      <c r="AA179" s="25">
        <f t="shared" si="42"/>
        <v>3.107419120108418E-4</v>
      </c>
    </row>
    <row r="180" spans="1:27" x14ac:dyDescent="0.3">
      <c r="A180" s="23" t="s">
        <v>297</v>
      </c>
      <c r="B180" s="23" t="str">
        <f>VLOOKUP(A180,MEMORIA!$A:$N,2,FALSE)</f>
        <v>COMPOS15</v>
      </c>
      <c r="C180" s="23" t="str">
        <f>VLOOKUP(A180,MEMORIA!$A:$N,3,FALSE)</f>
        <v>PRÓPRIA</v>
      </c>
      <c r="D180" s="24" t="str">
        <f>VLOOKUP(A180,MEMORIA!$A:$N,4,FALSE)</f>
        <v>RELATÓRIO TÉCNICO</v>
      </c>
      <c r="E180" s="23" t="str">
        <f>VLOOKUP(A180,MEMORIA!$A:$N,5,FALSE)</f>
        <v>UN</v>
      </c>
      <c r="F180" s="5">
        <f>VLOOKUP(A180,MEMORIA!$A:$N,14,FALSE)</f>
        <v>1</v>
      </c>
      <c r="G180" s="5">
        <f>VLOOKUP(A180,ORCAMENTO!$A:$I,7,FALSE)</f>
        <v>1110.2</v>
      </c>
      <c r="H180" s="5">
        <f>VLOOKUP(A180,ORCAMENTO!$A:$I,8,FALSE)</f>
        <v>1358.1100000000001</v>
      </c>
      <c r="I180" s="5">
        <f t="shared" si="44"/>
        <v>1358.11</v>
      </c>
      <c r="J180" s="5">
        <f t="shared" si="45"/>
        <v>0</v>
      </c>
      <c r="K180" s="5">
        <v>0</v>
      </c>
      <c r="L180" s="25">
        <f t="shared" si="35"/>
        <v>0</v>
      </c>
      <c r="M180" s="5">
        <f t="shared" si="46"/>
        <v>1358.11</v>
      </c>
      <c r="N180" s="5">
        <f t="shared" si="50"/>
        <v>1</v>
      </c>
      <c r="O180" s="25">
        <f t="shared" si="36"/>
        <v>1</v>
      </c>
      <c r="P180" s="5">
        <f t="shared" si="47"/>
        <v>0</v>
      </c>
      <c r="Q180" s="5">
        <v>0</v>
      </c>
      <c r="R180" s="25">
        <f t="shared" si="37"/>
        <v>0</v>
      </c>
      <c r="S180" s="5">
        <f t="shared" si="48"/>
        <v>0</v>
      </c>
      <c r="T180" s="5">
        <v>0</v>
      </c>
      <c r="U180" s="25">
        <f t="shared" si="38"/>
        <v>0</v>
      </c>
      <c r="V180" s="5">
        <f t="shared" si="49"/>
        <v>0</v>
      </c>
      <c r="W180" s="5">
        <v>0</v>
      </c>
      <c r="X180" s="25">
        <f t="shared" si="39"/>
        <v>0</v>
      </c>
      <c r="Y180" s="5">
        <f t="shared" si="40"/>
        <v>1358.11</v>
      </c>
      <c r="Z180" s="25">
        <f t="shared" si="41"/>
        <v>1</v>
      </c>
      <c r="AA180" s="25">
        <f t="shared" si="42"/>
        <v>8.4256048978007577E-4</v>
      </c>
    </row>
    <row r="181" spans="1:27" x14ac:dyDescent="0.3">
      <c r="A181" s="23" t="s">
        <v>298</v>
      </c>
      <c r="B181" s="23" t="str">
        <f>VLOOKUP(A181,MEMORIA!$A:$N,2,FALSE)</f>
        <v>COMPOS16</v>
      </c>
      <c r="C181" s="23" t="str">
        <f>VLOOKUP(A181,MEMORIA!$A:$N,3,FALSE)</f>
        <v>PRÓPRIA</v>
      </c>
      <c r="D181" s="24" t="str">
        <f>VLOOKUP(A181,MEMORIA!$A:$N,4,FALSE)</f>
        <v>ANÁLISE FÍSICO-QUÍMICA DA ÁGUA</v>
      </c>
      <c r="E181" s="23" t="str">
        <f>VLOOKUP(A181,MEMORIA!$A:$N,5,FALSE)</f>
        <v>UN</v>
      </c>
      <c r="F181" s="5">
        <f>VLOOKUP(A181,MEMORIA!$A:$N,14,FALSE)</f>
        <v>1</v>
      </c>
      <c r="G181" s="5">
        <f>VLOOKUP(A181,ORCAMENTO!$A:$I,7,FALSE)</f>
        <v>565.21</v>
      </c>
      <c r="H181" s="5">
        <f>VLOOKUP(A181,ORCAMENTO!$A:$I,8,FALSE)</f>
        <v>691.42000000000007</v>
      </c>
      <c r="I181" s="5">
        <f t="shared" si="44"/>
        <v>691.42</v>
      </c>
      <c r="J181" s="5">
        <f t="shared" si="45"/>
        <v>0</v>
      </c>
      <c r="K181" s="5">
        <v>0</v>
      </c>
      <c r="L181" s="25">
        <f t="shared" si="35"/>
        <v>0</v>
      </c>
      <c r="M181" s="5">
        <f t="shared" si="46"/>
        <v>691.42</v>
      </c>
      <c r="N181" s="5">
        <f t="shared" si="50"/>
        <v>1</v>
      </c>
      <c r="O181" s="25">
        <f t="shared" si="36"/>
        <v>1</v>
      </c>
      <c r="P181" s="5">
        <f t="shared" si="47"/>
        <v>0</v>
      </c>
      <c r="Q181" s="5">
        <v>0</v>
      </c>
      <c r="R181" s="25">
        <f t="shared" si="37"/>
        <v>0</v>
      </c>
      <c r="S181" s="5">
        <f t="shared" si="48"/>
        <v>0</v>
      </c>
      <c r="T181" s="5">
        <v>0</v>
      </c>
      <c r="U181" s="25">
        <f t="shared" si="38"/>
        <v>0</v>
      </c>
      <c r="V181" s="5">
        <f t="shared" si="49"/>
        <v>0</v>
      </c>
      <c r="W181" s="5">
        <v>0</v>
      </c>
      <c r="X181" s="25">
        <f t="shared" si="39"/>
        <v>0</v>
      </c>
      <c r="Y181" s="5">
        <f t="shared" si="40"/>
        <v>691.42</v>
      </c>
      <c r="Z181" s="25">
        <f t="shared" si="41"/>
        <v>1</v>
      </c>
      <c r="AA181" s="25">
        <f t="shared" si="42"/>
        <v>4.2895139115663682E-4</v>
      </c>
    </row>
    <row r="182" spans="1:27" ht="43.2" x14ac:dyDescent="0.3">
      <c r="A182" s="23" t="s">
        <v>299</v>
      </c>
      <c r="B182" s="23" t="str">
        <f>VLOOKUP(A182,MEMORIA!$A:$N,2,FALSE)</f>
        <v>COMPOS1</v>
      </c>
      <c r="C182" s="23" t="str">
        <f>VLOOKUP(A182,MEMORIA!$A:$N,3,FALSE)</f>
        <v>PRÓPRIA</v>
      </c>
      <c r="D182" s="24" t="str">
        <f>VLOOKUP(A182,MEMORIA!$A:$N,4,FALSE)</f>
        <v>FORNECIMENTO E INSTALAÇÃO DE REVESTIMENTO GEOMECÂNICO STANDART DN-154-S</v>
      </c>
      <c r="E182" s="23" t="str">
        <f>VLOOKUP(A182,MEMORIA!$A:$N,5,FALSE)</f>
        <v>M</v>
      </c>
      <c r="F182" s="5">
        <f>VLOOKUP(A182,MEMORIA!$A:$N,14,FALSE)</f>
        <v>21</v>
      </c>
      <c r="G182" s="5">
        <f>VLOOKUP(A182,ORCAMENTO!$A:$I,7,FALSE)</f>
        <v>170.76</v>
      </c>
      <c r="H182" s="5">
        <f>VLOOKUP(A182,ORCAMENTO!$A:$I,8,FALSE)</f>
        <v>208.89</v>
      </c>
      <c r="I182" s="5">
        <f t="shared" si="44"/>
        <v>4386.6899999999996</v>
      </c>
      <c r="J182" s="5">
        <f t="shared" si="45"/>
        <v>0</v>
      </c>
      <c r="K182" s="5">
        <v>0</v>
      </c>
      <c r="L182" s="25">
        <f t="shared" si="35"/>
        <v>0</v>
      </c>
      <c r="M182" s="5">
        <f t="shared" si="46"/>
        <v>4386.6899999999996</v>
      </c>
      <c r="N182" s="5">
        <f t="shared" si="50"/>
        <v>21</v>
      </c>
      <c r="O182" s="25">
        <f t="shared" si="36"/>
        <v>1</v>
      </c>
      <c r="P182" s="5">
        <f t="shared" si="47"/>
        <v>0</v>
      </c>
      <c r="Q182" s="5">
        <v>0</v>
      </c>
      <c r="R182" s="25">
        <f t="shared" si="37"/>
        <v>0</v>
      </c>
      <c r="S182" s="5">
        <f t="shared" si="48"/>
        <v>0</v>
      </c>
      <c r="T182" s="5">
        <v>0</v>
      </c>
      <c r="U182" s="25">
        <f t="shared" si="38"/>
        <v>0</v>
      </c>
      <c r="V182" s="5">
        <f t="shared" si="49"/>
        <v>0</v>
      </c>
      <c r="W182" s="5">
        <v>0</v>
      </c>
      <c r="X182" s="25">
        <f t="shared" si="39"/>
        <v>0</v>
      </c>
      <c r="Y182" s="5">
        <f t="shared" si="40"/>
        <v>4386.6899999999996</v>
      </c>
      <c r="Z182" s="25">
        <f t="shared" si="41"/>
        <v>1</v>
      </c>
      <c r="AA182" s="25">
        <f t="shared" si="42"/>
        <v>2.7214670939123935E-3</v>
      </c>
    </row>
    <row r="183" spans="1:27" ht="28.8" x14ac:dyDescent="0.3">
      <c r="A183" s="23" t="s">
        <v>300</v>
      </c>
      <c r="B183" s="23" t="str">
        <f>VLOOKUP(A183,MEMORIA!$A:$N,2,FALSE)</f>
        <v>COMPOS2</v>
      </c>
      <c r="C183" s="23" t="str">
        <f>VLOOKUP(A183,MEMORIA!$A:$N,3,FALSE)</f>
        <v>PRÓPRIA</v>
      </c>
      <c r="D183" s="24" t="str">
        <f>VLOOKUP(A183,MEMORIA!$A:$N,4,FALSE)</f>
        <v>FORNECIMENTO E INSTALAÇÃO DE TAMPA PARA POÇO</v>
      </c>
      <c r="E183" s="23" t="str">
        <f>VLOOKUP(A183,MEMORIA!$A:$N,5,FALSE)</f>
        <v>UN</v>
      </c>
      <c r="F183" s="5">
        <f>VLOOKUP(A183,MEMORIA!$A:$N,14,FALSE)</f>
        <v>1</v>
      </c>
      <c r="G183" s="5">
        <f>VLOOKUP(A183,ORCAMENTO!$A:$I,7,FALSE)</f>
        <v>109.94</v>
      </c>
      <c r="H183" s="5">
        <f>VLOOKUP(A183,ORCAMENTO!$A:$I,8,FALSE)</f>
        <v>134.49</v>
      </c>
      <c r="I183" s="5">
        <f t="shared" si="44"/>
        <v>134.49</v>
      </c>
      <c r="J183" s="5">
        <f t="shared" si="45"/>
        <v>0</v>
      </c>
      <c r="K183" s="5">
        <v>0</v>
      </c>
      <c r="L183" s="25">
        <f t="shared" si="35"/>
        <v>0</v>
      </c>
      <c r="M183" s="5">
        <f t="shared" si="46"/>
        <v>134.49</v>
      </c>
      <c r="N183" s="5">
        <f t="shared" si="50"/>
        <v>1</v>
      </c>
      <c r="O183" s="25">
        <f t="shared" si="36"/>
        <v>1</v>
      </c>
      <c r="P183" s="5">
        <f t="shared" si="47"/>
        <v>0</v>
      </c>
      <c r="Q183" s="5">
        <v>0</v>
      </c>
      <c r="R183" s="25">
        <f t="shared" si="37"/>
        <v>0</v>
      </c>
      <c r="S183" s="5">
        <f t="shared" si="48"/>
        <v>0</v>
      </c>
      <c r="T183" s="5">
        <v>0</v>
      </c>
      <c r="U183" s="25">
        <f t="shared" si="38"/>
        <v>0</v>
      </c>
      <c r="V183" s="5">
        <f t="shared" si="49"/>
        <v>0</v>
      </c>
      <c r="W183" s="5">
        <v>0</v>
      </c>
      <c r="X183" s="25">
        <f t="shared" si="39"/>
        <v>0</v>
      </c>
      <c r="Y183" s="5">
        <f t="shared" si="40"/>
        <v>134.49</v>
      </c>
      <c r="Z183" s="25">
        <f t="shared" si="41"/>
        <v>1</v>
      </c>
      <c r="AA183" s="25">
        <f t="shared" si="42"/>
        <v>8.3436511232906329E-5</v>
      </c>
    </row>
    <row r="184" spans="1:27" x14ac:dyDescent="0.3">
      <c r="A184" s="12" t="s">
        <v>67</v>
      </c>
      <c r="B184" s="51" t="str">
        <f>VLOOKUP(A184,MEMORIA!$A:$N,2,FALSE)</f>
        <v>AQUISIÇÃO E INSTALAÇÃO DE EQUIPAMENTOS DE BOMBEAMENTO, RECALQUE/BARRILETE E CONEXÕES PARA INTERLIGAÇÃO COM RESERVATÓRIO</v>
      </c>
      <c r="C184" s="52"/>
      <c r="D184" s="52"/>
      <c r="E184" s="52"/>
      <c r="F184" s="52"/>
      <c r="G184" s="52"/>
      <c r="H184" s="53"/>
      <c r="I184" s="13">
        <f>SUM(I$185:I$187)</f>
        <v>9017.39</v>
      </c>
      <c r="J184" s="13">
        <f>SUM(J$185:J$187)</f>
        <v>0</v>
      </c>
      <c r="K184" s="13"/>
      <c r="L184" s="14">
        <f t="shared" si="35"/>
        <v>0</v>
      </c>
      <c r="M184" s="13">
        <f>SUM(M$185:M$187)</f>
        <v>9017.39</v>
      </c>
      <c r="N184" s="13"/>
      <c r="O184" s="14">
        <f t="shared" si="36"/>
        <v>1</v>
      </c>
      <c r="P184" s="13">
        <f>SUM(P$185:P$187)</f>
        <v>0</v>
      </c>
      <c r="Q184" s="13"/>
      <c r="R184" s="14">
        <f t="shared" si="37"/>
        <v>0</v>
      </c>
      <c r="S184" s="13">
        <f>SUM(S$185:S$187)</f>
        <v>0</v>
      </c>
      <c r="T184" s="13"/>
      <c r="U184" s="14">
        <f t="shared" si="38"/>
        <v>0</v>
      </c>
      <c r="V184" s="13">
        <f>SUM(V$185:V$187)</f>
        <v>0</v>
      </c>
      <c r="W184" s="13"/>
      <c r="X184" s="14">
        <f t="shared" si="39"/>
        <v>0</v>
      </c>
      <c r="Y184" s="13">
        <f t="shared" si="40"/>
        <v>9017.39</v>
      </c>
      <c r="Z184" s="14">
        <f t="shared" si="41"/>
        <v>1</v>
      </c>
      <c r="AA184" s="14">
        <f t="shared" si="42"/>
        <v>5.5943160236931891E-3</v>
      </c>
    </row>
    <row r="185" spans="1:27" ht="43.2" x14ac:dyDescent="0.3">
      <c r="A185" s="23" t="s">
        <v>301</v>
      </c>
      <c r="B185" s="23" t="str">
        <f>VLOOKUP(A185,MEMORIA!$A:$N,2,FALSE)</f>
        <v>COMPOS19</v>
      </c>
      <c r="C185" s="23" t="str">
        <f>VLOOKUP(A185,MEMORIA!$A:$N,3,FALSE)</f>
        <v>PRÓPRIA</v>
      </c>
      <c r="D185" s="24" t="str">
        <f>VLOOKUP(A185,MEMORIA!$A:$N,4,FALSE)</f>
        <v>FORNECIMENTO E INSTALAÇÃO DE TUBO EDUTOR DE PVC DE 1.1/2'' COM LUVA</v>
      </c>
      <c r="E185" s="23" t="str">
        <f>VLOOKUP(A185,MEMORIA!$A:$N,5,FALSE)</f>
        <v>M</v>
      </c>
      <c r="F185" s="5">
        <f>VLOOKUP(A185,MEMORIA!$A:$N,14,FALSE)</f>
        <v>90</v>
      </c>
      <c r="G185" s="5">
        <f>VLOOKUP(A185,ORCAMENTO!$A:$I,7,FALSE)</f>
        <v>46.25</v>
      </c>
      <c r="H185" s="5">
        <f>VLOOKUP(A185,ORCAMENTO!$A:$I,8,FALSE)</f>
        <v>56.58</v>
      </c>
      <c r="I185" s="5">
        <f>ROUND(F185*H185,2)</f>
        <v>5092.2</v>
      </c>
      <c r="J185" s="5">
        <f>ROUND(K185*$H185,2)</f>
        <v>0</v>
      </c>
      <c r="K185" s="5">
        <v>0</v>
      </c>
      <c r="L185" s="25">
        <f t="shared" si="35"/>
        <v>0</v>
      </c>
      <c r="M185" s="5">
        <f>ROUND(N185*$H185,2)</f>
        <v>5092.2</v>
      </c>
      <c r="N185" s="5">
        <f t="shared" si="50"/>
        <v>90</v>
      </c>
      <c r="O185" s="25">
        <f t="shared" si="36"/>
        <v>1</v>
      </c>
      <c r="P185" s="5">
        <f>ROUND(Q185*$H185,2)</f>
        <v>0</v>
      </c>
      <c r="Q185" s="5">
        <v>0</v>
      </c>
      <c r="R185" s="25">
        <f t="shared" si="37"/>
        <v>0</v>
      </c>
      <c r="S185" s="5">
        <f>ROUND(T185*$H185,2)</f>
        <v>0</v>
      </c>
      <c r="T185" s="5">
        <v>0</v>
      </c>
      <c r="U185" s="25">
        <f t="shared" si="38"/>
        <v>0</v>
      </c>
      <c r="V185" s="5">
        <f>ROUND(W185*$H185,2)</f>
        <v>0</v>
      </c>
      <c r="W185" s="5">
        <v>0</v>
      </c>
      <c r="X185" s="25">
        <f t="shared" si="39"/>
        <v>0</v>
      </c>
      <c r="Y185" s="5">
        <f t="shared" si="40"/>
        <v>5092.2</v>
      </c>
      <c r="Z185" s="25">
        <f t="shared" si="41"/>
        <v>1</v>
      </c>
      <c r="AA185" s="25">
        <f t="shared" si="42"/>
        <v>3.1591598074221542E-3</v>
      </c>
    </row>
    <row r="186" spans="1:27" x14ac:dyDescent="0.3">
      <c r="A186" s="23" t="s">
        <v>302</v>
      </c>
      <c r="B186" s="23" t="str">
        <f>VLOOKUP(A186,MEMORIA!$A:$N,2,FALSE)</f>
        <v>COMPOS21</v>
      </c>
      <c r="C186" s="23" t="str">
        <f>VLOOKUP(A186,MEMORIA!$A:$N,3,FALSE)</f>
        <v>PRÓPRIA</v>
      </c>
      <c r="D186" s="24" t="str">
        <f>VLOOKUP(A186,MEMORIA!$A:$N,4,FALSE)</f>
        <v>BARRILETE (CURVAS E CONEXÕES)</v>
      </c>
      <c r="E186" s="23" t="str">
        <f>VLOOKUP(A186,MEMORIA!$A:$N,5,FALSE)</f>
        <v>UN</v>
      </c>
      <c r="F186" s="5">
        <f>VLOOKUP(A186,MEMORIA!$A:$N,14,FALSE)</f>
        <v>1</v>
      </c>
      <c r="G186" s="5">
        <f>VLOOKUP(A186,ORCAMENTO!$A:$I,7,FALSE)</f>
        <v>2147.0500000000002</v>
      </c>
      <c r="H186" s="5">
        <f>VLOOKUP(A186,ORCAMENTO!$A:$I,8,FALSE)</f>
        <v>2626.4900000000002</v>
      </c>
      <c r="I186" s="5">
        <f>ROUND(F186*H186,2)</f>
        <v>2626.49</v>
      </c>
      <c r="J186" s="5">
        <f>ROUND(K186*$H186,2)</f>
        <v>0</v>
      </c>
      <c r="K186" s="5">
        <v>0</v>
      </c>
      <c r="L186" s="25">
        <f t="shared" si="35"/>
        <v>0</v>
      </c>
      <c r="M186" s="5">
        <f>ROUND(N186*$H186,2)</f>
        <v>2626.49</v>
      </c>
      <c r="N186" s="5">
        <f t="shared" si="50"/>
        <v>1</v>
      </c>
      <c r="O186" s="25">
        <f t="shared" si="36"/>
        <v>1</v>
      </c>
      <c r="P186" s="5">
        <f>ROUND(Q186*$H186,2)</f>
        <v>0</v>
      </c>
      <c r="Q186" s="5">
        <v>0</v>
      </c>
      <c r="R186" s="25">
        <f t="shared" si="37"/>
        <v>0</v>
      </c>
      <c r="S186" s="5">
        <f>ROUND(T186*$H186,2)</f>
        <v>0</v>
      </c>
      <c r="T186" s="5">
        <v>0</v>
      </c>
      <c r="U186" s="25">
        <f t="shared" si="38"/>
        <v>0</v>
      </c>
      <c r="V186" s="5">
        <f>ROUND(W186*$H186,2)</f>
        <v>0</v>
      </c>
      <c r="W186" s="5">
        <v>0</v>
      </c>
      <c r="X186" s="25">
        <f t="shared" si="39"/>
        <v>0</v>
      </c>
      <c r="Y186" s="5">
        <f t="shared" si="40"/>
        <v>2626.49</v>
      </c>
      <c r="Z186" s="25">
        <f t="shared" si="41"/>
        <v>1</v>
      </c>
      <c r="AA186" s="25">
        <f t="shared" si="42"/>
        <v>1.6294532113028187E-3</v>
      </c>
    </row>
    <row r="187" spans="1:27" ht="28.8" x14ac:dyDescent="0.3">
      <c r="A187" s="23" t="s">
        <v>303</v>
      </c>
      <c r="B187" s="23" t="str">
        <f>VLOOKUP(A187,MEMORIA!$A:$N,2,FALSE)</f>
        <v>COMPOS26</v>
      </c>
      <c r="C187" s="23" t="str">
        <f>VLOOKUP(A187,MEMORIA!$A:$N,3,FALSE)</f>
        <v>PRÓPRIA</v>
      </c>
      <c r="D187" s="24" t="str">
        <f>VLOOKUP(A187,MEMORIA!$A:$N,4,FALSE)</f>
        <v>AQUISIÇÃO E INSTALAÇÃO DE DOSADOR DE CLORO</v>
      </c>
      <c r="E187" s="23" t="str">
        <f>VLOOKUP(A187,MEMORIA!$A:$N,5,FALSE)</f>
        <v>UND</v>
      </c>
      <c r="F187" s="5">
        <f>VLOOKUP(A187,MEMORIA!$A:$N,14,FALSE)</f>
        <v>1</v>
      </c>
      <c r="G187" s="5">
        <f>VLOOKUP(A187,ORCAMENTO!$A:$I,7,FALSE)</f>
        <v>1061.6399999999999</v>
      </c>
      <c r="H187" s="5">
        <f>VLOOKUP(A187,ORCAMENTO!$A:$I,8,FALSE)</f>
        <v>1298.6999999999998</v>
      </c>
      <c r="I187" s="5">
        <f>ROUND(F187*H187,2)</f>
        <v>1298.7</v>
      </c>
      <c r="J187" s="5">
        <f>ROUND(K187*$H187,2)</f>
        <v>0</v>
      </c>
      <c r="K187" s="5">
        <v>0</v>
      </c>
      <c r="L187" s="25">
        <f t="shared" si="35"/>
        <v>0</v>
      </c>
      <c r="M187" s="5">
        <f>ROUND(N187*$H187,2)</f>
        <v>1298.7</v>
      </c>
      <c r="N187" s="5">
        <f t="shared" si="50"/>
        <v>1</v>
      </c>
      <c r="O187" s="25">
        <f t="shared" si="36"/>
        <v>1</v>
      </c>
      <c r="P187" s="5">
        <f>ROUND(Q187*$H187,2)</f>
        <v>0</v>
      </c>
      <c r="Q187" s="5">
        <v>0</v>
      </c>
      <c r="R187" s="25">
        <f t="shared" si="37"/>
        <v>0</v>
      </c>
      <c r="S187" s="5">
        <f>ROUND(T187*$H187,2)</f>
        <v>0</v>
      </c>
      <c r="T187" s="5">
        <v>0</v>
      </c>
      <c r="U187" s="25">
        <f t="shared" si="38"/>
        <v>0</v>
      </c>
      <c r="V187" s="5">
        <f>ROUND(W187*$H187,2)</f>
        <v>0</v>
      </c>
      <c r="W187" s="5">
        <v>0</v>
      </c>
      <c r="X187" s="25">
        <f t="shared" si="39"/>
        <v>0</v>
      </c>
      <c r="Y187" s="5">
        <f t="shared" si="40"/>
        <v>1298.7</v>
      </c>
      <c r="Z187" s="25">
        <f t="shared" si="41"/>
        <v>1</v>
      </c>
      <c r="AA187" s="25">
        <f t="shared" si="42"/>
        <v>8.0570300496821655E-4</v>
      </c>
    </row>
    <row r="188" spans="1:27" x14ac:dyDescent="0.3">
      <c r="A188" s="12" t="s">
        <v>68</v>
      </c>
      <c r="B188" s="51" t="str">
        <f>VLOOKUP(A188,MEMORIA!$A:$N,2,FALSE)</f>
        <v>CONSTRUÇÃO DA CASA DE COMANDO</v>
      </c>
      <c r="C188" s="52"/>
      <c r="D188" s="52"/>
      <c r="E188" s="52"/>
      <c r="F188" s="52"/>
      <c r="G188" s="52"/>
      <c r="H188" s="53"/>
      <c r="I188" s="13">
        <f>SUM(I$189,I$192,I$194,I$198,I$201,I$204,I$207,I$211,I$214,I$217,I$220,)</f>
        <v>20274.329999999998</v>
      </c>
      <c r="J188" s="13">
        <f>SUM(J$189,J$192,J$194,J$198,J$201,J$204,J$207,J$211,J$214,J$217,J$220,)</f>
        <v>0</v>
      </c>
      <c r="K188" s="13"/>
      <c r="L188" s="14">
        <f t="shared" si="35"/>
        <v>0</v>
      </c>
      <c r="M188" s="13">
        <f>SUM(M$189,M$192,M$194,M$198,M$201,M$204,M$207,M$211,M$214,M$217,M$220,)</f>
        <v>20274.329999999998</v>
      </c>
      <c r="N188" s="13"/>
      <c r="O188" s="14">
        <f t="shared" si="36"/>
        <v>1</v>
      </c>
      <c r="P188" s="13">
        <f>SUM(P$189,P$192,P$194,P$198,P$201,P$204,P$207,P$211,P$214,P$217,P$220,)</f>
        <v>0</v>
      </c>
      <c r="Q188" s="13"/>
      <c r="R188" s="14">
        <f t="shared" si="37"/>
        <v>0</v>
      </c>
      <c r="S188" s="13">
        <f>SUM(S$189,S$192,S$194,S$198,S$201,S$204,S$207,S$211,S$214,S$217,S$220,)</f>
        <v>0</v>
      </c>
      <c r="T188" s="13"/>
      <c r="U188" s="14">
        <f t="shared" si="38"/>
        <v>0</v>
      </c>
      <c r="V188" s="13">
        <f>SUM(V$189,V$192,V$194,V$198,V$201,V$204,V$207,V$211,V$214,V$217,V$220,)</f>
        <v>0</v>
      </c>
      <c r="W188" s="13"/>
      <c r="X188" s="14">
        <f t="shared" si="39"/>
        <v>0</v>
      </c>
      <c r="Y188" s="13">
        <f t="shared" si="40"/>
        <v>20274.329999999998</v>
      </c>
      <c r="Z188" s="14">
        <f t="shared" si="41"/>
        <v>1</v>
      </c>
      <c r="AA188" s="14">
        <f t="shared" si="42"/>
        <v>1.2578030803663093E-2</v>
      </c>
    </row>
    <row r="189" spans="1:27" x14ac:dyDescent="0.3">
      <c r="A189" s="15" t="s">
        <v>69</v>
      </c>
      <c r="B189" s="48" t="str">
        <f>VLOOKUP(A189,MEMORIA!$A:$N,2,FALSE)</f>
        <v>SERVIÇOS PRELIMINARES</v>
      </c>
      <c r="C189" s="49"/>
      <c r="D189" s="49"/>
      <c r="E189" s="49"/>
      <c r="F189" s="49"/>
      <c r="G189" s="49"/>
      <c r="H189" s="50"/>
      <c r="I189" s="16">
        <f>SUM(I$190:I$191)</f>
        <v>1315.92</v>
      </c>
      <c r="J189" s="16">
        <f>SUM(J$190:J$191)</f>
        <v>0</v>
      </c>
      <c r="K189" s="16"/>
      <c r="L189" s="17">
        <f t="shared" si="35"/>
        <v>0</v>
      </c>
      <c r="M189" s="16">
        <f>SUM(M$190:M$191)</f>
        <v>1315.92</v>
      </c>
      <c r="N189" s="16"/>
      <c r="O189" s="17">
        <f t="shared" si="36"/>
        <v>1</v>
      </c>
      <c r="P189" s="16">
        <f>SUM(P$190:P$191)</f>
        <v>0</v>
      </c>
      <c r="Q189" s="16"/>
      <c r="R189" s="17">
        <f t="shared" si="37"/>
        <v>0</v>
      </c>
      <c r="S189" s="16">
        <f>SUM(S$190:S$191)</f>
        <v>0</v>
      </c>
      <c r="T189" s="16"/>
      <c r="U189" s="17">
        <f t="shared" si="38"/>
        <v>0</v>
      </c>
      <c r="V189" s="16">
        <f>SUM(V$190:V$191)</f>
        <v>0</v>
      </c>
      <c r="W189" s="16"/>
      <c r="X189" s="17">
        <f t="shared" si="39"/>
        <v>0</v>
      </c>
      <c r="Y189" s="16">
        <f t="shared" si="40"/>
        <v>1315.92</v>
      </c>
      <c r="Z189" s="17">
        <f t="shared" si="41"/>
        <v>1</v>
      </c>
      <c r="AA189" s="17">
        <f t="shared" si="42"/>
        <v>8.1638615407544121E-4</v>
      </c>
    </row>
    <row r="190" spans="1:27" ht="28.8" x14ac:dyDescent="0.3">
      <c r="A190" s="23" t="s">
        <v>304</v>
      </c>
      <c r="B190" s="23">
        <f>VLOOKUP(A190,MEMORIA!$A:$N,2,FALSE)</f>
        <v>98524</v>
      </c>
      <c r="C190" s="23" t="str">
        <f>VLOOKUP(A190,MEMORIA!$A:$N,3,FALSE)</f>
        <v>SINAPI</v>
      </c>
      <c r="D190" s="24" t="str">
        <f>VLOOKUP(A190,MEMORIA!$A:$N,4,FALSE)</f>
        <v>LIMPEZA MANUAL DE VEGETAÇÃO EM TERRENO COM ENXADA. AF_03/2024</v>
      </c>
      <c r="E190" s="23" t="str">
        <f>VLOOKUP(A190,MEMORIA!$A:$N,5,FALSE)</f>
        <v>M2</v>
      </c>
      <c r="F190" s="5">
        <f>VLOOKUP(A190,MEMORIA!$A:$N,14,FALSE)</f>
        <v>100</v>
      </c>
      <c r="G190" s="5">
        <f>VLOOKUP(A190,ORCAMENTO!$A:$I,7,FALSE)</f>
        <v>4.62</v>
      </c>
      <c r="H190" s="5">
        <f>VLOOKUP(A190,ORCAMENTO!$A:$I,8,FALSE)</f>
        <v>5.65</v>
      </c>
      <c r="I190" s="5">
        <f>ROUND(F190*H190,2)</f>
        <v>565</v>
      </c>
      <c r="J190" s="5">
        <f>ROUND(K190*$H190,2)</f>
        <v>0</v>
      </c>
      <c r="K190" s="5">
        <v>0</v>
      </c>
      <c r="L190" s="25">
        <f t="shared" si="35"/>
        <v>0</v>
      </c>
      <c r="M190" s="5">
        <f>ROUND(N190*$H190,2)</f>
        <v>565</v>
      </c>
      <c r="N190" s="5">
        <f t="shared" ref="N190:N224" si="51">F190</f>
        <v>100</v>
      </c>
      <c r="O190" s="25">
        <f t="shared" si="36"/>
        <v>1</v>
      </c>
      <c r="P190" s="5">
        <f>ROUND(Q190*$H190,2)</f>
        <v>0</v>
      </c>
      <c r="Q190" s="5">
        <v>0</v>
      </c>
      <c r="R190" s="25">
        <f t="shared" si="37"/>
        <v>0</v>
      </c>
      <c r="S190" s="5">
        <f>ROUND(T190*$H190,2)</f>
        <v>0</v>
      </c>
      <c r="T190" s="5">
        <v>0</v>
      </c>
      <c r="U190" s="25">
        <f t="shared" si="38"/>
        <v>0</v>
      </c>
      <c r="V190" s="5">
        <f>ROUND(W190*$H190,2)</f>
        <v>0</v>
      </c>
      <c r="W190" s="5">
        <v>0</v>
      </c>
      <c r="X190" s="25">
        <f t="shared" si="39"/>
        <v>0</v>
      </c>
      <c r="Y190" s="5">
        <f t="shared" si="40"/>
        <v>565</v>
      </c>
      <c r="Z190" s="25">
        <f t="shared" si="41"/>
        <v>1</v>
      </c>
      <c r="AA190" s="25">
        <f t="shared" si="42"/>
        <v>3.5052144283286539E-4</v>
      </c>
    </row>
    <row r="191" spans="1:27" ht="57.6" x14ac:dyDescent="0.3">
      <c r="A191" s="23" t="s">
        <v>305</v>
      </c>
      <c r="B191" s="23">
        <f>VLOOKUP(A191,MEMORIA!$A:$N,2,FALSE)</f>
        <v>99059</v>
      </c>
      <c r="C191" s="23" t="str">
        <f>VLOOKUP(A191,MEMORIA!$A:$N,3,FALSE)</f>
        <v>SINAPI</v>
      </c>
      <c r="D191" s="24" t="str">
        <f>VLOOKUP(A191,MEMORIA!$A:$N,4,FALSE)</f>
        <v>LOCAÇÃO CONVENCIONAL DE OBRA, UTILIZANDO GABARITO DE TÁBUAS CORRIDAS PONTALETADAS A CADA 2,00M - 2 UTILIZAÇÕES. AF_03/2024</v>
      </c>
      <c r="E191" s="23" t="str">
        <f>VLOOKUP(A191,MEMORIA!$A:$N,5,FALSE)</f>
        <v>M</v>
      </c>
      <c r="F191" s="5">
        <f>VLOOKUP(A191,MEMORIA!$A:$N,14,FALSE)</f>
        <v>10.199999999999999</v>
      </c>
      <c r="G191" s="5">
        <f>VLOOKUP(A191,ORCAMENTO!$A:$I,7,FALSE)</f>
        <v>60.18</v>
      </c>
      <c r="H191" s="5">
        <f>VLOOKUP(A191,ORCAMENTO!$A:$I,8,FALSE)</f>
        <v>73.62</v>
      </c>
      <c r="I191" s="5">
        <f>ROUND(F191*H191,2)</f>
        <v>750.92</v>
      </c>
      <c r="J191" s="5">
        <f>ROUND(K191*$H191,2)</f>
        <v>0</v>
      </c>
      <c r="K191" s="5">
        <v>0</v>
      </c>
      <c r="L191" s="25">
        <f t="shared" si="35"/>
        <v>0</v>
      </c>
      <c r="M191" s="5">
        <f>ROUND(N191*$H191,2)</f>
        <v>750.92</v>
      </c>
      <c r="N191" s="5">
        <f t="shared" si="51"/>
        <v>10.199999999999999</v>
      </c>
      <c r="O191" s="25">
        <f t="shared" si="36"/>
        <v>1</v>
      </c>
      <c r="P191" s="5">
        <f>ROUND(Q191*$H191,2)</f>
        <v>0</v>
      </c>
      <c r="Q191" s="5">
        <v>0</v>
      </c>
      <c r="R191" s="25">
        <f t="shared" si="37"/>
        <v>0</v>
      </c>
      <c r="S191" s="5">
        <f>ROUND(T191*$H191,2)</f>
        <v>0</v>
      </c>
      <c r="T191" s="5">
        <v>0</v>
      </c>
      <c r="U191" s="25">
        <f t="shared" si="38"/>
        <v>0</v>
      </c>
      <c r="V191" s="5">
        <f>ROUND(W191*$H191,2)</f>
        <v>0</v>
      </c>
      <c r="W191" s="5">
        <v>0</v>
      </c>
      <c r="X191" s="25">
        <f t="shared" si="39"/>
        <v>0</v>
      </c>
      <c r="Y191" s="5">
        <f t="shared" si="40"/>
        <v>750.92</v>
      </c>
      <c r="Z191" s="25">
        <f t="shared" si="41"/>
        <v>1</v>
      </c>
      <c r="AA191" s="25">
        <f t="shared" si="42"/>
        <v>4.6586471124257571E-4</v>
      </c>
    </row>
    <row r="192" spans="1:27" x14ac:dyDescent="0.3">
      <c r="A192" s="15" t="s">
        <v>70</v>
      </c>
      <c r="B192" s="48" t="str">
        <f>VLOOKUP(A192,MEMORIA!$A:$N,2,FALSE)</f>
        <v>MOVIMENTO DE TERRA</v>
      </c>
      <c r="C192" s="49"/>
      <c r="D192" s="49"/>
      <c r="E192" s="49"/>
      <c r="F192" s="49"/>
      <c r="G192" s="49"/>
      <c r="H192" s="50"/>
      <c r="I192" s="16">
        <f>SUM(I$193:I$193)</f>
        <v>161.76</v>
      </c>
      <c r="J192" s="16">
        <f>SUM(J$193:J$193)</f>
        <v>0</v>
      </c>
      <c r="K192" s="16"/>
      <c r="L192" s="17">
        <f t="shared" si="35"/>
        <v>0</v>
      </c>
      <c r="M192" s="16">
        <f>SUM(M$193:M$193)</f>
        <v>161.76</v>
      </c>
      <c r="N192" s="16"/>
      <c r="O192" s="17">
        <f t="shared" si="36"/>
        <v>1</v>
      </c>
      <c r="P192" s="16">
        <f>SUM(P$193:P$193)</f>
        <v>0</v>
      </c>
      <c r="Q192" s="16"/>
      <c r="R192" s="17">
        <f t="shared" si="37"/>
        <v>0</v>
      </c>
      <c r="S192" s="16">
        <f>SUM(S$193:S$193)</f>
        <v>0</v>
      </c>
      <c r="T192" s="16"/>
      <c r="U192" s="17">
        <f t="shared" si="38"/>
        <v>0</v>
      </c>
      <c r="V192" s="16">
        <f>SUM(V$193:V$193)</f>
        <v>0</v>
      </c>
      <c r="W192" s="16"/>
      <c r="X192" s="17">
        <f t="shared" si="39"/>
        <v>0</v>
      </c>
      <c r="Y192" s="16">
        <f t="shared" si="40"/>
        <v>161.76</v>
      </c>
      <c r="Z192" s="17">
        <f t="shared" si="41"/>
        <v>1</v>
      </c>
      <c r="AA192" s="17">
        <f t="shared" si="42"/>
        <v>1.0035459927901647E-4</v>
      </c>
    </row>
    <row r="193" spans="1:27" ht="28.8" x14ac:dyDescent="0.3">
      <c r="A193" s="23" t="s">
        <v>306</v>
      </c>
      <c r="B193" s="23">
        <f>VLOOKUP(A193,MEMORIA!$A:$N,2,FALSE)</f>
        <v>93358</v>
      </c>
      <c r="C193" s="23" t="str">
        <f>VLOOKUP(A193,MEMORIA!$A:$N,3,FALSE)</f>
        <v>SINAPI</v>
      </c>
      <c r="D193" s="24" t="str">
        <f>VLOOKUP(A193,MEMORIA!$A:$N,4,FALSE)</f>
        <v>ESCAVAÇÃO MANUAL DE VALA. AF_09/2024</v>
      </c>
      <c r="E193" s="23" t="str">
        <f>VLOOKUP(A193,MEMORIA!$A:$N,5,FALSE)</f>
        <v>M3</v>
      </c>
      <c r="F193" s="5">
        <f>VLOOKUP(A193,MEMORIA!$A:$N,14,FALSE)</f>
        <v>1.54</v>
      </c>
      <c r="G193" s="5">
        <f>VLOOKUP(A193,ORCAMENTO!$A:$I,7,FALSE)</f>
        <v>85.87</v>
      </c>
      <c r="H193" s="5">
        <f>VLOOKUP(A193,ORCAMENTO!$A:$I,8,FALSE)</f>
        <v>105.04</v>
      </c>
      <c r="I193" s="5">
        <f>ROUND(F193*H193,2)</f>
        <v>161.76</v>
      </c>
      <c r="J193" s="5">
        <f>ROUND(K193*$H193,2)</f>
        <v>0</v>
      </c>
      <c r="K193" s="5">
        <v>0</v>
      </c>
      <c r="L193" s="25">
        <f t="shared" si="35"/>
        <v>0</v>
      </c>
      <c r="M193" s="5">
        <f>ROUND(N193*$H193,2)</f>
        <v>161.76</v>
      </c>
      <c r="N193" s="5">
        <f t="shared" si="51"/>
        <v>1.54</v>
      </c>
      <c r="O193" s="25">
        <f t="shared" si="36"/>
        <v>1</v>
      </c>
      <c r="P193" s="5">
        <f>ROUND(Q193*$H193,2)</f>
        <v>0</v>
      </c>
      <c r="Q193" s="5">
        <v>0</v>
      </c>
      <c r="R193" s="25">
        <f t="shared" si="37"/>
        <v>0</v>
      </c>
      <c r="S193" s="5">
        <f>ROUND(T193*$H193,2)</f>
        <v>0</v>
      </c>
      <c r="T193" s="5">
        <v>0</v>
      </c>
      <c r="U193" s="25">
        <f t="shared" si="38"/>
        <v>0</v>
      </c>
      <c r="V193" s="5">
        <f>ROUND(W193*$H193,2)</f>
        <v>0</v>
      </c>
      <c r="W193" s="5">
        <v>0</v>
      </c>
      <c r="X193" s="25">
        <f t="shared" si="39"/>
        <v>0</v>
      </c>
      <c r="Y193" s="5">
        <f t="shared" si="40"/>
        <v>161.76</v>
      </c>
      <c r="Z193" s="25">
        <f t="shared" si="41"/>
        <v>1</v>
      </c>
      <c r="AA193" s="25">
        <f t="shared" si="42"/>
        <v>1.0035459927901647E-4</v>
      </c>
    </row>
    <row r="194" spans="1:27" x14ac:dyDescent="0.3">
      <c r="A194" s="15" t="s">
        <v>71</v>
      </c>
      <c r="B194" s="48" t="str">
        <f>VLOOKUP(A194,MEMORIA!$A:$N,2,FALSE)</f>
        <v>INFRAESTRUTURA</v>
      </c>
      <c r="C194" s="49"/>
      <c r="D194" s="49"/>
      <c r="E194" s="49"/>
      <c r="F194" s="49"/>
      <c r="G194" s="49"/>
      <c r="H194" s="50"/>
      <c r="I194" s="16">
        <f>SUM(I$195:I$197)</f>
        <v>1229.81</v>
      </c>
      <c r="J194" s="16">
        <f>SUM(J$195:J$197)</f>
        <v>0</v>
      </c>
      <c r="K194" s="16"/>
      <c r="L194" s="17">
        <f t="shared" si="35"/>
        <v>0</v>
      </c>
      <c r="M194" s="16">
        <f>SUM(M$195:M$197)</f>
        <v>1229.81</v>
      </c>
      <c r="N194" s="16"/>
      <c r="O194" s="17">
        <f t="shared" si="36"/>
        <v>1</v>
      </c>
      <c r="P194" s="16">
        <f>SUM(P$195:P$197)</f>
        <v>0</v>
      </c>
      <c r="Q194" s="16"/>
      <c r="R194" s="17">
        <f t="shared" si="37"/>
        <v>0</v>
      </c>
      <c r="S194" s="16">
        <f>SUM(S$195:S$197)</f>
        <v>0</v>
      </c>
      <c r="T194" s="16"/>
      <c r="U194" s="17">
        <f t="shared" si="38"/>
        <v>0</v>
      </c>
      <c r="V194" s="16">
        <f>SUM(V$195:V$197)</f>
        <v>0</v>
      </c>
      <c r="W194" s="16"/>
      <c r="X194" s="17">
        <f t="shared" si="39"/>
        <v>0</v>
      </c>
      <c r="Y194" s="16">
        <f t="shared" si="40"/>
        <v>1229.81</v>
      </c>
      <c r="Z194" s="17">
        <f t="shared" si="41"/>
        <v>1</v>
      </c>
      <c r="AA194" s="17">
        <f t="shared" si="42"/>
        <v>7.6296420461997557E-4</v>
      </c>
    </row>
    <row r="195" spans="1:27" ht="28.8" x14ac:dyDescent="0.3">
      <c r="A195" s="23" t="s">
        <v>307</v>
      </c>
      <c r="B195" s="23">
        <f>VLOOKUP(A195,MEMORIA!$A:$N,2,FALSE)</f>
        <v>96617</v>
      </c>
      <c r="C195" s="23" t="str">
        <f>VLOOKUP(A195,MEMORIA!$A:$N,3,FALSE)</f>
        <v>SINAPI</v>
      </c>
      <c r="D195" s="24" t="str">
        <f>VLOOKUP(A195,MEMORIA!$A:$N,4,FALSE)</f>
        <v>LASTRO DE CONCRETO MAGRO, APLICADO EM BLOCOS DE COROAMENTO OU SAPATAS, ESPESSURA DE 3 CM. AF_01/2024</v>
      </c>
      <c r="E195" s="23" t="str">
        <f>VLOOKUP(A195,MEMORIA!$A:$N,5,FALSE)</f>
        <v>M2</v>
      </c>
      <c r="F195" s="5">
        <f>VLOOKUP(A195,MEMORIA!$A:$N,14,FALSE)</f>
        <v>2.58</v>
      </c>
      <c r="G195" s="5">
        <f>VLOOKUP(A195,ORCAMENTO!$A:$I,7,FALSE)</f>
        <v>23.57</v>
      </c>
      <c r="H195" s="5">
        <f>VLOOKUP(A195,ORCAMENTO!$A:$I,8,FALSE)</f>
        <v>28.83</v>
      </c>
      <c r="I195" s="5">
        <f>ROUND(F195*H195,2)</f>
        <v>74.38</v>
      </c>
      <c r="J195" s="5">
        <f>ROUND(K195*$H195,2)</f>
        <v>0</v>
      </c>
      <c r="K195" s="5">
        <v>0</v>
      </c>
      <c r="L195" s="25">
        <f t="shared" si="35"/>
        <v>0</v>
      </c>
      <c r="M195" s="5">
        <f>ROUND(N195*$H195,2)</f>
        <v>74.38</v>
      </c>
      <c r="N195" s="5">
        <f t="shared" si="51"/>
        <v>2.58</v>
      </c>
      <c r="O195" s="25">
        <f t="shared" si="36"/>
        <v>1</v>
      </c>
      <c r="P195" s="5">
        <f>ROUND(Q195*$H195,2)</f>
        <v>0</v>
      </c>
      <c r="Q195" s="5">
        <v>0</v>
      </c>
      <c r="R195" s="25">
        <f t="shared" si="37"/>
        <v>0</v>
      </c>
      <c r="S195" s="5">
        <f>ROUND(T195*$H195,2)</f>
        <v>0</v>
      </c>
      <c r="T195" s="5">
        <v>0</v>
      </c>
      <c r="U195" s="25">
        <f t="shared" si="38"/>
        <v>0</v>
      </c>
      <c r="V195" s="5">
        <f>ROUND(W195*$H195,2)</f>
        <v>0</v>
      </c>
      <c r="W195" s="5">
        <v>0</v>
      </c>
      <c r="X195" s="25">
        <f t="shared" si="39"/>
        <v>0</v>
      </c>
      <c r="Y195" s="5">
        <f t="shared" si="40"/>
        <v>74.38</v>
      </c>
      <c r="Z195" s="25">
        <f t="shared" si="41"/>
        <v>1</v>
      </c>
      <c r="AA195" s="25">
        <f t="shared" si="42"/>
        <v>4.6144752067094741E-5</v>
      </c>
    </row>
    <row r="196" spans="1:27" ht="72" x14ac:dyDescent="0.3">
      <c r="A196" s="23" t="s">
        <v>308</v>
      </c>
      <c r="B196" s="23">
        <f>VLOOKUP(A196,MEMORIA!$A:$N,2,FALSE)</f>
        <v>103800</v>
      </c>
      <c r="C196" s="23" t="str">
        <f>VLOOKUP(A196,MEMORIA!$A:$N,3,FALSE)</f>
        <v>SINAPI</v>
      </c>
      <c r="D196" s="24" t="str">
        <f>VLOOKUP(A196,MEMORIA!$A:$N,4,FALSE)</f>
        <v>PEDRA ARGAMASSADA COM CIMENTO E AREIA 1:3, 40% DE ARGAMASSA EM VOLUME - AREIA E PEDRA DE MÃO COMERCIAIS - FORNECIMENTO E ASSENTAMENTO. AF_08/2022</v>
      </c>
      <c r="E196" s="23" t="str">
        <f>VLOOKUP(A196,MEMORIA!$A:$N,5,FALSE)</f>
        <v>M3</v>
      </c>
      <c r="F196" s="5">
        <f>VLOOKUP(A196,MEMORIA!$A:$N,14,FALSE)</f>
        <v>1.04</v>
      </c>
      <c r="G196" s="5">
        <f>VLOOKUP(A196,ORCAMENTO!$A:$I,7,FALSE)</f>
        <v>666</v>
      </c>
      <c r="H196" s="5">
        <f>VLOOKUP(A196,ORCAMENTO!$A:$I,8,FALSE)</f>
        <v>814.72</v>
      </c>
      <c r="I196" s="5">
        <f>ROUND(F196*H196,2)</f>
        <v>847.31</v>
      </c>
      <c r="J196" s="5">
        <f>ROUND(K196*$H196,2)</f>
        <v>0</v>
      </c>
      <c r="K196" s="5">
        <v>0</v>
      </c>
      <c r="L196" s="25">
        <f t="shared" si="35"/>
        <v>0</v>
      </c>
      <c r="M196" s="5">
        <f>ROUND(N196*$H196,2)</f>
        <v>847.31</v>
      </c>
      <c r="N196" s="5">
        <f t="shared" si="51"/>
        <v>1.04</v>
      </c>
      <c r="O196" s="25">
        <f t="shared" si="36"/>
        <v>1</v>
      </c>
      <c r="P196" s="5">
        <f>ROUND(Q196*$H196,2)</f>
        <v>0</v>
      </c>
      <c r="Q196" s="5">
        <v>0</v>
      </c>
      <c r="R196" s="25">
        <f t="shared" si="37"/>
        <v>0</v>
      </c>
      <c r="S196" s="5">
        <f>ROUND(T196*$H196,2)</f>
        <v>0</v>
      </c>
      <c r="T196" s="5">
        <v>0</v>
      </c>
      <c r="U196" s="25">
        <f t="shared" si="38"/>
        <v>0</v>
      </c>
      <c r="V196" s="5">
        <f>ROUND(W196*$H196,2)</f>
        <v>0</v>
      </c>
      <c r="W196" s="5">
        <v>0</v>
      </c>
      <c r="X196" s="25">
        <f t="shared" si="39"/>
        <v>0</v>
      </c>
      <c r="Y196" s="5">
        <f t="shared" si="40"/>
        <v>847.31</v>
      </c>
      <c r="Z196" s="25">
        <f t="shared" si="41"/>
        <v>1</v>
      </c>
      <c r="AA196" s="25">
        <f t="shared" si="42"/>
        <v>5.2566428978179677E-4</v>
      </c>
    </row>
    <row r="197" spans="1:27" ht="86.4" x14ac:dyDescent="0.3">
      <c r="A197" s="23" t="s">
        <v>309</v>
      </c>
      <c r="B197" s="23">
        <f>VLOOKUP(A197,MEMORIA!$A:$N,2,FALSE)</f>
        <v>103335</v>
      </c>
      <c r="C197" s="23" t="str">
        <f>VLOOKUP(A197,MEMORIA!$A:$N,3,FALSE)</f>
        <v>SINAPI</v>
      </c>
      <c r="D197" s="24" t="str">
        <f>VLOOKUP(A197,MEMORIA!$A:$N,4,FALSE)</f>
        <v>ALVENARIA DE VEDAÇÃO DE BLOCOS CERÂMICOS FURADOS NA HORIZONTAL DE 14X9X19 CM (ESPESSURA 14 CM, BLOCO DEITADO) E ARGAMASSA DE ASSENTAMENTO COM PREPARO MANUAL. AF_12/2021</v>
      </c>
      <c r="E197" s="23" t="str">
        <f>VLOOKUP(A197,MEMORIA!$A:$N,5,FALSE)</f>
        <v>M2</v>
      </c>
      <c r="F197" s="5">
        <f>VLOOKUP(A197,MEMORIA!$A:$N,14,FALSE)</f>
        <v>1.7200000000000002</v>
      </c>
      <c r="G197" s="5">
        <f>VLOOKUP(A197,ORCAMENTO!$A:$I,7,FALSE)</f>
        <v>146.44</v>
      </c>
      <c r="H197" s="5">
        <f>VLOOKUP(A197,ORCAMENTO!$A:$I,8,FALSE)</f>
        <v>179.14</v>
      </c>
      <c r="I197" s="5">
        <f>ROUND(F197*H197,2)</f>
        <v>308.12</v>
      </c>
      <c r="J197" s="5">
        <f>ROUND(K197*$H197,2)</f>
        <v>0</v>
      </c>
      <c r="K197" s="5">
        <v>0</v>
      </c>
      <c r="L197" s="25">
        <f t="shared" si="35"/>
        <v>0</v>
      </c>
      <c r="M197" s="5">
        <f>ROUND(N197*$H197,2)</f>
        <v>308.12</v>
      </c>
      <c r="N197" s="5">
        <f t="shared" si="51"/>
        <v>1.7200000000000002</v>
      </c>
      <c r="O197" s="25">
        <f t="shared" si="36"/>
        <v>1</v>
      </c>
      <c r="P197" s="5">
        <f>ROUND(Q197*$H197,2)</f>
        <v>0</v>
      </c>
      <c r="Q197" s="5">
        <v>0</v>
      </c>
      <c r="R197" s="25">
        <f t="shared" si="37"/>
        <v>0</v>
      </c>
      <c r="S197" s="5">
        <f>ROUND(T197*$H197,2)</f>
        <v>0</v>
      </c>
      <c r="T197" s="5">
        <v>0</v>
      </c>
      <c r="U197" s="25">
        <f t="shared" si="38"/>
        <v>0</v>
      </c>
      <c r="V197" s="5">
        <f>ROUND(W197*$H197,2)</f>
        <v>0</v>
      </c>
      <c r="W197" s="5">
        <v>0</v>
      </c>
      <c r="X197" s="25">
        <f t="shared" si="39"/>
        <v>0</v>
      </c>
      <c r="Y197" s="5">
        <f t="shared" si="40"/>
        <v>308.12</v>
      </c>
      <c r="Z197" s="25">
        <f t="shared" si="41"/>
        <v>1</v>
      </c>
      <c r="AA197" s="25">
        <f t="shared" si="42"/>
        <v>1.9115516277108405E-4</v>
      </c>
    </row>
    <row r="198" spans="1:27" x14ac:dyDescent="0.3">
      <c r="A198" s="15" t="s">
        <v>72</v>
      </c>
      <c r="B198" s="48" t="str">
        <f>VLOOKUP(A198,MEMORIA!$A:$N,2,FALSE)</f>
        <v>SUPERESTRUTURA</v>
      </c>
      <c r="C198" s="49"/>
      <c r="D198" s="49"/>
      <c r="E198" s="49"/>
      <c r="F198" s="49"/>
      <c r="G198" s="49"/>
      <c r="H198" s="50"/>
      <c r="I198" s="16">
        <f>SUM(I$199:I$200)</f>
        <v>1323.3</v>
      </c>
      <c r="J198" s="16">
        <f>SUM(J$199:J$200)</f>
        <v>0</v>
      </c>
      <c r="K198" s="16"/>
      <c r="L198" s="17">
        <f t="shared" si="35"/>
        <v>0</v>
      </c>
      <c r="M198" s="16">
        <f>SUM(M$199:M$200)</f>
        <v>1323.3</v>
      </c>
      <c r="N198" s="16"/>
      <c r="O198" s="17">
        <f t="shared" si="36"/>
        <v>1</v>
      </c>
      <c r="P198" s="16">
        <f>SUM(P$199:P$200)</f>
        <v>0</v>
      </c>
      <c r="Q198" s="16"/>
      <c r="R198" s="17">
        <f t="shared" si="37"/>
        <v>0</v>
      </c>
      <c r="S198" s="16">
        <f>SUM(S$199:S$200)</f>
        <v>0</v>
      </c>
      <c r="T198" s="16"/>
      <c r="U198" s="17">
        <f t="shared" si="38"/>
        <v>0</v>
      </c>
      <c r="V198" s="16">
        <f>SUM(V$199:V$200)</f>
        <v>0</v>
      </c>
      <c r="W198" s="16"/>
      <c r="X198" s="17">
        <f t="shared" si="39"/>
        <v>0</v>
      </c>
      <c r="Y198" s="16">
        <f t="shared" si="40"/>
        <v>1323.3</v>
      </c>
      <c r="Z198" s="17">
        <f t="shared" si="41"/>
        <v>1</v>
      </c>
      <c r="AA198" s="17">
        <f t="shared" si="42"/>
        <v>8.20964646549966E-4</v>
      </c>
    </row>
    <row r="199" spans="1:27" ht="28.8" x14ac:dyDescent="0.3">
      <c r="A199" s="23" t="s">
        <v>310</v>
      </c>
      <c r="B199" s="23" t="str">
        <f>VLOOKUP(A199,MEMORIA!$A:$N,2,FALSE)</f>
        <v>COMPCOM01</v>
      </c>
      <c r="C199" s="23" t="str">
        <f>VLOOKUP(A199,MEMORIA!$A:$N,3,FALSE)</f>
        <v>PRÓPRIA</v>
      </c>
      <c r="D199" s="24" t="str">
        <f>VLOOKUP(A199,MEMORIA!$A:$N,4,FALSE)</f>
        <v>CINTA DE AMARRAÇÃO DE ALVENARIA MOLDADA IN LOCO EM CONCRETO</v>
      </c>
      <c r="E199" s="23" t="str">
        <f>VLOOKUP(A199,MEMORIA!$A:$N,5,FALSE)</f>
        <v>M</v>
      </c>
      <c r="F199" s="5">
        <f>VLOOKUP(A199,MEMORIA!$A:$N,14,FALSE)</f>
        <v>8.6</v>
      </c>
      <c r="G199" s="5">
        <f>VLOOKUP(A199,ORCAMENTO!$A:$I,7,FALSE)</f>
        <v>81.47999999999999</v>
      </c>
      <c r="H199" s="5">
        <f>VLOOKUP(A199,ORCAMENTO!$A:$I,8,FALSE)</f>
        <v>99.669999999999987</v>
      </c>
      <c r="I199" s="5">
        <f>ROUND(F199*H199,2)</f>
        <v>857.16</v>
      </c>
      <c r="J199" s="5">
        <f>ROUND(K199*$H199,2)</f>
        <v>0</v>
      </c>
      <c r="K199" s="5">
        <v>0</v>
      </c>
      <c r="L199" s="25">
        <f t="shared" si="35"/>
        <v>0</v>
      </c>
      <c r="M199" s="5">
        <f>ROUND(N199*$H199,2)</f>
        <v>857.16</v>
      </c>
      <c r="N199" s="5">
        <f t="shared" si="51"/>
        <v>8.6</v>
      </c>
      <c r="O199" s="25">
        <f t="shared" si="36"/>
        <v>1</v>
      </c>
      <c r="P199" s="5">
        <f>ROUND(Q199*$H199,2)</f>
        <v>0</v>
      </c>
      <c r="Q199" s="5">
        <v>0</v>
      </c>
      <c r="R199" s="25">
        <f t="shared" si="37"/>
        <v>0</v>
      </c>
      <c r="S199" s="5">
        <f>ROUND(T199*$H199,2)</f>
        <v>0</v>
      </c>
      <c r="T199" s="5">
        <v>0</v>
      </c>
      <c r="U199" s="25">
        <f t="shared" si="38"/>
        <v>0</v>
      </c>
      <c r="V199" s="5">
        <f>ROUND(W199*$H199,2)</f>
        <v>0</v>
      </c>
      <c r="W199" s="5">
        <v>0</v>
      </c>
      <c r="X199" s="25">
        <f t="shared" si="39"/>
        <v>0</v>
      </c>
      <c r="Y199" s="5">
        <f t="shared" si="40"/>
        <v>857.16</v>
      </c>
      <c r="Z199" s="25">
        <f t="shared" si="41"/>
        <v>1</v>
      </c>
      <c r="AA199" s="25">
        <f t="shared" si="42"/>
        <v>5.3177515033383876E-4</v>
      </c>
    </row>
    <row r="200" spans="1:27" ht="72" x14ac:dyDescent="0.3">
      <c r="A200" s="23" t="s">
        <v>311</v>
      </c>
      <c r="B200" s="23" t="str">
        <f>VLOOKUP(A200,MEMORIA!$A:$N,2,FALSE)</f>
        <v>COMPCOM02</v>
      </c>
      <c r="C200" s="23" t="str">
        <f>VLOOKUP(A200,MEMORIA!$A:$N,3,FALSE)</f>
        <v>PRÓPRIA</v>
      </c>
      <c r="D200" s="24" t="str">
        <f>VLOOKUP(A200,MEMORIA!$A:$N,4,FALSE)</f>
        <v>(COMPOSIÇÃO REPRESENTATIVA) EXECUÇÃO DE ESTRUTURAS DE CONCRETO ARMADO, PARA EDIFICAÇÃO INSTITUCIONAL TÉRREA, FCK = 25 MPA</v>
      </c>
      <c r="E200" s="23" t="str">
        <f>VLOOKUP(A200,MEMORIA!$A:$N,5,FALSE)</f>
        <v>M³</v>
      </c>
      <c r="F200" s="5">
        <f>VLOOKUP(A200,MEMORIA!$A:$N,14,FALSE)</f>
        <v>0.30000000000000004</v>
      </c>
      <c r="G200" s="5">
        <f>VLOOKUP(A200,ORCAMENTO!$A:$I,7,FALSE)</f>
        <v>1270.1599999999999</v>
      </c>
      <c r="H200" s="5">
        <f>VLOOKUP(A200,ORCAMENTO!$A:$I,8,FALSE)</f>
        <v>1553.79</v>
      </c>
      <c r="I200" s="5">
        <f>ROUND(F200*H200,2)</f>
        <v>466.14</v>
      </c>
      <c r="J200" s="5">
        <f>ROUND(K200*$H200,2)</f>
        <v>0</v>
      </c>
      <c r="K200" s="5">
        <v>0</v>
      </c>
      <c r="L200" s="25">
        <f t="shared" ref="L200:L263" si="52">J200/$I200</f>
        <v>0</v>
      </c>
      <c r="M200" s="5">
        <f>ROUND(N200*$H200,2)</f>
        <v>466.14</v>
      </c>
      <c r="N200" s="5">
        <f t="shared" si="51"/>
        <v>0.30000000000000004</v>
      </c>
      <c r="O200" s="25">
        <f t="shared" ref="O200:O263" si="53">M200/$I200</f>
        <v>1</v>
      </c>
      <c r="P200" s="5">
        <f>ROUND(Q200*$H200,2)</f>
        <v>0</v>
      </c>
      <c r="Q200" s="5">
        <v>0</v>
      </c>
      <c r="R200" s="25">
        <f t="shared" ref="R200:R263" si="54">P200/$I200</f>
        <v>0</v>
      </c>
      <c r="S200" s="5">
        <f>ROUND(T200*$H200,2)</f>
        <v>0</v>
      </c>
      <c r="T200" s="5">
        <v>0</v>
      </c>
      <c r="U200" s="25">
        <f t="shared" ref="U200:U263" si="55">S200/$I200</f>
        <v>0</v>
      </c>
      <c r="V200" s="5">
        <f>ROUND(W200*$H200,2)</f>
        <v>0</v>
      </c>
      <c r="W200" s="5">
        <v>0</v>
      </c>
      <c r="X200" s="25">
        <f t="shared" ref="X200:X263" si="56">V200/$I200</f>
        <v>0</v>
      </c>
      <c r="Y200" s="5">
        <f t="shared" ref="Y200:Y263" si="57">SUM(J200,M200,P200,S200,V200,)</f>
        <v>466.14</v>
      </c>
      <c r="Z200" s="25">
        <f t="shared" ref="Z200:Z263" si="58">SUM(L200,O200,R200,U200,X200,)</f>
        <v>1</v>
      </c>
      <c r="AA200" s="25">
        <f t="shared" ref="AA200:AA263" si="59">Y200/$I$479</f>
        <v>2.8918949621612724E-4</v>
      </c>
    </row>
    <row r="201" spans="1:27" x14ac:dyDescent="0.3">
      <c r="A201" s="15" t="s">
        <v>73</v>
      </c>
      <c r="B201" s="48" t="str">
        <f>VLOOKUP(A201,MEMORIA!$A:$N,2,FALSE)</f>
        <v>VEDAÇÃO VERTICAL</v>
      </c>
      <c r="C201" s="49"/>
      <c r="D201" s="49"/>
      <c r="E201" s="49"/>
      <c r="F201" s="49"/>
      <c r="G201" s="49"/>
      <c r="H201" s="50"/>
      <c r="I201" s="16">
        <f>SUM(I$202:I$203)</f>
        <v>2620</v>
      </c>
      <c r="J201" s="16">
        <f>SUM(J$202:J$203)</f>
        <v>0</v>
      </c>
      <c r="K201" s="16"/>
      <c r="L201" s="17">
        <f t="shared" si="52"/>
        <v>0</v>
      </c>
      <c r="M201" s="16">
        <f>SUM(M$202:M$203)</f>
        <v>2620</v>
      </c>
      <c r="N201" s="16"/>
      <c r="O201" s="17">
        <f t="shared" si="53"/>
        <v>1</v>
      </c>
      <c r="P201" s="16">
        <f>SUM(P$202:P$203)</f>
        <v>0</v>
      </c>
      <c r="Q201" s="16"/>
      <c r="R201" s="17">
        <f t="shared" si="54"/>
        <v>0</v>
      </c>
      <c r="S201" s="16">
        <f>SUM(S$202:S$203)</f>
        <v>0</v>
      </c>
      <c r="T201" s="16"/>
      <c r="U201" s="17">
        <f t="shared" si="55"/>
        <v>0</v>
      </c>
      <c r="V201" s="16">
        <f>SUM(V$202:V$203)</f>
        <v>0</v>
      </c>
      <c r="W201" s="16"/>
      <c r="X201" s="17">
        <f t="shared" si="56"/>
        <v>0</v>
      </c>
      <c r="Y201" s="16">
        <f t="shared" si="57"/>
        <v>2620</v>
      </c>
      <c r="Z201" s="17">
        <f t="shared" si="58"/>
        <v>1</v>
      </c>
      <c r="AA201" s="17">
        <f t="shared" si="59"/>
        <v>1.6254268676497475E-3</v>
      </c>
    </row>
    <row r="202" spans="1:27" ht="72" x14ac:dyDescent="0.3">
      <c r="A202" s="23" t="s">
        <v>312</v>
      </c>
      <c r="B202" s="23">
        <f>VLOOKUP(A202,MEMORIA!$A:$N,2,FALSE)</f>
        <v>103329</v>
      </c>
      <c r="C202" s="23" t="str">
        <f>VLOOKUP(A202,MEMORIA!$A:$N,3,FALSE)</f>
        <v>SINAPI</v>
      </c>
      <c r="D202" s="24" t="str">
        <f>VLOOKUP(A202,MEMORIA!$A:$N,4,FALSE)</f>
        <v>ALVENARIA DE VEDAÇÃO DE BLOCOS CERÂMICOS FURADOS NA HORIZONTAL DE 9X19X19 CM (ESPESSURA 9 CM) E ARGAMASSA DE ASSENTAMENTO COM PREPARO MANUAL. AF_12/2021</v>
      </c>
      <c r="E202" s="23" t="str">
        <f>VLOOKUP(A202,MEMORIA!$A:$N,5,FALSE)</f>
        <v>M2</v>
      </c>
      <c r="F202" s="5">
        <f>VLOOKUP(A202,MEMORIA!$A:$N,14,FALSE)</f>
        <v>19.310000000000002</v>
      </c>
      <c r="G202" s="5">
        <f>VLOOKUP(A202,ORCAMENTO!$A:$I,7,FALSE)</f>
        <v>95.039999999999992</v>
      </c>
      <c r="H202" s="5">
        <f>VLOOKUP(A202,ORCAMENTO!$A:$I,8,FALSE)</f>
        <v>116.25999999999999</v>
      </c>
      <c r="I202" s="5">
        <f>ROUND(F202*H202,2)</f>
        <v>2244.98</v>
      </c>
      <c r="J202" s="5">
        <f>ROUND(K202*$H202,2)</f>
        <v>0</v>
      </c>
      <c r="K202" s="5">
        <v>0</v>
      </c>
      <c r="L202" s="25">
        <f t="shared" si="52"/>
        <v>0</v>
      </c>
      <c r="M202" s="5">
        <f>ROUND(N202*$H202,2)</f>
        <v>2244.98</v>
      </c>
      <c r="N202" s="5">
        <f t="shared" si="51"/>
        <v>19.310000000000002</v>
      </c>
      <c r="O202" s="25">
        <f t="shared" si="53"/>
        <v>1</v>
      </c>
      <c r="P202" s="5">
        <f>ROUND(Q202*$H202,2)</f>
        <v>0</v>
      </c>
      <c r="Q202" s="5">
        <v>0</v>
      </c>
      <c r="R202" s="25">
        <f t="shared" si="54"/>
        <v>0</v>
      </c>
      <c r="S202" s="5">
        <f>ROUND(T202*$H202,2)</f>
        <v>0</v>
      </c>
      <c r="T202" s="5">
        <v>0</v>
      </c>
      <c r="U202" s="25">
        <f t="shared" si="55"/>
        <v>0</v>
      </c>
      <c r="V202" s="5">
        <f>ROUND(W202*$H202,2)</f>
        <v>0</v>
      </c>
      <c r="W202" s="5">
        <v>0</v>
      </c>
      <c r="X202" s="25">
        <f t="shared" si="56"/>
        <v>0</v>
      </c>
      <c r="Y202" s="5">
        <f t="shared" si="57"/>
        <v>2244.98</v>
      </c>
      <c r="Z202" s="25">
        <f t="shared" si="58"/>
        <v>1</v>
      </c>
      <c r="AA202" s="25">
        <f t="shared" si="59"/>
        <v>1.3927674844795154E-3</v>
      </c>
    </row>
    <row r="203" spans="1:27" ht="72" x14ac:dyDescent="0.3">
      <c r="A203" s="23" t="s">
        <v>313</v>
      </c>
      <c r="B203" s="23">
        <f>VLOOKUP(A203,MEMORIA!$A:$N,2,FALSE)</f>
        <v>101161</v>
      </c>
      <c r="C203" s="23" t="str">
        <f>VLOOKUP(A203,MEMORIA!$A:$N,3,FALSE)</f>
        <v>SINAPI</v>
      </c>
      <c r="D203" s="24" t="str">
        <f>VLOOKUP(A203,MEMORIA!$A:$N,4,FALSE)</f>
        <v>ALVENARIA DE VEDAÇÃO COM ELEMENTO VAZADO DE CONCRETO (COBOGÓ) DE 7X50X50CM E ARGAMASSA DE ASSENTAMENTO COM PREPARO EM BETONEIRA. AF_05/2020</v>
      </c>
      <c r="E203" s="23" t="str">
        <f>VLOOKUP(A203,MEMORIA!$A:$N,5,FALSE)</f>
        <v>M2</v>
      </c>
      <c r="F203" s="5">
        <f>VLOOKUP(A203,MEMORIA!$A:$N,14,FALSE)</f>
        <v>1.5</v>
      </c>
      <c r="G203" s="5">
        <f>VLOOKUP(A203,ORCAMENTO!$A:$I,7,FALSE)</f>
        <v>204.37</v>
      </c>
      <c r="H203" s="5">
        <f>VLOOKUP(A203,ORCAMENTO!$A:$I,8,FALSE)</f>
        <v>250.01</v>
      </c>
      <c r="I203" s="5">
        <f>ROUND(F203*H203,2)</f>
        <v>375.02</v>
      </c>
      <c r="J203" s="5">
        <f>ROUND(K203*$H203,2)</f>
        <v>0</v>
      </c>
      <c r="K203" s="5">
        <v>0</v>
      </c>
      <c r="L203" s="25">
        <f t="shared" si="52"/>
        <v>0</v>
      </c>
      <c r="M203" s="5">
        <f>ROUND(N203*$H203,2)</f>
        <v>375.02</v>
      </c>
      <c r="N203" s="5">
        <f t="shared" si="51"/>
        <v>1.5</v>
      </c>
      <c r="O203" s="25">
        <f t="shared" si="53"/>
        <v>1</v>
      </c>
      <c r="P203" s="5">
        <f>ROUND(Q203*$H203,2)</f>
        <v>0</v>
      </c>
      <c r="Q203" s="5">
        <v>0</v>
      </c>
      <c r="R203" s="25">
        <f t="shared" si="54"/>
        <v>0</v>
      </c>
      <c r="S203" s="5">
        <f>ROUND(T203*$H203,2)</f>
        <v>0</v>
      </c>
      <c r="T203" s="5">
        <v>0</v>
      </c>
      <c r="U203" s="25">
        <f t="shared" si="55"/>
        <v>0</v>
      </c>
      <c r="V203" s="5">
        <f>ROUND(W203*$H203,2)</f>
        <v>0</v>
      </c>
      <c r="W203" s="5">
        <v>0</v>
      </c>
      <c r="X203" s="25">
        <f t="shared" si="56"/>
        <v>0</v>
      </c>
      <c r="Y203" s="5">
        <f t="shared" si="57"/>
        <v>375.02</v>
      </c>
      <c r="Z203" s="25">
        <f t="shared" si="58"/>
        <v>1</v>
      </c>
      <c r="AA203" s="25">
        <f t="shared" si="59"/>
        <v>2.3265938317023217E-4</v>
      </c>
    </row>
    <row r="204" spans="1:27" x14ac:dyDescent="0.3">
      <c r="A204" s="15" t="s">
        <v>74</v>
      </c>
      <c r="B204" s="48" t="str">
        <f>VLOOKUP(A204,MEMORIA!$A:$N,2,FALSE)</f>
        <v>COBERTURA</v>
      </c>
      <c r="C204" s="49"/>
      <c r="D204" s="49"/>
      <c r="E204" s="49"/>
      <c r="F204" s="49"/>
      <c r="G204" s="49"/>
      <c r="H204" s="50"/>
      <c r="I204" s="16">
        <f>SUM(I$205:I$206)</f>
        <v>1305.45</v>
      </c>
      <c r="J204" s="16">
        <f>SUM(J$205:J$206)</f>
        <v>0</v>
      </c>
      <c r="K204" s="16"/>
      <c r="L204" s="17">
        <f t="shared" si="52"/>
        <v>0</v>
      </c>
      <c r="M204" s="16">
        <f>SUM(M$205:M$206)</f>
        <v>1305.45</v>
      </c>
      <c r="N204" s="16"/>
      <c r="O204" s="17">
        <f t="shared" si="53"/>
        <v>1</v>
      </c>
      <c r="P204" s="16">
        <f>SUM(P$205:P$206)</f>
        <v>0</v>
      </c>
      <c r="Q204" s="16"/>
      <c r="R204" s="17">
        <f t="shared" si="54"/>
        <v>0</v>
      </c>
      <c r="S204" s="16">
        <f>SUM(S$205:S$206)</f>
        <v>0</v>
      </c>
      <c r="T204" s="16"/>
      <c r="U204" s="17">
        <f t="shared" si="55"/>
        <v>0</v>
      </c>
      <c r="V204" s="16">
        <f>SUM(V$205:V$206)</f>
        <v>0</v>
      </c>
      <c r="W204" s="16"/>
      <c r="X204" s="17">
        <f t="shared" si="56"/>
        <v>0</v>
      </c>
      <c r="Y204" s="16">
        <f t="shared" si="57"/>
        <v>1305.45</v>
      </c>
      <c r="Z204" s="17">
        <f t="shared" si="58"/>
        <v>1</v>
      </c>
      <c r="AA204" s="17">
        <f t="shared" si="59"/>
        <v>8.0989065052418439E-4</v>
      </c>
    </row>
    <row r="205" spans="1:27" ht="57.6" x14ac:dyDescent="0.3">
      <c r="A205" s="23" t="s">
        <v>314</v>
      </c>
      <c r="B205" s="23" t="str">
        <f>VLOOKUP(A205,MEMORIA!$A:$N,2,FALSE)</f>
        <v>COMPCOM03</v>
      </c>
      <c r="C205" s="23" t="str">
        <f>VLOOKUP(A205,MEMORIA!$A:$N,3,FALSE)</f>
        <v>PRÓPRIA</v>
      </c>
      <c r="D205" s="24" t="str">
        <f>VLOOKUP(A205,MEMORIA!$A:$N,4,FALSE)</f>
        <v>TELHAMENTO COM TELHA CERÂMICA CAPA-CANAL, TIPO COLONIAL, COM ATÉ 2 ÁGUAS, INCLUSO TRANSPORTE VERTICAL</v>
      </c>
      <c r="E205" s="23" t="str">
        <f>VLOOKUP(A205,MEMORIA!$A:$N,5,FALSE)</f>
        <v>M²</v>
      </c>
      <c r="F205" s="5">
        <f>VLOOKUP(A205,MEMORIA!$A:$N,14,FALSE)</f>
        <v>10.23</v>
      </c>
      <c r="G205" s="5">
        <f>VLOOKUP(A205,ORCAMENTO!$A:$I,7,FALSE)</f>
        <v>37.64</v>
      </c>
      <c r="H205" s="5">
        <f>VLOOKUP(A205,ORCAMENTO!$A:$I,8,FALSE)</f>
        <v>46.05</v>
      </c>
      <c r="I205" s="5">
        <f>ROUND(F205*H205,2)</f>
        <v>471.09</v>
      </c>
      <c r="J205" s="5">
        <f>ROUND(K205*$H205,2)</f>
        <v>0</v>
      </c>
      <c r="K205" s="5">
        <v>0</v>
      </c>
      <c r="L205" s="25">
        <f t="shared" si="52"/>
        <v>0</v>
      </c>
      <c r="M205" s="5">
        <f>ROUND(N205*$H205,2)</f>
        <v>471.09</v>
      </c>
      <c r="N205" s="5">
        <f t="shared" si="51"/>
        <v>10.23</v>
      </c>
      <c r="O205" s="25">
        <f t="shared" si="53"/>
        <v>1</v>
      </c>
      <c r="P205" s="5">
        <f>ROUND(Q205*$H205,2)</f>
        <v>0</v>
      </c>
      <c r="Q205" s="5">
        <v>0</v>
      </c>
      <c r="R205" s="25">
        <f t="shared" si="54"/>
        <v>0</v>
      </c>
      <c r="S205" s="5">
        <f>ROUND(T205*$H205,2)</f>
        <v>0</v>
      </c>
      <c r="T205" s="5">
        <v>0</v>
      </c>
      <c r="U205" s="25">
        <f t="shared" si="55"/>
        <v>0</v>
      </c>
      <c r="V205" s="5">
        <f>ROUND(W205*$H205,2)</f>
        <v>0</v>
      </c>
      <c r="W205" s="5">
        <v>0</v>
      </c>
      <c r="X205" s="25">
        <f t="shared" si="56"/>
        <v>0</v>
      </c>
      <c r="Y205" s="5">
        <f t="shared" si="57"/>
        <v>471.09</v>
      </c>
      <c r="Z205" s="25">
        <f t="shared" si="58"/>
        <v>1</v>
      </c>
      <c r="AA205" s="25">
        <f t="shared" si="59"/>
        <v>2.9226043629050364E-4</v>
      </c>
    </row>
    <row r="206" spans="1:27" ht="72" x14ac:dyDescent="0.3">
      <c r="A206" s="23" t="s">
        <v>315</v>
      </c>
      <c r="B206" s="23" t="str">
        <f>VLOOKUP(A206,MEMORIA!$A:$N,2,FALSE)</f>
        <v>COMPCOM04</v>
      </c>
      <c r="C206" s="23" t="str">
        <f>VLOOKUP(A206,MEMORIA!$A:$N,3,FALSE)</f>
        <v>PRÓPRIA</v>
      </c>
      <c r="D206" s="24" t="str">
        <f>VLOOKUP(A206,MEMORIA!$A:$N,4,FALSE)</f>
        <v>TRAMA DE MADEIRA COMPOSTA POR RIPAS, CAIBROS E TERÇAS PARA TELHADOS DE ATÉ 2 ÁGUAS PARA TELHA CERÂMICA CAPA-CANAL, INCLUSO TRANSPORTE VERTICAL</v>
      </c>
      <c r="E206" s="23" t="str">
        <f>VLOOKUP(A206,MEMORIA!$A:$N,5,FALSE)</f>
        <v>M²</v>
      </c>
      <c r="F206" s="5">
        <f>VLOOKUP(A206,MEMORIA!$A:$N,14,FALSE)</f>
        <v>10.23</v>
      </c>
      <c r="G206" s="5">
        <f>VLOOKUP(A206,ORCAMENTO!$A:$I,7,FALSE)</f>
        <v>66.67</v>
      </c>
      <c r="H206" s="5">
        <f>VLOOKUP(A206,ORCAMENTO!$A:$I,8,FALSE)</f>
        <v>81.56</v>
      </c>
      <c r="I206" s="5">
        <f>ROUND(F206*H206,2)</f>
        <v>834.36</v>
      </c>
      <c r="J206" s="5">
        <f>ROUND(K206*$H206,2)</f>
        <v>0</v>
      </c>
      <c r="K206" s="5">
        <v>0</v>
      </c>
      <c r="L206" s="25">
        <f t="shared" si="52"/>
        <v>0</v>
      </c>
      <c r="M206" s="5">
        <f>ROUND(N206*$H206,2)</f>
        <v>834.36</v>
      </c>
      <c r="N206" s="5">
        <f t="shared" si="51"/>
        <v>10.23</v>
      </c>
      <c r="O206" s="25">
        <f t="shared" si="53"/>
        <v>1</v>
      </c>
      <c r="P206" s="5">
        <f>ROUND(Q206*$H206,2)</f>
        <v>0</v>
      </c>
      <c r="Q206" s="5">
        <v>0</v>
      </c>
      <c r="R206" s="25">
        <f t="shared" si="54"/>
        <v>0</v>
      </c>
      <c r="S206" s="5">
        <f>ROUND(T206*$H206,2)</f>
        <v>0</v>
      </c>
      <c r="T206" s="5">
        <v>0</v>
      </c>
      <c r="U206" s="25">
        <f t="shared" si="55"/>
        <v>0</v>
      </c>
      <c r="V206" s="5">
        <f>ROUND(W206*$H206,2)</f>
        <v>0</v>
      </c>
      <c r="W206" s="5">
        <v>0</v>
      </c>
      <c r="X206" s="25">
        <f t="shared" si="56"/>
        <v>0</v>
      </c>
      <c r="Y206" s="5">
        <f t="shared" si="57"/>
        <v>834.36</v>
      </c>
      <c r="Z206" s="25">
        <f t="shared" si="58"/>
        <v>1</v>
      </c>
      <c r="AA206" s="25">
        <f t="shared" si="59"/>
        <v>5.1763021423368064E-4</v>
      </c>
    </row>
    <row r="207" spans="1:27" x14ac:dyDescent="0.3">
      <c r="A207" s="15" t="s">
        <v>75</v>
      </c>
      <c r="B207" s="48" t="str">
        <f>VLOOKUP(A207,MEMORIA!$A:$N,2,FALSE)</f>
        <v>PISO</v>
      </c>
      <c r="C207" s="49"/>
      <c r="D207" s="49"/>
      <c r="E207" s="49"/>
      <c r="F207" s="49"/>
      <c r="G207" s="49"/>
      <c r="H207" s="50"/>
      <c r="I207" s="16">
        <f>SUM(I$208:I$210)</f>
        <v>1174.01</v>
      </c>
      <c r="J207" s="16">
        <f>SUM(J$208:J$210)</f>
        <v>0</v>
      </c>
      <c r="K207" s="16"/>
      <c r="L207" s="17">
        <f t="shared" si="52"/>
        <v>0</v>
      </c>
      <c r="M207" s="16">
        <f>SUM(M$208:M$210)</f>
        <v>1174.01</v>
      </c>
      <c r="N207" s="16"/>
      <c r="O207" s="17">
        <f t="shared" si="53"/>
        <v>1</v>
      </c>
      <c r="P207" s="16">
        <f>SUM(P$208:P$210)</f>
        <v>0</v>
      </c>
      <c r="Q207" s="16"/>
      <c r="R207" s="17">
        <f t="shared" si="54"/>
        <v>0</v>
      </c>
      <c r="S207" s="16">
        <f>SUM(S$208:S$210)</f>
        <v>0</v>
      </c>
      <c r="T207" s="16"/>
      <c r="U207" s="17">
        <f t="shared" si="55"/>
        <v>0</v>
      </c>
      <c r="V207" s="16">
        <f>SUM(V$208:V$210)</f>
        <v>0</v>
      </c>
      <c r="W207" s="16"/>
      <c r="X207" s="17">
        <f t="shared" si="56"/>
        <v>0</v>
      </c>
      <c r="Y207" s="16">
        <f t="shared" si="57"/>
        <v>1174.01</v>
      </c>
      <c r="Z207" s="17">
        <f t="shared" si="58"/>
        <v>1</v>
      </c>
      <c r="AA207" s="17">
        <f t="shared" si="59"/>
        <v>7.2834633469064125E-4</v>
      </c>
    </row>
    <row r="208" spans="1:27" ht="28.8" x14ac:dyDescent="0.3">
      <c r="A208" s="23" t="s">
        <v>316</v>
      </c>
      <c r="B208" s="23">
        <f>VLOOKUP(A208,MEMORIA!$A:$N,2,FALSE)</f>
        <v>96617</v>
      </c>
      <c r="C208" s="23" t="str">
        <f>VLOOKUP(A208,MEMORIA!$A:$N,3,FALSE)</f>
        <v>SINAPI</v>
      </c>
      <c r="D208" s="24" t="str">
        <f>VLOOKUP(A208,MEMORIA!$A:$N,4,FALSE)</f>
        <v>LASTRO DE CONCRETO MAGRO, APLICADO EM BLOCOS DE COROAMENTO OU SAPATAS, ESPESSURA DE 3 CM. AF_01/2024</v>
      </c>
      <c r="E208" s="23" t="str">
        <f>VLOOKUP(A208,MEMORIA!$A:$N,5,FALSE)</f>
        <v>M2</v>
      </c>
      <c r="F208" s="5">
        <f>VLOOKUP(A208,MEMORIA!$A:$N,14,FALSE)</f>
        <v>4</v>
      </c>
      <c r="G208" s="5">
        <f>VLOOKUP(A208,ORCAMENTO!$A:$I,7,FALSE)</f>
        <v>23.57</v>
      </c>
      <c r="H208" s="5">
        <f>VLOOKUP(A208,ORCAMENTO!$A:$I,8,FALSE)</f>
        <v>28.83</v>
      </c>
      <c r="I208" s="5">
        <f>ROUND(F208*H208,2)</f>
        <v>115.32</v>
      </c>
      <c r="J208" s="5">
        <f>ROUND(K208*$H208,2)</f>
        <v>0</v>
      </c>
      <c r="K208" s="5">
        <v>0</v>
      </c>
      <c r="L208" s="25">
        <f t="shared" si="52"/>
        <v>0</v>
      </c>
      <c r="M208" s="5">
        <f>ROUND(N208*$H208,2)</f>
        <v>115.32</v>
      </c>
      <c r="N208" s="5">
        <f t="shared" si="51"/>
        <v>4</v>
      </c>
      <c r="O208" s="25">
        <f t="shared" si="53"/>
        <v>1</v>
      </c>
      <c r="P208" s="5">
        <f>ROUND(Q208*$H208,2)</f>
        <v>0</v>
      </c>
      <c r="Q208" s="5">
        <v>0</v>
      </c>
      <c r="R208" s="25">
        <f t="shared" si="54"/>
        <v>0</v>
      </c>
      <c r="S208" s="5">
        <f>ROUND(T208*$H208,2)</f>
        <v>0</v>
      </c>
      <c r="T208" s="5">
        <v>0</v>
      </c>
      <c r="U208" s="25">
        <f t="shared" si="55"/>
        <v>0</v>
      </c>
      <c r="V208" s="5">
        <f>ROUND(W208*$H208,2)</f>
        <v>0</v>
      </c>
      <c r="W208" s="5">
        <v>0</v>
      </c>
      <c r="X208" s="25">
        <f t="shared" si="56"/>
        <v>0</v>
      </c>
      <c r="Y208" s="5">
        <f t="shared" si="57"/>
        <v>115.32</v>
      </c>
      <c r="Z208" s="25">
        <f t="shared" si="58"/>
        <v>1</v>
      </c>
      <c r="AA208" s="25">
        <f t="shared" si="59"/>
        <v>7.1543597853957586E-5</v>
      </c>
    </row>
    <row r="209" spans="1:27" ht="72" x14ac:dyDescent="0.3">
      <c r="A209" s="23" t="s">
        <v>317</v>
      </c>
      <c r="B209" s="23">
        <f>VLOOKUP(A209,MEMORIA!$A:$N,2,FALSE)</f>
        <v>101749</v>
      </c>
      <c r="C209" s="23" t="str">
        <f>VLOOKUP(A209,MEMORIA!$A:$N,3,FALSE)</f>
        <v>SINAPI</v>
      </c>
      <c r="D209" s="24" t="str">
        <f>VLOOKUP(A209,MEMORIA!$A:$N,4,FALSE)</f>
        <v>PISO CIMENTADO, TRAÇO 1:3 (CIMENTO E AREIA), ACABAMENTO LISO, ESPESSURA 4,0 CM, PREPARO MECÂNICO DA ARGAMASSA. AF_09/2020</v>
      </c>
      <c r="E209" s="23" t="str">
        <f>VLOOKUP(A209,MEMORIA!$A:$N,5,FALSE)</f>
        <v>M2</v>
      </c>
      <c r="F209" s="5">
        <f>VLOOKUP(A209,MEMORIA!$A:$N,14,FALSE)</f>
        <v>4</v>
      </c>
      <c r="G209" s="5">
        <f>VLOOKUP(A209,ORCAMENTO!$A:$I,7,FALSE)</f>
        <v>64.739999999999995</v>
      </c>
      <c r="H209" s="5">
        <f>VLOOKUP(A209,ORCAMENTO!$A:$I,8,FALSE)</f>
        <v>79.199999999999989</v>
      </c>
      <c r="I209" s="5">
        <f>ROUND(F209*H209,2)</f>
        <v>316.8</v>
      </c>
      <c r="J209" s="5">
        <f>ROUND(K209*$H209,2)</f>
        <v>0</v>
      </c>
      <c r="K209" s="5">
        <v>0</v>
      </c>
      <c r="L209" s="25">
        <f t="shared" si="52"/>
        <v>0</v>
      </c>
      <c r="M209" s="5">
        <f>ROUND(N209*$H209,2)</f>
        <v>316.8</v>
      </c>
      <c r="N209" s="5">
        <f t="shared" si="51"/>
        <v>4</v>
      </c>
      <c r="O209" s="25">
        <f t="shared" si="53"/>
        <v>1</v>
      </c>
      <c r="P209" s="5">
        <f>ROUND(Q209*$H209,2)</f>
        <v>0</v>
      </c>
      <c r="Q209" s="5">
        <v>0</v>
      </c>
      <c r="R209" s="25">
        <f t="shared" si="54"/>
        <v>0</v>
      </c>
      <c r="S209" s="5">
        <f>ROUND(T209*$H209,2)</f>
        <v>0</v>
      </c>
      <c r="T209" s="5">
        <v>0</v>
      </c>
      <c r="U209" s="25">
        <f t="shared" si="55"/>
        <v>0</v>
      </c>
      <c r="V209" s="5">
        <f>ROUND(W209*$H209,2)</f>
        <v>0</v>
      </c>
      <c r="W209" s="5">
        <v>0</v>
      </c>
      <c r="X209" s="25">
        <f t="shared" si="56"/>
        <v>0</v>
      </c>
      <c r="Y209" s="5">
        <f t="shared" si="57"/>
        <v>316.8</v>
      </c>
      <c r="Z209" s="25">
        <f t="shared" si="58"/>
        <v>1</v>
      </c>
      <c r="AA209" s="25">
        <f t="shared" si="59"/>
        <v>1.9654016476009162E-4</v>
      </c>
    </row>
    <row r="210" spans="1:27" ht="72" x14ac:dyDescent="0.3">
      <c r="A210" s="23" t="s">
        <v>318</v>
      </c>
      <c r="B210" s="23">
        <f>VLOOKUP(A210,MEMORIA!$A:$N,2,FALSE)</f>
        <v>94994</v>
      </c>
      <c r="C210" s="23" t="str">
        <f>VLOOKUP(A210,MEMORIA!$A:$N,3,FALSE)</f>
        <v>SINAPI</v>
      </c>
      <c r="D210" s="24" t="str">
        <f>VLOOKUP(A210,MEMORIA!$A:$N,4,FALSE)</f>
        <v>EXECUÇÃO DE PASSEIO (CALÇADA) OU PISO DE CONCRETO COM CONCRETO MOLDADO IN LOCO, FEITO EM OBRA, ACABAMENTO CONVENCIONAL, ESPESSURA 8 CM, ARMADO. AF_08/2022</v>
      </c>
      <c r="E210" s="23" t="str">
        <f>VLOOKUP(A210,MEMORIA!$A:$N,5,FALSE)</f>
        <v>M2</v>
      </c>
      <c r="F210" s="5">
        <f>VLOOKUP(A210,MEMORIA!$A:$N,14,FALSE)</f>
        <v>5.6</v>
      </c>
      <c r="G210" s="5">
        <f>VLOOKUP(A210,ORCAMENTO!$A:$I,7,FALSE)</f>
        <v>108.30000000000003</v>
      </c>
      <c r="H210" s="5">
        <f>VLOOKUP(A210,ORCAMENTO!$A:$I,8,FALSE)</f>
        <v>132.48000000000002</v>
      </c>
      <c r="I210" s="5">
        <f>ROUND(F210*H210,2)</f>
        <v>741.89</v>
      </c>
      <c r="J210" s="5">
        <f>ROUND(K210*$H210,2)</f>
        <v>0</v>
      </c>
      <c r="K210" s="5">
        <v>0</v>
      </c>
      <c r="L210" s="25">
        <f t="shared" si="52"/>
        <v>0</v>
      </c>
      <c r="M210" s="5">
        <f>ROUND(N210*$H210,2)</f>
        <v>741.89</v>
      </c>
      <c r="N210" s="5">
        <f t="shared" si="51"/>
        <v>5.6</v>
      </c>
      <c r="O210" s="25">
        <f t="shared" si="53"/>
        <v>1</v>
      </c>
      <c r="P210" s="5">
        <f>ROUND(Q210*$H210,2)</f>
        <v>0</v>
      </c>
      <c r="Q210" s="5">
        <v>0</v>
      </c>
      <c r="R210" s="25">
        <f t="shared" si="54"/>
        <v>0</v>
      </c>
      <c r="S210" s="5">
        <f>ROUND(T210*$H210,2)</f>
        <v>0</v>
      </c>
      <c r="T210" s="5">
        <v>0</v>
      </c>
      <c r="U210" s="25">
        <f t="shared" si="55"/>
        <v>0</v>
      </c>
      <c r="V210" s="5">
        <f>ROUND(W210*$H210,2)</f>
        <v>0</v>
      </c>
      <c r="W210" s="5">
        <v>0</v>
      </c>
      <c r="X210" s="25">
        <f t="shared" si="56"/>
        <v>0</v>
      </c>
      <c r="Y210" s="5">
        <f t="shared" si="57"/>
        <v>741.89</v>
      </c>
      <c r="Z210" s="25">
        <f t="shared" si="58"/>
        <v>1</v>
      </c>
      <c r="AA210" s="25">
        <f t="shared" si="59"/>
        <v>4.6026257207659206E-4</v>
      </c>
    </row>
    <row r="211" spans="1:27" x14ac:dyDescent="0.3">
      <c r="A211" s="15" t="s">
        <v>76</v>
      </c>
      <c r="B211" s="48" t="str">
        <f>VLOOKUP(A211,MEMORIA!$A:$N,2,FALSE)</f>
        <v>REVESTIMENTO</v>
      </c>
      <c r="C211" s="49"/>
      <c r="D211" s="49"/>
      <c r="E211" s="49"/>
      <c r="F211" s="49"/>
      <c r="G211" s="49"/>
      <c r="H211" s="50"/>
      <c r="I211" s="16">
        <f>SUM(I$212:I$213)</f>
        <v>2341.92</v>
      </c>
      <c r="J211" s="16">
        <f>SUM(J$212:J$213)</f>
        <v>0</v>
      </c>
      <c r="K211" s="16"/>
      <c r="L211" s="17">
        <f t="shared" si="52"/>
        <v>0</v>
      </c>
      <c r="M211" s="16">
        <f>SUM(M$212:M$213)</f>
        <v>2341.92</v>
      </c>
      <c r="N211" s="16"/>
      <c r="O211" s="17">
        <f t="shared" si="53"/>
        <v>1</v>
      </c>
      <c r="P211" s="16">
        <f>SUM(P$212:P$213)</f>
        <v>0</v>
      </c>
      <c r="Q211" s="16"/>
      <c r="R211" s="17">
        <f t="shared" si="54"/>
        <v>0</v>
      </c>
      <c r="S211" s="16">
        <f>SUM(S$212:S$213)</f>
        <v>0</v>
      </c>
      <c r="T211" s="16"/>
      <c r="U211" s="17">
        <f t="shared" si="55"/>
        <v>0</v>
      </c>
      <c r="V211" s="16">
        <f>SUM(V$212:V$213)</f>
        <v>0</v>
      </c>
      <c r="W211" s="16"/>
      <c r="X211" s="17">
        <f t="shared" si="56"/>
        <v>0</v>
      </c>
      <c r="Y211" s="16">
        <f t="shared" si="57"/>
        <v>2341.92</v>
      </c>
      <c r="Z211" s="17">
        <f t="shared" si="58"/>
        <v>1</v>
      </c>
      <c r="AA211" s="17">
        <f t="shared" si="59"/>
        <v>1.452908278582556E-3</v>
      </c>
    </row>
    <row r="212" spans="1:27" ht="86.4" x14ac:dyDescent="0.3">
      <c r="A212" s="23" t="s">
        <v>319</v>
      </c>
      <c r="B212" s="23">
        <f>VLOOKUP(A212,MEMORIA!$A:$N,2,FALSE)</f>
        <v>87904</v>
      </c>
      <c r="C212" s="23" t="str">
        <f>VLOOKUP(A212,MEMORIA!$A:$N,3,FALSE)</f>
        <v>SINAPI</v>
      </c>
      <c r="D212" s="24" t="str">
        <f>VLOOKUP(A212,MEMORIA!$A:$N,4,FALSE)</f>
        <v>CHAPISCO APLICADO EM ALVENARIA (COM PRESENÇA DE VÃOS) E ESTRUTURAS DE CONCRETO DE FACHADA, COM COLHER DE PEDREIRO. ARGAMASSA TRAÇO 1:3 COM PREPARO MANUAL. AF_10/2022</v>
      </c>
      <c r="E212" s="23" t="str">
        <f>VLOOKUP(A212,MEMORIA!$A:$N,5,FALSE)</f>
        <v>M2</v>
      </c>
      <c r="F212" s="5">
        <f>VLOOKUP(A212,MEMORIA!$A:$N,14,FALSE)</f>
        <v>38.619999999999997</v>
      </c>
      <c r="G212" s="5">
        <f>VLOOKUP(A212,ORCAMENTO!$A:$I,7,FALSE)</f>
        <v>8.7199999999999989</v>
      </c>
      <c r="H212" s="5">
        <f>VLOOKUP(A212,ORCAMENTO!$A:$I,8,FALSE)</f>
        <v>10.669999999999998</v>
      </c>
      <c r="I212" s="5">
        <f>ROUND(F212*H212,2)</f>
        <v>412.08</v>
      </c>
      <c r="J212" s="5">
        <f>ROUND(K212*$H212,2)</f>
        <v>0</v>
      </c>
      <c r="K212" s="5">
        <v>0</v>
      </c>
      <c r="L212" s="25">
        <f t="shared" si="52"/>
        <v>0</v>
      </c>
      <c r="M212" s="5">
        <f>ROUND(N212*$H212,2)</f>
        <v>412.08</v>
      </c>
      <c r="N212" s="5">
        <f t="shared" si="51"/>
        <v>38.619999999999997</v>
      </c>
      <c r="O212" s="25">
        <f t="shared" si="53"/>
        <v>1</v>
      </c>
      <c r="P212" s="5">
        <f>ROUND(Q212*$H212,2)</f>
        <v>0</v>
      </c>
      <c r="Q212" s="5">
        <v>0</v>
      </c>
      <c r="R212" s="25">
        <f t="shared" si="54"/>
        <v>0</v>
      </c>
      <c r="S212" s="5">
        <f>ROUND(T212*$H212,2)</f>
        <v>0</v>
      </c>
      <c r="T212" s="5">
        <v>0</v>
      </c>
      <c r="U212" s="25">
        <f t="shared" si="55"/>
        <v>0</v>
      </c>
      <c r="V212" s="5">
        <f>ROUND(W212*$H212,2)</f>
        <v>0</v>
      </c>
      <c r="W212" s="5">
        <v>0</v>
      </c>
      <c r="X212" s="25">
        <f t="shared" si="56"/>
        <v>0</v>
      </c>
      <c r="Y212" s="5">
        <f t="shared" si="57"/>
        <v>412.08</v>
      </c>
      <c r="Z212" s="25">
        <f t="shared" si="58"/>
        <v>1</v>
      </c>
      <c r="AA212" s="25">
        <f t="shared" si="59"/>
        <v>2.5565110825233128E-4</v>
      </c>
    </row>
    <row r="213" spans="1:27" ht="86.4" x14ac:dyDescent="0.3">
      <c r="A213" s="23" t="s">
        <v>320</v>
      </c>
      <c r="B213" s="23">
        <f>VLOOKUP(A213,MEMORIA!$A:$N,2,FALSE)</f>
        <v>87530</v>
      </c>
      <c r="C213" s="23" t="str">
        <f>VLOOKUP(A213,MEMORIA!$A:$N,3,FALSE)</f>
        <v>SINAPI</v>
      </c>
      <c r="D213" s="24" t="str">
        <f>VLOOKUP(A213,MEMORIA!$A:$N,4,FALSE)</f>
        <v>MASSA ÚNICA, EM ARGAMASSA TRAÇO 1:2:8, PREPARO MANUAL, APLICADA MANUALMENTE EM PAREDES INTERNAS DE AMBIENTES COM ÁREA ENTRE 5M² E 10M², E = 17,5MM, COM TALISCAS. AF_03/2024</v>
      </c>
      <c r="E213" s="23" t="str">
        <f>VLOOKUP(A213,MEMORIA!$A:$N,5,FALSE)</f>
        <v>M2</v>
      </c>
      <c r="F213" s="5">
        <f>VLOOKUP(A213,MEMORIA!$A:$N,14,FALSE)</f>
        <v>38.619999999999997</v>
      </c>
      <c r="G213" s="5">
        <f>VLOOKUP(A213,ORCAMENTO!$A:$I,7,FALSE)</f>
        <v>40.85</v>
      </c>
      <c r="H213" s="5">
        <f>VLOOKUP(A213,ORCAMENTO!$A:$I,8,FALSE)</f>
        <v>49.97</v>
      </c>
      <c r="I213" s="5">
        <f>ROUND(F213*H213,2)</f>
        <v>1929.84</v>
      </c>
      <c r="J213" s="5">
        <f>ROUND(K213*$H213,2)</f>
        <v>0</v>
      </c>
      <c r="K213" s="5">
        <v>0</v>
      </c>
      <c r="L213" s="25">
        <f t="shared" si="52"/>
        <v>0</v>
      </c>
      <c r="M213" s="5">
        <f>ROUND(N213*$H213,2)</f>
        <v>1929.84</v>
      </c>
      <c r="N213" s="5">
        <f t="shared" si="51"/>
        <v>38.619999999999997</v>
      </c>
      <c r="O213" s="25">
        <f t="shared" si="53"/>
        <v>1</v>
      </c>
      <c r="P213" s="5">
        <f>ROUND(Q213*$H213,2)</f>
        <v>0</v>
      </c>
      <c r="Q213" s="5">
        <v>0</v>
      </c>
      <c r="R213" s="25">
        <f t="shared" si="54"/>
        <v>0</v>
      </c>
      <c r="S213" s="5">
        <f>ROUND(T213*$H213,2)</f>
        <v>0</v>
      </c>
      <c r="T213" s="5">
        <v>0</v>
      </c>
      <c r="U213" s="25">
        <f t="shared" si="55"/>
        <v>0</v>
      </c>
      <c r="V213" s="5">
        <f>ROUND(W213*$H213,2)</f>
        <v>0</v>
      </c>
      <c r="W213" s="5">
        <v>0</v>
      </c>
      <c r="X213" s="25">
        <f t="shared" si="56"/>
        <v>0</v>
      </c>
      <c r="Y213" s="5">
        <f t="shared" si="57"/>
        <v>1929.84</v>
      </c>
      <c r="Z213" s="25">
        <f t="shared" si="58"/>
        <v>1</v>
      </c>
      <c r="AA213" s="25">
        <f t="shared" si="59"/>
        <v>1.1972571703302247E-3</v>
      </c>
    </row>
    <row r="214" spans="1:27" x14ac:dyDescent="0.3">
      <c r="A214" s="15" t="s">
        <v>77</v>
      </c>
      <c r="B214" s="48" t="str">
        <f>VLOOKUP(A214,MEMORIA!$A:$N,2,FALSE)</f>
        <v>ESQUADRIAS</v>
      </c>
      <c r="C214" s="49"/>
      <c r="D214" s="49"/>
      <c r="E214" s="49"/>
      <c r="F214" s="49"/>
      <c r="G214" s="49"/>
      <c r="H214" s="50"/>
      <c r="I214" s="16">
        <f>SUM(I$215:I$216)</f>
        <v>2243.75</v>
      </c>
      <c r="J214" s="16">
        <f>SUM(J$215:J$216)</f>
        <v>0</v>
      </c>
      <c r="K214" s="16"/>
      <c r="L214" s="17">
        <f t="shared" si="52"/>
        <v>0</v>
      </c>
      <c r="M214" s="16">
        <f>SUM(M$215:M$216)</f>
        <v>2243.75</v>
      </c>
      <c r="N214" s="16"/>
      <c r="O214" s="17">
        <f t="shared" si="53"/>
        <v>1</v>
      </c>
      <c r="P214" s="16">
        <f>SUM(P$215:P$216)</f>
        <v>0</v>
      </c>
      <c r="Q214" s="16"/>
      <c r="R214" s="17">
        <f t="shared" si="54"/>
        <v>0</v>
      </c>
      <c r="S214" s="16">
        <f>SUM(S$215:S$216)</f>
        <v>0</v>
      </c>
      <c r="T214" s="16"/>
      <c r="U214" s="17">
        <f t="shared" si="55"/>
        <v>0</v>
      </c>
      <c r="V214" s="16">
        <f>SUM(V$215:V$216)</f>
        <v>0</v>
      </c>
      <c r="W214" s="16"/>
      <c r="X214" s="17">
        <f t="shared" si="56"/>
        <v>0</v>
      </c>
      <c r="Y214" s="16">
        <f t="shared" si="57"/>
        <v>2243.75</v>
      </c>
      <c r="Z214" s="17">
        <f t="shared" si="58"/>
        <v>1</v>
      </c>
      <c r="AA214" s="17">
        <f t="shared" si="59"/>
        <v>1.3920044024004279E-3</v>
      </c>
    </row>
    <row r="215" spans="1:27" ht="43.2" x14ac:dyDescent="0.3">
      <c r="A215" s="23" t="s">
        <v>321</v>
      </c>
      <c r="B215" s="23">
        <f>VLOOKUP(A215,MEMORIA!$A:$N,2,FALSE)</f>
        <v>100701</v>
      </c>
      <c r="C215" s="23" t="str">
        <f>VLOOKUP(A215,MEMORIA!$A:$N,3,FALSE)</f>
        <v>SINAPI</v>
      </c>
      <c r="D215" s="24" t="str">
        <f>VLOOKUP(A215,MEMORIA!$A:$N,4,FALSE)</f>
        <v>PORTA DE FERRO, DE ABRIR, TIPO GRADE COM CHAPA, COM GUARNIÇÕES. AF_12/2019</v>
      </c>
      <c r="E215" s="23" t="str">
        <f>VLOOKUP(A215,MEMORIA!$A:$N,5,FALSE)</f>
        <v>M2</v>
      </c>
      <c r="F215" s="5">
        <f>VLOOKUP(A215,MEMORIA!$A:$N,14,FALSE)</f>
        <v>1.68</v>
      </c>
      <c r="G215" s="5">
        <f>VLOOKUP(A215,ORCAMENTO!$A:$I,7,FALSE)</f>
        <v>415.24</v>
      </c>
      <c r="H215" s="5">
        <f>VLOOKUP(A215,ORCAMENTO!$A:$I,8,FALSE)</f>
        <v>507.96000000000004</v>
      </c>
      <c r="I215" s="5">
        <f>ROUND(F215*H215,2)</f>
        <v>853.37</v>
      </c>
      <c r="J215" s="5">
        <f>ROUND(K215*$H215,2)</f>
        <v>0</v>
      </c>
      <c r="K215" s="5">
        <v>0</v>
      </c>
      <c r="L215" s="25">
        <f t="shared" si="52"/>
        <v>0</v>
      </c>
      <c r="M215" s="5">
        <f>ROUND(N215*$H215,2)</f>
        <v>853.37</v>
      </c>
      <c r="N215" s="5">
        <f t="shared" si="51"/>
        <v>1.68</v>
      </c>
      <c r="O215" s="25">
        <f t="shared" si="53"/>
        <v>1</v>
      </c>
      <c r="P215" s="5">
        <f>ROUND(Q215*$H215,2)</f>
        <v>0</v>
      </c>
      <c r="Q215" s="5">
        <v>0</v>
      </c>
      <c r="R215" s="25">
        <f t="shared" si="54"/>
        <v>0</v>
      </c>
      <c r="S215" s="5">
        <f>ROUND(T215*$H215,2)</f>
        <v>0</v>
      </c>
      <c r="T215" s="5">
        <v>0</v>
      </c>
      <c r="U215" s="25">
        <f t="shared" si="55"/>
        <v>0</v>
      </c>
      <c r="V215" s="5">
        <f>ROUND(W215*$H215,2)</f>
        <v>0</v>
      </c>
      <c r="W215" s="5">
        <v>0</v>
      </c>
      <c r="X215" s="25">
        <f t="shared" si="56"/>
        <v>0</v>
      </c>
      <c r="Y215" s="5">
        <f t="shared" si="57"/>
        <v>853.37</v>
      </c>
      <c r="Z215" s="25">
        <f t="shared" si="58"/>
        <v>1</v>
      </c>
      <c r="AA215" s="25">
        <f t="shared" si="59"/>
        <v>5.2942386490315463E-4</v>
      </c>
    </row>
    <row r="216" spans="1:27" ht="43.2" x14ac:dyDescent="0.3">
      <c r="A216" s="23" t="s">
        <v>322</v>
      </c>
      <c r="B216" s="23" t="str">
        <f>VLOOKUP(A216,MEMORIA!$A:$N,2,FALSE)</f>
        <v>COMP219</v>
      </c>
      <c r="C216" s="23" t="str">
        <f>VLOOKUP(A216,MEMORIA!$A:$N,3,FALSE)</f>
        <v>PRÓPRIA</v>
      </c>
      <c r="D216" s="24" t="str">
        <f>VLOOKUP(A216,MEMORIA!$A:$N,4,FALSE)</f>
        <v>PORTÃO DE FERRO EM BARRA CHATA TIPO TIJOLINHO (REF: C1999-SEINFRA 28)</v>
      </c>
      <c r="E216" s="23" t="str">
        <f>VLOOKUP(A216,MEMORIA!$A:$N,5,FALSE)</f>
        <v>M2</v>
      </c>
      <c r="F216" s="5">
        <f>VLOOKUP(A216,MEMORIA!$A:$N,14,FALSE)</f>
        <v>6</v>
      </c>
      <c r="G216" s="5">
        <f>VLOOKUP(A216,ORCAMENTO!$A:$I,7,FALSE)</f>
        <v>189.43</v>
      </c>
      <c r="H216" s="5">
        <f>VLOOKUP(A216,ORCAMENTO!$A:$I,8,FALSE)</f>
        <v>231.73000000000002</v>
      </c>
      <c r="I216" s="5">
        <f>ROUND(F216*H216,2)</f>
        <v>1390.38</v>
      </c>
      <c r="J216" s="5">
        <f>ROUND(K216*$H216,2)</f>
        <v>0</v>
      </c>
      <c r="K216" s="5">
        <v>0</v>
      </c>
      <c r="L216" s="25">
        <f t="shared" si="52"/>
        <v>0</v>
      </c>
      <c r="M216" s="5">
        <f>ROUND(N216*$H216,2)</f>
        <v>1390.38</v>
      </c>
      <c r="N216" s="5">
        <f t="shared" si="51"/>
        <v>6</v>
      </c>
      <c r="O216" s="25">
        <f t="shared" si="53"/>
        <v>1</v>
      </c>
      <c r="P216" s="5">
        <f>ROUND(Q216*$H216,2)</f>
        <v>0</v>
      </c>
      <c r="Q216" s="5">
        <v>0</v>
      </c>
      <c r="R216" s="25">
        <f t="shared" si="54"/>
        <v>0</v>
      </c>
      <c r="S216" s="5">
        <f>ROUND(T216*$H216,2)</f>
        <v>0</v>
      </c>
      <c r="T216" s="5">
        <v>0</v>
      </c>
      <c r="U216" s="25">
        <f t="shared" si="55"/>
        <v>0</v>
      </c>
      <c r="V216" s="5">
        <f>ROUND(W216*$H216,2)</f>
        <v>0</v>
      </c>
      <c r="W216" s="5">
        <v>0</v>
      </c>
      <c r="X216" s="25">
        <f t="shared" si="56"/>
        <v>0</v>
      </c>
      <c r="Y216" s="5">
        <f t="shared" si="57"/>
        <v>1390.38</v>
      </c>
      <c r="Z216" s="25">
        <f t="shared" si="58"/>
        <v>1</v>
      </c>
      <c r="AA216" s="25">
        <f t="shared" si="59"/>
        <v>8.625805374972733E-4</v>
      </c>
    </row>
    <row r="217" spans="1:27" x14ac:dyDescent="0.3">
      <c r="A217" s="15" t="s">
        <v>78</v>
      </c>
      <c r="B217" s="48" t="str">
        <f>VLOOKUP(A217,MEMORIA!$A:$N,2,FALSE)</f>
        <v>PINTURA</v>
      </c>
      <c r="C217" s="49"/>
      <c r="D217" s="49"/>
      <c r="E217" s="49"/>
      <c r="F217" s="49"/>
      <c r="G217" s="49"/>
      <c r="H217" s="50"/>
      <c r="I217" s="16">
        <f>SUM(I$218:I$219)</f>
        <v>649.88</v>
      </c>
      <c r="J217" s="16">
        <f>SUM(J$218:J$219)</f>
        <v>0</v>
      </c>
      <c r="K217" s="16"/>
      <c r="L217" s="17">
        <f t="shared" si="52"/>
        <v>0</v>
      </c>
      <c r="M217" s="16">
        <f>SUM(M$218:M$219)</f>
        <v>649.88</v>
      </c>
      <c r="N217" s="16"/>
      <c r="O217" s="17">
        <f t="shared" si="53"/>
        <v>1</v>
      </c>
      <c r="P217" s="16">
        <f>SUM(P$218:P$219)</f>
        <v>0</v>
      </c>
      <c r="Q217" s="16"/>
      <c r="R217" s="17">
        <f t="shared" si="54"/>
        <v>0</v>
      </c>
      <c r="S217" s="16">
        <f>SUM(S$218:S$219)</f>
        <v>0</v>
      </c>
      <c r="T217" s="16"/>
      <c r="U217" s="17">
        <f t="shared" si="55"/>
        <v>0</v>
      </c>
      <c r="V217" s="16">
        <f>SUM(V$218:V$219)</f>
        <v>0</v>
      </c>
      <c r="W217" s="16"/>
      <c r="X217" s="17">
        <f t="shared" si="56"/>
        <v>0</v>
      </c>
      <c r="Y217" s="16">
        <f t="shared" si="57"/>
        <v>649.88</v>
      </c>
      <c r="Z217" s="17">
        <f t="shared" si="58"/>
        <v>1</v>
      </c>
      <c r="AA217" s="17">
        <f t="shared" si="59"/>
        <v>4.0318031020924349E-4</v>
      </c>
    </row>
    <row r="218" spans="1:27" ht="28.8" x14ac:dyDescent="0.3">
      <c r="A218" s="23" t="s">
        <v>323</v>
      </c>
      <c r="B218" s="23" t="str">
        <f>VLOOKUP(A218,MEMORIA!$A:$N,2,FALSE)</f>
        <v>COMP205</v>
      </c>
      <c r="C218" s="23" t="str">
        <f>VLOOKUP(A218,MEMORIA!$A:$N,3,FALSE)</f>
        <v>PRÓPRIA</v>
      </c>
      <c r="D218" s="24" t="str">
        <f>VLOOKUP(A218,MEMORIA!$A:$N,4,FALSE)</f>
        <v>CAIAÇÃO EM TRES DEMÃOS EM PAREDES (REF: C0589-SEINFRA 28)</v>
      </c>
      <c r="E218" s="23" t="str">
        <f>VLOOKUP(A218,MEMORIA!$A:$N,5,FALSE)</f>
        <v>M2</v>
      </c>
      <c r="F218" s="5">
        <f>VLOOKUP(A218,MEMORIA!$A:$N,14,FALSE)</f>
        <v>38.619999999999997</v>
      </c>
      <c r="G218" s="5">
        <f>VLOOKUP(A218,ORCAMENTO!$A:$I,7,FALSE)</f>
        <v>9.3800000000000008</v>
      </c>
      <c r="H218" s="5">
        <f>VLOOKUP(A218,ORCAMENTO!$A:$I,8,FALSE)</f>
        <v>11.47</v>
      </c>
      <c r="I218" s="5">
        <f>ROUND(F218*H218,2)</f>
        <v>442.97</v>
      </c>
      <c r="J218" s="5">
        <f>ROUND(K218*$H218,2)</f>
        <v>0</v>
      </c>
      <c r="K218" s="5">
        <v>0</v>
      </c>
      <c r="L218" s="25">
        <f t="shared" si="52"/>
        <v>0</v>
      </c>
      <c r="M218" s="5">
        <f>ROUND(N218*$H218,2)</f>
        <v>442.97</v>
      </c>
      <c r="N218" s="5">
        <f t="shared" si="51"/>
        <v>38.619999999999997</v>
      </c>
      <c r="O218" s="25">
        <f t="shared" si="53"/>
        <v>1</v>
      </c>
      <c r="P218" s="5">
        <f>ROUND(Q218*$H218,2)</f>
        <v>0</v>
      </c>
      <c r="Q218" s="5">
        <v>0</v>
      </c>
      <c r="R218" s="25">
        <f t="shared" si="54"/>
        <v>0</v>
      </c>
      <c r="S218" s="5">
        <f>ROUND(T218*$H218,2)</f>
        <v>0</v>
      </c>
      <c r="T218" s="5">
        <v>0</v>
      </c>
      <c r="U218" s="25">
        <f t="shared" si="55"/>
        <v>0</v>
      </c>
      <c r="V218" s="5">
        <f>ROUND(W218*$H218,2)</f>
        <v>0</v>
      </c>
      <c r="W218" s="5">
        <v>0</v>
      </c>
      <c r="X218" s="25">
        <f t="shared" si="56"/>
        <v>0</v>
      </c>
      <c r="Y218" s="5">
        <f t="shared" si="57"/>
        <v>442.97</v>
      </c>
      <c r="Z218" s="25">
        <f t="shared" si="58"/>
        <v>1</v>
      </c>
      <c r="AA218" s="25">
        <f t="shared" si="59"/>
        <v>2.7481501510030868E-4</v>
      </c>
    </row>
    <row r="219" spans="1:27" ht="86.4" x14ac:dyDescent="0.3">
      <c r="A219" s="23" t="s">
        <v>324</v>
      </c>
      <c r="B219" s="23">
        <f>VLOOKUP(A219,MEMORIA!$A:$N,2,FALSE)</f>
        <v>100758</v>
      </c>
      <c r="C219" s="23" t="str">
        <f>VLOOKUP(A219,MEMORIA!$A:$N,3,FALSE)</f>
        <v>SINAPI</v>
      </c>
      <c r="D219" s="24" t="str">
        <f>VLOOKUP(A219,MEMORIA!$A:$N,4,FALSE)</f>
        <v>PINTURA COM TINTA ALQUÍDICA DE ACABAMENTO (ESMALTE SINTÉTICO ACETINADO) APLICADA A ROLO OU PINCEL SOBRE SUPERFÍCIES METÁLICAS (EXCETO PERFIL) EXECUTADO EM OBRA (02 DEMÃOS). AF_01/2020</v>
      </c>
      <c r="E219" s="23" t="str">
        <f>VLOOKUP(A219,MEMORIA!$A:$N,5,FALSE)</f>
        <v>M2</v>
      </c>
      <c r="F219" s="5">
        <f>VLOOKUP(A219,MEMORIA!$A:$N,14,FALSE)</f>
        <v>3.36</v>
      </c>
      <c r="G219" s="5">
        <f>VLOOKUP(A219,ORCAMENTO!$A:$I,7,FALSE)</f>
        <v>50.339999999999996</v>
      </c>
      <c r="H219" s="5">
        <f>VLOOKUP(A219,ORCAMENTO!$A:$I,8,FALSE)</f>
        <v>61.58</v>
      </c>
      <c r="I219" s="5">
        <f>ROUND(F219*H219,2)</f>
        <v>206.91</v>
      </c>
      <c r="J219" s="5">
        <f>ROUND(K219*$H219,2)</f>
        <v>0</v>
      </c>
      <c r="K219" s="5">
        <v>0</v>
      </c>
      <c r="L219" s="25">
        <f t="shared" si="52"/>
        <v>0</v>
      </c>
      <c r="M219" s="5">
        <f>ROUND(N219*$H219,2)</f>
        <v>206.91</v>
      </c>
      <c r="N219" s="5">
        <f t="shared" si="51"/>
        <v>3.36</v>
      </c>
      <c r="O219" s="25">
        <f t="shared" si="53"/>
        <v>1</v>
      </c>
      <c r="P219" s="5">
        <f>ROUND(Q219*$H219,2)</f>
        <v>0</v>
      </c>
      <c r="Q219" s="5">
        <v>0</v>
      </c>
      <c r="R219" s="25">
        <f t="shared" si="54"/>
        <v>0</v>
      </c>
      <c r="S219" s="5">
        <f>ROUND(T219*$H219,2)</f>
        <v>0</v>
      </c>
      <c r="T219" s="5">
        <v>0</v>
      </c>
      <c r="U219" s="25">
        <f t="shared" si="55"/>
        <v>0</v>
      </c>
      <c r="V219" s="5">
        <f>ROUND(W219*$H219,2)</f>
        <v>0</v>
      </c>
      <c r="W219" s="5">
        <v>0</v>
      </c>
      <c r="X219" s="25">
        <f t="shared" si="56"/>
        <v>0</v>
      </c>
      <c r="Y219" s="5">
        <f t="shared" si="57"/>
        <v>206.91</v>
      </c>
      <c r="Z219" s="25">
        <f t="shared" si="58"/>
        <v>1</v>
      </c>
      <c r="AA219" s="25">
        <f t="shared" si="59"/>
        <v>1.2836529510893484E-4</v>
      </c>
    </row>
    <row r="220" spans="1:27" x14ac:dyDescent="0.3">
      <c r="A220" s="15" t="s">
        <v>79</v>
      </c>
      <c r="B220" s="48" t="str">
        <f>VLOOKUP(A220,MEMORIA!$A:$N,2,FALSE)</f>
        <v>CERCAMENTO</v>
      </c>
      <c r="C220" s="49"/>
      <c r="D220" s="49"/>
      <c r="E220" s="49"/>
      <c r="F220" s="49"/>
      <c r="G220" s="49"/>
      <c r="H220" s="50"/>
      <c r="I220" s="16">
        <f>SUM(I$221:I$221)</f>
        <v>5908.53</v>
      </c>
      <c r="J220" s="16">
        <f>SUM(J$221:J$221)</f>
        <v>0</v>
      </c>
      <c r="K220" s="16"/>
      <c r="L220" s="17">
        <f t="shared" si="52"/>
        <v>0</v>
      </c>
      <c r="M220" s="16">
        <f>SUM(M$221:M$221)</f>
        <v>5908.53</v>
      </c>
      <c r="N220" s="16"/>
      <c r="O220" s="17">
        <f t="shared" si="53"/>
        <v>1</v>
      </c>
      <c r="P220" s="16">
        <f>SUM(P$221:P$221)</f>
        <v>0</v>
      </c>
      <c r="Q220" s="16"/>
      <c r="R220" s="17">
        <f t="shared" si="54"/>
        <v>0</v>
      </c>
      <c r="S220" s="16">
        <f>SUM(S$221:S$221)</f>
        <v>0</v>
      </c>
      <c r="T220" s="16"/>
      <c r="U220" s="17">
        <f t="shared" si="55"/>
        <v>0</v>
      </c>
      <c r="V220" s="16">
        <f>SUM(V$221:V$221)</f>
        <v>0</v>
      </c>
      <c r="W220" s="16"/>
      <c r="X220" s="17">
        <f t="shared" si="56"/>
        <v>0</v>
      </c>
      <c r="Y220" s="16">
        <f t="shared" si="57"/>
        <v>5908.53</v>
      </c>
      <c r="Z220" s="17">
        <f t="shared" si="58"/>
        <v>1</v>
      </c>
      <c r="AA220" s="17">
        <f t="shared" si="59"/>
        <v>3.6656043550818943E-3</v>
      </c>
    </row>
    <row r="221" spans="1:27" ht="100.8" x14ac:dyDescent="0.3">
      <c r="A221" s="23" t="s">
        <v>325</v>
      </c>
      <c r="B221" s="23">
        <f>VLOOKUP(A221,MEMORIA!$A:$N,2,FALSE)</f>
        <v>101197</v>
      </c>
      <c r="C221" s="23" t="str">
        <f>VLOOKUP(A221,MEMORIA!$A:$N,3,FALSE)</f>
        <v>SINAPI</v>
      </c>
      <c r="D221" s="24" t="str">
        <f>VLOOKUP(A221,MEMORIA!$A:$N,4,FALSE)</f>
        <v>CERCA COM MOURÕES DE CONCRETO, SEÇÃO "T" PONTA INCLINADA, 10X10 CM, ESPAÇAMENTO DE 2,5 M, CRAVADOS 0,5 M, COM 11 FIOS DE ARAME FARPADO Nº 14 - FORNECIMENTO E INSTALAÇÃO. AF_05/2020</v>
      </c>
      <c r="E221" s="23" t="str">
        <f>VLOOKUP(A221,MEMORIA!$A:$N,5,FALSE)</f>
        <v>M</v>
      </c>
      <c r="F221" s="5">
        <f>VLOOKUP(A221,MEMORIA!$A:$N,14,FALSE)</f>
        <v>37</v>
      </c>
      <c r="G221" s="5">
        <f>VLOOKUP(A221,ORCAMENTO!$A:$I,7,FALSE)</f>
        <v>130.54</v>
      </c>
      <c r="H221" s="5">
        <f>VLOOKUP(A221,ORCAMENTO!$A:$I,8,FALSE)</f>
        <v>159.69</v>
      </c>
      <c r="I221" s="5">
        <f>ROUND(F221*H221,2)</f>
        <v>5908.53</v>
      </c>
      <c r="J221" s="5">
        <f>ROUND(K221*$H221,2)</f>
        <v>0</v>
      </c>
      <c r="K221" s="5">
        <v>0</v>
      </c>
      <c r="L221" s="25">
        <f t="shared" si="52"/>
        <v>0</v>
      </c>
      <c r="M221" s="5">
        <f>ROUND(N221*$H221,2)</f>
        <v>5908.53</v>
      </c>
      <c r="N221" s="5">
        <f t="shared" si="51"/>
        <v>37</v>
      </c>
      <c r="O221" s="25">
        <f t="shared" si="53"/>
        <v>1</v>
      </c>
      <c r="P221" s="5">
        <f>ROUND(Q221*$H221,2)</f>
        <v>0</v>
      </c>
      <c r="Q221" s="5">
        <v>0</v>
      </c>
      <c r="R221" s="25">
        <f t="shared" si="54"/>
        <v>0</v>
      </c>
      <c r="S221" s="5">
        <f>ROUND(T221*$H221,2)</f>
        <v>0</v>
      </c>
      <c r="T221" s="5">
        <v>0</v>
      </c>
      <c r="U221" s="25">
        <f t="shared" si="55"/>
        <v>0</v>
      </c>
      <c r="V221" s="5">
        <f>ROUND(W221*$H221,2)</f>
        <v>0</v>
      </c>
      <c r="W221" s="5">
        <v>0</v>
      </c>
      <c r="X221" s="25">
        <f t="shared" si="56"/>
        <v>0</v>
      </c>
      <c r="Y221" s="5">
        <f t="shared" si="57"/>
        <v>5908.53</v>
      </c>
      <c r="Z221" s="25">
        <f t="shared" si="58"/>
        <v>1</v>
      </c>
      <c r="AA221" s="25">
        <f t="shared" si="59"/>
        <v>3.6656043550818943E-3</v>
      </c>
    </row>
    <row r="222" spans="1:27" x14ac:dyDescent="0.3">
      <c r="A222" s="12" t="s">
        <v>80</v>
      </c>
      <c r="B222" s="51" t="str">
        <f>VLOOKUP(A222,MEMORIA!$A:$N,2,FALSE)</f>
        <v>INSTALAÇÕES ELÉTRICAS</v>
      </c>
      <c r="C222" s="52"/>
      <c r="D222" s="52"/>
      <c r="E222" s="52"/>
      <c r="F222" s="52"/>
      <c r="G222" s="52"/>
      <c r="H222" s="53"/>
      <c r="I222" s="13">
        <f>SUM(I$223:I$224)</f>
        <v>17909.879999999997</v>
      </c>
      <c r="J222" s="13">
        <f>SUM(J$223:J$224)</f>
        <v>0</v>
      </c>
      <c r="K222" s="13"/>
      <c r="L222" s="14">
        <f t="shared" si="52"/>
        <v>0</v>
      </c>
      <c r="M222" s="13">
        <f>SUM(M$223:M$224)</f>
        <v>17909.879999999997</v>
      </c>
      <c r="N222" s="13"/>
      <c r="O222" s="14">
        <f t="shared" si="53"/>
        <v>1</v>
      </c>
      <c r="P222" s="13">
        <f>SUM(P$223:P$224)</f>
        <v>0</v>
      </c>
      <c r="Q222" s="13"/>
      <c r="R222" s="14">
        <f t="shared" si="54"/>
        <v>0</v>
      </c>
      <c r="S222" s="13">
        <f>SUM(S$223:S$224)</f>
        <v>0</v>
      </c>
      <c r="T222" s="13"/>
      <c r="U222" s="14">
        <f t="shared" si="55"/>
        <v>0</v>
      </c>
      <c r="V222" s="13">
        <f>SUM(V$223:V$224)</f>
        <v>0</v>
      </c>
      <c r="W222" s="13"/>
      <c r="X222" s="14">
        <f t="shared" si="56"/>
        <v>0</v>
      </c>
      <c r="Y222" s="13">
        <f t="shared" si="57"/>
        <v>17909.879999999997</v>
      </c>
      <c r="Z222" s="14">
        <f t="shared" si="58"/>
        <v>1</v>
      </c>
      <c r="AA222" s="14">
        <f t="shared" si="59"/>
        <v>1.1111145094802617E-2</v>
      </c>
    </row>
    <row r="223" spans="1:27" ht="100.8" x14ac:dyDescent="0.3">
      <c r="A223" s="23" t="s">
        <v>326</v>
      </c>
      <c r="B223" s="23" t="str">
        <f>VLOOKUP(A223,MEMORIA!$A:$N,2,FALSE)</f>
        <v>COMP223</v>
      </c>
      <c r="C223" s="23" t="str">
        <f>VLOOKUP(A223,MEMORIA!$A:$N,3,FALSE)</f>
        <v>PRÓPRIA</v>
      </c>
      <c r="D223" s="24" t="str">
        <f>VLOOKUP(A223,MEMORIA!$A:$N,4,FALSE)</f>
        <v>FORNECIMENTO E INSTALAÇÃO DE KIT DE BOMBEAMENTO SOLAR P/ POÇO COM PROFUNDIDADE DE 100 A 120 M, INCLUSO BOMBA 3CV, INVERSOR, PAINÉIS, QUADRO DE COMANDO, DISJUNTORES, CABOS E CONEXÕES E ESTRUTURA TIPO SOLO</v>
      </c>
      <c r="E223" s="23" t="str">
        <f>VLOOKUP(A223,MEMORIA!$A:$N,5,FALSE)</f>
        <v>UND</v>
      </c>
      <c r="F223" s="5">
        <f>VLOOKUP(A223,MEMORIA!$A:$N,14,FALSE)</f>
        <v>1</v>
      </c>
      <c r="G223" s="5">
        <f>VLOOKUP(A223,ORCAMENTO!$A:$I,7,FALSE)</f>
        <v>12042.74</v>
      </c>
      <c r="H223" s="5">
        <f>VLOOKUP(A223,ORCAMENTO!$A:$I,8,FALSE)</f>
        <v>14731.88</v>
      </c>
      <c r="I223" s="5">
        <f>ROUND(F223*H223,2)</f>
        <v>14731.88</v>
      </c>
      <c r="J223" s="5">
        <f>ROUND(K223*$H223,2)</f>
        <v>0</v>
      </c>
      <c r="K223" s="5">
        <v>0</v>
      </c>
      <c r="L223" s="25">
        <f t="shared" si="52"/>
        <v>0</v>
      </c>
      <c r="M223" s="5">
        <f>ROUND(N223*$H223,2)</f>
        <v>14731.88</v>
      </c>
      <c r="N223" s="5">
        <f t="shared" si="51"/>
        <v>1</v>
      </c>
      <c r="O223" s="25">
        <f t="shared" si="53"/>
        <v>1</v>
      </c>
      <c r="P223" s="5">
        <f>ROUND(Q223*$H223,2)</f>
        <v>0</v>
      </c>
      <c r="Q223" s="5">
        <v>0</v>
      </c>
      <c r="R223" s="25">
        <f t="shared" si="54"/>
        <v>0</v>
      </c>
      <c r="S223" s="5">
        <f>ROUND(T223*$H223,2)</f>
        <v>0</v>
      </c>
      <c r="T223" s="5">
        <v>0</v>
      </c>
      <c r="U223" s="25">
        <f t="shared" si="55"/>
        <v>0</v>
      </c>
      <c r="V223" s="5">
        <f>ROUND(W223*$H223,2)</f>
        <v>0</v>
      </c>
      <c r="W223" s="5">
        <v>0</v>
      </c>
      <c r="X223" s="25">
        <f t="shared" si="56"/>
        <v>0</v>
      </c>
      <c r="Y223" s="5">
        <f t="shared" si="57"/>
        <v>14731.88</v>
      </c>
      <c r="Z223" s="25">
        <f t="shared" si="58"/>
        <v>1</v>
      </c>
      <c r="AA223" s="25">
        <f t="shared" si="59"/>
        <v>9.1395395278595273E-3</v>
      </c>
    </row>
    <row r="224" spans="1:27" ht="28.8" x14ac:dyDescent="0.3">
      <c r="A224" s="23" t="s">
        <v>327</v>
      </c>
      <c r="B224" s="23" t="str">
        <f>VLOOKUP(A224,MEMORIA!$A:$N,2,FALSE)</f>
        <v>COMPOS24</v>
      </c>
      <c r="C224" s="23" t="str">
        <f>VLOOKUP(A224,MEMORIA!$A:$N,3,FALSE)</f>
        <v>PRÓPRIA</v>
      </c>
      <c r="D224" s="24" t="str">
        <f>VLOOKUP(A224,MEMORIA!$A:$N,4,FALSE)</f>
        <v>FORNECIMENTO E INSTALAÇÃO DE CABO CHATO SUBMERSO DE 3 X 6 MM²</v>
      </c>
      <c r="E224" s="23" t="str">
        <f>VLOOKUP(A224,MEMORIA!$A:$N,5,FALSE)</f>
        <v>M</v>
      </c>
      <c r="F224" s="5">
        <f>VLOOKUP(A224,MEMORIA!$A:$N,14,FALSE)</f>
        <v>100</v>
      </c>
      <c r="G224" s="5">
        <f>VLOOKUP(A224,ORCAMENTO!$A:$I,7,FALSE)</f>
        <v>25.98</v>
      </c>
      <c r="H224" s="5">
        <f>VLOOKUP(A224,ORCAMENTO!$A:$I,8,FALSE)</f>
        <v>31.78</v>
      </c>
      <c r="I224" s="5">
        <f>ROUND(F224*H224,2)</f>
        <v>3178</v>
      </c>
      <c r="J224" s="5">
        <f>ROUND(K224*$H224,2)</f>
        <v>0</v>
      </c>
      <c r="K224" s="5">
        <v>0</v>
      </c>
      <c r="L224" s="25">
        <f t="shared" si="52"/>
        <v>0</v>
      </c>
      <c r="M224" s="5">
        <f>ROUND(N224*$H224,2)</f>
        <v>3178</v>
      </c>
      <c r="N224" s="5">
        <f t="shared" si="51"/>
        <v>100</v>
      </c>
      <c r="O224" s="25">
        <f t="shared" si="53"/>
        <v>1</v>
      </c>
      <c r="P224" s="5">
        <f>ROUND(Q224*$H224,2)</f>
        <v>0</v>
      </c>
      <c r="Q224" s="5">
        <v>0</v>
      </c>
      <c r="R224" s="25">
        <f t="shared" si="54"/>
        <v>0</v>
      </c>
      <c r="S224" s="5">
        <f>ROUND(T224*$H224,2)</f>
        <v>0</v>
      </c>
      <c r="T224" s="5">
        <v>0</v>
      </c>
      <c r="U224" s="25">
        <f t="shared" si="55"/>
        <v>0</v>
      </c>
      <c r="V224" s="5">
        <f>ROUND(W224*$H224,2)</f>
        <v>0</v>
      </c>
      <c r="W224" s="5">
        <v>0</v>
      </c>
      <c r="X224" s="25">
        <f t="shared" si="56"/>
        <v>0</v>
      </c>
      <c r="Y224" s="5">
        <f t="shared" si="57"/>
        <v>3178</v>
      </c>
      <c r="Z224" s="25">
        <f t="shared" si="58"/>
        <v>1</v>
      </c>
      <c r="AA224" s="25">
        <f t="shared" si="59"/>
        <v>1.9716055669430905E-3</v>
      </c>
    </row>
    <row r="225" spans="1:27" x14ac:dyDescent="0.3">
      <c r="A225" s="12" t="s">
        <v>81</v>
      </c>
      <c r="B225" s="51" t="str">
        <f>VLOOKUP(A225,MEMORIA!$A:$N,2,FALSE)</f>
        <v>ADUÇÃO</v>
      </c>
      <c r="C225" s="52"/>
      <c r="D225" s="52"/>
      <c r="E225" s="52"/>
      <c r="F225" s="52"/>
      <c r="G225" s="52"/>
      <c r="H225" s="53"/>
      <c r="I225" s="13">
        <f>SUM(I$226,I$229,I$231,)</f>
        <v>1455.29</v>
      </c>
      <c r="J225" s="13">
        <f>SUM(J$226,J$229,J$231,)</f>
        <v>0</v>
      </c>
      <c r="K225" s="13"/>
      <c r="L225" s="14">
        <f t="shared" si="52"/>
        <v>0</v>
      </c>
      <c r="M225" s="13">
        <f>SUM(M$226,M$229,M$231,)</f>
        <v>1455.29</v>
      </c>
      <c r="N225" s="13"/>
      <c r="O225" s="14">
        <f t="shared" si="53"/>
        <v>1</v>
      </c>
      <c r="P225" s="13">
        <f>SUM(P$226,P$229,P$231,)</f>
        <v>0</v>
      </c>
      <c r="Q225" s="13"/>
      <c r="R225" s="14">
        <f t="shared" si="54"/>
        <v>0</v>
      </c>
      <c r="S225" s="13">
        <f>SUM(S$226,S$229,S$231,)</f>
        <v>0</v>
      </c>
      <c r="T225" s="13"/>
      <c r="U225" s="14">
        <f t="shared" si="55"/>
        <v>0</v>
      </c>
      <c r="V225" s="13">
        <f>SUM(V$226,V$229,V$231,)</f>
        <v>0</v>
      </c>
      <c r="W225" s="13"/>
      <c r="X225" s="14">
        <f t="shared" si="56"/>
        <v>0</v>
      </c>
      <c r="Y225" s="13">
        <f t="shared" si="57"/>
        <v>1455.29</v>
      </c>
      <c r="Z225" s="14">
        <f t="shared" si="58"/>
        <v>1</v>
      </c>
      <c r="AA225" s="14">
        <f t="shared" si="59"/>
        <v>9.028501779473286E-4</v>
      </c>
    </row>
    <row r="226" spans="1:27" x14ac:dyDescent="0.3">
      <c r="A226" s="15" t="s">
        <v>82</v>
      </c>
      <c r="B226" s="48" t="str">
        <f>VLOOKUP(A226,MEMORIA!$A:$N,2,FALSE)</f>
        <v>MOVIMENTO DE TERRA</v>
      </c>
      <c r="C226" s="49"/>
      <c r="D226" s="49"/>
      <c r="E226" s="49"/>
      <c r="F226" s="49"/>
      <c r="G226" s="49"/>
      <c r="H226" s="50"/>
      <c r="I226" s="16">
        <f>SUM(I$227:I$228)</f>
        <v>485.08</v>
      </c>
      <c r="J226" s="16">
        <f>SUM(J$227:J$228)</f>
        <v>0</v>
      </c>
      <c r="K226" s="16"/>
      <c r="L226" s="17">
        <f t="shared" si="52"/>
        <v>0</v>
      </c>
      <c r="M226" s="16">
        <f>SUM(M$227:M$228)</f>
        <v>485.08</v>
      </c>
      <c r="N226" s="16"/>
      <c r="O226" s="17">
        <f t="shared" si="53"/>
        <v>1</v>
      </c>
      <c r="P226" s="16">
        <f>SUM(P$227:P$228)</f>
        <v>0</v>
      </c>
      <c r="Q226" s="16"/>
      <c r="R226" s="17">
        <f t="shared" si="54"/>
        <v>0</v>
      </c>
      <c r="S226" s="16">
        <f>SUM(S$227:S$228)</f>
        <v>0</v>
      </c>
      <c r="T226" s="16"/>
      <c r="U226" s="17">
        <f t="shared" si="55"/>
        <v>0</v>
      </c>
      <c r="V226" s="16">
        <f>SUM(V$227:V$228)</f>
        <v>0</v>
      </c>
      <c r="W226" s="16"/>
      <c r="X226" s="17">
        <f t="shared" si="56"/>
        <v>0</v>
      </c>
      <c r="Y226" s="16">
        <f t="shared" si="57"/>
        <v>485.08</v>
      </c>
      <c r="Z226" s="17">
        <f t="shared" si="58"/>
        <v>1</v>
      </c>
      <c r="AA226" s="17">
        <f t="shared" si="59"/>
        <v>3.0093971945020591E-4</v>
      </c>
    </row>
    <row r="227" spans="1:27" ht="28.8" x14ac:dyDescent="0.3">
      <c r="A227" s="23" t="s">
        <v>328</v>
      </c>
      <c r="B227" s="23">
        <f>VLOOKUP(A227,MEMORIA!$A:$N,2,FALSE)</f>
        <v>93358</v>
      </c>
      <c r="C227" s="23" t="str">
        <f>VLOOKUP(A227,MEMORIA!$A:$N,3,FALSE)</f>
        <v>SINAPI</v>
      </c>
      <c r="D227" s="24" t="str">
        <f>VLOOKUP(A227,MEMORIA!$A:$N,4,FALSE)</f>
        <v>ESCAVAÇÃO MANUAL DE VALA. AF_09/2024</v>
      </c>
      <c r="E227" s="23" t="str">
        <f>VLOOKUP(A227,MEMORIA!$A:$N,5,FALSE)</f>
        <v>M3</v>
      </c>
      <c r="F227" s="5">
        <f>VLOOKUP(A227,MEMORIA!$A:$N,14,FALSE)</f>
        <v>3.23</v>
      </c>
      <c r="G227" s="5">
        <f>VLOOKUP(A227,ORCAMENTO!$A:$I,7,FALSE)</f>
        <v>85.87</v>
      </c>
      <c r="H227" s="5">
        <f>VLOOKUP(A227,ORCAMENTO!$A:$I,8,FALSE)</f>
        <v>105.04</v>
      </c>
      <c r="I227" s="5">
        <f>ROUND(F227*H227,2)</f>
        <v>339.28</v>
      </c>
      <c r="J227" s="5">
        <f>ROUND(K227*$H227,2)</f>
        <v>0</v>
      </c>
      <c r="K227" s="5">
        <v>0</v>
      </c>
      <c r="L227" s="25">
        <f t="shared" si="52"/>
        <v>0</v>
      </c>
      <c r="M227" s="5">
        <f>ROUND(N227*$H227,2)</f>
        <v>339.28</v>
      </c>
      <c r="N227" s="5">
        <f t="shared" ref="N227:N237" si="60">F227</f>
        <v>3.23</v>
      </c>
      <c r="O227" s="25">
        <f t="shared" si="53"/>
        <v>1</v>
      </c>
      <c r="P227" s="5">
        <f>ROUND(Q227*$H227,2)</f>
        <v>0</v>
      </c>
      <c r="Q227" s="5">
        <v>0</v>
      </c>
      <c r="R227" s="25">
        <f t="shared" si="54"/>
        <v>0</v>
      </c>
      <c r="S227" s="5">
        <f>ROUND(T227*$H227,2)</f>
        <v>0</v>
      </c>
      <c r="T227" s="5">
        <v>0</v>
      </c>
      <c r="U227" s="25">
        <f t="shared" si="55"/>
        <v>0</v>
      </c>
      <c r="V227" s="5">
        <f>ROUND(W227*$H227,2)</f>
        <v>0</v>
      </c>
      <c r="W227" s="5">
        <v>0</v>
      </c>
      <c r="X227" s="25">
        <f t="shared" si="56"/>
        <v>0</v>
      </c>
      <c r="Y227" s="5">
        <f t="shared" si="57"/>
        <v>339.28</v>
      </c>
      <c r="Z227" s="25">
        <f t="shared" si="58"/>
        <v>1</v>
      </c>
      <c r="AA227" s="25">
        <f t="shared" si="59"/>
        <v>2.1048657544130012E-4</v>
      </c>
    </row>
    <row r="228" spans="1:27" ht="28.8" x14ac:dyDescent="0.3">
      <c r="A228" s="23" t="s">
        <v>329</v>
      </c>
      <c r="B228" s="23" t="str">
        <f>VLOOKUP(A228,MEMORIA!$A:$N,2,FALSE)</f>
        <v>COMPOS28</v>
      </c>
      <c r="C228" s="23" t="str">
        <f>VLOOKUP(A228,MEMORIA!$A:$N,3,FALSE)</f>
        <v>PRÓPRIA</v>
      </c>
      <c r="D228" s="24" t="str">
        <f>VLOOKUP(A228,MEMORIA!$A:$N,4,FALSE)</f>
        <v>REATERRO DE VALA COM COMPACTAÇÃO MANUAL</v>
      </c>
      <c r="E228" s="23" t="str">
        <f>VLOOKUP(A228,MEMORIA!$A:$N,5,FALSE)</f>
        <v>M³</v>
      </c>
      <c r="F228" s="5">
        <f>VLOOKUP(A228,MEMORIA!$A:$N,14,FALSE)</f>
        <v>3.23</v>
      </c>
      <c r="G228" s="5">
        <f>VLOOKUP(A228,ORCAMENTO!$A:$I,7,FALSE)</f>
        <v>36.9</v>
      </c>
      <c r="H228" s="5">
        <f>VLOOKUP(A228,ORCAMENTO!$A:$I,8,FALSE)</f>
        <v>45.14</v>
      </c>
      <c r="I228" s="5">
        <f>ROUND(F228*H228,2)</f>
        <v>145.80000000000001</v>
      </c>
      <c r="J228" s="5">
        <f>ROUND(K228*$H228,2)</f>
        <v>0</v>
      </c>
      <c r="K228" s="5">
        <v>0</v>
      </c>
      <c r="L228" s="25">
        <f t="shared" si="52"/>
        <v>0</v>
      </c>
      <c r="M228" s="5">
        <f>ROUND(N228*$H228,2)</f>
        <v>145.80000000000001</v>
      </c>
      <c r="N228" s="5">
        <f t="shared" si="60"/>
        <v>3.23</v>
      </c>
      <c r="O228" s="25">
        <f t="shared" si="53"/>
        <v>1</v>
      </c>
      <c r="P228" s="5">
        <f>ROUND(Q228*$H228,2)</f>
        <v>0</v>
      </c>
      <c r="Q228" s="5">
        <v>0</v>
      </c>
      <c r="R228" s="25">
        <f t="shared" si="54"/>
        <v>0</v>
      </c>
      <c r="S228" s="5">
        <f>ROUND(T228*$H228,2)</f>
        <v>0</v>
      </c>
      <c r="T228" s="5">
        <v>0</v>
      </c>
      <c r="U228" s="25">
        <f t="shared" si="55"/>
        <v>0</v>
      </c>
      <c r="V228" s="5">
        <f>ROUND(W228*$H228,2)</f>
        <v>0</v>
      </c>
      <c r="W228" s="5">
        <v>0</v>
      </c>
      <c r="X228" s="25">
        <f t="shared" si="56"/>
        <v>0</v>
      </c>
      <c r="Y228" s="5">
        <f t="shared" si="57"/>
        <v>145.80000000000001</v>
      </c>
      <c r="Z228" s="25">
        <f t="shared" si="58"/>
        <v>1</v>
      </c>
      <c r="AA228" s="25">
        <f t="shared" si="59"/>
        <v>9.0453144008905803E-5</v>
      </c>
    </row>
    <row r="229" spans="1:27" x14ac:dyDescent="0.3">
      <c r="A229" s="15" t="s">
        <v>83</v>
      </c>
      <c r="B229" s="48" t="str">
        <f>VLOOKUP(A229,MEMORIA!$A:$N,2,FALSE)</f>
        <v>INFRAESTRUTURA</v>
      </c>
      <c r="C229" s="49"/>
      <c r="D229" s="49"/>
      <c r="E229" s="49"/>
      <c r="F229" s="49"/>
      <c r="G229" s="49"/>
      <c r="H229" s="50"/>
      <c r="I229" s="16">
        <f>SUM(I$230:I$230)</f>
        <v>264.64</v>
      </c>
      <c r="J229" s="16">
        <f>SUM(J$230:J$230)</f>
        <v>0</v>
      </c>
      <c r="K229" s="16"/>
      <c r="L229" s="17">
        <f t="shared" si="52"/>
        <v>0</v>
      </c>
      <c r="M229" s="16">
        <f>SUM(M$230:M$230)</f>
        <v>264.64</v>
      </c>
      <c r="N229" s="16"/>
      <c r="O229" s="17">
        <f t="shared" si="53"/>
        <v>1</v>
      </c>
      <c r="P229" s="16">
        <f>SUM(P$230:P$230)</f>
        <v>0</v>
      </c>
      <c r="Q229" s="16"/>
      <c r="R229" s="17">
        <f t="shared" si="54"/>
        <v>0</v>
      </c>
      <c r="S229" s="16">
        <f>SUM(S$230:S$230)</f>
        <v>0</v>
      </c>
      <c r="T229" s="16"/>
      <c r="U229" s="17">
        <f t="shared" si="55"/>
        <v>0</v>
      </c>
      <c r="V229" s="16">
        <f>SUM(V$230:V$230)</f>
        <v>0</v>
      </c>
      <c r="W229" s="16"/>
      <c r="X229" s="17">
        <f t="shared" si="56"/>
        <v>0</v>
      </c>
      <c r="Y229" s="16">
        <f t="shared" si="57"/>
        <v>264.64</v>
      </c>
      <c r="Z229" s="17">
        <f t="shared" si="58"/>
        <v>1</v>
      </c>
      <c r="AA229" s="17">
        <f t="shared" si="59"/>
        <v>1.6418052147130883E-4</v>
      </c>
    </row>
    <row r="230" spans="1:27" x14ac:dyDescent="0.3">
      <c r="A230" s="23" t="s">
        <v>330</v>
      </c>
      <c r="B230" s="23" t="str">
        <f>VLOOKUP(A230,MEMORIA!$A:$N,2,FALSE)</f>
        <v>COMP216</v>
      </c>
      <c r="C230" s="23" t="str">
        <f>VLOOKUP(A230,MEMORIA!$A:$N,3,FALSE)</f>
        <v>PRÓPRIA</v>
      </c>
      <c r="D230" s="24" t="str">
        <f>VLOOKUP(A230,MEMORIA!$A:$N,4,FALSE)</f>
        <v>BLOCO DE ANCORAGEM EM CONCRETO SIMPLES FCK=10MPA (REF: C3403-SEINFRA 28)</v>
      </c>
      <c r="E230" s="23" t="str">
        <f>VLOOKUP(A230,MEMORIA!$A:$N,5,FALSE)</f>
        <v>M3</v>
      </c>
      <c r="F230" s="5">
        <f>VLOOKUP(A230,MEMORIA!$A:$N,14,FALSE)</f>
        <v>0.26</v>
      </c>
      <c r="G230" s="5">
        <f>VLOOKUP(A230,ORCAMENTO!$A:$I,7,FALSE)</f>
        <v>832.05</v>
      </c>
      <c r="H230" s="5">
        <f>VLOOKUP(A230,ORCAMENTO!$A:$I,8,FALSE)</f>
        <v>1017.8499999999999</v>
      </c>
      <c r="I230" s="5">
        <f>ROUND(F230*H230,2)</f>
        <v>264.64</v>
      </c>
      <c r="J230" s="5">
        <f>ROUND(K230*$H230,2)</f>
        <v>0</v>
      </c>
      <c r="K230" s="5">
        <v>0</v>
      </c>
      <c r="L230" s="25">
        <f t="shared" si="52"/>
        <v>0</v>
      </c>
      <c r="M230" s="5">
        <f>ROUND(N230*$H230,2)</f>
        <v>264.64</v>
      </c>
      <c r="N230" s="5">
        <f t="shared" si="60"/>
        <v>0.26</v>
      </c>
      <c r="O230" s="25">
        <f t="shared" si="53"/>
        <v>1</v>
      </c>
      <c r="P230" s="5">
        <f>ROUND(Q230*$H230,2)</f>
        <v>0</v>
      </c>
      <c r="Q230" s="5">
        <v>0</v>
      </c>
      <c r="R230" s="25">
        <f t="shared" si="54"/>
        <v>0</v>
      </c>
      <c r="S230" s="5">
        <f>ROUND(T230*$H230,2)</f>
        <v>0</v>
      </c>
      <c r="T230" s="5">
        <v>0</v>
      </c>
      <c r="U230" s="25">
        <f t="shared" si="55"/>
        <v>0</v>
      </c>
      <c r="V230" s="5">
        <f>ROUND(W230*$H230,2)</f>
        <v>0</v>
      </c>
      <c r="W230" s="5">
        <v>0</v>
      </c>
      <c r="X230" s="25">
        <f t="shared" si="56"/>
        <v>0</v>
      </c>
      <c r="Y230" s="5">
        <f t="shared" si="57"/>
        <v>264.64</v>
      </c>
      <c r="Z230" s="25">
        <f t="shared" si="58"/>
        <v>1</v>
      </c>
      <c r="AA230" s="25">
        <f t="shared" si="59"/>
        <v>1.6418052147130883E-4</v>
      </c>
    </row>
    <row r="231" spans="1:27" x14ac:dyDescent="0.3">
      <c r="A231" s="15" t="s">
        <v>84</v>
      </c>
      <c r="B231" s="48" t="str">
        <f>VLOOKUP(A231,MEMORIA!$A:$N,2,FALSE)</f>
        <v>INSTALAÇÕES HIDRÁULICAS</v>
      </c>
      <c r="C231" s="49"/>
      <c r="D231" s="49"/>
      <c r="E231" s="49"/>
      <c r="F231" s="49"/>
      <c r="G231" s="49"/>
      <c r="H231" s="50"/>
      <c r="I231" s="16">
        <f>SUM(I$232:I$233)</f>
        <v>705.57</v>
      </c>
      <c r="J231" s="16">
        <f>SUM(J$232:J$233)</f>
        <v>0</v>
      </c>
      <c r="K231" s="16"/>
      <c r="L231" s="17">
        <f t="shared" si="52"/>
        <v>0</v>
      </c>
      <c r="M231" s="16">
        <f>SUM(M$232:M$233)</f>
        <v>705.57</v>
      </c>
      <c r="N231" s="16"/>
      <c r="O231" s="17">
        <f t="shared" si="53"/>
        <v>1</v>
      </c>
      <c r="P231" s="16">
        <f>SUM(P$232:P$233)</f>
        <v>0</v>
      </c>
      <c r="Q231" s="16"/>
      <c r="R231" s="17">
        <f t="shared" si="54"/>
        <v>0</v>
      </c>
      <c r="S231" s="16">
        <f>SUM(S$232:S$233)</f>
        <v>0</v>
      </c>
      <c r="T231" s="16"/>
      <c r="U231" s="17">
        <f t="shared" si="55"/>
        <v>0</v>
      </c>
      <c r="V231" s="16">
        <f>SUM(V$232:V$233)</f>
        <v>0</v>
      </c>
      <c r="W231" s="16"/>
      <c r="X231" s="17">
        <f t="shared" si="56"/>
        <v>0</v>
      </c>
      <c r="Y231" s="16">
        <f t="shared" si="57"/>
        <v>705.57</v>
      </c>
      <c r="Z231" s="17">
        <f t="shared" si="58"/>
        <v>1</v>
      </c>
      <c r="AA231" s="17">
        <f t="shared" si="59"/>
        <v>4.3772993702581391E-4</v>
      </c>
    </row>
    <row r="232" spans="1:27" ht="43.2" x14ac:dyDescent="0.3">
      <c r="A232" s="23" t="s">
        <v>331</v>
      </c>
      <c r="B232" s="23">
        <f>VLOOKUP(A232,MEMORIA!$A:$N,2,FALSE)</f>
        <v>94498</v>
      </c>
      <c r="C232" s="23" t="str">
        <f>VLOOKUP(A232,MEMORIA!$A:$N,3,FALSE)</f>
        <v>SINAPI</v>
      </c>
      <c r="D232" s="24" t="str">
        <f>VLOOKUP(A232,MEMORIA!$A:$N,4,FALSE)</f>
        <v>REGISTRO DE GAVETA BRUTO, LATÃO, ROSCÁVEL, 2" - FORNECIMENTO E INSTALAÇÃO. AF_08/2021</v>
      </c>
      <c r="E232" s="23" t="str">
        <f>VLOOKUP(A232,MEMORIA!$A:$N,5,FALSE)</f>
        <v>UN</v>
      </c>
      <c r="F232" s="5">
        <f>VLOOKUP(A232,MEMORIA!$A:$N,14,FALSE)</f>
        <v>1</v>
      </c>
      <c r="G232" s="5">
        <f>VLOOKUP(A232,ORCAMENTO!$A:$I,7,FALSE)</f>
        <v>164.12</v>
      </c>
      <c r="H232" s="5">
        <f>VLOOKUP(A232,ORCAMENTO!$A:$I,8,FALSE)</f>
        <v>200.77</v>
      </c>
      <c r="I232" s="5">
        <f>ROUND(F232*H232,2)</f>
        <v>200.77</v>
      </c>
      <c r="J232" s="5">
        <f>ROUND(K232*$H232,2)</f>
        <v>0</v>
      </c>
      <c r="K232" s="5">
        <v>0</v>
      </c>
      <c r="L232" s="25">
        <f t="shared" si="52"/>
        <v>0</v>
      </c>
      <c r="M232" s="5">
        <f>ROUND(N232*$H232,2)</f>
        <v>200.77</v>
      </c>
      <c r="N232" s="5">
        <f t="shared" si="60"/>
        <v>1</v>
      </c>
      <c r="O232" s="25">
        <f t="shared" si="53"/>
        <v>1</v>
      </c>
      <c r="P232" s="5">
        <f>ROUND(Q232*$H232,2)</f>
        <v>0</v>
      </c>
      <c r="Q232" s="5">
        <v>0</v>
      </c>
      <c r="R232" s="25">
        <f t="shared" si="54"/>
        <v>0</v>
      </c>
      <c r="S232" s="5">
        <f>ROUND(T232*$H232,2)</f>
        <v>0</v>
      </c>
      <c r="T232" s="5">
        <v>0</v>
      </c>
      <c r="U232" s="25">
        <f t="shared" si="55"/>
        <v>0</v>
      </c>
      <c r="V232" s="5">
        <f>ROUND(W232*$H232,2)</f>
        <v>0</v>
      </c>
      <c r="W232" s="5">
        <v>0</v>
      </c>
      <c r="X232" s="25">
        <f t="shared" si="56"/>
        <v>0</v>
      </c>
      <c r="Y232" s="5">
        <f t="shared" si="57"/>
        <v>200.77</v>
      </c>
      <c r="Z232" s="25">
        <f t="shared" si="58"/>
        <v>1</v>
      </c>
      <c r="AA232" s="25">
        <f t="shared" si="59"/>
        <v>1.2455608863283963E-4</v>
      </c>
    </row>
    <row r="233" spans="1:27" ht="43.2" x14ac:dyDescent="0.3">
      <c r="A233" s="23" t="s">
        <v>332</v>
      </c>
      <c r="B233" s="23" t="str">
        <f>VLOOKUP(A233,MEMORIA!$A:$N,2,FALSE)</f>
        <v>COMPOS27</v>
      </c>
      <c r="C233" s="23" t="str">
        <f>VLOOKUP(A233,MEMORIA!$A:$N,3,FALSE)</f>
        <v>PRÓPRIA</v>
      </c>
      <c r="D233" s="24" t="str">
        <f>VLOOKUP(A233,MEMORIA!$A:$N,4,FALSE)</f>
        <v>AQUISIÇÃO E ASSENTAMENTO DE TUBO RÍGIDO PVC, CLASSE 12, DN 50 MM, INCLUSO CONEXÕES</v>
      </c>
      <c r="E233" s="23" t="str">
        <f>VLOOKUP(A233,MEMORIA!$A:$N,5,FALSE)</f>
        <v>M</v>
      </c>
      <c r="F233" s="5">
        <f>VLOOKUP(A233,MEMORIA!$A:$N,14,FALSE)</f>
        <v>16</v>
      </c>
      <c r="G233" s="5">
        <f>VLOOKUP(A233,ORCAMENTO!$A:$I,7,FALSE)</f>
        <v>25.79</v>
      </c>
      <c r="H233" s="5">
        <f>VLOOKUP(A233,ORCAMENTO!$A:$I,8,FALSE)</f>
        <v>31.549999999999997</v>
      </c>
      <c r="I233" s="5">
        <f>ROUND(F233*H233,2)</f>
        <v>504.8</v>
      </c>
      <c r="J233" s="5">
        <f>ROUND(K233*$H233,2)</f>
        <v>0</v>
      </c>
      <c r="K233" s="5">
        <v>0</v>
      </c>
      <c r="L233" s="25">
        <f t="shared" si="52"/>
        <v>0</v>
      </c>
      <c r="M233" s="5">
        <f>ROUND(N233*$H233,2)</f>
        <v>504.8</v>
      </c>
      <c r="N233" s="5">
        <f t="shared" si="60"/>
        <v>16</v>
      </c>
      <c r="O233" s="25">
        <f t="shared" si="53"/>
        <v>1</v>
      </c>
      <c r="P233" s="5">
        <f>ROUND(Q233*$H233,2)</f>
        <v>0</v>
      </c>
      <c r="Q233" s="5">
        <v>0</v>
      </c>
      <c r="R233" s="25">
        <f t="shared" si="54"/>
        <v>0</v>
      </c>
      <c r="S233" s="5">
        <f>ROUND(T233*$H233,2)</f>
        <v>0</v>
      </c>
      <c r="T233" s="5">
        <v>0</v>
      </c>
      <c r="U233" s="25">
        <f t="shared" si="55"/>
        <v>0</v>
      </c>
      <c r="V233" s="5">
        <f>ROUND(W233*$H233,2)</f>
        <v>0</v>
      </c>
      <c r="W233" s="5">
        <v>0</v>
      </c>
      <c r="X233" s="25">
        <f t="shared" si="56"/>
        <v>0</v>
      </c>
      <c r="Y233" s="5">
        <f t="shared" si="57"/>
        <v>504.8</v>
      </c>
      <c r="Z233" s="25">
        <f t="shared" si="58"/>
        <v>1</v>
      </c>
      <c r="AA233" s="25">
        <f t="shared" si="59"/>
        <v>3.1317384839297429E-4</v>
      </c>
    </row>
    <row r="234" spans="1:27" x14ac:dyDescent="0.3">
      <c r="A234" s="12" t="s">
        <v>85</v>
      </c>
      <c r="B234" s="51" t="str">
        <f>VLOOKUP(A234,MEMORIA!$A:$N,2,FALSE)</f>
        <v>RESERVAÇÃO</v>
      </c>
      <c r="C234" s="52"/>
      <c r="D234" s="52"/>
      <c r="E234" s="52"/>
      <c r="F234" s="52"/>
      <c r="G234" s="52"/>
      <c r="H234" s="53"/>
      <c r="I234" s="13">
        <f>SUM(I$235:I$237)</f>
        <v>31488.33</v>
      </c>
      <c r="J234" s="13">
        <f>SUM(J$235:J$237)</f>
        <v>0</v>
      </c>
      <c r="K234" s="13"/>
      <c r="L234" s="14">
        <f t="shared" si="52"/>
        <v>0</v>
      </c>
      <c r="M234" s="13">
        <f>SUM(M$235:M$237)</f>
        <v>31488.33</v>
      </c>
      <c r="N234" s="13"/>
      <c r="O234" s="14">
        <f t="shared" si="53"/>
        <v>1</v>
      </c>
      <c r="P234" s="13">
        <f>SUM(P$235:P$237)</f>
        <v>0</v>
      </c>
      <c r="Q234" s="13"/>
      <c r="R234" s="14">
        <f t="shared" si="54"/>
        <v>0</v>
      </c>
      <c r="S234" s="13">
        <f>SUM(S$235:S$237)</f>
        <v>0</v>
      </c>
      <c r="T234" s="13"/>
      <c r="U234" s="14">
        <f t="shared" si="55"/>
        <v>0</v>
      </c>
      <c r="V234" s="13">
        <f>SUM(V$235:V$237)</f>
        <v>0</v>
      </c>
      <c r="W234" s="13"/>
      <c r="X234" s="14">
        <f t="shared" si="56"/>
        <v>0</v>
      </c>
      <c r="Y234" s="13">
        <f t="shared" si="57"/>
        <v>31488.33</v>
      </c>
      <c r="Z234" s="14">
        <f t="shared" si="58"/>
        <v>1</v>
      </c>
      <c r="AA234" s="14">
        <f t="shared" si="59"/>
        <v>1.9535105953977703E-2</v>
      </c>
    </row>
    <row r="235" spans="1:27" ht="158.4" x14ac:dyDescent="0.3">
      <c r="A235" s="23" t="s">
        <v>333</v>
      </c>
      <c r="B235" s="23" t="str">
        <f>VLOOKUP(A235,MEMORIA!$A:$N,2,FALSE)</f>
        <v>COMPOS34</v>
      </c>
      <c r="C235" s="23" t="str">
        <f>VLOOKUP(A235,MEMORIA!$A:$N,3,FALSE)</f>
        <v>PRÓPRIA</v>
      </c>
      <c r="D235" s="24" t="str">
        <f>VLOOKUP(A235,MEMORIA!$A:$N,4,FALSE)</f>
        <v>FORNECIMENTO E INSTALAÇÃO DE RESERVATÓRIO ELEVADO C/ CAIXA D'AGUA EM POLIESTER REFORCADO COM FIBRA DE VIDRO DE 10.000 LITROS, APOIADO EM ESTRUTURA PRÉ-MOLDADA EM CONCRETO, COMPOSTA DE CAPITEL P/APOIO DA CAIXA E PILAR C/ALTURA ÚTIL = 10,00M, INCLUSO FRETE E MONTAGEM NO LOCAL, COM FUNDAÇÃO EM CONCRETO SIMPLES FCK=20MPA</v>
      </c>
      <c r="E235" s="23" t="str">
        <f>VLOOKUP(A235,MEMORIA!$A:$N,5,FALSE)</f>
        <v>UND</v>
      </c>
      <c r="F235" s="5">
        <f>VLOOKUP(A235,MEMORIA!$A:$N,14,FALSE)</f>
        <v>1</v>
      </c>
      <c r="G235" s="5">
        <f>VLOOKUP(A235,ORCAMENTO!$A:$I,7,FALSE)</f>
        <v>24798.26</v>
      </c>
      <c r="H235" s="5">
        <f>VLOOKUP(A235,ORCAMENTO!$A:$I,8,FALSE)</f>
        <v>30335.71</v>
      </c>
      <c r="I235" s="5">
        <f>ROUND(F235*H235,2)</f>
        <v>30335.71</v>
      </c>
      <c r="J235" s="5">
        <f>ROUND(K235*$H235,2)</f>
        <v>0</v>
      </c>
      <c r="K235" s="5">
        <v>0</v>
      </c>
      <c r="L235" s="25">
        <f t="shared" si="52"/>
        <v>0</v>
      </c>
      <c r="M235" s="5">
        <f>ROUND(N235*$H235,2)</f>
        <v>30335.71</v>
      </c>
      <c r="N235" s="5">
        <f t="shared" si="60"/>
        <v>1</v>
      </c>
      <c r="O235" s="25">
        <f t="shared" si="53"/>
        <v>1</v>
      </c>
      <c r="P235" s="5">
        <f>ROUND(Q235*$H235,2)</f>
        <v>0</v>
      </c>
      <c r="Q235" s="5">
        <v>0</v>
      </c>
      <c r="R235" s="25">
        <f t="shared" si="54"/>
        <v>0</v>
      </c>
      <c r="S235" s="5">
        <f>ROUND(T235*$H235,2)</f>
        <v>0</v>
      </c>
      <c r="T235" s="5">
        <v>0</v>
      </c>
      <c r="U235" s="25">
        <f t="shared" si="55"/>
        <v>0</v>
      </c>
      <c r="V235" s="5">
        <f>ROUND(W235*$H235,2)</f>
        <v>0</v>
      </c>
      <c r="W235" s="5">
        <v>0</v>
      </c>
      <c r="X235" s="25">
        <f t="shared" si="56"/>
        <v>0</v>
      </c>
      <c r="Y235" s="5">
        <f t="shared" si="57"/>
        <v>30335.71</v>
      </c>
      <c r="Z235" s="25">
        <f t="shared" si="58"/>
        <v>1</v>
      </c>
      <c r="AA235" s="25">
        <f t="shared" si="59"/>
        <v>1.8820029802759972E-2</v>
      </c>
    </row>
    <row r="236" spans="1:27" ht="43.2" x14ac:dyDescent="0.3">
      <c r="A236" s="23" t="s">
        <v>334</v>
      </c>
      <c r="B236" s="23">
        <f>VLOOKUP(A236,MEMORIA!$A:$N,2,FALSE)</f>
        <v>94498</v>
      </c>
      <c r="C236" s="23" t="str">
        <f>VLOOKUP(A236,MEMORIA!$A:$N,3,FALSE)</f>
        <v>SINAPI</v>
      </c>
      <c r="D236" s="24" t="str">
        <f>VLOOKUP(A236,MEMORIA!$A:$N,4,FALSE)</f>
        <v>REGISTRO DE GAVETA BRUTO, LATÃO, ROSCÁVEL, 2" - FORNECIMENTO E INSTALAÇÃO. AF_08/2021</v>
      </c>
      <c r="E236" s="23" t="str">
        <f>VLOOKUP(A236,MEMORIA!$A:$N,5,FALSE)</f>
        <v>UN</v>
      </c>
      <c r="F236" s="5">
        <f>VLOOKUP(A236,MEMORIA!$A:$N,14,FALSE)</f>
        <v>2</v>
      </c>
      <c r="G236" s="5">
        <f>VLOOKUP(A236,ORCAMENTO!$A:$I,7,FALSE)</f>
        <v>164.12</v>
      </c>
      <c r="H236" s="5">
        <f>VLOOKUP(A236,ORCAMENTO!$A:$I,8,FALSE)</f>
        <v>200.77</v>
      </c>
      <c r="I236" s="5">
        <f>ROUND(F236*H236,2)</f>
        <v>401.54</v>
      </c>
      <c r="J236" s="5">
        <f>ROUND(K236*$H236,2)</f>
        <v>0</v>
      </c>
      <c r="K236" s="5">
        <v>0</v>
      </c>
      <c r="L236" s="25">
        <f t="shared" si="52"/>
        <v>0</v>
      </c>
      <c r="M236" s="5">
        <f>ROUND(N236*$H236,2)</f>
        <v>401.54</v>
      </c>
      <c r="N236" s="5">
        <f t="shared" si="60"/>
        <v>2</v>
      </c>
      <c r="O236" s="25">
        <f t="shared" si="53"/>
        <v>1</v>
      </c>
      <c r="P236" s="5">
        <f>ROUND(Q236*$H236,2)</f>
        <v>0</v>
      </c>
      <c r="Q236" s="5">
        <v>0</v>
      </c>
      <c r="R236" s="25">
        <f t="shared" si="54"/>
        <v>0</v>
      </c>
      <c r="S236" s="5">
        <f>ROUND(T236*$H236,2)</f>
        <v>0</v>
      </c>
      <c r="T236" s="5">
        <v>0</v>
      </c>
      <c r="U236" s="25">
        <f t="shared" si="55"/>
        <v>0</v>
      </c>
      <c r="V236" s="5">
        <f>ROUND(W236*$H236,2)</f>
        <v>0</v>
      </c>
      <c r="W236" s="5">
        <v>0</v>
      </c>
      <c r="X236" s="25">
        <f t="shared" si="56"/>
        <v>0</v>
      </c>
      <c r="Y236" s="5">
        <f t="shared" si="57"/>
        <v>401.54</v>
      </c>
      <c r="Z236" s="25">
        <f t="shared" si="58"/>
        <v>1</v>
      </c>
      <c r="AA236" s="25">
        <f t="shared" si="59"/>
        <v>2.4911217726567925E-4</v>
      </c>
    </row>
    <row r="237" spans="1:27" ht="43.2" x14ac:dyDescent="0.3">
      <c r="A237" s="23" t="s">
        <v>335</v>
      </c>
      <c r="B237" s="23" t="str">
        <f>VLOOKUP(A237,MEMORIA!$A:$N,2,FALSE)</f>
        <v>COMPOS35</v>
      </c>
      <c r="C237" s="23" t="str">
        <f>VLOOKUP(A237,MEMORIA!$A:$N,3,FALSE)</f>
        <v>PRÓPRIA</v>
      </c>
      <c r="D237" s="24" t="str">
        <f>VLOOKUP(A237,MEMORIA!$A:$N,4,FALSE)</f>
        <v>AQUISIÇÃO E ASSENTAMENTO DE TUBO RÍGIDO PVC, CLASSE 12, DN 60 MM, INCLUSO CONEXÕES</v>
      </c>
      <c r="E237" s="23" t="str">
        <f>VLOOKUP(A237,MEMORIA!$A:$N,5,FALSE)</f>
        <v>M</v>
      </c>
      <c r="F237" s="5">
        <f>VLOOKUP(A237,MEMORIA!$A:$N,14,FALSE)</f>
        <v>22</v>
      </c>
      <c r="G237" s="5">
        <f>VLOOKUP(A237,ORCAMENTO!$A:$I,7,FALSE)</f>
        <v>27.91</v>
      </c>
      <c r="H237" s="5">
        <f>VLOOKUP(A237,ORCAMENTO!$A:$I,8,FALSE)</f>
        <v>34.14</v>
      </c>
      <c r="I237" s="5">
        <f>ROUND(F237*H237,2)</f>
        <v>751.08</v>
      </c>
      <c r="J237" s="5">
        <f>ROUND(K237*$H237,2)</f>
        <v>0</v>
      </c>
      <c r="K237" s="5">
        <v>0</v>
      </c>
      <c r="L237" s="25">
        <f t="shared" si="52"/>
        <v>0</v>
      </c>
      <c r="M237" s="5">
        <f>ROUND(N237*$H237,2)</f>
        <v>751.08</v>
      </c>
      <c r="N237" s="5">
        <f t="shared" si="60"/>
        <v>22</v>
      </c>
      <c r="O237" s="25">
        <f t="shared" si="53"/>
        <v>1</v>
      </c>
      <c r="P237" s="5">
        <f>ROUND(Q237*$H237,2)</f>
        <v>0</v>
      </c>
      <c r="Q237" s="5">
        <v>0</v>
      </c>
      <c r="R237" s="25">
        <f t="shared" si="54"/>
        <v>0</v>
      </c>
      <c r="S237" s="5">
        <f>ROUND(T237*$H237,2)</f>
        <v>0</v>
      </c>
      <c r="T237" s="5">
        <v>0</v>
      </c>
      <c r="U237" s="25">
        <f t="shared" si="55"/>
        <v>0</v>
      </c>
      <c r="V237" s="5">
        <f>ROUND(W237*$H237,2)</f>
        <v>0</v>
      </c>
      <c r="W237" s="5">
        <v>0</v>
      </c>
      <c r="X237" s="25">
        <f t="shared" si="56"/>
        <v>0</v>
      </c>
      <c r="Y237" s="5">
        <f t="shared" si="57"/>
        <v>751.08</v>
      </c>
      <c r="Z237" s="25">
        <f t="shared" si="58"/>
        <v>1</v>
      </c>
      <c r="AA237" s="25">
        <f t="shared" si="59"/>
        <v>4.6596397395205058E-4</v>
      </c>
    </row>
    <row r="238" spans="1:27" x14ac:dyDescent="0.3">
      <c r="A238" s="12" t="s">
        <v>86</v>
      </c>
      <c r="B238" s="51" t="str">
        <f>VLOOKUP(A238,MEMORIA!$A:$N,2,FALSE)</f>
        <v>DISTRIBUIÇÃO</v>
      </c>
      <c r="C238" s="52"/>
      <c r="D238" s="52"/>
      <c r="E238" s="52"/>
      <c r="F238" s="52"/>
      <c r="G238" s="52"/>
      <c r="H238" s="53"/>
      <c r="I238" s="13">
        <f>SUM(I$239,I$242,)</f>
        <v>72358.52</v>
      </c>
      <c r="J238" s="13">
        <f>SUM(J$239,J$242,)</f>
        <v>0</v>
      </c>
      <c r="K238" s="13"/>
      <c r="L238" s="14">
        <f t="shared" si="52"/>
        <v>0</v>
      </c>
      <c r="M238" s="13">
        <f>SUM(M$239,M$242,)</f>
        <v>0</v>
      </c>
      <c r="N238" s="13"/>
      <c r="O238" s="14">
        <f t="shared" si="53"/>
        <v>0</v>
      </c>
      <c r="P238" s="13">
        <f>SUM(P$239,P$242,)</f>
        <v>72358.52</v>
      </c>
      <c r="Q238" s="13"/>
      <c r="R238" s="14">
        <f t="shared" si="54"/>
        <v>1</v>
      </c>
      <c r="S238" s="13">
        <f>SUM(S$239,S$242,)</f>
        <v>0</v>
      </c>
      <c r="T238" s="13"/>
      <c r="U238" s="14">
        <f t="shared" si="55"/>
        <v>0</v>
      </c>
      <c r="V238" s="13">
        <f>SUM(V$239,V$242,)</f>
        <v>0</v>
      </c>
      <c r="W238" s="13"/>
      <c r="X238" s="14">
        <f t="shared" si="56"/>
        <v>0</v>
      </c>
      <c r="Y238" s="13">
        <f t="shared" si="57"/>
        <v>72358.52</v>
      </c>
      <c r="Z238" s="14">
        <f t="shared" si="58"/>
        <v>1</v>
      </c>
      <c r="AA238" s="14">
        <f t="shared" si="59"/>
        <v>4.4890642179912829E-2</v>
      </c>
    </row>
    <row r="239" spans="1:27" x14ac:dyDescent="0.3">
      <c r="A239" s="15" t="s">
        <v>87</v>
      </c>
      <c r="B239" s="48" t="str">
        <f>VLOOKUP(A239,MEMORIA!$A:$N,2,FALSE)</f>
        <v>MOVIMENTO DE TERRA</v>
      </c>
      <c r="C239" s="49"/>
      <c r="D239" s="49"/>
      <c r="E239" s="49"/>
      <c r="F239" s="49"/>
      <c r="G239" s="49"/>
      <c r="H239" s="50"/>
      <c r="I239" s="16">
        <f>SUM(I$240:I$241)</f>
        <v>15299.079999999998</v>
      </c>
      <c r="J239" s="16">
        <f>SUM(J$240:J$241)</f>
        <v>0</v>
      </c>
      <c r="K239" s="16"/>
      <c r="L239" s="17">
        <f t="shared" si="52"/>
        <v>0</v>
      </c>
      <c r="M239" s="16">
        <f>SUM(M$240:M$241)</f>
        <v>0</v>
      </c>
      <c r="N239" s="16"/>
      <c r="O239" s="17">
        <f t="shared" si="53"/>
        <v>0</v>
      </c>
      <c r="P239" s="16">
        <f>SUM(P$240:P$241)</f>
        <v>15299.079999999998</v>
      </c>
      <c r="Q239" s="16"/>
      <c r="R239" s="17">
        <f t="shared" si="54"/>
        <v>1</v>
      </c>
      <c r="S239" s="16">
        <f>SUM(S$240:S$241)</f>
        <v>0</v>
      </c>
      <c r="T239" s="16"/>
      <c r="U239" s="17">
        <f t="shared" si="55"/>
        <v>0</v>
      </c>
      <c r="V239" s="16">
        <f>SUM(V$240:V$241)</f>
        <v>0</v>
      </c>
      <c r="W239" s="16"/>
      <c r="X239" s="17">
        <f t="shared" si="56"/>
        <v>0</v>
      </c>
      <c r="Y239" s="16">
        <f t="shared" si="57"/>
        <v>15299.079999999998</v>
      </c>
      <c r="Z239" s="17">
        <f t="shared" si="58"/>
        <v>1</v>
      </c>
      <c r="AA239" s="17">
        <f t="shared" si="59"/>
        <v>9.4914258329476704E-3</v>
      </c>
    </row>
    <row r="240" spans="1:27" ht="115.2" x14ac:dyDescent="0.3">
      <c r="A240" s="23" t="s">
        <v>336</v>
      </c>
      <c r="B240" s="23">
        <f>VLOOKUP(A240,MEMORIA!$A:$N,2,FALSE)</f>
        <v>102314</v>
      </c>
      <c r="C240" s="23" t="str">
        <f>VLOOKUP(A240,MEMORIA!$A:$N,3,FALSE)</f>
        <v>SINAPI</v>
      </c>
      <c r="D240" s="24" t="str">
        <f>VLOOKUP(A240,MEMORIA!$A:$N,4,FALSE)</f>
        <v>ESCAVAÇÃO MECANIZADA DE VALA COM PROF. ATÉ 1,5 M (MÉDIA MONTANTE E JUSANTE/UMA COMPOSIÇÃO POR TRECHO),COM ESCAVADEIRA (0,8 M3), LARG. MENOR QUE 1,5 M, EM SOLO DE 2A CATEGORIA, LOCAIS COM BAIXO NÍVEL DE INTERFERÊNCIA. AF_09/2024</v>
      </c>
      <c r="E240" s="23" t="str">
        <f>VLOOKUP(A240,MEMORIA!$A:$N,5,FALSE)</f>
        <v>M3</v>
      </c>
      <c r="F240" s="5">
        <f>VLOOKUP(A240,MEMORIA!$A:$N,14,FALSE)</f>
        <v>588.19999999999993</v>
      </c>
      <c r="G240" s="5">
        <f>VLOOKUP(A240,ORCAMENTO!$A:$I,7,FALSE)</f>
        <v>8.5</v>
      </c>
      <c r="H240" s="5">
        <f>VLOOKUP(A240,ORCAMENTO!$A:$I,8,FALSE)</f>
        <v>10.4</v>
      </c>
      <c r="I240" s="5">
        <f>ROUND(F240*H240,2)</f>
        <v>6117.28</v>
      </c>
      <c r="J240" s="5">
        <f>ROUND(K240*$H240,2)</f>
        <v>0</v>
      </c>
      <c r="K240" s="5">
        <v>0</v>
      </c>
      <c r="L240" s="25">
        <f t="shared" si="52"/>
        <v>0</v>
      </c>
      <c r="M240" s="5">
        <f>ROUND(N240*$H240,2)</f>
        <v>0</v>
      </c>
      <c r="N240" s="5">
        <v>0</v>
      </c>
      <c r="O240" s="25">
        <f t="shared" si="53"/>
        <v>0</v>
      </c>
      <c r="P240" s="5">
        <f>ROUND(Q240*$H240,2)</f>
        <v>6117.28</v>
      </c>
      <c r="Q240" s="5">
        <f>F240</f>
        <v>588.19999999999993</v>
      </c>
      <c r="R240" s="25">
        <f t="shared" si="54"/>
        <v>1</v>
      </c>
      <c r="S240" s="5">
        <f>ROUND(T240*$H240,2)</f>
        <v>0</v>
      </c>
      <c r="T240" s="5">
        <v>0</v>
      </c>
      <c r="U240" s="25">
        <f t="shared" si="55"/>
        <v>0</v>
      </c>
      <c r="V240" s="5">
        <f>ROUND(W240*$H240,2)</f>
        <v>0</v>
      </c>
      <c r="W240" s="5">
        <v>0</v>
      </c>
      <c r="X240" s="25">
        <f t="shared" si="56"/>
        <v>0</v>
      </c>
      <c r="Y240" s="5">
        <f t="shared" si="57"/>
        <v>6117.28</v>
      </c>
      <c r="Z240" s="25">
        <f t="shared" si="58"/>
        <v>1</v>
      </c>
      <c r="AA240" s="25">
        <f t="shared" si="59"/>
        <v>3.7951111713497893E-3</v>
      </c>
    </row>
    <row r="241" spans="1:27" ht="115.2" x14ac:dyDescent="0.3">
      <c r="A241" s="23" t="s">
        <v>337</v>
      </c>
      <c r="B241" s="23" t="str">
        <f>VLOOKUP(A241,MEMORIA!$A:$N,2,FALSE)</f>
        <v>COMP199</v>
      </c>
      <c r="C241" s="23" t="str">
        <f>VLOOKUP(A241,MEMORIA!$A:$N,3,FALSE)</f>
        <v>PRÓPRIA</v>
      </c>
      <c r="D241" s="24" t="str">
        <f>VLOOKUP(A241,MEMORIA!$A:$N,4,FALSE)</f>
        <v>REATERRO MECANIZADO DE VALA COM RETROESCAVADEIRA (CAPACIDADE DA CAÇAMBA DA RETRO: 0,26 M³/POTÊNCIA: 88 HP), LARGURA ATÉ 0,8 M, PROFUNDIDADE ATÉ 1,5 M, COM SOLO (SEM SUBSTITUIÇÃO) DE 1ª CATEGORIA. AF_08/2023 (REF: 104733-SINAPI-05/2025)</v>
      </c>
      <c r="E241" s="23" t="str">
        <f>VLOOKUP(A241,MEMORIA!$A:$N,5,FALSE)</f>
        <v>M3</v>
      </c>
      <c r="F241" s="5">
        <f>VLOOKUP(A241,MEMORIA!$A:$N,14,FALSE)</f>
        <v>588.19999999999993</v>
      </c>
      <c r="G241" s="5">
        <f>VLOOKUP(A241,ORCAMENTO!$A:$I,7,FALSE)</f>
        <v>12.76</v>
      </c>
      <c r="H241" s="5">
        <f>VLOOKUP(A241,ORCAMENTO!$A:$I,8,FALSE)</f>
        <v>15.61</v>
      </c>
      <c r="I241" s="5">
        <f>ROUND(F241*H241,2)</f>
        <v>9181.7999999999993</v>
      </c>
      <c r="J241" s="5">
        <f>ROUND(K241*$H241,2)</f>
        <v>0</v>
      </c>
      <c r="K241" s="5">
        <v>0</v>
      </c>
      <c r="L241" s="25">
        <f t="shared" si="52"/>
        <v>0</v>
      </c>
      <c r="M241" s="5">
        <f>ROUND(N241*$H241,2)</f>
        <v>0</v>
      </c>
      <c r="N241" s="5">
        <v>0</v>
      </c>
      <c r="O241" s="25">
        <f t="shared" si="53"/>
        <v>0</v>
      </c>
      <c r="P241" s="5">
        <f>ROUND(Q241*$H241,2)</f>
        <v>9181.7999999999993</v>
      </c>
      <c r="Q241" s="5">
        <f>F241</f>
        <v>588.19999999999993</v>
      </c>
      <c r="R241" s="25">
        <f t="shared" si="54"/>
        <v>1</v>
      </c>
      <c r="S241" s="5">
        <f>ROUND(T241*$H241,2)</f>
        <v>0</v>
      </c>
      <c r="T241" s="5">
        <v>0</v>
      </c>
      <c r="U241" s="25">
        <f t="shared" si="55"/>
        <v>0</v>
      </c>
      <c r="V241" s="5">
        <f>ROUND(W241*$H241,2)</f>
        <v>0</v>
      </c>
      <c r="W241" s="5">
        <v>0</v>
      </c>
      <c r="X241" s="25">
        <f t="shared" si="56"/>
        <v>0</v>
      </c>
      <c r="Y241" s="5">
        <f t="shared" si="57"/>
        <v>9181.7999999999993</v>
      </c>
      <c r="Z241" s="25">
        <f t="shared" si="58"/>
        <v>1</v>
      </c>
      <c r="AA241" s="25">
        <f t="shared" si="59"/>
        <v>5.6963146615978824E-3</v>
      </c>
    </row>
    <row r="242" spans="1:27" x14ac:dyDescent="0.3">
      <c r="A242" s="15" t="s">
        <v>88</v>
      </c>
      <c r="B242" s="48" t="str">
        <f>VLOOKUP(A242,MEMORIA!$A:$N,2,FALSE)</f>
        <v>INSTALAÇÕES HIDRÁULICAS</v>
      </c>
      <c r="C242" s="49"/>
      <c r="D242" s="49"/>
      <c r="E242" s="49"/>
      <c r="F242" s="49"/>
      <c r="G242" s="49"/>
      <c r="H242" s="50"/>
      <c r="I242" s="16">
        <f>SUM(I$243:I$244)</f>
        <v>57059.44</v>
      </c>
      <c r="J242" s="16">
        <f>SUM(J$243:J$244)</f>
        <v>0</v>
      </c>
      <c r="K242" s="16"/>
      <c r="L242" s="17">
        <f t="shared" si="52"/>
        <v>0</v>
      </c>
      <c r="M242" s="16">
        <f>SUM(M$243:M$244)</f>
        <v>0</v>
      </c>
      <c r="N242" s="16"/>
      <c r="O242" s="17">
        <f t="shared" si="53"/>
        <v>0</v>
      </c>
      <c r="P242" s="16">
        <f>SUM(P$243:P$244)</f>
        <v>57059.44</v>
      </c>
      <c r="Q242" s="16"/>
      <c r="R242" s="17">
        <f t="shared" si="54"/>
        <v>1</v>
      </c>
      <c r="S242" s="16">
        <f>SUM(S$243:S$244)</f>
        <v>0</v>
      </c>
      <c r="T242" s="16"/>
      <c r="U242" s="17">
        <f t="shared" si="55"/>
        <v>0</v>
      </c>
      <c r="V242" s="16">
        <f>SUM(V$243:V$244)</f>
        <v>0</v>
      </c>
      <c r="W242" s="16"/>
      <c r="X242" s="17">
        <f t="shared" si="56"/>
        <v>0</v>
      </c>
      <c r="Y242" s="16">
        <f t="shared" si="57"/>
        <v>57059.44</v>
      </c>
      <c r="Z242" s="17">
        <f t="shared" si="58"/>
        <v>1</v>
      </c>
      <c r="AA242" s="17">
        <f t="shared" si="59"/>
        <v>3.5399216346965162E-2</v>
      </c>
    </row>
    <row r="243" spans="1:27" ht="43.2" x14ac:dyDescent="0.3">
      <c r="A243" s="23" t="s">
        <v>338</v>
      </c>
      <c r="B243" s="23" t="str">
        <f>VLOOKUP(A243,MEMORIA!$A:$N,2,FALSE)</f>
        <v>COMPOS35</v>
      </c>
      <c r="C243" s="23" t="str">
        <f>VLOOKUP(A243,MEMORIA!$A:$N,3,FALSE)</f>
        <v>PRÓPRIA</v>
      </c>
      <c r="D243" s="24" t="str">
        <f>VLOOKUP(A243,MEMORIA!$A:$N,4,FALSE)</f>
        <v>AQUISIÇÃO E ASSENTAMENTO DE TUBO RÍGIDO PVC, CLASSE 12, DN 60 MM, INCLUSO CONEXÕES</v>
      </c>
      <c r="E243" s="23" t="str">
        <f>VLOOKUP(A243,MEMORIA!$A:$N,5,FALSE)</f>
        <v>M</v>
      </c>
      <c r="F243" s="5">
        <f>VLOOKUP(A243,MEMORIA!$A:$N,14,FALSE)</f>
        <v>1390.7</v>
      </c>
      <c r="G243" s="5">
        <f>VLOOKUP(A243,ORCAMENTO!$A:$I,7,FALSE)</f>
        <v>27.91</v>
      </c>
      <c r="H243" s="5">
        <f>VLOOKUP(A243,ORCAMENTO!$A:$I,8,FALSE)</f>
        <v>34.14</v>
      </c>
      <c r="I243" s="5">
        <f>ROUND(F243*H243,2)</f>
        <v>47478.5</v>
      </c>
      <c r="J243" s="5">
        <f>ROUND(K243*$H243,2)</f>
        <v>0</v>
      </c>
      <c r="K243" s="5">
        <v>0</v>
      </c>
      <c r="L243" s="25">
        <f t="shared" si="52"/>
        <v>0</v>
      </c>
      <c r="M243" s="5">
        <f>ROUND(N243*$H243,2)</f>
        <v>0</v>
      </c>
      <c r="N243" s="5">
        <v>0</v>
      </c>
      <c r="O243" s="25">
        <f t="shared" si="53"/>
        <v>0</v>
      </c>
      <c r="P243" s="5">
        <f>ROUND(Q243*$H243,2)</f>
        <v>47478.5</v>
      </c>
      <c r="Q243" s="5">
        <f>F243</f>
        <v>1390.7</v>
      </c>
      <c r="R243" s="25">
        <f t="shared" si="54"/>
        <v>1</v>
      </c>
      <c r="S243" s="5">
        <f>ROUND(T243*$H243,2)</f>
        <v>0</v>
      </c>
      <c r="T243" s="5">
        <v>0</v>
      </c>
      <c r="U243" s="25">
        <f t="shared" si="55"/>
        <v>0</v>
      </c>
      <c r="V243" s="5">
        <f>ROUND(W243*$H243,2)</f>
        <v>0</v>
      </c>
      <c r="W243" s="5">
        <v>0</v>
      </c>
      <c r="X243" s="25">
        <f t="shared" si="56"/>
        <v>0</v>
      </c>
      <c r="Y243" s="5">
        <f t="shared" si="57"/>
        <v>47478.5</v>
      </c>
      <c r="Z243" s="25">
        <f t="shared" si="58"/>
        <v>1</v>
      </c>
      <c r="AA243" s="25">
        <f t="shared" si="59"/>
        <v>2.9455278448743717E-2</v>
      </c>
    </row>
    <row r="244" spans="1:27" x14ac:dyDescent="0.3">
      <c r="A244" s="23" t="s">
        <v>339</v>
      </c>
      <c r="B244" s="23" t="str">
        <f>VLOOKUP(A244,MEMORIA!$A:$N,2,FALSE)</f>
        <v>COMPOS36</v>
      </c>
      <c r="C244" s="23" t="str">
        <f>VLOOKUP(A244,MEMORIA!$A:$N,3,FALSE)</f>
        <v>PRÓPRIA</v>
      </c>
      <c r="D244" s="24" t="str">
        <f>VLOOKUP(A244,MEMORIA!$A:$N,4,FALSE)</f>
        <v>LIGAÇÃO DOMICILIAR</v>
      </c>
      <c r="E244" s="23" t="str">
        <f>VLOOKUP(A244,MEMORIA!$A:$N,5,FALSE)</f>
        <v>UND</v>
      </c>
      <c r="F244" s="5">
        <f>VLOOKUP(A244,MEMORIA!$A:$N,14,FALSE)</f>
        <v>38</v>
      </c>
      <c r="G244" s="5">
        <f>VLOOKUP(A244,ORCAMENTO!$A:$I,7,FALSE)</f>
        <v>206.11</v>
      </c>
      <c r="H244" s="5">
        <f>VLOOKUP(A244,ORCAMENTO!$A:$I,8,FALSE)</f>
        <v>252.13000000000002</v>
      </c>
      <c r="I244" s="5">
        <f>ROUND(F244*H244,2)</f>
        <v>9580.94</v>
      </c>
      <c r="J244" s="5">
        <f>ROUND(K244*$H244,2)</f>
        <v>0</v>
      </c>
      <c r="K244" s="5">
        <v>0</v>
      </c>
      <c r="L244" s="25">
        <f t="shared" si="52"/>
        <v>0</v>
      </c>
      <c r="M244" s="5">
        <f>ROUND(N244*$H244,2)</f>
        <v>0</v>
      </c>
      <c r="N244" s="5">
        <v>0</v>
      </c>
      <c r="O244" s="25">
        <f t="shared" si="53"/>
        <v>0</v>
      </c>
      <c r="P244" s="5">
        <f>ROUND(Q244*$H244,2)</f>
        <v>9580.94</v>
      </c>
      <c r="Q244" s="5">
        <f>F244</f>
        <v>38</v>
      </c>
      <c r="R244" s="25">
        <f t="shared" si="54"/>
        <v>1</v>
      </c>
      <c r="S244" s="5">
        <f>ROUND(T244*$H244,2)</f>
        <v>0</v>
      </c>
      <c r="T244" s="5">
        <v>0</v>
      </c>
      <c r="U244" s="25">
        <f t="shared" si="55"/>
        <v>0</v>
      </c>
      <c r="V244" s="5">
        <f>ROUND(W244*$H244,2)</f>
        <v>0</v>
      </c>
      <c r="W244" s="5">
        <v>0</v>
      </c>
      <c r="X244" s="25">
        <f t="shared" si="56"/>
        <v>0</v>
      </c>
      <c r="Y244" s="5">
        <f t="shared" si="57"/>
        <v>9580.94</v>
      </c>
      <c r="Z244" s="25">
        <f t="shared" si="58"/>
        <v>1</v>
      </c>
      <c r="AA244" s="25">
        <f t="shared" si="59"/>
        <v>5.9439378982214398E-3</v>
      </c>
    </row>
    <row r="245" spans="1:27" x14ac:dyDescent="0.3">
      <c r="A245" s="9">
        <v>5</v>
      </c>
      <c r="B245" s="54" t="str">
        <f>VLOOKUP(A245,MEMORIA!$A:$N,2,FALSE)</f>
        <v>LOCALIDADE BARREIRINHO (ANÍSIO DE ABREU-PI)</v>
      </c>
      <c r="C245" s="55"/>
      <c r="D245" s="55"/>
      <c r="E245" s="55"/>
      <c r="F245" s="55"/>
      <c r="G245" s="55"/>
      <c r="H245" s="56"/>
      <c r="I245" s="10">
        <f>SUM(I$246,I$262,I$266,I$300,I$303,I$312,I$316,)</f>
        <v>137728.81</v>
      </c>
      <c r="J245" s="10">
        <f>SUM(J$246,J$262,J$266,J$300,J$303,J$312,J$316,)</f>
        <v>0</v>
      </c>
      <c r="K245" s="10"/>
      <c r="L245" s="11">
        <f t="shared" si="52"/>
        <v>0</v>
      </c>
      <c r="M245" s="10">
        <f>SUM(M$246,M$262,M$266,M$300,M$303,M$312,M$316,)</f>
        <v>0</v>
      </c>
      <c r="N245" s="10"/>
      <c r="O245" s="11">
        <f t="shared" si="53"/>
        <v>0</v>
      </c>
      <c r="P245" s="10">
        <f>SUM(P$246,P$262,P$266,P$300,P$303,P$312,P$316,)</f>
        <v>137728.81</v>
      </c>
      <c r="Q245" s="10"/>
      <c r="R245" s="11">
        <f t="shared" si="54"/>
        <v>1</v>
      </c>
      <c r="S245" s="10">
        <f>SUM(S$246,S$262,S$266,S$300,S$303,S$312,S$316,)</f>
        <v>0</v>
      </c>
      <c r="T245" s="10"/>
      <c r="U245" s="11">
        <f t="shared" si="55"/>
        <v>0</v>
      </c>
      <c r="V245" s="10">
        <f>SUM(V$246,V$262,V$266,V$300,V$303,V$312,V$316,)</f>
        <v>0</v>
      </c>
      <c r="W245" s="10"/>
      <c r="X245" s="11">
        <f t="shared" si="56"/>
        <v>0</v>
      </c>
      <c r="Y245" s="10">
        <f t="shared" si="57"/>
        <v>137728.81</v>
      </c>
      <c r="Z245" s="11">
        <f t="shared" si="58"/>
        <v>1</v>
      </c>
      <c r="AA245" s="11">
        <f t="shared" si="59"/>
        <v>8.5445842833369173E-2</v>
      </c>
    </row>
    <row r="246" spans="1:27" x14ac:dyDescent="0.3">
      <c r="A246" s="12" t="s">
        <v>89</v>
      </c>
      <c r="B246" s="51" t="str">
        <f>VLOOKUP(A246,MEMORIA!$A:$N,2,FALSE)</f>
        <v>PERFURAÇÃO DE POÇO TUBULAR</v>
      </c>
      <c r="C246" s="52"/>
      <c r="D246" s="52"/>
      <c r="E246" s="52"/>
      <c r="F246" s="52"/>
      <c r="G246" s="52"/>
      <c r="H246" s="53"/>
      <c r="I246" s="13">
        <f>SUM(I$247:I$261)</f>
        <v>45567.549999999996</v>
      </c>
      <c r="J246" s="13">
        <f>SUM(J$247:J$261)</f>
        <v>0</v>
      </c>
      <c r="K246" s="13"/>
      <c r="L246" s="14">
        <f t="shared" si="52"/>
        <v>0</v>
      </c>
      <c r="M246" s="13">
        <f>SUM(M$247:M$261)</f>
        <v>0</v>
      </c>
      <c r="N246" s="13"/>
      <c r="O246" s="14">
        <f t="shared" si="53"/>
        <v>0</v>
      </c>
      <c r="P246" s="13">
        <f>SUM(P$247:P$261)</f>
        <v>45567.549999999996</v>
      </c>
      <c r="Q246" s="13"/>
      <c r="R246" s="14">
        <f t="shared" si="54"/>
        <v>1</v>
      </c>
      <c r="S246" s="13">
        <f>SUM(S$247:S$261)</f>
        <v>0</v>
      </c>
      <c r="T246" s="13"/>
      <c r="U246" s="14">
        <f t="shared" si="55"/>
        <v>0</v>
      </c>
      <c r="V246" s="13">
        <f>SUM(V$247:V$261)</f>
        <v>0</v>
      </c>
      <c r="W246" s="13"/>
      <c r="X246" s="14">
        <f t="shared" si="56"/>
        <v>0</v>
      </c>
      <c r="Y246" s="13">
        <f t="shared" si="57"/>
        <v>45567.549999999996</v>
      </c>
      <c r="Z246" s="14">
        <f t="shared" si="58"/>
        <v>1</v>
      </c>
      <c r="AA246" s="14">
        <f t="shared" si="59"/>
        <v>2.8269740482050859E-2</v>
      </c>
    </row>
    <row r="247" spans="1:27" ht="43.2" x14ac:dyDescent="0.3">
      <c r="A247" s="23" t="s">
        <v>340</v>
      </c>
      <c r="B247" s="23" t="str">
        <f>VLOOKUP(A247,MEMORIA!$A:$N,2,FALSE)</f>
        <v>COMPOS3</v>
      </c>
      <c r="C247" s="23" t="str">
        <f>VLOOKUP(A247,MEMORIA!$A:$N,3,FALSE)</f>
        <v>PRÓPRIA</v>
      </c>
      <c r="D247" s="24" t="str">
        <f>VLOOKUP(A247,MEMORIA!$A:$N,4,FALSE)</f>
        <v>LOCAÇÃO DO POÇO COM ESTUDO GEOLÓGICO/HIDROGEOLÓGICO/GEOFÍSICO</v>
      </c>
      <c r="E247" s="23" t="str">
        <f>VLOOKUP(A247,MEMORIA!$A:$N,5,FALSE)</f>
        <v>UN</v>
      </c>
      <c r="F247" s="5">
        <f>VLOOKUP(A247,MEMORIA!$A:$N,14,FALSE)</f>
        <v>1</v>
      </c>
      <c r="G247" s="5">
        <f>VLOOKUP(A247,ORCAMENTO!$A:$I,7,FALSE)</f>
        <v>1692.3999999999999</v>
      </c>
      <c r="H247" s="5">
        <f>VLOOKUP(A247,ORCAMENTO!$A:$I,8,FALSE)</f>
        <v>2070.31</v>
      </c>
      <c r="I247" s="5">
        <f t="shared" ref="I247:I261" si="61">ROUND(F247*H247,2)</f>
        <v>2070.31</v>
      </c>
      <c r="J247" s="5">
        <f t="shared" ref="J247:J261" si="62">ROUND(K247*$H247,2)</f>
        <v>0</v>
      </c>
      <c r="K247" s="5">
        <v>0</v>
      </c>
      <c r="L247" s="25">
        <f t="shared" si="52"/>
        <v>0</v>
      </c>
      <c r="M247" s="5">
        <f t="shared" ref="M247:M261" si="63">ROUND(N247*$H247,2)</f>
        <v>0</v>
      </c>
      <c r="N247" s="5">
        <v>0</v>
      </c>
      <c r="O247" s="25">
        <f t="shared" si="53"/>
        <v>0</v>
      </c>
      <c r="P247" s="5">
        <f t="shared" ref="P247:P261" si="64">ROUND(Q247*$H247,2)</f>
        <v>2070.31</v>
      </c>
      <c r="Q247" s="5">
        <f>F247</f>
        <v>1</v>
      </c>
      <c r="R247" s="25">
        <f t="shared" si="54"/>
        <v>1</v>
      </c>
      <c r="S247" s="5">
        <f t="shared" ref="S247:S261" si="65">ROUND(T247*$H247,2)</f>
        <v>0</v>
      </c>
      <c r="T247" s="5">
        <v>0</v>
      </c>
      <c r="U247" s="25">
        <f t="shared" si="55"/>
        <v>0</v>
      </c>
      <c r="V247" s="5">
        <f t="shared" ref="V247:V261" si="66">ROUND(W247*$H247,2)</f>
        <v>0</v>
      </c>
      <c r="W247" s="5">
        <v>0</v>
      </c>
      <c r="X247" s="25">
        <f t="shared" si="56"/>
        <v>0</v>
      </c>
      <c r="Y247" s="5">
        <f t="shared" si="57"/>
        <v>2070.31</v>
      </c>
      <c r="Z247" s="25">
        <f t="shared" si="58"/>
        <v>1</v>
      </c>
      <c r="AA247" s="25">
        <f t="shared" si="59"/>
        <v>1.2844036253297515E-3</v>
      </c>
    </row>
    <row r="248" spans="1:27" ht="28.8" x14ac:dyDescent="0.3">
      <c r="A248" s="23" t="s">
        <v>341</v>
      </c>
      <c r="B248" s="23" t="str">
        <f>VLOOKUP(A248,MEMORIA!$A:$N,2,FALSE)</f>
        <v>COMPOS4</v>
      </c>
      <c r="C248" s="23" t="str">
        <f>VLOOKUP(A248,MEMORIA!$A:$N,3,FALSE)</f>
        <v>PRÓPRIA</v>
      </c>
      <c r="D248" s="24" t="str">
        <f>VLOOKUP(A248,MEMORIA!$A:$N,4,FALSE)</f>
        <v>TRANSPORTE DE MÁQUINAS E EQUIPAMENTOS</v>
      </c>
      <c r="E248" s="23" t="str">
        <f>VLOOKUP(A248,MEMORIA!$A:$N,5,FALSE)</f>
        <v>KM</v>
      </c>
      <c r="F248" s="5">
        <f>VLOOKUP(A248,MEMORIA!$A:$N,14,FALSE)</f>
        <v>562.5</v>
      </c>
      <c r="G248" s="5">
        <f>VLOOKUP(A248,ORCAMENTO!$A:$I,7,FALSE)</f>
        <v>5.5</v>
      </c>
      <c r="H248" s="5">
        <f>VLOOKUP(A248,ORCAMENTO!$A:$I,8,FALSE)</f>
        <v>6.73</v>
      </c>
      <c r="I248" s="5">
        <f t="shared" si="61"/>
        <v>3785.63</v>
      </c>
      <c r="J248" s="5">
        <f t="shared" si="62"/>
        <v>0</v>
      </c>
      <c r="K248" s="5">
        <v>0</v>
      </c>
      <c r="L248" s="25">
        <f t="shared" si="52"/>
        <v>0</v>
      </c>
      <c r="M248" s="5">
        <f t="shared" si="63"/>
        <v>0</v>
      </c>
      <c r="N248" s="5">
        <v>0</v>
      </c>
      <c r="O248" s="25">
        <f t="shared" si="53"/>
        <v>0</v>
      </c>
      <c r="P248" s="5">
        <f t="shared" si="64"/>
        <v>3785.63</v>
      </c>
      <c r="Q248" s="5">
        <f t="shared" ref="Q248:Q261" si="67">F248</f>
        <v>562.5</v>
      </c>
      <c r="R248" s="25">
        <f t="shared" si="54"/>
        <v>1</v>
      </c>
      <c r="S248" s="5">
        <f t="shared" si="65"/>
        <v>0</v>
      </c>
      <c r="T248" s="5">
        <v>0</v>
      </c>
      <c r="U248" s="25">
        <f t="shared" si="55"/>
        <v>0</v>
      </c>
      <c r="V248" s="5">
        <f t="shared" si="66"/>
        <v>0</v>
      </c>
      <c r="W248" s="5">
        <v>0</v>
      </c>
      <c r="X248" s="25">
        <f t="shared" si="56"/>
        <v>0</v>
      </c>
      <c r="Y248" s="5">
        <f t="shared" si="57"/>
        <v>3785.63</v>
      </c>
      <c r="Z248" s="25">
        <f t="shared" si="58"/>
        <v>1</v>
      </c>
      <c r="AA248" s="25">
        <f t="shared" si="59"/>
        <v>2.3485743179316467E-3</v>
      </c>
    </row>
    <row r="249" spans="1:27" ht="28.8" x14ac:dyDescent="0.3">
      <c r="A249" s="23" t="s">
        <v>342</v>
      </c>
      <c r="B249" s="23" t="str">
        <f>VLOOKUP(A249,MEMORIA!$A:$N,2,FALSE)</f>
        <v>COMPOS4</v>
      </c>
      <c r="C249" s="23" t="str">
        <f>VLOOKUP(A249,MEMORIA!$A:$N,3,FALSE)</f>
        <v>PRÓPRIA</v>
      </c>
      <c r="D249" s="24" t="str">
        <f>VLOOKUP(A249,MEMORIA!$A:$N,4,FALSE)</f>
        <v>TRANSPORTE DE MÁQUINAS E EQUIPAMENTOS</v>
      </c>
      <c r="E249" s="23" t="str">
        <f>VLOOKUP(A249,MEMORIA!$A:$N,5,FALSE)</f>
        <v>KM</v>
      </c>
      <c r="F249" s="5">
        <f>VLOOKUP(A249,MEMORIA!$A:$N,14,FALSE)</f>
        <v>562.5</v>
      </c>
      <c r="G249" s="5">
        <f>VLOOKUP(A249,ORCAMENTO!$A:$I,7,FALSE)</f>
        <v>5.5</v>
      </c>
      <c r="H249" s="5">
        <f>VLOOKUP(A249,ORCAMENTO!$A:$I,8,FALSE)</f>
        <v>6.73</v>
      </c>
      <c r="I249" s="5">
        <f t="shared" si="61"/>
        <v>3785.63</v>
      </c>
      <c r="J249" s="5">
        <f t="shared" si="62"/>
        <v>0</v>
      </c>
      <c r="K249" s="5">
        <v>0</v>
      </c>
      <c r="L249" s="25">
        <f t="shared" si="52"/>
        <v>0</v>
      </c>
      <c r="M249" s="5">
        <f t="shared" si="63"/>
        <v>0</v>
      </c>
      <c r="N249" s="5">
        <v>0</v>
      </c>
      <c r="O249" s="25">
        <f t="shared" si="53"/>
        <v>0</v>
      </c>
      <c r="P249" s="5">
        <f t="shared" si="64"/>
        <v>3785.63</v>
      </c>
      <c r="Q249" s="5">
        <f t="shared" si="67"/>
        <v>562.5</v>
      </c>
      <c r="R249" s="25">
        <f t="shared" si="54"/>
        <v>1</v>
      </c>
      <c r="S249" s="5">
        <f t="shared" si="65"/>
        <v>0</v>
      </c>
      <c r="T249" s="5">
        <v>0</v>
      </c>
      <c r="U249" s="25">
        <f t="shared" si="55"/>
        <v>0</v>
      </c>
      <c r="V249" s="5">
        <f t="shared" si="66"/>
        <v>0</v>
      </c>
      <c r="W249" s="5">
        <v>0</v>
      </c>
      <c r="X249" s="25">
        <f t="shared" si="56"/>
        <v>0</v>
      </c>
      <c r="Y249" s="5">
        <f t="shared" si="57"/>
        <v>3785.63</v>
      </c>
      <c r="Z249" s="25">
        <f t="shared" si="58"/>
        <v>1</v>
      </c>
      <c r="AA249" s="25">
        <f t="shared" si="59"/>
        <v>2.3485743179316467E-3</v>
      </c>
    </row>
    <row r="250" spans="1:27" x14ac:dyDescent="0.3">
      <c r="A250" s="23" t="s">
        <v>343</v>
      </c>
      <c r="B250" s="23" t="str">
        <f>VLOOKUP(A250,MEMORIA!$A:$N,2,FALSE)</f>
        <v>COMPOS5</v>
      </c>
      <c r="C250" s="23" t="str">
        <f>VLOOKUP(A250,MEMORIA!$A:$N,3,FALSE)</f>
        <v>PRÓPRIA</v>
      </c>
      <c r="D250" s="24" t="str">
        <f>VLOOKUP(A250,MEMORIA!$A:$N,4,FALSE)</f>
        <v>PERFILAGEM ÓTICA</v>
      </c>
      <c r="E250" s="23" t="str">
        <f>VLOOKUP(A250,MEMORIA!$A:$N,5,FALSE)</f>
        <v>UN</v>
      </c>
      <c r="F250" s="5">
        <f>VLOOKUP(A250,MEMORIA!$A:$N,14,FALSE)</f>
        <v>1</v>
      </c>
      <c r="G250" s="5">
        <f>VLOOKUP(A250,ORCAMENTO!$A:$I,7,FALSE)</f>
        <v>2908.88</v>
      </c>
      <c r="H250" s="5">
        <f>VLOOKUP(A250,ORCAMENTO!$A:$I,8,FALSE)</f>
        <v>3558.4300000000003</v>
      </c>
      <c r="I250" s="5">
        <f t="shared" si="61"/>
        <v>3558.43</v>
      </c>
      <c r="J250" s="5">
        <f t="shared" si="62"/>
        <v>0</v>
      </c>
      <c r="K250" s="5">
        <v>0</v>
      </c>
      <c r="L250" s="25">
        <f t="shared" si="52"/>
        <v>0</v>
      </c>
      <c r="M250" s="5">
        <f t="shared" si="63"/>
        <v>0</v>
      </c>
      <c r="N250" s="5">
        <v>0</v>
      </c>
      <c r="O250" s="25">
        <f t="shared" si="53"/>
        <v>0</v>
      </c>
      <c r="P250" s="5">
        <f t="shared" si="64"/>
        <v>3558.43</v>
      </c>
      <c r="Q250" s="5">
        <f t="shared" si="67"/>
        <v>1</v>
      </c>
      <c r="R250" s="25">
        <f t="shared" si="54"/>
        <v>1</v>
      </c>
      <c r="S250" s="5">
        <f t="shared" si="65"/>
        <v>0</v>
      </c>
      <c r="T250" s="5">
        <v>0</v>
      </c>
      <c r="U250" s="25">
        <f t="shared" si="55"/>
        <v>0</v>
      </c>
      <c r="V250" s="5">
        <f t="shared" si="66"/>
        <v>0</v>
      </c>
      <c r="W250" s="5">
        <v>0</v>
      </c>
      <c r="X250" s="25">
        <f t="shared" si="56"/>
        <v>0</v>
      </c>
      <c r="Y250" s="5">
        <f t="shared" si="57"/>
        <v>3558.43</v>
      </c>
      <c r="Z250" s="25">
        <f t="shared" si="58"/>
        <v>1</v>
      </c>
      <c r="AA250" s="25">
        <f t="shared" si="59"/>
        <v>2.2076212704774394E-3</v>
      </c>
    </row>
    <row r="251" spans="1:27" ht="43.2" x14ac:dyDescent="0.3">
      <c r="A251" s="23" t="s">
        <v>344</v>
      </c>
      <c r="B251" s="23" t="str">
        <f>VLOOKUP(A251,MEMORIA!$A:$N,2,FALSE)</f>
        <v>COMP197</v>
      </c>
      <c r="C251" s="23" t="str">
        <f>VLOOKUP(A251,MEMORIA!$A:$N,3,FALSE)</f>
        <v>PRÓPRIA</v>
      </c>
      <c r="D251" s="24" t="str">
        <f>VLOOKUP(A251,MEMORIA!$A:$N,4,FALSE)</f>
        <v>PERFURAÇÃO EM ROCHA SEDIMENTAR DN 10" (REF: 06230/ORSE-ORSE-04/2025)</v>
      </c>
      <c r="E251" s="23" t="str">
        <f>VLOOKUP(A251,MEMORIA!$A:$N,5,FALSE)</f>
        <v>M</v>
      </c>
      <c r="F251" s="5">
        <f>VLOOKUP(A251,MEMORIA!$A:$N,14,FALSE)</f>
        <v>20</v>
      </c>
      <c r="G251" s="5">
        <f>VLOOKUP(A251,ORCAMENTO!$A:$I,7,FALSE)</f>
        <v>202.21</v>
      </c>
      <c r="H251" s="5">
        <f>VLOOKUP(A251,ORCAMENTO!$A:$I,8,FALSE)</f>
        <v>247.36</v>
      </c>
      <c r="I251" s="5">
        <f t="shared" si="61"/>
        <v>4947.2</v>
      </c>
      <c r="J251" s="5">
        <f t="shared" si="62"/>
        <v>0</v>
      </c>
      <c r="K251" s="5">
        <v>0</v>
      </c>
      <c r="L251" s="25">
        <f t="shared" si="52"/>
        <v>0</v>
      </c>
      <c r="M251" s="5">
        <f t="shared" si="63"/>
        <v>0</v>
      </c>
      <c r="N251" s="5">
        <v>0</v>
      </c>
      <c r="O251" s="25">
        <f t="shared" si="53"/>
        <v>0</v>
      </c>
      <c r="P251" s="5">
        <f t="shared" si="64"/>
        <v>4947.2</v>
      </c>
      <c r="Q251" s="5">
        <f t="shared" si="67"/>
        <v>20</v>
      </c>
      <c r="R251" s="25">
        <f t="shared" si="54"/>
        <v>1</v>
      </c>
      <c r="S251" s="5">
        <f t="shared" si="65"/>
        <v>0</v>
      </c>
      <c r="T251" s="5">
        <v>0</v>
      </c>
      <c r="U251" s="25">
        <f t="shared" si="55"/>
        <v>0</v>
      </c>
      <c r="V251" s="5">
        <f t="shared" si="66"/>
        <v>0</v>
      </c>
      <c r="W251" s="5">
        <v>0</v>
      </c>
      <c r="X251" s="25">
        <f t="shared" si="56"/>
        <v>0</v>
      </c>
      <c r="Y251" s="5">
        <f t="shared" si="57"/>
        <v>4947.2</v>
      </c>
      <c r="Z251" s="25">
        <f t="shared" si="58"/>
        <v>1</v>
      </c>
      <c r="AA251" s="25">
        <f t="shared" si="59"/>
        <v>3.0692029769606223E-3</v>
      </c>
    </row>
    <row r="252" spans="1:27" ht="28.8" x14ac:dyDescent="0.3">
      <c r="A252" s="23" t="s">
        <v>345</v>
      </c>
      <c r="B252" s="23" t="str">
        <f>VLOOKUP(A252,MEMORIA!$A:$N,2,FALSE)</f>
        <v>COMP198</v>
      </c>
      <c r="C252" s="23" t="str">
        <f>VLOOKUP(A252,MEMORIA!$A:$N,3,FALSE)</f>
        <v>PRÓPRIA</v>
      </c>
      <c r="D252" s="24" t="str">
        <f>VLOOKUP(A252,MEMORIA!$A:$N,4,FALSE)</f>
        <v>PERFURAÇÃO EM ROCHA CRISTALINA DN 6" (REF: 06237/ORSE-ORSE-04/2025)</v>
      </c>
      <c r="E252" s="23" t="str">
        <f>VLOOKUP(A252,MEMORIA!$A:$N,5,FALSE)</f>
        <v>M</v>
      </c>
      <c r="F252" s="5">
        <f>VLOOKUP(A252,MEMORIA!$A:$N,14,FALSE)</f>
        <v>80</v>
      </c>
      <c r="G252" s="5">
        <f>VLOOKUP(A252,ORCAMENTO!$A:$I,7,FALSE)</f>
        <v>125.23</v>
      </c>
      <c r="H252" s="5">
        <f>VLOOKUP(A252,ORCAMENTO!$A:$I,8,FALSE)</f>
        <v>153.19</v>
      </c>
      <c r="I252" s="5">
        <f t="shared" si="61"/>
        <v>12255.2</v>
      </c>
      <c r="J252" s="5">
        <f t="shared" si="62"/>
        <v>0</v>
      </c>
      <c r="K252" s="5">
        <v>0</v>
      </c>
      <c r="L252" s="25">
        <f t="shared" si="52"/>
        <v>0</v>
      </c>
      <c r="M252" s="5">
        <f t="shared" si="63"/>
        <v>0</v>
      </c>
      <c r="N252" s="5">
        <v>0</v>
      </c>
      <c r="O252" s="25">
        <f t="shared" si="53"/>
        <v>0</v>
      </c>
      <c r="P252" s="5">
        <f t="shared" si="64"/>
        <v>12255.2</v>
      </c>
      <c r="Q252" s="5">
        <f t="shared" si="67"/>
        <v>80</v>
      </c>
      <c r="R252" s="25">
        <f t="shared" si="54"/>
        <v>1</v>
      </c>
      <c r="S252" s="5">
        <f t="shared" si="65"/>
        <v>0</v>
      </c>
      <c r="T252" s="5">
        <v>0</v>
      </c>
      <c r="U252" s="25">
        <f t="shared" si="55"/>
        <v>0</v>
      </c>
      <c r="V252" s="5">
        <f t="shared" si="66"/>
        <v>0</v>
      </c>
      <c r="W252" s="5">
        <v>0</v>
      </c>
      <c r="X252" s="25">
        <f t="shared" si="56"/>
        <v>0</v>
      </c>
      <c r="Y252" s="5">
        <f t="shared" si="57"/>
        <v>12255.2</v>
      </c>
      <c r="Z252" s="25">
        <f t="shared" si="58"/>
        <v>1</v>
      </c>
      <c r="AA252" s="25">
        <f t="shared" si="59"/>
        <v>7.6030272322218269E-3</v>
      </c>
    </row>
    <row r="253" spans="1:27" x14ac:dyDescent="0.3">
      <c r="A253" s="23" t="s">
        <v>346</v>
      </c>
      <c r="B253" s="23" t="str">
        <f>VLOOKUP(A253,MEMORIA!$A:$N,2,FALSE)</f>
        <v>COMPOS10</v>
      </c>
      <c r="C253" s="23" t="str">
        <f>VLOOKUP(A253,MEMORIA!$A:$N,3,FALSE)</f>
        <v>PRÓPRIA</v>
      </c>
      <c r="D253" s="24" t="str">
        <f>VLOOKUP(A253,MEMORIA!$A:$N,4,FALSE)</f>
        <v>CIMENTAÇÃO SANITÁRIA</v>
      </c>
      <c r="E253" s="23" t="str">
        <f>VLOOKUP(A253,MEMORIA!$A:$N,5,FALSE)</f>
        <v>M</v>
      </c>
      <c r="F253" s="5">
        <f>VLOOKUP(A253,MEMORIA!$A:$N,14,FALSE)</f>
        <v>10</v>
      </c>
      <c r="G253" s="5">
        <f>VLOOKUP(A253,ORCAMENTO!$A:$I,7,FALSE)</f>
        <v>98.79</v>
      </c>
      <c r="H253" s="5">
        <f>VLOOKUP(A253,ORCAMENTO!$A:$I,8,FALSE)</f>
        <v>120.85000000000001</v>
      </c>
      <c r="I253" s="5">
        <f t="shared" si="61"/>
        <v>1208.5</v>
      </c>
      <c r="J253" s="5">
        <f t="shared" si="62"/>
        <v>0</v>
      </c>
      <c r="K253" s="5">
        <v>0</v>
      </c>
      <c r="L253" s="25">
        <f t="shared" si="52"/>
        <v>0</v>
      </c>
      <c r="M253" s="5">
        <f t="shared" si="63"/>
        <v>0</v>
      </c>
      <c r="N253" s="5">
        <v>0</v>
      </c>
      <c r="O253" s="25">
        <f t="shared" si="53"/>
        <v>0</v>
      </c>
      <c r="P253" s="5">
        <f t="shared" si="64"/>
        <v>1208.5</v>
      </c>
      <c r="Q253" s="5">
        <f t="shared" si="67"/>
        <v>10</v>
      </c>
      <c r="R253" s="25">
        <f t="shared" si="54"/>
        <v>1</v>
      </c>
      <c r="S253" s="5">
        <f t="shared" si="65"/>
        <v>0</v>
      </c>
      <c r="T253" s="5">
        <v>0</v>
      </c>
      <c r="U253" s="25">
        <f t="shared" si="55"/>
        <v>0</v>
      </c>
      <c r="V253" s="5">
        <f t="shared" si="66"/>
        <v>0</v>
      </c>
      <c r="W253" s="5">
        <v>0</v>
      </c>
      <c r="X253" s="25">
        <f t="shared" si="56"/>
        <v>0</v>
      </c>
      <c r="Y253" s="5">
        <f t="shared" si="57"/>
        <v>1208.5</v>
      </c>
      <c r="Z253" s="25">
        <f t="shared" si="58"/>
        <v>1</v>
      </c>
      <c r="AA253" s="25">
        <f t="shared" si="59"/>
        <v>7.4974365250180149E-4</v>
      </c>
    </row>
    <row r="254" spans="1:27" ht="28.8" x14ac:dyDescent="0.3">
      <c r="A254" s="23" t="s">
        <v>347</v>
      </c>
      <c r="B254" s="23" t="str">
        <f>VLOOKUP(A254,MEMORIA!$A:$N,2,FALSE)</f>
        <v>COMPOS11</v>
      </c>
      <c r="C254" s="23" t="str">
        <f>VLOOKUP(A254,MEMORIA!$A:$N,3,FALSE)</f>
        <v>PRÓPRIA</v>
      </c>
      <c r="D254" s="24" t="str">
        <f>VLOOKUP(A254,MEMORIA!$A:$N,4,FALSE)</f>
        <v>LAJE DE PROTEÇÃO EM CONCRETO (1,0 M X 1,0 M X 0,15 M)</v>
      </c>
      <c r="E254" s="23" t="str">
        <f>VLOOKUP(A254,MEMORIA!$A:$N,5,FALSE)</f>
        <v>M³</v>
      </c>
      <c r="F254" s="5">
        <f>VLOOKUP(A254,MEMORIA!$A:$N,14,FALSE)</f>
        <v>0.15</v>
      </c>
      <c r="G254" s="5">
        <f>VLOOKUP(A254,ORCAMENTO!$A:$I,7,FALSE)</f>
        <v>1246.81</v>
      </c>
      <c r="H254" s="5">
        <f>VLOOKUP(A254,ORCAMENTO!$A:$I,8,FALSE)</f>
        <v>1525.22</v>
      </c>
      <c r="I254" s="5">
        <f t="shared" si="61"/>
        <v>228.78</v>
      </c>
      <c r="J254" s="5">
        <f t="shared" si="62"/>
        <v>0</v>
      </c>
      <c r="K254" s="5">
        <v>0</v>
      </c>
      <c r="L254" s="25">
        <f t="shared" si="52"/>
        <v>0</v>
      </c>
      <c r="M254" s="5">
        <f t="shared" si="63"/>
        <v>0</v>
      </c>
      <c r="N254" s="5">
        <v>0</v>
      </c>
      <c r="O254" s="25">
        <f t="shared" si="53"/>
        <v>0</v>
      </c>
      <c r="P254" s="5">
        <f t="shared" si="64"/>
        <v>228.78</v>
      </c>
      <c r="Q254" s="5">
        <f t="shared" si="67"/>
        <v>0.15</v>
      </c>
      <c r="R254" s="25">
        <f t="shared" si="54"/>
        <v>1</v>
      </c>
      <c r="S254" s="5">
        <f t="shared" si="65"/>
        <v>0</v>
      </c>
      <c r="T254" s="5">
        <v>0</v>
      </c>
      <c r="U254" s="25">
        <f t="shared" si="55"/>
        <v>0</v>
      </c>
      <c r="V254" s="5">
        <f t="shared" si="66"/>
        <v>0</v>
      </c>
      <c r="W254" s="5">
        <v>0</v>
      </c>
      <c r="X254" s="25">
        <f t="shared" si="56"/>
        <v>0</v>
      </c>
      <c r="Y254" s="5">
        <f t="shared" si="57"/>
        <v>228.78</v>
      </c>
      <c r="Z254" s="25">
        <f t="shared" si="58"/>
        <v>1</v>
      </c>
      <c r="AA254" s="25">
        <f t="shared" si="59"/>
        <v>1.4193326671027072E-4</v>
      </c>
    </row>
    <row r="255" spans="1:27" x14ac:dyDescent="0.3">
      <c r="A255" s="23" t="s">
        <v>348</v>
      </c>
      <c r="B255" s="23" t="str">
        <f>VLOOKUP(A255,MEMORIA!$A:$N,2,FALSE)</f>
        <v>COMPOS12</v>
      </c>
      <c r="C255" s="23" t="str">
        <f>VLOOKUP(A255,MEMORIA!$A:$N,3,FALSE)</f>
        <v>PRÓPRIA</v>
      </c>
      <c r="D255" s="24" t="str">
        <f>VLOOKUP(A255,MEMORIA!$A:$N,4,FALSE)</f>
        <v>DESENVOLVIMENTO COM BOMBA SUBMERSA</v>
      </c>
      <c r="E255" s="23" t="str">
        <f>VLOOKUP(A255,MEMORIA!$A:$N,5,FALSE)</f>
        <v>H</v>
      </c>
      <c r="F255" s="5">
        <f>VLOOKUP(A255,MEMORIA!$A:$N,14,FALSE)</f>
        <v>6</v>
      </c>
      <c r="G255" s="5">
        <f>VLOOKUP(A255,ORCAMENTO!$A:$I,7,FALSE)</f>
        <v>515.70000000000005</v>
      </c>
      <c r="H255" s="5">
        <f>VLOOKUP(A255,ORCAMENTO!$A:$I,8,FALSE)</f>
        <v>630.86</v>
      </c>
      <c r="I255" s="5">
        <f t="shared" si="61"/>
        <v>3785.16</v>
      </c>
      <c r="J255" s="5">
        <f t="shared" si="62"/>
        <v>0</v>
      </c>
      <c r="K255" s="5">
        <v>0</v>
      </c>
      <c r="L255" s="25">
        <f t="shared" si="52"/>
        <v>0</v>
      </c>
      <c r="M255" s="5">
        <f t="shared" si="63"/>
        <v>0</v>
      </c>
      <c r="N255" s="5">
        <v>0</v>
      </c>
      <c r="O255" s="25">
        <f t="shared" si="53"/>
        <v>0</v>
      </c>
      <c r="P255" s="5">
        <f t="shared" si="64"/>
        <v>3785.16</v>
      </c>
      <c r="Q255" s="5">
        <f t="shared" si="67"/>
        <v>6</v>
      </c>
      <c r="R255" s="25">
        <f t="shared" si="54"/>
        <v>1</v>
      </c>
      <c r="S255" s="5">
        <f t="shared" si="65"/>
        <v>0</v>
      </c>
      <c r="T255" s="5">
        <v>0</v>
      </c>
      <c r="U255" s="25">
        <f t="shared" si="55"/>
        <v>0</v>
      </c>
      <c r="V255" s="5">
        <f t="shared" si="66"/>
        <v>0</v>
      </c>
      <c r="W255" s="5">
        <v>0</v>
      </c>
      <c r="X255" s="25">
        <f t="shared" si="56"/>
        <v>0</v>
      </c>
      <c r="Y255" s="5">
        <f t="shared" si="57"/>
        <v>3785.16</v>
      </c>
      <c r="Z255" s="25">
        <f t="shared" si="58"/>
        <v>1</v>
      </c>
      <c r="AA255" s="25">
        <f t="shared" si="59"/>
        <v>2.3482827337225642E-3</v>
      </c>
    </row>
    <row r="256" spans="1:27" x14ac:dyDescent="0.3">
      <c r="A256" s="23" t="s">
        <v>349</v>
      </c>
      <c r="B256" s="23" t="str">
        <f>VLOOKUP(A256,MEMORIA!$A:$N,2,FALSE)</f>
        <v>COMPOS13</v>
      </c>
      <c r="C256" s="23" t="str">
        <f>VLOOKUP(A256,MEMORIA!$A:$N,3,FALSE)</f>
        <v>PRÓPRIA</v>
      </c>
      <c r="D256" s="24" t="str">
        <f>VLOOKUP(A256,MEMORIA!$A:$N,4,FALSE)</f>
        <v>TESTE VAZÃO COM BOMBA SUBMERSA</v>
      </c>
      <c r="E256" s="23" t="str">
        <f>VLOOKUP(A256,MEMORIA!$A:$N,5,FALSE)</f>
        <v>H</v>
      </c>
      <c r="F256" s="5">
        <f>VLOOKUP(A256,MEMORIA!$A:$N,14,FALSE)</f>
        <v>24</v>
      </c>
      <c r="G256" s="5">
        <f>VLOOKUP(A256,ORCAMENTO!$A:$I,7,FALSE)</f>
        <v>97.789999999999992</v>
      </c>
      <c r="H256" s="5">
        <f>VLOOKUP(A256,ORCAMENTO!$A:$I,8,FALSE)</f>
        <v>119.63</v>
      </c>
      <c r="I256" s="5">
        <f t="shared" si="61"/>
        <v>2871.12</v>
      </c>
      <c r="J256" s="5">
        <f t="shared" si="62"/>
        <v>0</v>
      </c>
      <c r="K256" s="5">
        <v>0</v>
      </c>
      <c r="L256" s="25">
        <f t="shared" si="52"/>
        <v>0</v>
      </c>
      <c r="M256" s="5">
        <f t="shared" si="63"/>
        <v>0</v>
      </c>
      <c r="N256" s="5">
        <v>0</v>
      </c>
      <c r="O256" s="25">
        <f t="shared" si="53"/>
        <v>0</v>
      </c>
      <c r="P256" s="5">
        <f t="shared" si="64"/>
        <v>2871.12</v>
      </c>
      <c r="Q256" s="5">
        <f t="shared" si="67"/>
        <v>24</v>
      </c>
      <c r="R256" s="25">
        <f t="shared" si="54"/>
        <v>1</v>
      </c>
      <c r="S256" s="5">
        <f t="shared" si="65"/>
        <v>0</v>
      </c>
      <c r="T256" s="5">
        <v>0</v>
      </c>
      <c r="U256" s="25">
        <f t="shared" si="55"/>
        <v>0</v>
      </c>
      <c r="V256" s="5">
        <f t="shared" si="66"/>
        <v>0</v>
      </c>
      <c r="W256" s="5">
        <v>0</v>
      </c>
      <c r="X256" s="25">
        <f t="shared" si="56"/>
        <v>0</v>
      </c>
      <c r="Y256" s="5">
        <f t="shared" si="57"/>
        <v>2871.12</v>
      </c>
      <c r="Z256" s="25">
        <f t="shared" si="58"/>
        <v>1</v>
      </c>
      <c r="AA256" s="25">
        <f t="shared" si="59"/>
        <v>1.7812196901704363E-3</v>
      </c>
    </row>
    <row r="257" spans="1:27" x14ac:dyDescent="0.3">
      <c r="A257" s="23" t="s">
        <v>350</v>
      </c>
      <c r="B257" s="23" t="str">
        <f>VLOOKUP(A257,MEMORIA!$A:$N,2,FALSE)</f>
        <v>COMPOS14</v>
      </c>
      <c r="C257" s="23" t="str">
        <f>VLOOKUP(A257,MEMORIA!$A:$N,3,FALSE)</f>
        <v>PRÓPRIA</v>
      </c>
      <c r="D257" s="24" t="str">
        <f>VLOOKUP(A257,MEMORIA!$A:$N,4,FALSE)</f>
        <v>DESINFECÇÃO</v>
      </c>
      <c r="E257" s="23" t="str">
        <f>VLOOKUP(A257,MEMORIA!$A:$N,5,FALSE)</f>
        <v>H</v>
      </c>
      <c r="F257" s="5">
        <f>VLOOKUP(A257,MEMORIA!$A:$N,14,FALSE)</f>
        <v>4</v>
      </c>
      <c r="G257" s="5">
        <f>VLOOKUP(A257,ORCAMENTO!$A:$I,7,FALSE)</f>
        <v>102.36000000000003</v>
      </c>
      <c r="H257" s="5">
        <f>VLOOKUP(A257,ORCAMENTO!$A:$I,8,FALSE)</f>
        <v>125.22000000000003</v>
      </c>
      <c r="I257" s="5">
        <f t="shared" si="61"/>
        <v>500.88</v>
      </c>
      <c r="J257" s="5">
        <f t="shared" si="62"/>
        <v>0</v>
      </c>
      <c r="K257" s="5">
        <v>0</v>
      </c>
      <c r="L257" s="25">
        <f t="shared" si="52"/>
        <v>0</v>
      </c>
      <c r="M257" s="5">
        <f t="shared" si="63"/>
        <v>0</v>
      </c>
      <c r="N257" s="5">
        <v>0</v>
      </c>
      <c r="O257" s="25">
        <f t="shared" si="53"/>
        <v>0</v>
      </c>
      <c r="P257" s="5">
        <f t="shared" si="64"/>
        <v>500.88</v>
      </c>
      <c r="Q257" s="5">
        <f t="shared" si="67"/>
        <v>4</v>
      </c>
      <c r="R257" s="25">
        <f t="shared" si="54"/>
        <v>1</v>
      </c>
      <c r="S257" s="5">
        <f t="shared" si="65"/>
        <v>0</v>
      </c>
      <c r="T257" s="5">
        <v>0</v>
      </c>
      <c r="U257" s="25">
        <f t="shared" si="55"/>
        <v>0</v>
      </c>
      <c r="V257" s="5">
        <f t="shared" si="66"/>
        <v>0</v>
      </c>
      <c r="W257" s="5">
        <v>0</v>
      </c>
      <c r="X257" s="25">
        <f t="shared" si="56"/>
        <v>0</v>
      </c>
      <c r="Y257" s="5">
        <f t="shared" si="57"/>
        <v>500.88</v>
      </c>
      <c r="Z257" s="25">
        <f t="shared" si="58"/>
        <v>1</v>
      </c>
      <c r="AA257" s="25">
        <f t="shared" si="59"/>
        <v>3.107419120108418E-4</v>
      </c>
    </row>
    <row r="258" spans="1:27" x14ac:dyDescent="0.3">
      <c r="A258" s="23" t="s">
        <v>351</v>
      </c>
      <c r="B258" s="23" t="str">
        <f>VLOOKUP(A258,MEMORIA!$A:$N,2,FALSE)</f>
        <v>COMPOS15</v>
      </c>
      <c r="C258" s="23" t="str">
        <f>VLOOKUP(A258,MEMORIA!$A:$N,3,FALSE)</f>
        <v>PRÓPRIA</v>
      </c>
      <c r="D258" s="24" t="str">
        <f>VLOOKUP(A258,MEMORIA!$A:$N,4,FALSE)</f>
        <v>RELATÓRIO TÉCNICO</v>
      </c>
      <c r="E258" s="23" t="str">
        <f>VLOOKUP(A258,MEMORIA!$A:$N,5,FALSE)</f>
        <v>UN</v>
      </c>
      <c r="F258" s="5">
        <f>VLOOKUP(A258,MEMORIA!$A:$N,14,FALSE)</f>
        <v>1</v>
      </c>
      <c r="G258" s="5">
        <f>VLOOKUP(A258,ORCAMENTO!$A:$I,7,FALSE)</f>
        <v>1110.2</v>
      </c>
      <c r="H258" s="5">
        <f>VLOOKUP(A258,ORCAMENTO!$A:$I,8,FALSE)</f>
        <v>1358.1100000000001</v>
      </c>
      <c r="I258" s="5">
        <f t="shared" si="61"/>
        <v>1358.11</v>
      </c>
      <c r="J258" s="5">
        <f t="shared" si="62"/>
        <v>0</v>
      </c>
      <c r="K258" s="5">
        <v>0</v>
      </c>
      <c r="L258" s="25">
        <f t="shared" si="52"/>
        <v>0</v>
      </c>
      <c r="M258" s="5">
        <f t="shared" si="63"/>
        <v>0</v>
      </c>
      <c r="N258" s="5">
        <v>0</v>
      </c>
      <c r="O258" s="25">
        <f t="shared" si="53"/>
        <v>0</v>
      </c>
      <c r="P258" s="5">
        <f t="shared" si="64"/>
        <v>1358.11</v>
      </c>
      <c r="Q258" s="5">
        <f t="shared" si="67"/>
        <v>1</v>
      </c>
      <c r="R258" s="25">
        <f t="shared" si="54"/>
        <v>1</v>
      </c>
      <c r="S258" s="5">
        <f t="shared" si="65"/>
        <v>0</v>
      </c>
      <c r="T258" s="5">
        <v>0</v>
      </c>
      <c r="U258" s="25">
        <f t="shared" si="55"/>
        <v>0</v>
      </c>
      <c r="V258" s="5">
        <f t="shared" si="66"/>
        <v>0</v>
      </c>
      <c r="W258" s="5">
        <v>0</v>
      </c>
      <c r="X258" s="25">
        <f t="shared" si="56"/>
        <v>0</v>
      </c>
      <c r="Y258" s="5">
        <f t="shared" si="57"/>
        <v>1358.11</v>
      </c>
      <c r="Z258" s="25">
        <f t="shared" si="58"/>
        <v>1</v>
      </c>
      <c r="AA258" s="25">
        <f t="shared" si="59"/>
        <v>8.4256048978007577E-4</v>
      </c>
    </row>
    <row r="259" spans="1:27" x14ac:dyDescent="0.3">
      <c r="A259" s="23" t="s">
        <v>352</v>
      </c>
      <c r="B259" s="23" t="str">
        <f>VLOOKUP(A259,MEMORIA!$A:$N,2,FALSE)</f>
        <v>COMPOS16</v>
      </c>
      <c r="C259" s="23" t="str">
        <f>VLOOKUP(A259,MEMORIA!$A:$N,3,FALSE)</f>
        <v>PRÓPRIA</v>
      </c>
      <c r="D259" s="24" t="str">
        <f>VLOOKUP(A259,MEMORIA!$A:$N,4,FALSE)</f>
        <v>ANÁLISE FÍSICO-QUÍMICA DA ÁGUA</v>
      </c>
      <c r="E259" s="23" t="str">
        <f>VLOOKUP(A259,MEMORIA!$A:$N,5,FALSE)</f>
        <v>UN</v>
      </c>
      <c r="F259" s="5">
        <f>VLOOKUP(A259,MEMORIA!$A:$N,14,FALSE)</f>
        <v>1</v>
      </c>
      <c r="G259" s="5">
        <f>VLOOKUP(A259,ORCAMENTO!$A:$I,7,FALSE)</f>
        <v>565.21</v>
      </c>
      <c r="H259" s="5">
        <f>VLOOKUP(A259,ORCAMENTO!$A:$I,8,FALSE)</f>
        <v>691.42000000000007</v>
      </c>
      <c r="I259" s="5">
        <f t="shared" si="61"/>
        <v>691.42</v>
      </c>
      <c r="J259" s="5">
        <f t="shared" si="62"/>
        <v>0</v>
      </c>
      <c r="K259" s="5">
        <v>0</v>
      </c>
      <c r="L259" s="25">
        <f t="shared" si="52"/>
        <v>0</v>
      </c>
      <c r="M259" s="5">
        <f t="shared" si="63"/>
        <v>0</v>
      </c>
      <c r="N259" s="5">
        <v>0</v>
      </c>
      <c r="O259" s="25">
        <f t="shared" si="53"/>
        <v>0</v>
      </c>
      <c r="P259" s="5">
        <f t="shared" si="64"/>
        <v>691.42</v>
      </c>
      <c r="Q259" s="5">
        <f t="shared" si="67"/>
        <v>1</v>
      </c>
      <c r="R259" s="25">
        <f t="shared" si="54"/>
        <v>1</v>
      </c>
      <c r="S259" s="5">
        <f t="shared" si="65"/>
        <v>0</v>
      </c>
      <c r="T259" s="5">
        <v>0</v>
      </c>
      <c r="U259" s="25">
        <f t="shared" si="55"/>
        <v>0</v>
      </c>
      <c r="V259" s="5">
        <f t="shared" si="66"/>
        <v>0</v>
      </c>
      <c r="W259" s="5">
        <v>0</v>
      </c>
      <c r="X259" s="25">
        <f t="shared" si="56"/>
        <v>0</v>
      </c>
      <c r="Y259" s="5">
        <f t="shared" si="57"/>
        <v>691.42</v>
      </c>
      <c r="Z259" s="25">
        <f t="shared" si="58"/>
        <v>1</v>
      </c>
      <c r="AA259" s="25">
        <f t="shared" si="59"/>
        <v>4.2895139115663682E-4</v>
      </c>
    </row>
    <row r="260" spans="1:27" ht="43.2" x14ac:dyDescent="0.3">
      <c r="A260" s="23" t="s">
        <v>353</v>
      </c>
      <c r="B260" s="23" t="str">
        <f>VLOOKUP(A260,MEMORIA!$A:$N,2,FALSE)</f>
        <v>COMPOS1</v>
      </c>
      <c r="C260" s="23" t="str">
        <f>VLOOKUP(A260,MEMORIA!$A:$N,3,FALSE)</f>
        <v>PRÓPRIA</v>
      </c>
      <c r="D260" s="24" t="str">
        <f>VLOOKUP(A260,MEMORIA!$A:$N,4,FALSE)</f>
        <v>FORNECIMENTO E INSTALAÇÃO DE REVESTIMENTO GEOMECÂNICO STANDART DN-154-S</v>
      </c>
      <c r="E260" s="23" t="str">
        <f>VLOOKUP(A260,MEMORIA!$A:$N,5,FALSE)</f>
        <v>M</v>
      </c>
      <c r="F260" s="5">
        <f>VLOOKUP(A260,MEMORIA!$A:$N,14,FALSE)</f>
        <v>21</v>
      </c>
      <c r="G260" s="5">
        <f>VLOOKUP(A260,ORCAMENTO!$A:$I,7,FALSE)</f>
        <v>170.76</v>
      </c>
      <c r="H260" s="5">
        <f>VLOOKUP(A260,ORCAMENTO!$A:$I,8,FALSE)</f>
        <v>208.89</v>
      </c>
      <c r="I260" s="5">
        <f t="shared" si="61"/>
        <v>4386.6899999999996</v>
      </c>
      <c r="J260" s="5">
        <f t="shared" si="62"/>
        <v>0</v>
      </c>
      <c r="K260" s="5">
        <v>0</v>
      </c>
      <c r="L260" s="25">
        <f t="shared" si="52"/>
        <v>0</v>
      </c>
      <c r="M260" s="5">
        <f t="shared" si="63"/>
        <v>0</v>
      </c>
      <c r="N260" s="5">
        <v>0</v>
      </c>
      <c r="O260" s="25">
        <f t="shared" si="53"/>
        <v>0</v>
      </c>
      <c r="P260" s="5">
        <f t="shared" si="64"/>
        <v>4386.6899999999996</v>
      </c>
      <c r="Q260" s="5">
        <f t="shared" si="67"/>
        <v>21</v>
      </c>
      <c r="R260" s="25">
        <f t="shared" si="54"/>
        <v>1</v>
      </c>
      <c r="S260" s="5">
        <f t="shared" si="65"/>
        <v>0</v>
      </c>
      <c r="T260" s="5">
        <v>0</v>
      </c>
      <c r="U260" s="25">
        <f t="shared" si="55"/>
        <v>0</v>
      </c>
      <c r="V260" s="5">
        <f t="shared" si="66"/>
        <v>0</v>
      </c>
      <c r="W260" s="5">
        <v>0</v>
      </c>
      <c r="X260" s="25">
        <f t="shared" si="56"/>
        <v>0</v>
      </c>
      <c r="Y260" s="5">
        <f t="shared" si="57"/>
        <v>4386.6899999999996</v>
      </c>
      <c r="Z260" s="25">
        <f t="shared" si="58"/>
        <v>1</v>
      </c>
      <c r="AA260" s="25">
        <f t="shared" si="59"/>
        <v>2.7214670939123935E-3</v>
      </c>
    </row>
    <row r="261" spans="1:27" ht="28.8" x14ac:dyDescent="0.3">
      <c r="A261" s="23" t="s">
        <v>354</v>
      </c>
      <c r="B261" s="23" t="str">
        <f>VLOOKUP(A261,MEMORIA!$A:$N,2,FALSE)</f>
        <v>COMPOS2</v>
      </c>
      <c r="C261" s="23" t="str">
        <f>VLOOKUP(A261,MEMORIA!$A:$N,3,FALSE)</f>
        <v>PRÓPRIA</v>
      </c>
      <c r="D261" s="24" t="str">
        <f>VLOOKUP(A261,MEMORIA!$A:$N,4,FALSE)</f>
        <v>FORNECIMENTO E INSTALAÇÃO DE TAMPA PARA POÇO</v>
      </c>
      <c r="E261" s="23" t="str">
        <f>VLOOKUP(A261,MEMORIA!$A:$N,5,FALSE)</f>
        <v>UN</v>
      </c>
      <c r="F261" s="5">
        <f>VLOOKUP(A261,MEMORIA!$A:$N,14,FALSE)</f>
        <v>1</v>
      </c>
      <c r="G261" s="5">
        <f>VLOOKUP(A261,ORCAMENTO!$A:$I,7,FALSE)</f>
        <v>109.94</v>
      </c>
      <c r="H261" s="5">
        <f>VLOOKUP(A261,ORCAMENTO!$A:$I,8,FALSE)</f>
        <v>134.49</v>
      </c>
      <c r="I261" s="5">
        <f t="shared" si="61"/>
        <v>134.49</v>
      </c>
      <c r="J261" s="5">
        <f t="shared" si="62"/>
        <v>0</v>
      </c>
      <c r="K261" s="5">
        <v>0</v>
      </c>
      <c r="L261" s="25">
        <f t="shared" si="52"/>
        <v>0</v>
      </c>
      <c r="M261" s="5">
        <f t="shared" si="63"/>
        <v>0</v>
      </c>
      <c r="N261" s="5">
        <v>0</v>
      </c>
      <c r="O261" s="25">
        <f t="shared" si="53"/>
        <v>0</v>
      </c>
      <c r="P261" s="5">
        <f t="shared" si="64"/>
        <v>134.49</v>
      </c>
      <c r="Q261" s="5">
        <f t="shared" si="67"/>
        <v>1</v>
      </c>
      <c r="R261" s="25">
        <f t="shared" si="54"/>
        <v>1</v>
      </c>
      <c r="S261" s="5">
        <f t="shared" si="65"/>
        <v>0</v>
      </c>
      <c r="T261" s="5">
        <v>0</v>
      </c>
      <c r="U261" s="25">
        <f t="shared" si="55"/>
        <v>0</v>
      </c>
      <c r="V261" s="5">
        <f t="shared" si="66"/>
        <v>0</v>
      </c>
      <c r="W261" s="5">
        <v>0</v>
      </c>
      <c r="X261" s="25">
        <f t="shared" si="56"/>
        <v>0</v>
      </c>
      <c r="Y261" s="5">
        <f t="shared" si="57"/>
        <v>134.49</v>
      </c>
      <c r="Z261" s="25">
        <f t="shared" si="58"/>
        <v>1</v>
      </c>
      <c r="AA261" s="25">
        <f t="shared" si="59"/>
        <v>8.3436511232906329E-5</v>
      </c>
    </row>
    <row r="262" spans="1:27" x14ac:dyDescent="0.3">
      <c r="A262" s="12" t="s">
        <v>90</v>
      </c>
      <c r="B262" s="51" t="str">
        <f>VLOOKUP(A262,MEMORIA!$A:$N,2,FALSE)</f>
        <v>AQUISIÇÃO E INSTALAÇÃO DE EQUIPAMENTOS DE BOMBEAMENTO, RECALQUE/BARRILETE E CONEXÕES PARA INTERLIGAÇÃO COM RESERVATÓRIO</v>
      </c>
      <c r="C262" s="52"/>
      <c r="D262" s="52"/>
      <c r="E262" s="52"/>
      <c r="F262" s="52"/>
      <c r="G262" s="52"/>
      <c r="H262" s="53"/>
      <c r="I262" s="13">
        <f>SUM(I$263:I$265)</f>
        <v>9017.39</v>
      </c>
      <c r="J262" s="13">
        <f>SUM(J$263:J$265)</f>
        <v>0</v>
      </c>
      <c r="K262" s="13"/>
      <c r="L262" s="14">
        <f t="shared" si="52"/>
        <v>0</v>
      </c>
      <c r="M262" s="13">
        <f>SUM(M$263:M$265)</f>
        <v>0</v>
      </c>
      <c r="N262" s="13"/>
      <c r="O262" s="14">
        <f t="shared" si="53"/>
        <v>0</v>
      </c>
      <c r="P262" s="13">
        <f>SUM(P$263:P$265)</f>
        <v>9017.39</v>
      </c>
      <c r="Q262" s="13"/>
      <c r="R262" s="14">
        <f t="shared" si="54"/>
        <v>1</v>
      </c>
      <c r="S262" s="13">
        <f>SUM(S$263:S$265)</f>
        <v>0</v>
      </c>
      <c r="T262" s="13"/>
      <c r="U262" s="14">
        <f t="shared" si="55"/>
        <v>0</v>
      </c>
      <c r="V262" s="13">
        <f>SUM(V$263:V$265)</f>
        <v>0</v>
      </c>
      <c r="W262" s="13"/>
      <c r="X262" s="14">
        <f t="shared" si="56"/>
        <v>0</v>
      </c>
      <c r="Y262" s="13">
        <f t="shared" si="57"/>
        <v>9017.39</v>
      </c>
      <c r="Z262" s="14">
        <f t="shared" si="58"/>
        <v>1</v>
      </c>
      <c r="AA262" s="14">
        <f t="shared" si="59"/>
        <v>5.5943160236931891E-3</v>
      </c>
    </row>
    <row r="263" spans="1:27" ht="43.2" x14ac:dyDescent="0.3">
      <c r="A263" s="23" t="s">
        <v>355</v>
      </c>
      <c r="B263" s="23" t="str">
        <f>VLOOKUP(A263,MEMORIA!$A:$N,2,FALSE)</f>
        <v>COMPOS19</v>
      </c>
      <c r="C263" s="23" t="str">
        <f>VLOOKUP(A263,MEMORIA!$A:$N,3,FALSE)</f>
        <v>PRÓPRIA</v>
      </c>
      <c r="D263" s="24" t="str">
        <f>VLOOKUP(A263,MEMORIA!$A:$N,4,FALSE)</f>
        <v>FORNECIMENTO E INSTALAÇÃO DE TUBO EDUTOR DE PVC DE 1.1/2'' COM LUVA</v>
      </c>
      <c r="E263" s="23" t="str">
        <f>VLOOKUP(A263,MEMORIA!$A:$N,5,FALSE)</f>
        <v>M</v>
      </c>
      <c r="F263" s="5">
        <f>VLOOKUP(A263,MEMORIA!$A:$N,14,FALSE)</f>
        <v>90</v>
      </c>
      <c r="G263" s="5">
        <f>VLOOKUP(A263,ORCAMENTO!$A:$I,7,FALSE)</f>
        <v>46.25</v>
      </c>
      <c r="H263" s="5">
        <f>VLOOKUP(A263,ORCAMENTO!$A:$I,8,FALSE)</f>
        <v>56.58</v>
      </c>
      <c r="I263" s="5">
        <f>ROUND(F263*H263,2)</f>
        <v>5092.2</v>
      </c>
      <c r="J263" s="5">
        <f>ROUND(K263*$H263,2)</f>
        <v>0</v>
      </c>
      <c r="K263" s="5">
        <v>0</v>
      </c>
      <c r="L263" s="25">
        <f t="shared" si="52"/>
        <v>0</v>
      </c>
      <c r="M263" s="5">
        <f>ROUND(N263*$H263,2)</f>
        <v>0</v>
      </c>
      <c r="N263" s="5">
        <v>0</v>
      </c>
      <c r="O263" s="25">
        <f t="shared" si="53"/>
        <v>0</v>
      </c>
      <c r="P263" s="5">
        <f>ROUND(Q263*$H263,2)</f>
        <v>5092.2</v>
      </c>
      <c r="Q263" s="5">
        <f>F263</f>
        <v>90</v>
      </c>
      <c r="R263" s="25">
        <f t="shared" si="54"/>
        <v>1</v>
      </c>
      <c r="S263" s="5">
        <f>ROUND(T263*$H263,2)</f>
        <v>0</v>
      </c>
      <c r="T263" s="5">
        <v>0</v>
      </c>
      <c r="U263" s="25">
        <f t="shared" si="55"/>
        <v>0</v>
      </c>
      <c r="V263" s="5">
        <f>ROUND(W263*$H263,2)</f>
        <v>0</v>
      </c>
      <c r="W263" s="5">
        <v>0</v>
      </c>
      <c r="X263" s="25">
        <f t="shared" si="56"/>
        <v>0</v>
      </c>
      <c r="Y263" s="5">
        <f t="shared" si="57"/>
        <v>5092.2</v>
      </c>
      <c r="Z263" s="25">
        <f t="shared" si="58"/>
        <v>1</v>
      </c>
      <c r="AA263" s="25">
        <f t="shared" si="59"/>
        <v>3.1591598074221542E-3</v>
      </c>
    </row>
    <row r="264" spans="1:27" x14ac:dyDescent="0.3">
      <c r="A264" s="23" t="s">
        <v>356</v>
      </c>
      <c r="B264" s="23" t="str">
        <f>VLOOKUP(A264,MEMORIA!$A:$N,2,FALSE)</f>
        <v>COMPOS21</v>
      </c>
      <c r="C264" s="23" t="str">
        <f>VLOOKUP(A264,MEMORIA!$A:$N,3,FALSE)</f>
        <v>PRÓPRIA</v>
      </c>
      <c r="D264" s="24" t="str">
        <f>VLOOKUP(A264,MEMORIA!$A:$N,4,FALSE)</f>
        <v>BARRILETE (CURVAS E CONEXÕES)</v>
      </c>
      <c r="E264" s="23" t="str">
        <f>VLOOKUP(A264,MEMORIA!$A:$N,5,FALSE)</f>
        <v>UN</v>
      </c>
      <c r="F264" s="5">
        <f>VLOOKUP(A264,MEMORIA!$A:$N,14,FALSE)</f>
        <v>1</v>
      </c>
      <c r="G264" s="5">
        <f>VLOOKUP(A264,ORCAMENTO!$A:$I,7,FALSE)</f>
        <v>2147.0500000000002</v>
      </c>
      <c r="H264" s="5">
        <f>VLOOKUP(A264,ORCAMENTO!$A:$I,8,FALSE)</f>
        <v>2626.4900000000002</v>
      </c>
      <c r="I264" s="5">
        <f>ROUND(F264*H264,2)</f>
        <v>2626.49</v>
      </c>
      <c r="J264" s="5">
        <f>ROUND(K264*$H264,2)</f>
        <v>0</v>
      </c>
      <c r="K264" s="5">
        <v>0</v>
      </c>
      <c r="L264" s="25">
        <f t="shared" ref="L264:L327" si="68">J264/$I264</f>
        <v>0</v>
      </c>
      <c r="M264" s="5">
        <f>ROUND(N264*$H264,2)</f>
        <v>0</v>
      </c>
      <c r="N264" s="5">
        <v>0</v>
      </c>
      <c r="O264" s="25">
        <f t="shared" ref="O264:O327" si="69">M264/$I264</f>
        <v>0</v>
      </c>
      <c r="P264" s="5">
        <f>ROUND(Q264*$H264,2)</f>
        <v>2626.49</v>
      </c>
      <c r="Q264" s="5">
        <f t="shared" ref="Q264:Q265" si="70">F264</f>
        <v>1</v>
      </c>
      <c r="R264" s="25">
        <f t="shared" ref="R264:R327" si="71">P264/$I264</f>
        <v>1</v>
      </c>
      <c r="S264" s="5">
        <f>ROUND(T264*$H264,2)</f>
        <v>0</v>
      </c>
      <c r="T264" s="5">
        <v>0</v>
      </c>
      <c r="U264" s="25">
        <f t="shared" ref="U264:U327" si="72">S264/$I264</f>
        <v>0</v>
      </c>
      <c r="V264" s="5">
        <f>ROUND(W264*$H264,2)</f>
        <v>0</v>
      </c>
      <c r="W264" s="5">
        <v>0</v>
      </c>
      <c r="X264" s="25">
        <f t="shared" ref="X264:X327" si="73">V264/$I264</f>
        <v>0</v>
      </c>
      <c r="Y264" s="5">
        <f t="shared" ref="Y264:Y327" si="74">SUM(J264,M264,P264,S264,V264,)</f>
        <v>2626.49</v>
      </c>
      <c r="Z264" s="25">
        <f t="shared" ref="Z264:Z327" si="75">SUM(L264,O264,R264,U264,X264,)</f>
        <v>1</v>
      </c>
      <c r="AA264" s="25">
        <f t="shared" ref="AA264:AA327" si="76">Y264/$I$479</f>
        <v>1.6294532113028187E-3</v>
      </c>
    </row>
    <row r="265" spans="1:27" ht="28.8" x14ac:dyDescent="0.3">
      <c r="A265" s="23" t="s">
        <v>357</v>
      </c>
      <c r="B265" s="23" t="str">
        <f>VLOOKUP(A265,MEMORIA!$A:$N,2,FALSE)</f>
        <v>COMPOS26</v>
      </c>
      <c r="C265" s="23" t="str">
        <f>VLOOKUP(A265,MEMORIA!$A:$N,3,FALSE)</f>
        <v>PRÓPRIA</v>
      </c>
      <c r="D265" s="24" t="str">
        <f>VLOOKUP(A265,MEMORIA!$A:$N,4,FALSE)</f>
        <v>AQUISIÇÃO E INSTALAÇÃO DE DOSADOR DE CLORO</v>
      </c>
      <c r="E265" s="23" t="str">
        <f>VLOOKUP(A265,MEMORIA!$A:$N,5,FALSE)</f>
        <v>UND</v>
      </c>
      <c r="F265" s="5">
        <f>VLOOKUP(A265,MEMORIA!$A:$N,14,FALSE)</f>
        <v>1</v>
      </c>
      <c r="G265" s="5">
        <f>VLOOKUP(A265,ORCAMENTO!$A:$I,7,FALSE)</f>
        <v>1061.6399999999999</v>
      </c>
      <c r="H265" s="5">
        <f>VLOOKUP(A265,ORCAMENTO!$A:$I,8,FALSE)</f>
        <v>1298.6999999999998</v>
      </c>
      <c r="I265" s="5">
        <f>ROUND(F265*H265,2)</f>
        <v>1298.7</v>
      </c>
      <c r="J265" s="5">
        <f>ROUND(K265*$H265,2)</f>
        <v>0</v>
      </c>
      <c r="K265" s="5">
        <v>0</v>
      </c>
      <c r="L265" s="25">
        <f t="shared" si="68"/>
        <v>0</v>
      </c>
      <c r="M265" s="5">
        <f>ROUND(N265*$H265,2)</f>
        <v>0</v>
      </c>
      <c r="N265" s="5">
        <v>0</v>
      </c>
      <c r="O265" s="25">
        <f t="shared" si="69"/>
        <v>0</v>
      </c>
      <c r="P265" s="5">
        <f>ROUND(Q265*$H265,2)</f>
        <v>1298.7</v>
      </c>
      <c r="Q265" s="5">
        <f t="shared" si="70"/>
        <v>1</v>
      </c>
      <c r="R265" s="25">
        <f t="shared" si="71"/>
        <v>1</v>
      </c>
      <c r="S265" s="5">
        <f>ROUND(T265*$H265,2)</f>
        <v>0</v>
      </c>
      <c r="T265" s="5">
        <v>0</v>
      </c>
      <c r="U265" s="25">
        <f t="shared" si="72"/>
        <v>0</v>
      </c>
      <c r="V265" s="5">
        <f>ROUND(W265*$H265,2)</f>
        <v>0</v>
      </c>
      <c r="W265" s="5">
        <v>0</v>
      </c>
      <c r="X265" s="25">
        <f t="shared" si="73"/>
        <v>0</v>
      </c>
      <c r="Y265" s="5">
        <f t="shared" si="74"/>
        <v>1298.7</v>
      </c>
      <c r="Z265" s="25">
        <f t="shared" si="75"/>
        <v>1</v>
      </c>
      <c r="AA265" s="25">
        <f t="shared" si="76"/>
        <v>8.0570300496821655E-4</v>
      </c>
    </row>
    <row r="266" spans="1:27" x14ac:dyDescent="0.3">
      <c r="A266" s="12" t="s">
        <v>91</v>
      </c>
      <c r="B266" s="51" t="str">
        <f>VLOOKUP(A266,MEMORIA!$A:$N,2,FALSE)</f>
        <v>CONSTRUÇÃO DA CASA DE COMANDO</v>
      </c>
      <c r="C266" s="52"/>
      <c r="D266" s="52"/>
      <c r="E266" s="52"/>
      <c r="F266" s="52"/>
      <c r="G266" s="52"/>
      <c r="H266" s="53"/>
      <c r="I266" s="13">
        <f>SUM(I$267,I$270,I$272,I$276,I$279,I$282,I$285,I$289,I$292,I$295,I$298,)</f>
        <v>20274.329999999998</v>
      </c>
      <c r="J266" s="13">
        <f>SUM(J$267,J$270,J$272,J$276,J$279,J$282,J$285,J$289,J$292,J$295,J$298,)</f>
        <v>0</v>
      </c>
      <c r="K266" s="13"/>
      <c r="L266" s="14">
        <f t="shared" si="68"/>
        <v>0</v>
      </c>
      <c r="M266" s="13">
        <f>SUM(M$267,M$270,M$272,M$276,M$279,M$282,M$285,M$289,M$292,M$295,M$298,)</f>
        <v>0</v>
      </c>
      <c r="N266" s="13"/>
      <c r="O266" s="14">
        <f t="shared" si="69"/>
        <v>0</v>
      </c>
      <c r="P266" s="13">
        <f>SUM(P$267,P$270,P$272,P$276,P$279,P$282,P$285,P$289,P$292,P$295,P$298,)</f>
        <v>20274.329999999998</v>
      </c>
      <c r="Q266" s="13"/>
      <c r="R266" s="14">
        <f t="shared" si="71"/>
        <v>1</v>
      </c>
      <c r="S266" s="13">
        <f>SUM(S$267,S$270,S$272,S$276,S$279,S$282,S$285,S$289,S$292,S$295,S$298,)</f>
        <v>0</v>
      </c>
      <c r="T266" s="13"/>
      <c r="U266" s="14">
        <f t="shared" si="72"/>
        <v>0</v>
      </c>
      <c r="V266" s="13">
        <f>SUM(V$267,V$270,V$272,V$276,V$279,V$282,V$285,V$289,V$292,V$295,V$298,)</f>
        <v>0</v>
      </c>
      <c r="W266" s="13"/>
      <c r="X266" s="14">
        <f t="shared" si="73"/>
        <v>0</v>
      </c>
      <c r="Y266" s="13">
        <f t="shared" si="74"/>
        <v>20274.329999999998</v>
      </c>
      <c r="Z266" s="14">
        <f t="shared" si="75"/>
        <v>1</v>
      </c>
      <c r="AA266" s="14">
        <f t="shared" si="76"/>
        <v>1.2578030803663093E-2</v>
      </c>
    </row>
    <row r="267" spans="1:27" x14ac:dyDescent="0.3">
      <c r="A267" s="15" t="s">
        <v>92</v>
      </c>
      <c r="B267" s="48" t="str">
        <f>VLOOKUP(A267,MEMORIA!$A:$N,2,FALSE)</f>
        <v>SERVIÇOS PRELIMINARES</v>
      </c>
      <c r="C267" s="49"/>
      <c r="D267" s="49"/>
      <c r="E267" s="49"/>
      <c r="F267" s="49"/>
      <c r="G267" s="49"/>
      <c r="H267" s="50"/>
      <c r="I267" s="16">
        <f>SUM(I$268:I$269)</f>
        <v>1315.92</v>
      </c>
      <c r="J267" s="16">
        <f>SUM(J$268:J$269)</f>
        <v>0</v>
      </c>
      <c r="K267" s="16"/>
      <c r="L267" s="17">
        <f t="shared" si="68"/>
        <v>0</v>
      </c>
      <c r="M267" s="16">
        <f>SUM(M$268:M$269)</f>
        <v>0</v>
      </c>
      <c r="N267" s="16"/>
      <c r="O267" s="17">
        <f t="shared" si="69"/>
        <v>0</v>
      </c>
      <c r="P267" s="16">
        <f>SUM(P$268:P$269)</f>
        <v>1315.92</v>
      </c>
      <c r="Q267" s="16"/>
      <c r="R267" s="17">
        <f t="shared" si="71"/>
        <v>1</v>
      </c>
      <c r="S267" s="16">
        <f>SUM(S$268:S$269)</f>
        <v>0</v>
      </c>
      <c r="T267" s="16"/>
      <c r="U267" s="17">
        <f t="shared" si="72"/>
        <v>0</v>
      </c>
      <c r="V267" s="16">
        <f>SUM(V$268:V$269)</f>
        <v>0</v>
      </c>
      <c r="W267" s="16"/>
      <c r="X267" s="17">
        <f t="shared" si="73"/>
        <v>0</v>
      </c>
      <c r="Y267" s="16">
        <f t="shared" si="74"/>
        <v>1315.92</v>
      </c>
      <c r="Z267" s="17">
        <f t="shared" si="75"/>
        <v>1</v>
      </c>
      <c r="AA267" s="17">
        <f t="shared" si="76"/>
        <v>8.1638615407544121E-4</v>
      </c>
    </row>
    <row r="268" spans="1:27" ht="28.8" x14ac:dyDescent="0.3">
      <c r="A268" s="23" t="s">
        <v>358</v>
      </c>
      <c r="B268" s="23">
        <f>VLOOKUP(A268,MEMORIA!$A:$N,2,FALSE)</f>
        <v>98524</v>
      </c>
      <c r="C268" s="23" t="str">
        <f>VLOOKUP(A268,MEMORIA!$A:$N,3,FALSE)</f>
        <v>SINAPI</v>
      </c>
      <c r="D268" s="24" t="str">
        <f>VLOOKUP(A268,MEMORIA!$A:$N,4,FALSE)</f>
        <v>LIMPEZA MANUAL DE VEGETAÇÃO EM TERRENO COM ENXADA. AF_03/2024</v>
      </c>
      <c r="E268" s="23" t="str">
        <f>VLOOKUP(A268,MEMORIA!$A:$N,5,FALSE)</f>
        <v>M2</v>
      </c>
      <c r="F268" s="5">
        <f>VLOOKUP(A268,MEMORIA!$A:$N,14,FALSE)</f>
        <v>100</v>
      </c>
      <c r="G268" s="5">
        <f>VLOOKUP(A268,ORCAMENTO!$A:$I,7,FALSE)</f>
        <v>4.62</v>
      </c>
      <c r="H268" s="5">
        <f>VLOOKUP(A268,ORCAMENTO!$A:$I,8,FALSE)</f>
        <v>5.65</v>
      </c>
      <c r="I268" s="5">
        <f>ROUND(F268*H268,2)</f>
        <v>565</v>
      </c>
      <c r="J268" s="5">
        <f>ROUND(K268*$H268,2)</f>
        <v>0</v>
      </c>
      <c r="K268" s="5">
        <v>0</v>
      </c>
      <c r="L268" s="25">
        <f t="shared" si="68"/>
        <v>0</v>
      </c>
      <c r="M268" s="5">
        <f>ROUND(N268*$H268,2)</f>
        <v>0</v>
      </c>
      <c r="N268" s="5">
        <v>0</v>
      </c>
      <c r="O268" s="25">
        <f t="shared" si="69"/>
        <v>0</v>
      </c>
      <c r="P268" s="5">
        <f>ROUND(Q268*$H268,2)</f>
        <v>565</v>
      </c>
      <c r="Q268" s="5">
        <f t="shared" ref="Q268:Q302" si="77">F268</f>
        <v>100</v>
      </c>
      <c r="R268" s="25">
        <f t="shared" si="71"/>
        <v>1</v>
      </c>
      <c r="S268" s="5">
        <f>ROUND(T268*$H268,2)</f>
        <v>0</v>
      </c>
      <c r="T268" s="5">
        <v>0</v>
      </c>
      <c r="U268" s="25">
        <f t="shared" si="72"/>
        <v>0</v>
      </c>
      <c r="V268" s="5">
        <f>ROUND(W268*$H268,2)</f>
        <v>0</v>
      </c>
      <c r="W268" s="5">
        <v>0</v>
      </c>
      <c r="X268" s="25">
        <f t="shared" si="73"/>
        <v>0</v>
      </c>
      <c r="Y268" s="5">
        <f t="shared" si="74"/>
        <v>565</v>
      </c>
      <c r="Z268" s="25">
        <f t="shared" si="75"/>
        <v>1</v>
      </c>
      <c r="AA268" s="25">
        <f t="shared" si="76"/>
        <v>3.5052144283286539E-4</v>
      </c>
    </row>
    <row r="269" spans="1:27" ht="57.6" x14ac:dyDescent="0.3">
      <c r="A269" s="23" t="s">
        <v>359</v>
      </c>
      <c r="B269" s="23">
        <f>VLOOKUP(A269,MEMORIA!$A:$N,2,FALSE)</f>
        <v>99059</v>
      </c>
      <c r="C269" s="23" t="str">
        <f>VLOOKUP(A269,MEMORIA!$A:$N,3,FALSE)</f>
        <v>SINAPI</v>
      </c>
      <c r="D269" s="24" t="str">
        <f>VLOOKUP(A269,MEMORIA!$A:$N,4,FALSE)</f>
        <v>LOCAÇÃO CONVENCIONAL DE OBRA, UTILIZANDO GABARITO DE TÁBUAS CORRIDAS PONTALETADAS A CADA 2,00M - 2 UTILIZAÇÕES. AF_03/2024</v>
      </c>
      <c r="E269" s="23" t="str">
        <f>VLOOKUP(A269,MEMORIA!$A:$N,5,FALSE)</f>
        <v>M</v>
      </c>
      <c r="F269" s="5">
        <f>VLOOKUP(A269,MEMORIA!$A:$N,14,FALSE)</f>
        <v>10.199999999999999</v>
      </c>
      <c r="G269" s="5">
        <f>VLOOKUP(A269,ORCAMENTO!$A:$I,7,FALSE)</f>
        <v>60.18</v>
      </c>
      <c r="H269" s="5">
        <f>VLOOKUP(A269,ORCAMENTO!$A:$I,8,FALSE)</f>
        <v>73.62</v>
      </c>
      <c r="I269" s="5">
        <f>ROUND(F269*H269,2)</f>
        <v>750.92</v>
      </c>
      <c r="J269" s="5">
        <f>ROUND(K269*$H269,2)</f>
        <v>0</v>
      </c>
      <c r="K269" s="5">
        <v>0</v>
      </c>
      <c r="L269" s="25">
        <f t="shared" si="68"/>
        <v>0</v>
      </c>
      <c r="M269" s="5">
        <f>ROUND(N269*$H269,2)</f>
        <v>0</v>
      </c>
      <c r="N269" s="5">
        <v>0</v>
      </c>
      <c r="O269" s="25">
        <f t="shared" si="69"/>
        <v>0</v>
      </c>
      <c r="P269" s="5">
        <f>ROUND(Q269*$H269,2)</f>
        <v>750.92</v>
      </c>
      <c r="Q269" s="5">
        <f t="shared" si="77"/>
        <v>10.199999999999999</v>
      </c>
      <c r="R269" s="25">
        <f t="shared" si="71"/>
        <v>1</v>
      </c>
      <c r="S269" s="5">
        <f>ROUND(T269*$H269,2)</f>
        <v>0</v>
      </c>
      <c r="T269" s="5">
        <v>0</v>
      </c>
      <c r="U269" s="25">
        <f t="shared" si="72"/>
        <v>0</v>
      </c>
      <c r="V269" s="5">
        <f>ROUND(W269*$H269,2)</f>
        <v>0</v>
      </c>
      <c r="W269" s="5">
        <v>0</v>
      </c>
      <c r="X269" s="25">
        <f t="shared" si="73"/>
        <v>0</v>
      </c>
      <c r="Y269" s="5">
        <f t="shared" si="74"/>
        <v>750.92</v>
      </c>
      <c r="Z269" s="25">
        <f t="shared" si="75"/>
        <v>1</v>
      </c>
      <c r="AA269" s="25">
        <f t="shared" si="76"/>
        <v>4.6586471124257571E-4</v>
      </c>
    </row>
    <row r="270" spans="1:27" x14ac:dyDescent="0.3">
      <c r="A270" s="15" t="s">
        <v>93</v>
      </c>
      <c r="B270" s="48" t="str">
        <f>VLOOKUP(A270,MEMORIA!$A:$N,2,FALSE)</f>
        <v>MOVIMENTO DE TERRA</v>
      </c>
      <c r="C270" s="49"/>
      <c r="D270" s="49"/>
      <c r="E270" s="49"/>
      <c r="F270" s="49"/>
      <c r="G270" s="49"/>
      <c r="H270" s="50"/>
      <c r="I270" s="16">
        <f>SUM(I$271:I$271)</f>
        <v>161.76</v>
      </c>
      <c r="J270" s="16">
        <f>SUM(J$271:J$271)</f>
        <v>0</v>
      </c>
      <c r="K270" s="16"/>
      <c r="L270" s="17">
        <f t="shared" si="68"/>
        <v>0</v>
      </c>
      <c r="M270" s="16">
        <f>SUM(M$271:M$271)</f>
        <v>0</v>
      </c>
      <c r="N270" s="16"/>
      <c r="O270" s="17">
        <f t="shared" si="69"/>
        <v>0</v>
      </c>
      <c r="P270" s="16">
        <f>SUM(P$271:P$271)</f>
        <v>161.76</v>
      </c>
      <c r="Q270" s="16"/>
      <c r="R270" s="17">
        <f t="shared" si="71"/>
        <v>1</v>
      </c>
      <c r="S270" s="16">
        <f>SUM(S$271:S$271)</f>
        <v>0</v>
      </c>
      <c r="T270" s="16"/>
      <c r="U270" s="17">
        <f t="shared" si="72"/>
        <v>0</v>
      </c>
      <c r="V270" s="16">
        <f>SUM(V$271:V$271)</f>
        <v>0</v>
      </c>
      <c r="W270" s="16"/>
      <c r="X270" s="17">
        <f t="shared" si="73"/>
        <v>0</v>
      </c>
      <c r="Y270" s="16">
        <f t="shared" si="74"/>
        <v>161.76</v>
      </c>
      <c r="Z270" s="17">
        <f t="shared" si="75"/>
        <v>1</v>
      </c>
      <c r="AA270" s="17">
        <f t="shared" si="76"/>
        <v>1.0035459927901647E-4</v>
      </c>
    </row>
    <row r="271" spans="1:27" ht="28.8" x14ac:dyDescent="0.3">
      <c r="A271" s="23" t="s">
        <v>360</v>
      </c>
      <c r="B271" s="23">
        <f>VLOOKUP(A271,MEMORIA!$A:$N,2,FALSE)</f>
        <v>93358</v>
      </c>
      <c r="C271" s="23" t="str">
        <f>VLOOKUP(A271,MEMORIA!$A:$N,3,FALSE)</f>
        <v>SINAPI</v>
      </c>
      <c r="D271" s="24" t="str">
        <f>VLOOKUP(A271,MEMORIA!$A:$N,4,FALSE)</f>
        <v>ESCAVAÇÃO MANUAL DE VALA. AF_09/2024</v>
      </c>
      <c r="E271" s="23" t="str">
        <f>VLOOKUP(A271,MEMORIA!$A:$N,5,FALSE)</f>
        <v>M3</v>
      </c>
      <c r="F271" s="5">
        <f>VLOOKUP(A271,MEMORIA!$A:$N,14,FALSE)</f>
        <v>1.54</v>
      </c>
      <c r="G271" s="5">
        <f>VLOOKUP(A271,ORCAMENTO!$A:$I,7,FALSE)</f>
        <v>85.87</v>
      </c>
      <c r="H271" s="5">
        <f>VLOOKUP(A271,ORCAMENTO!$A:$I,8,FALSE)</f>
        <v>105.04</v>
      </c>
      <c r="I271" s="5">
        <f>ROUND(F271*H271,2)</f>
        <v>161.76</v>
      </c>
      <c r="J271" s="5">
        <f>ROUND(K271*$H271,2)</f>
        <v>0</v>
      </c>
      <c r="K271" s="5">
        <v>0</v>
      </c>
      <c r="L271" s="25">
        <f t="shared" si="68"/>
        <v>0</v>
      </c>
      <c r="M271" s="5">
        <f>ROUND(N271*$H271,2)</f>
        <v>0</v>
      </c>
      <c r="N271" s="5">
        <v>0</v>
      </c>
      <c r="O271" s="25">
        <f t="shared" si="69"/>
        <v>0</v>
      </c>
      <c r="P271" s="5">
        <f>ROUND(Q271*$H271,2)</f>
        <v>161.76</v>
      </c>
      <c r="Q271" s="5">
        <f t="shared" si="77"/>
        <v>1.54</v>
      </c>
      <c r="R271" s="25">
        <f t="shared" si="71"/>
        <v>1</v>
      </c>
      <c r="S271" s="5">
        <f>ROUND(T271*$H271,2)</f>
        <v>0</v>
      </c>
      <c r="T271" s="5">
        <v>0</v>
      </c>
      <c r="U271" s="25">
        <f t="shared" si="72"/>
        <v>0</v>
      </c>
      <c r="V271" s="5">
        <f>ROUND(W271*$H271,2)</f>
        <v>0</v>
      </c>
      <c r="W271" s="5">
        <v>0</v>
      </c>
      <c r="X271" s="25">
        <f t="shared" si="73"/>
        <v>0</v>
      </c>
      <c r="Y271" s="5">
        <f t="shared" si="74"/>
        <v>161.76</v>
      </c>
      <c r="Z271" s="25">
        <f t="shared" si="75"/>
        <v>1</v>
      </c>
      <c r="AA271" s="25">
        <f t="shared" si="76"/>
        <v>1.0035459927901647E-4</v>
      </c>
    </row>
    <row r="272" spans="1:27" x14ac:dyDescent="0.3">
      <c r="A272" s="15" t="s">
        <v>94</v>
      </c>
      <c r="B272" s="48" t="str">
        <f>VLOOKUP(A272,MEMORIA!$A:$N,2,FALSE)</f>
        <v>INFRAESTRUTURA</v>
      </c>
      <c r="C272" s="49"/>
      <c r="D272" s="49"/>
      <c r="E272" s="49"/>
      <c r="F272" s="49"/>
      <c r="G272" s="49"/>
      <c r="H272" s="50"/>
      <c r="I272" s="16">
        <f>SUM(I$273:I$275)</f>
        <v>1229.81</v>
      </c>
      <c r="J272" s="16">
        <f>SUM(J$273:J$275)</f>
        <v>0</v>
      </c>
      <c r="K272" s="16"/>
      <c r="L272" s="17">
        <f t="shared" si="68"/>
        <v>0</v>
      </c>
      <c r="M272" s="16">
        <f>SUM(M$273:M$275)</f>
        <v>0</v>
      </c>
      <c r="N272" s="16"/>
      <c r="O272" s="17">
        <f t="shared" si="69"/>
        <v>0</v>
      </c>
      <c r="P272" s="16">
        <f>SUM(P$273:P$275)</f>
        <v>1229.81</v>
      </c>
      <c r="Q272" s="16"/>
      <c r="R272" s="17">
        <f t="shared" si="71"/>
        <v>1</v>
      </c>
      <c r="S272" s="16">
        <f>SUM(S$273:S$275)</f>
        <v>0</v>
      </c>
      <c r="T272" s="16"/>
      <c r="U272" s="17">
        <f t="shared" si="72"/>
        <v>0</v>
      </c>
      <c r="V272" s="16">
        <f>SUM(V$273:V$275)</f>
        <v>0</v>
      </c>
      <c r="W272" s="16"/>
      <c r="X272" s="17">
        <f t="shared" si="73"/>
        <v>0</v>
      </c>
      <c r="Y272" s="16">
        <f t="shared" si="74"/>
        <v>1229.81</v>
      </c>
      <c r="Z272" s="17">
        <f t="shared" si="75"/>
        <v>1</v>
      </c>
      <c r="AA272" s="17">
        <f t="shared" si="76"/>
        <v>7.6296420461997557E-4</v>
      </c>
    </row>
    <row r="273" spans="1:27" ht="28.8" x14ac:dyDescent="0.3">
      <c r="A273" s="23" t="s">
        <v>361</v>
      </c>
      <c r="B273" s="23">
        <f>VLOOKUP(A273,MEMORIA!$A:$N,2,FALSE)</f>
        <v>96617</v>
      </c>
      <c r="C273" s="23" t="str">
        <f>VLOOKUP(A273,MEMORIA!$A:$N,3,FALSE)</f>
        <v>SINAPI</v>
      </c>
      <c r="D273" s="24" t="str">
        <f>VLOOKUP(A273,MEMORIA!$A:$N,4,FALSE)</f>
        <v>LASTRO DE CONCRETO MAGRO, APLICADO EM BLOCOS DE COROAMENTO OU SAPATAS, ESPESSURA DE 3 CM. AF_01/2024</v>
      </c>
      <c r="E273" s="23" t="str">
        <f>VLOOKUP(A273,MEMORIA!$A:$N,5,FALSE)</f>
        <v>M2</v>
      </c>
      <c r="F273" s="5">
        <f>VLOOKUP(A273,MEMORIA!$A:$N,14,FALSE)</f>
        <v>2.58</v>
      </c>
      <c r="G273" s="5">
        <f>VLOOKUP(A273,ORCAMENTO!$A:$I,7,FALSE)</f>
        <v>23.57</v>
      </c>
      <c r="H273" s="5">
        <f>VLOOKUP(A273,ORCAMENTO!$A:$I,8,FALSE)</f>
        <v>28.83</v>
      </c>
      <c r="I273" s="5">
        <f>ROUND(F273*H273,2)</f>
        <v>74.38</v>
      </c>
      <c r="J273" s="5">
        <f>ROUND(K273*$H273,2)</f>
        <v>0</v>
      </c>
      <c r="K273" s="5">
        <v>0</v>
      </c>
      <c r="L273" s="25">
        <f t="shared" si="68"/>
        <v>0</v>
      </c>
      <c r="M273" s="5">
        <f>ROUND(N273*$H273,2)</f>
        <v>0</v>
      </c>
      <c r="N273" s="5">
        <v>0</v>
      </c>
      <c r="O273" s="25">
        <f t="shared" si="69"/>
        <v>0</v>
      </c>
      <c r="P273" s="5">
        <f>ROUND(Q273*$H273,2)</f>
        <v>74.38</v>
      </c>
      <c r="Q273" s="5">
        <f t="shared" si="77"/>
        <v>2.58</v>
      </c>
      <c r="R273" s="25">
        <f t="shared" si="71"/>
        <v>1</v>
      </c>
      <c r="S273" s="5">
        <f>ROUND(T273*$H273,2)</f>
        <v>0</v>
      </c>
      <c r="T273" s="5">
        <v>0</v>
      </c>
      <c r="U273" s="25">
        <f t="shared" si="72"/>
        <v>0</v>
      </c>
      <c r="V273" s="5">
        <f>ROUND(W273*$H273,2)</f>
        <v>0</v>
      </c>
      <c r="W273" s="5">
        <v>0</v>
      </c>
      <c r="X273" s="25">
        <f t="shared" si="73"/>
        <v>0</v>
      </c>
      <c r="Y273" s="5">
        <f t="shared" si="74"/>
        <v>74.38</v>
      </c>
      <c r="Z273" s="25">
        <f t="shared" si="75"/>
        <v>1</v>
      </c>
      <c r="AA273" s="25">
        <f t="shared" si="76"/>
        <v>4.6144752067094741E-5</v>
      </c>
    </row>
    <row r="274" spans="1:27" ht="72" x14ac:dyDescent="0.3">
      <c r="A274" s="23" t="s">
        <v>362</v>
      </c>
      <c r="B274" s="23">
        <f>VLOOKUP(A274,MEMORIA!$A:$N,2,FALSE)</f>
        <v>103800</v>
      </c>
      <c r="C274" s="23" t="str">
        <f>VLOOKUP(A274,MEMORIA!$A:$N,3,FALSE)</f>
        <v>SINAPI</v>
      </c>
      <c r="D274" s="24" t="str">
        <f>VLOOKUP(A274,MEMORIA!$A:$N,4,FALSE)</f>
        <v>PEDRA ARGAMASSADA COM CIMENTO E AREIA 1:3, 40% DE ARGAMASSA EM VOLUME - AREIA E PEDRA DE MÃO COMERCIAIS - FORNECIMENTO E ASSENTAMENTO. AF_08/2022</v>
      </c>
      <c r="E274" s="23" t="str">
        <f>VLOOKUP(A274,MEMORIA!$A:$N,5,FALSE)</f>
        <v>M3</v>
      </c>
      <c r="F274" s="5">
        <f>VLOOKUP(A274,MEMORIA!$A:$N,14,FALSE)</f>
        <v>1.04</v>
      </c>
      <c r="G274" s="5">
        <f>VLOOKUP(A274,ORCAMENTO!$A:$I,7,FALSE)</f>
        <v>666</v>
      </c>
      <c r="H274" s="5">
        <f>VLOOKUP(A274,ORCAMENTO!$A:$I,8,FALSE)</f>
        <v>814.72</v>
      </c>
      <c r="I274" s="5">
        <f>ROUND(F274*H274,2)</f>
        <v>847.31</v>
      </c>
      <c r="J274" s="5">
        <f>ROUND(K274*$H274,2)</f>
        <v>0</v>
      </c>
      <c r="K274" s="5">
        <v>0</v>
      </c>
      <c r="L274" s="25">
        <f t="shared" si="68"/>
        <v>0</v>
      </c>
      <c r="M274" s="5">
        <f>ROUND(N274*$H274,2)</f>
        <v>0</v>
      </c>
      <c r="N274" s="5">
        <v>0</v>
      </c>
      <c r="O274" s="25">
        <f t="shared" si="69"/>
        <v>0</v>
      </c>
      <c r="P274" s="5">
        <f>ROUND(Q274*$H274,2)</f>
        <v>847.31</v>
      </c>
      <c r="Q274" s="5">
        <f t="shared" si="77"/>
        <v>1.04</v>
      </c>
      <c r="R274" s="25">
        <f t="shared" si="71"/>
        <v>1</v>
      </c>
      <c r="S274" s="5">
        <f>ROUND(T274*$H274,2)</f>
        <v>0</v>
      </c>
      <c r="T274" s="5">
        <v>0</v>
      </c>
      <c r="U274" s="25">
        <f t="shared" si="72"/>
        <v>0</v>
      </c>
      <c r="V274" s="5">
        <f>ROUND(W274*$H274,2)</f>
        <v>0</v>
      </c>
      <c r="W274" s="5">
        <v>0</v>
      </c>
      <c r="X274" s="25">
        <f t="shared" si="73"/>
        <v>0</v>
      </c>
      <c r="Y274" s="5">
        <f t="shared" si="74"/>
        <v>847.31</v>
      </c>
      <c r="Z274" s="25">
        <f t="shared" si="75"/>
        <v>1</v>
      </c>
      <c r="AA274" s="25">
        <f t="shared" si="76"/>
        <v>5.2566428978179677E-4</v>
      </c>
    </row>
    <row r="275" spans="1:27" ht="86.4" x14ac:dyDescent="0.3">
      <c r="A275" s="23" t="s">
        <v>363</v>
      </c>
      <c r="B275" s="23">
        <f>VLOOKUP(A275,MEMORIA!$A:$N,2,FALSE)</f>
        <v>103335</v>
      </c>
      <c r="C275" s="23" t="str">
        <f>VLOOKUP(A275,MEMORIA!$A:$N,3,FALSE)</f>
        <v>SINAPI</v>
      </c>
      <c r="D275" s="24" t="str">
        <f>VLOOKUP(A275,MEMORIA!$A:$N,4,FALSE)</f>
        <v>ALVENARIA DE VEDAÇÃO DE BLOCOS CERÂMICOS FURADOS NA HORIZONTAL DE 14X9X19 CM (ESPESSURA 14 CM, BLOCO DEITADO) E ARGAMASSA DE ASSENTAMENTO COM PREPARO MANUAL. AF_12/2021</v>
      </c>
      <c r="E275" s="23" t="str">
        <f>VLOOKUP(A275,MEMORIA!$A:$N,5,FALSE)</f>
        <v>M2</v>
      </c>
      <c r="F275" s="5">
        <f>VLOOKUP(A275,MEMORIA!$A:$N,14,FALSE)</f>
        <v>1.7200000000000002</v>
      </c>
      <c r="G275" s="5">
        <f>VLOOKUP(A275,ORCAMENTO!$A:$I,7,FALSE)</f>
        <v>146.44</v>
      </c>
      <c r="H275" s="5">
        <f>VLOOKUP(A275,ORCAMENTO!$A:$I,8,FALSE)</f>
        <v>179.14</v>
      </c>
      <c r="I275" s="5">
        <f>ROUND(F275*H275,2)</f>
        <v>308.12</v>
      </c>
      <c r="J275" s="5">
        <f>ROUND(K275*$H275,2)</f>
        <v>0</v>
      </c>
      <c r="K275" s="5">
        <v>0</v>
      </c>
      <c r="L275" s="25">
        <f t="shared" si="68"/>
        <v>0</v>
      </c>
      <c r="M275" s="5">
        <f>ROUND(N275*$H275,2)</f>
        <v>0</v>
      </c>
      <c r="N275" s="5">
        <v>0</v>
      </c>
      <c r="O275" s="25">
        <f t="shared" si="69"/>
        <v>0</v>
      </c>
      <c r="P275" s="5">
        <f>ROUND(Q275*$H275,2)</f>
        <v>308.12</v>
      </c>
      <c r="Q275" s="5">
        <f t="shared" si="77"/>
        <v>1.7200000000000002</v>
      </c>
      <c r="R275" s="25">
        <f t="shared" si="71"/>
        <v>1</v>
      </c>
      <c r="S275" s="5">
        <f>ROUND(T275*$H275,2)</f>
        <v>0</v>
      </c>
      <c r="T275" s="5">
        <v>0</v>
      </c>
      <c r="U275" s="25">
        <f t="shared" si="72"/>
        <v>0</v>
      </c>
      <c r="V275" s="5">
        <f>ROUND(W275*$H275,2)</f>
        <v>0</v>
      </c>
      <c r="W275" s="5">
        <v>0</v>
      </c>
      <c r="X275" s="25">
        <f t="shared" si="73"/>
        <v>0</v>
      </c>
      <c r="Y275" s="5">
        <f t="shared" si="74"/>
        <v>308.12</v>
      </c>
      <c r="Z275" s="25">
        <f t="shared" si="75"/>
        <v>1</v>
      </c>
      <c r="AA275" s="25">
        <f t="shared" si="76"/>
        <v>1.9115516277108405E-4</v>
      </c>
    </row>
    <row r="276" spans="1:27" x14ac:dyDescent="0.3">
      <c r="A276" s="15" t="s">
        <v>95</v>
      </c>
      <c r="B276" s="48" t="str">
        <f>VLOOKUP(A276,MEMORIA!$A:$N,2,FALSE)</f>
        <v>SUPERESTRUTURA</v>
      </c>
      <c r="C276" s="49"/>
      <c r="D276" s="49"/>
      <c r="E276" s="49"/>
      <c r="F276" s="49"/>
      <c r="G276" s="49"/>
      <c r="H276" s="50"/>
      <c r="I276" s="16">
        <f>SUM(I$277:I$278)</f>
        <v>1323.3</v>
      </c>
      <c r="J276" s="16">
        <f>SUM(J$277:J$278)</f>
        <v>0</v>
      </c>
      <c r="K276" s="16"/>
      <c r="L276" s="17">
        <f t="shared" si="68"/>
        <v>0</v>
      </c>
      <c r="M276" s="16">
        <f>SUM(M$277:M$278)</f>
        <v>0</v>
      </c>
      <c r="N276" s="16"/>
      <c r="O276" s="17">
        <f t="shared" si="69"/>
        <v>0</v>
      </c>
      <c r="P276" s="16">
        <f>SUM(P$277:P$278)</f>
        <v>1323.3</v>
      </c>
      <c r="Q276" s="16"/>
      <c r="R276" s="17">
        <f t="shared" si="71"/>
        <v>1</v>
      </c>
      <c r="S276" s="16">
        <f>SUM(S$277:S$278)</f>
        <v>0</v>
      </c>
      <c r="T276" s="16"/>
      <c r="U276" s="17">
        <f t="shared" si="72"/>
        <v>0</v>
      </c>
      <c r="V276" s="16">
        <f>SUM(V$277:V$278)</f>
        <v>0</v>
      </c>
      <c r="W276" s="16"/>
      <c r="X276" s="17">
        <f t="shared" si="73"/>
        <v>0</v>
      </c>
      <c r="Y276" s="16">
        <f t="shared" si="74"/>
        <v>1323.3</v>
      </c>
      <c r="Z276" s="17">
        <f t="shared" si="75"/>
        <v>1</v>
      </c>
      <c r="AA276" s="17">
        <f t="shared" si="76"/>
        <v>8.20964646549966E-4</v>
      </c>
    </row>
    <row r="277" spans="1:27" ht="28.8" x14ac:dyDescent="0.3">
      <c r="A277" s="23" t="s">
        <v>364</v>
      </c>
      <c r="B277" s="23" t="str">
        <f>VLOOKUP(A277,MEMORIA!$A:$N,2,FALSE)</f>
        <v>COMPCOM01</v>
      </c>
      <c r="C277" s="23" t="str">
        <f>VLOOKUP(A277,MEMORIA!$A:$N,3,FALSE)</f>
        <v>PRÓPRIA</v>
      </c>
      <c r="D277" s="24" t="str">
        <f>VLOOKUP(A277,MEMORIA!$A:$N,4,FALSE)</f>
        <v>CINTA DE AMARRAÇÃO DE ALVENARIA MOLDADA IN LOCO EM CONCRETO</v>
      </c>
      <c r="E277" s="23" t="str">
        <f>VLOOKUP(A277,MEMORIA!$A:$N,5,FALSE)</f>
        <v>M</v>
      </c>
      <c r="F277" s="5">
        <f>VLOOKUP(A277,MEMORIA!$A:$N,14,FALSE)</f>
        <v>8.6</v>
      </c>
      <c r="G277" s="5">
        <f>VLOOKUP(A277,ORCAMENTO!$A:$I,7,FALSE)</f>
        <v>81.47999999999999</v>
      </c>
      <c r="H277" s="5">
        <f>VLOOKUP(A277,ORCAMENTO!$A:$I,8,FALSE)</f>
        <v>99.669999999999987</v>
      </c>
      <c r="I277" s="5">
        <f>ROUND(F277*H277,2)</f>
        <v>857.16</v>
      </c>
      <c r="J277" s="5">
        <f>ROUND(K277*$H277,2)</f>
        <v>0</v>
      </c>
      <c r="K277" s="5">
        <v>0</v>
      </c>
      <c r="L277" s="25">
        <f t="shared" si="68"/>
        <v>0</v>
      </c>
      <c r="M277" s="5">
        <f>ROUND(N277*$H277,2)</f>
        <v>0</v>
      </c>
      <c r="N277" s="5">
        <v>0</v>
      </c>
      <c r="O277" s="25">
        <f t="shared" si="69"/>
        <v>0</v>
      </c>
      <c r="P277" s="5">
        <f>ROUND(Q277*$H277,2)</f>
        <v>857.16</v>
      </c>
      <c r="Q277" s="5">
        <f t="shared" si="77"/>
        <v>8.6</v>
      </c>
      <c r="R277" s="25">
        <f t="shared" si="71"/>
        <v>1</v>
      </c>
      <c r="S277" s="5">
        <f>ROUND(T277*$H277,2)</f>
        <v>0</v>
      </c>
      <c r="T277" s="5">
        <v>0</v>
      </c>
      <c r="U277" s="25">
        <f t="shared" si="72"/>
        <v>0</v>
      </c>
      <c r="V277" s="5">
        <f>ROUND(W277*$H277,2)</f>
        <v>0</v>
      </c>
      <c r="W277" s="5">
        <v>0</v>
      </c>
      <c r="X277" s="25">
        <f t="shared" si="73"/>
        <v>0</v>
      </c>
      <c r="Y277" s="5">
        <f t="shared" si="74"/>
        <v>857.16</v>
      </c>
      <c r="Z277" s="25">
        <f t="shared" si="75"/>
        <v>1</v>
      </c>
      <c r="AA277" s="25">
        <f t="shared" si="76"/>
        <v>5.3177515033383876E-4</v>
      </c>
    </row>
    <row r="278" spans="1:27" ht="72" x14ac:dyDescent="0.3">
      <c r="A278" s="23" t="s">
        <v>365</v>
      </c>
      <c r="B278" s="23" t="str">
        <f>VLOOKUP(A278,MEMORIA!$A:$N,2,FALSE)</f>
        <v>COMPCOM02</v>
      </c>
      <c r="C278" s="23" t="str">
        <f>VLOOKUP(A278,MEMORIA!$A:$N,3,FALSE)</f>
        <v>PRÓPRIA</v>
      </c>
      <c r="D278" s="24" t="str">
        <f>VLOOKUP(A278,MEMORIA!$A:$N,4,FALSE)</f>
        <v>(COMPOSIÇÃO REPRESENTATIVA) EXECUÇÃO DE ESTRUTURAS DE CONCRETO ARMADO, PARA EDIFICAÇÃO INSTITUCIONAL TÉRREA, FCK = 25 MPA</v>
      </c>
      <c r="E278" s="23" t="str">
        <f>VLOOKUP(A278,MEMORIA!$A:$N,5,FALSE)</f>
        <v>M³</v>
      </c>
      <c r="F278" s="5">
        <f>VLOOKUP(A278,MEMORIA!$A:$N,14,FALSE)</f>
        <v>0.30000000000000004</v>
      </c>
      <c r="G278" s="5">
        <f>VLOOKUP(A278,ORCAMENTO!$A:$I,7,FALSE)</f>
        <v>1270.1599999999999</v>
      </c>
      <c r="H278" s="5">
        <f>VLOOKUP(A278,ORCAMENTO!$A:$I,8,FALSE)</f>
        <v>1553.79</v>
      </c>
      <c r="I278" s="5">
        <f>ROUND(F278*H278,2)</f>
        <v>466.14</v>
      </c>
      <c r="J278" s="5">
        <f>ROUND(K278*$H278,2)</f>
        <v>0</v>
      </c>
      <c r="K278" s="5">
        <v>0</v>
      </c>
      <c r="L278" s="25">
        <f t="shared" si="68"/>
        <v>0</v>
      </c>
      <c r="M278" s="5">
        <f>ROUND(N278*$H278,2)</f>
        <v>0</v>
      </c>
      <c r="N278" s="5">
        <v>0</v>
      </c>
      <c r="O278" s="25">
        <f t="shared" si="69"/>
        <v>0</v>
      </c>
      <c r="P278" s="5">
        <f>ROUND(Q278*$H278,2)</f>
        <v>466.14</v>
      </c>
      <c r="Q278" s="5">
        <f t="shared" si="77"/>
        <v>0.30000000000000004</v>
      </c>
      <c r="R278" s="25">
        <f t="shared" si="71"/>
        <v>1</v>
      </c>
      <c r="S278" s="5">
        <f>ROUND(T278*$H278,2)</f>
        <v>0</v>
      </c>
      <c r="T278" s="5">
        <v>0</v>
      </c>
      <c r="U278" s="25">
        <f t="shared" si="72"/>
        <v>0</v>
      </c>
      <c r="V278" s="5">
        <f>ROUND(W278*$H278,2)</f>
        <v>0</v>
      </c>
      <c r="W278" s="5">
        <v>0</v>
      </c>
      <c r="X278" s="25">
        <f t="shared" si="73"/>
        <v>0</v>
      </c>
      <c r="Y278" s="5">
        <f t="shared" si="74"/>
        <v>466.14</v>
      </c>
      <c r="Z278" s="25">
        <f t="shared" si="75"/>
        <v>1</v>
      </c>
      <c r="AA278" s="25">
        <f t="shared" si="76"/>
        <v>2.8918949621612724E-4</v>
      </c>
    </row>
    <row r="279" spans="1:27" x14ac:dyDescent="0.3">
      <c r="A279" s="15" t="s">
        <v>96</v>
      </c>
      <c r="B279" s="48" t="str">
        <f>VLOOKUP(A279,MEMORIA!$A:$N,2,FALSE)</f>
        <v>VEDAÇÃO VERTICAL</v>
      </c>
      <c r="C279" s="49"/>
      <c r="D279" s="49"/>
      <c r="E279" s="49"/>
      <c r="F279" s="49"/>
      <c r="G279" s="49"/>
      <c r="H279" s="50"/>
      <c r="I279" s="16">
        <f>SUM(I$280:I$281)</f>
        <v>2620</v>
      </c>
      <c r="J279" s="16">
        <f>SUM(J$280:J$281)</f>
        <v>0</v>
      </c>
      <c r="K279" s="16"/>
      <c r="L279" s="17">
        <f t="shared" si="68"/>
        <v>0</v>
      </c>
      <c r="M279" s="16">
        <f>SUM(M$280:M$281)</f>
        <v>0</v>
      </c>
      <c r="N279" s="16"/>
      <c r="O279" s="17">
        <f t="shared" si="69"/>
        <v>0</v>
      </c>
      <c r="P279" s="16">
        <f>SUM(P$280:P$281)</f>
        <v>2620</v>
      </c>
      <c r="Q279" s="16"/>
      <c r="R279" s="17">
        <f t="shared" si="71"/>
        <v>1</v>
      </c>
      <c r="S279" s="16">
        <f>SUM(S$280:S$281)</f>
        <v>0</v>
      </c>
      <c r="T279" s="16"/>
      <c r="U279" s="17">
        <f t="shared" si="72"/>
        <v>0</v>
      </c>
      <c r="V279" s="16">
        <f>SUM(V$280:V$281)</f>
        <v>0</v>
      </c>
      <c r="W279" s="16"/>
      <c r="X279" s="17">
        <f t="shared" si="73"/>
        <v>0</v>
      </c>
      <c r="Y279" s="16">
        <f t="shared" si="74"/>
        <v>2620</v>
      </c>
      <c r="Z279" s="17">
        <f t="shared" si="75"/>
        <v>1</v>
      </c>
      <c r="AA279" s="17">
        <f t="shared" si="76"/>
        <v>1.6254268676497475E-3</v>
      </c>
    </row>
    <row r="280" spans="1:27" ht="72" x14ac:dyDescent="0.3">
      <c r="A280" s="23" t="s">
        <v>366</v>
      </c>
      <c r="B280" s="23">
        <f>VLOOKUP(A280,MEMORIA!$A:$N,2,FALSE)</f>
        <v>103329</v>
      </c>
      <c r="C280" s="23" t="str">
        <f>VLOOKUP(A280,MEMORIA!$A:$N,3,FALSE)</f>
        <v>SINAPI</v>
      </c>
      <c r="D280" s="24" t="str">
        <f>VLOOKUP(A280,MEMORIA!$A:$N,4,FALSE)</f>
        <v>ALVENARIA DE VEDAÇÃO DE BLOCOS CERÂMICOS FURADOS NA HORIZONTAL DE 9X19X19 CM (ESPESSURA 9 CM) E ARGAMASSA DE ASSENTAMENTO COM PREPARO MANUAL. AF_12/2021</v>
      </c>
      <c r="E280" s="23" t="str">
        <f>VLOOKUP(A280,MEMORIA!$A:$N,5,FALSE)</f>
        <v>M2</v>
      </c>
      <c r="F280" s="5">
        <f>VLOOKUP(A280,MEMORIA!$A:$N,14,FALSE)</f>
        <v>19.310000000000002</v>
      </c>
      <c r="G280" s="5">
        <f>VLOOKUP(A280,ORCAMENTO!$A:$I,7,FALSE)</f>
        <v>95.039999999999992</v>
      </c>
      <c r="H280" s="5">
        <f>VLOOKUP(A280,ORCAMENTO!$A:$I,8,FALSE)</f>
        <v>116.25999999999999</v>
      </c>
      <c r="I280" s="5">
        <f>ROUND(F280*H280,2)</f>
        <v>2244.98</v>
      </c>
      <c r="J280" s="5">
        <f>ROUND(K280*$H280,2)</f>
        <v>0</v>
      </c>
      <c r="K280" s="5">
        <v>0</v>
      </c>
      <c r="L280" s="25">
        <f t="shared" si="68"/>
        <v>0</v>
      </c>
      <c r="M280" s="5">
        <f>ROUND(N280*$H280,2)</f>
        <v>0</v>
      </c>
      <c r="N280" s="5">
        <v>0</v>
      </c>
      <c r="O280" s="25">
        <f t="shared" si="69"/>
        <v>0</v>
      </c>
      <c r="P280" s="5">
        <f>ROUND(Q280*$H280,2)</f>
        <v>2244.98</v>
      </c>
      <c r="Q280" s="5">
        <f t="shared" si="77"/>
        <v>19.310000000000002</v>
      </c>
      <c r="R280" s="25">
        <f t="shared" si="71"/>
        <v>1</v>
      </c>
      <c r="S280" s="5">
        <f>ROUND(T280*$H280,2)</f>
        <v>0</v>
      </c>
      <c r="T280" s="5">
        <v>0</v>
      </c>
      <c r="U280" s="25">
        <f t="shared" si="72"/>
        <v>0</v>
      </c>
      <c r="V280" s="5">
        <f>ROUND(W280*$H280,2)</f>
        <v>0</v>
      </c>
      <c r="W280" s="5">
        <v>0</v>
      </c>
      <c r="X280" s="25">
        <f t="shared" si="73"/>
        <v>0</v>
      </c>
      <c r="Y280" s="5">
        <f t="shared" si="74"/>
        <v>2244.98</v>
      </c>
      <c r="Z280" s="25">
        <f t="shared" si="75"/>
        <v>1</v>
      </c>
      <c r="AA280" s="25">
        <f t="shared" si="76"/>
        <v>1.3927674844795154E-3</v>
      </c>
    </row>
    <row r="281" spans="1:27" ht="72" x14ac:dyDescent="0.3">
      <c r="A281" s="23" t="s">
        <v>367</v>
      </c>
      <c r="B281" s="23">
        <f>VLOOKUP(A281,MEMORIA!$A:$N,2,FALSE)</f>
        <v>101161</v>
      </c>
      <c r="C281" s="23" t="str">
        <f>VLOOKUP(A281,MEMORIA!$A:$N,3,FALSE)</f>
        <v>SINAPI</v>
      </c>
      <c r="D281" s="24" t="str">
        <f>VLOOKUP(A281,MEMORIA!$A:$N,4,FALSE)</f>
        <v>ALVENARIA DE VEDAÇÃO COM ELEMENTO VAZADO DE CONCRETO (COBOGÓ) DE 7X50X50CM E ARGAMASSA DE ASSENTAMENTO COM PREPARO EM BETONEIRA. AF_05/2020</v>
      </c>
      <c r="E281" s="23" t="str">
        <f>VLOOKUP(A281,MEMORIA!$A:$N,5,FALSE)</f>
        <v>M2</v>
      </c>
      <c r="F281" s="5">
        <f>VLOOKUP(A281,MEMORIA!$A:$N,14,FALSE)</f>
        <v>1.5</v>
      </c>
      <c r="G281" s="5">
        <f>VLOOKUP(A281,ORCAMENTO!$A:$I,7,FALSE)</f>
        <v>204.37</v>
      </c>
      <c r="H281" s="5">
        <f>VLOOKUP(A281,ORCAMENTO!$A:$I,8,FALSE)</f>
        <v>250.01</v>
      </c>
      <c r="I281" s="5">
        <f>ROUND(F281*H281,2)</f>
        <v>375.02</v>
      </c>
      <c r="J281" s="5">
        <f>ROUND(K281*$H281,2)</f>
        <v>0</v>
      </c>
      <c r="K281" s="5">
        <v>0</v>
      </c>
      <c r="L281" s="25">
        <f t="shared" si="68"/>
        <v>0</v>
      </c>
      <c r="M281" s="5">
        <f>ROUND(N281*$H281,2)</f>
        <v>0</v>
      </c>
      <c r="N281" s="5">
        <v>0</v>
      </c>
      <c r="O281" s="25">
        <f t="shared" si="69"/>
        <v>0</v>
      </c>
      <c r="P281" s="5">
        <f>ROUND(Q281*$H281,2)</f>
        <v>375.02</v>
      </c>
      <c r="Q281" s="5">
        <f t="shared" si="77"/>
        <v>1.5</v>
      </c>
      <c r="R281" s="25">
        <f t="shared" si="71"/>
        <v>1</v>
      </c>
      <c r="S281" s="5">
        <f>ROUND(T281*$H281,2)</f>
        <v>0</v>
      </c>
      <c r="T281" s="5">
        <v>0</v>
      </c>
      <c r="U281" s="25">
        <f t="shared" si="72"/>
        <v>0</v>
      </c>
      <c r="V281" s="5">
        <f>ROUND(W281*$H281,2)</f>
        <v>0</v>
      </c>
      <c r="W281" s="5">
        <v>0</v>
      </c>
      <c r="X281" s="25">
        <f t="shared" si="73"/>
        <v>0</v>
      </c>
      <c r="Y281" s="5">
        <f t="shared" si="74"/>
        <v>375.02</v>
      </c>
      <c r="Z281" s="25">
        <f t="shared" si="75"/>
        <v>1</v>
      </c>
      <c r="AA281" s="25">
        <f t="shared" si="76"/>
        <v>2.3265938317023217E-4</v>
      </c>
    </row>
    <row r="282" spans="1:27" x14ac:dyDescent="0.3">
      <c r="A282" s="15" t="s">
        <v>97</v>
      </c>
      <c r="B282" s="48" t="str">
        <f>VLOOKUP(A282,MEMORIA!$A:$N,2,FALSE)</f>
        <v>COBERTURA</v>
      </c>
      <c r="C282" s="49"/>
      <c r="D282" s="49"/>
      <c r="E282" s="49"/>
      <c r="F282" s="49"/>
      <c r="G282" s="49"/>
      <c r="H282" s="50"/>
      <c r="I282" s="16">
        <f>SUM(I$283:I$284)</f>
        <v>1305.45</v>
      </c>
      <c r="J282" s="16">
        <f>SUM(J$283:J$284)</f>
        <v>0</v>
      </c>
      <c r="K282" s="16"/>
      <c r="L282" s="17">
        <f t="shared" si="68"/>
        <v>0</v>
      </c>
      <c r="M282" s="16">
        <f>SUM(M$283:M$284)</f>
        <v>0</v>
      </c>
      <c r="N282" s="16"/>
      <c r="O282" s="17">
        <f t="shared" si="69"/>
        <v>0</v>
      </c>
      <c r="P282" s="16">
        <f>SUM(P$283:P$284)</f>
        <v>1305.45</v>
      </c>
      <c r="Q282" s="16"/>
      <c r="R282" s="17">
        <f t="shared" si="71"/>
        <v>1</v>
      </c>
      <c r="S282" s="16">
        <f>SUM(S$283:S$284)</f>
        <v>0</v>
      </c>
      <c r="T282" s="16"/>
      <c r="U282" s="17">
        <f t="shared" si="72"/>
        <v>0</v>
      </c>
      <c r="V282" s="16">
        <f>SUM(V$283:V$284)</f>
        <v>0</v>
      </c>
      <c r="W282" s="16"/>
      <c r="X282" s="17">
        <f t="shared" si="73"/>
        <v>0</v>
      </c>
      <c r="Y282" s="16">
        <f t="shared" si="74"/>
        <v>1305.45</v>
      </c>
      <c r="Z282" s="17">
        <f t="shared" si="75"/>
        <v>1</v>
      </c>
      <c r="AA282" s="17">
        <f t="shared" si="76"/>
        <v>8.0989065052418439E-4</v>
      </c>
    </row>
    <row r="283" spans="1:27" ht="57.6" x14ac:dyDescent="0.3">
      <c r="A283" s="23" t="s">
        <v>368</v>
      </c>
      <c r="B283" s="23" t="str">
        <f>VLOOKUP(A283,MEMORIA!$A:$N,2,FALSE)</f>
        <v>COMPCOM03</v>
      </c>
      <c r="C283" s="23" t="str">
        <f>VLOOKUP(A283,MEMORIA!$A:$N,3,FALSE)</f>
        <v>PRÓPRIA</v>
      </c>
      <c r="D283" s="24" t="str">
        <f>VLOOKUP(A283,MEMORIA!$A:$N,4,FALSE)</f>
        <v>TELHAMENTO COM TELHA CERÂMICA CAPA-CANAL, TIPO COLONIAL, COM ATÉ 2 ÁGUAS, INCLUSO TRANSPORTE VERTICAL</v>
      </c>
      <c r="E283" s="23" t="str">
        <f>VLOOKUP(A283,MEMORIA!$A:$N,5,FALSE)</f>
        <v>M²</v>
      </c>
      <c r="F283" s="5">
        <f>VLOOKUP(A283,MEMORIA!$A:$N,14,FALSE)</f>
        <v>10.23</v>
      </c>
      <c r="G283" s="5">
        <f>VLOOKUP(A283,ORCAMENTO!$A:$I,7,FALSE)</f>
        <v>37.64</v>
      </c>
      <c r="H283" s="5">
        <f>VLOOKUP(A283,ORCAMENTO!$A:$I,8,FALSE)</f>
        <v>46.05</v>
      </c>
      <c r="I283" s="5">
        <f>ROUND(F283*H283,2)</f>
        <v>471.09</v>
      </c>
      <c r="J283" s="5">
        <f>ROUND(K283*$H283,2)</f>
        <v>0</v>
      </c>
      <c r="K283" s="5">
        <v>0</v>
      </c>
      <c r="L283" s="25">
        <f t="shared" si="68"/>
        <v>0</v>
      </c>
      <c r="M283" s="5">
        <f>ROUND(N283*$H283,2)</f>
        <v>0</v>
      </c>
      <c r="N283" s="5">
        <v>0</v>
      </c>
      <c r="O283" s="25">
        <f t="shared" si="69"/>
        <v>0</v>
      </c>
      <c r="P283" s="5">
        <f>ROUND(Q283*$H283,2)</f>
        <v>471.09</v>
      </c>
      <c r="Q283" s="5">
        <f t="shared" si="77"/>
        <v>10.23</v>
      </c>
      <c r="R283" s="25">
        <f t="shared" si="71"/>
        <v>1</v>
      </c>
      <c r="S283" s="5">
        <f>ROUND(T283*$H283,2)</f>
        <v>0</v>
      </c>
      <c r="T283" s="5">
        <v>0</v>
      </c>
      <c r="U283" s="25">
        <f t="shared" si="72"/>
        <v>0</v>
      </c>
      <c r="V283" s="5">
        <f>ROUND(W283*$H283,2)</f>
        <v>0</v>
      </c>
      <c r="W283" s="5">
        <v>0</v>
      </c>
      <c r="X283" s="25">
        <f t="shared" si="73"/>
        <v>0</v>
      </c>
      <c r="Y283" s="5">
        <f t="shared" si="74"/>
        <v>471.09</v>
      </c>
      <c r="Z283" s="25">
        <f t="shared" si="75"/>
        <v>1</v>
      </c>
      <c r="AA283" s="25">
        <f t="shared" si="76"/>
        <v>2.9226043629050364E-4</v>
      </c>
    </row>
    <row r="284" spans="1:27" ht="72" x14ac:dyDescent="0.3">
      <c r="A284" s="23" t="s">
        <v>369</v>
      </c>
      <c r="B284" s="23" t="str">
        <f>VLOOKUP(A284,MEMORIA!$A:$N,2,FALSE)</f>
        <v>COMPCOM04</v>
      </c>
      <c r="C284" s="23" t="str">
        <f>VLOOKUP(A284,MEMORIA!$A:$N,3,FALSE)</f>
        <v>PRÓPRIA</v>
      </c>
      <c r="D284" s="24" t="str">
        <f>VLOOKUP(A284,MEMORIA!$A:$N,4,FALSE)</f>
        <v>TRAMA DE MADEIRA COMPOSTA POR RIPAS, CAIBROS E TERÇAS PARA TELHADOS DE ATÉ 2 ÁGUAS PARA TELHA CERÂMICA CAPA-CANAL, INCLUSO TRANSPORTE VERTICAL</v>
      </c>
      <c r="E284" s="23" t="str">
        <f>VLOOKUP(A284,MEMORIA!$A:$N,5,FALSE)</f>
        <v>M²</v>
      </c>
      <c r="F284" s="5">
        <f>VLOOKUP(A284,MEMORIA!$A:$N,14,FALSE)</f>
        <v>10.23</v>
      </c>
      <c r="G284" s="5">
        <f>VLOOKUP(A284,ORCAMENTO!$A:$I,7,FALSE)</f>
        <v>66.67</v>
      </c>
      <c r="H284" s="5">
        <f>VLOOKUP(A284,ORCAMENTO!$A:$I,8,FALSE)</f>
        <v>81.56</v>
      </c>
      <c r="I284" s="5">
        <f>ROUND(F284*H284,2)</f>
        <v>834.36</v>
      </c>
      <c r="J284" s="5">
        <f>ROUND(K284*$H284,2)</f>
        <v>0</v>
      </c>
      <c r="K284" s="5">
        <v>0</v>
      </c>
      <c r="L284" s="25">
        <f t="shared" si="68"/>
        <v>0</v>
      </c>
      <c r="M284" s="5">
        <f>ROUND(N284*$H284,2)</f>
        <v>0</v>
      </c>
      <c r="N284" s="5">
        <v>0</v>
      </c>
      <c r="O284" s="25">
        <f t="shared" si="69"/>
        <v>0</v>
      </c>
      <c r="P284" s="5">
        <f>ROUND(Q284*$H284,2)</f>
        <v>834.36</v>
      </c>
      <c r="Q284" s="5">
        <f t="shared" si="77"/>
        <v>10.23</v>
      </c>
      <c r="R284" s="25">
        <f t="shared" si="71"/>
        <v>1</v>
      </c>
      <c r="S284" s="5">
        <f>ROUND(T284*$H284,2)</f>
        <v>0</v>
      </c>
      <c r="T284" s="5">
        <v>0</v>
      </c>
      <c r="U284" s="25">
        <f t="shared" si="72"/>
        <v>0</v>
      </c>
      <c r="V284" s="5">
        <f>ROUND(W284*$H284,2)</f>
        <v>0</v>
      </c>
      <c r="W284" s="5">
        <v>0</v>
      </c>
      <c r="X284" s="25">
        <f t="shared" si="73"/>
        <v>0</v>
      </c>
      <c r="Y284" s="5">
        <f t="shared" si="74"/>
        <v>834.36</v>
      </c>
      <c r="Z284" s="25">
        <f t="shared" si="75"/>
        <v>1</v>
      </c>
      <c r="AA284" s="25">
        <f t="shared" si="76"/>
        <v>5.1763021423368064E-4</v>
      </c>
    </row>
    <row r="285" spans="1:27" x14ac:dyDescent="0.3">
      <c r="A285" s="15" t="s">
        <v>98</v>
      </c>
      <c r="B285" s="48" t="str">
        <f>VLOOKUP(A285,MEMORIA!$A:$N,2,FALSE)</f>
        <v>PISO</v>
      </c>
      <c r="C285" s="49"/>
      <c r="D285" s="49"/>
      <c r="E285" s="49"/>
      <c r="F285" s="49"/>
      <c r="G285" s="49"/>
      <c r="H285" s="50"/>
      <c r="I285" s="16">
        <f>SUM(I$286:I$288)</f>
        <v>1174.01</v>
      </c>
      <c r="J285" s="16">
        <f>SUM(J$286:J$288)</f>
        <v>0</v>
      </c>
      <c r="K285" s="16"/>
      <c r="L285" s="17">
        <f t="shared" si="68"/>
        <v>0</v>
      </c>
      <c r="M285" s="16">
        <f>SUM(M$286:M$288)</f>
        <v>0</v>
      </c>
      <c r="N285" s="16"/>
      <c r="O285" s="17">
        <f t="shared" si="69"/>
        <v>0</v>
      </c>
      <c r="P285" s="16">
        <f>SUM(P$286:P$288)</f>
        <v>1174.01</v>
      </c>
      <c r="Q285" s="16"/>
      <c r="R285" s="17">
        <f t="shared" si="71"/>
        <v>1</v>
      </c>
      <c r="S285" s="16">
        <f>SUM(S$286:S$288)</f>
        <v>0</v>
      </c>
      <c r="T285" s="16"/>
      <c r="U285" s="17">
        <f t="shared" si="72"/>
        <v>0</v>
      </c>
      <c r="V285" s="16">
        <f>SUM(V$286:V$288)</f>
        <v>0</v>
      </c>
      <c r="W285" s="16"/>
      <c r="X285" s="17">
        <f t="shared" si="73"/>
        <v>0</v>
      </c>
      <c r="Y285" s="16">
        <f t="shared" si="74"/>
        <v>1174.01</v>
      </c>
      <c r="Z285" s="17">
        <f t="shared" si="75"/>
        <v>1</v>
      </c>
      <c r="AA285" s="17">
        <f t="shared" si="76"/>
        <v>7.2834633469064125E-4</v>
      </c>
    </row>
    <row r="286" spans="1:27" ht="28.8" x14ac:dyDescent="0.3">
      <c r="A286" s="23" t="s">
        <v>370</v>
      </c>
      <c r="B286" s="23">
        <f>VLOOKUP(A286,MEMORIA!$A:$N,2,FALSE)</f>
        <v>96617</v>
      </c>
      <c r="C286" s="23" t="str">
        <f>VLOOKUP(A286,MEMORIA!$A:$N,3,FALSE)</f>
        <v>SINAPI</v>
      </c>
      <c r="D286" s="24" t="str">
        <f>VLOOKUP(A286,MEMORIA!$A:$N,4,FALSE)</f>
        <v>LASTRO DE CONCRETO MAGRO, APLICADO EM BLOCOS DE COROAMENTO OU SAPATAS, ESPESSURA DE 3 CM. AF_01/2024</v>
      </c>
      <c r="E286" s="23" t="str">
        <f>VLOOKUP(A286,MEMORIA!$A:$N,5,FALSE)</f>
        <v>M2</v>
      </c>
      <c r="F286" s="5">
        <f>VLOOKUP(A286,MEMORIA!$A:$N,14,FALSE)</f>
        <v>4</v>
      </c>
      <c r="G286" s="5">
        <f>VLOOKUP(A286,ORCAMENTO!$A:$I,7,FALSE)</f>
        <v>23.57</v>
      </c>
      <c r="H286" s="5">
        <f>VLOOKUP(A286,ORCAMENTO!$A:$I,8,FALSE)</f>
        <v>28.83</v>
      </c>
      <c r="I286" s="5">
        <f>ROUND(F286*H286,2)</f>
        <v>115.32</v>
      </c>
      <c r="J286" s="5">
        <f>ROUND(K286*$H286,2)</f>
        <v>0</v>
      </c>
      <c r="K286" s="5">
        <v>0</v>
      </c>
      <c r="L286" s="25">
        <f t="shared" si="68"/>
        <v>0</v>
      </c>
      <c r="M286" s="5">
        <f>ROUND(N286*$H286,2)</f>
        <v>0</v>
      </c>
      <c r="N286" s="5">
        <v>0</v>
      </c>
      <c r="O286" s="25">
        <f t="shared" si="69"/>
        <v>0</v>
      </c>
      <c r="P286" s="5">
        <f>ROUND(Q286*$H286,2)</f>
        <v>115.32</v>
      </c>
      <c r="Q286" s="5">
        <f t="shared" si="77"/>
        <v>4</v>
      </c>
      <c r="R286" s="25">
        <f t="shared" si="71"/>
        <v>1</v>
      </c>
      <c r="S286" s="5">
        <f>ROUND(T286*$H286,2)</f>
        <v>0</v>
      </c>
      <c r="T286" s="5">
        <v>0</v>
      </c>
      <c r="U286" s="25">
        <f t="shared" si="72"/>
        <v>0</v>
      </c>
      <c r="V286" s="5">
        <f>ROUND(W286*$H286,2)</f>
        <v>0</v>
      </c>
      <c r="W286" s="5">
        <v>0</v>
      </c>
      <c r="X286" s="25">
        <f t="shared" si="73"/>
        <v>0</v>
      </c>
      <c r="Y286" s="5">
        <f t="shared" si="74"/>
        <v>115.32</v>
      </c>
      <c r="Z286" s="25">
        <f t="shared" si="75"/>
        <v>1</v>
      </c>
      <c r="AA286" s="25">
        <f t="shared" si="76"/>
        <v>7.1543597853957586E-5</v>
      </c>
    </row>
    <row r="287" spans="1:27" ht="72" x14ac:dyDescent="0.3">
      <c r="A287" s="23" t="s">
        <v>371</v>
      </c>
      <c r="B287" s="23">
        <f>VLOOKUP(A287,MEMORIA!$A:$N,2,FALSE)</f>
        <v>101749</v>
      </c>
      <c r="C287" s="23" t="str">
        <f>VLOOKUP(A287,MEMORIA!$A:$N,3,FALSE)</f>
        <v>SINAPI</v>
      </c>
      <c r="D287" s="24" t="str">
        <f>VLOOKUP(A287,MEMORIA!$A:$N,4,FALSE)</f>
        <v>PISO CIMENTADO, TRAÇO 1:3 (CIMENTO E AREIA), ACABAMENTO LISO, ESPESSURA 4,0 CM, PREPARO MECÂNICO DA ARGAMASSA. AF_09/2020</v>
      </c>
      <c r="E287" s="23" t="str">
        <f>VLOOKUP(A287,MEMORIA!$A:$N,5,FALSE)</f>
        <v>M2</v>
      </c>
      <c r="F287" s="5">
        <f>VLOOKUP(A287,MEMORIA!$A:$N,14,FALSE)</f>
        <v>4</v>
      </c>
      <c r="G287" s="5">
        <f>VLOOKUP(A287,ORCAMENTO!$A:$I,7,FALSE)</f>
        <v>64.739999999999995</v>
      </c>
      <c r="H287" s="5">
        <f>VLOOKUP(A287,ORCAMENTO!$A:$I,8,FALSE)</f>
        <v>79.199999999999989</v>
      </c>
      <c r="I287" s="5">
        <f>ROUND(F287*H287,2)</f>
        <v>316.8</v>
      </c>
      <c r="J287" s="5">
        <f>ROUND(K287*$H287,2)</f>
        <v>0</v>
      </c>
      <c r="K287" s="5">
        <v>0</v>
      </c>
      <c r="L287" s="25">
        <f t="shared" si="68"/>
        <v>0</v>
      </c>
      <c r="M287" s="5">
        <f>ROUND(N287*$H287,2)</f>
        <v>0</v>
      </c>
      <c r="N287" s="5">
        <v>0</v>
      </c>
      <c r="O287" s="25">
        <f t="shared" si="69"/>
        <v>0</v>
      </c>
      <c r="P287" s="5">
        <f>ROUND(Q287*$H287,2)</f>
        <v>316.8</v>
      </c>
      <c r="Q287" s="5">
        <f t="shared" si="77"/>
        <v>4</v>
      </c>
      <c r="R287" s="25">
        <f t="shared" si="71"/>
        <v>1</v>
      </c>
      <c r="S287" s="5">
        <f>ROUND(T287*$H287,2)</f>
        <v>0</v>
      </c>
      <c r="T287" s="5">
        <v>0</v>
      </c>
      <c r="U287" s="25">
        <f t="shared" si="72"/>
        <v>0</v>
      </c>
      <c r="V287" s="5">
        <f>ROUND(W287*$H287,2)</f>
        <v>0</v>
      </c>
      <c r="W287" s="5">
        <v>0</v>
      </c>
      <c r="X287" s="25">
        <f t="shared" si="73"/>
        <v>0</v>
      </c>
      <c r="Y287" s="5">
        <f t="shared" si="74"/>
        <v>316.8</v>
      </c>
      <c r="Z287" s="25">
        <f t="shared" si="75"/>
        <v>1</v>
      </c>
      <c r="AA287" s="25">
        <f t="shared" si="76"/>
        <v>1.9654016476009162E-4</v>
      </c>
    </row>
    <row r="288" spans="1:27" ht="72" x14ac:dyDescent="0.3">
      <c r="A288" s="23" t="s">
        <v>372</v>
      </c>
      <c r="B288" s="23">
        <f>VLOOKUP(A288,MEMORIA!$A:$N,2,FALSE)</f>
        <v>94994</v>
      </c>
      <c r="C288" s="23" t="str">
        <f>VLOOKUP(A288,MEMORIA!$A:$N,3,FALSE)</f>
        <v>SINAPI</v>
      </c>
      <c r="D288" s="24" t="str">
        <f>VLOOKUP(A288,MEMORIA!$A:$N,4,FALSE)</f>
        <v>EXECUÇÃO DE PASSEIO (CALÇADA) OU PISO DE CONCRETO COM CONCRETO MOLDADO IN LOCO, FEITO EM OBRA, ACABAMENTO CONVENCIONAL, ESPESSURA 8 CM, ARMADO. AF_08/2022</v>
      </c>
      <c r="E288" s="23" t="str">
        <f>VLOOKUP(A288,MEMORIA!$A:$N,5,FALSE)</f>
        <v>M2</v>
      </c>
      <c r="F288" s="5">
        <f>VLOOKUP(A288,MEMORIA!$A:$N,14,FALSE)</f>
        <v>5.6</v>
      </c>
      <c r="G288" s="5">
        <f>VLOOKUP(A288,ORCAMENTO!$A:$I,7,FALSE)</f>
        <v>108.30000000000003</v>
      </c>
      <c r="H288" s="5">
        <f>VLOOKUP(A288,ORCAMENTO!$A:$I,8,FALSE)</f>
        <v>132.48000000000002</v>
      </c>
      <c r="I288" s="5">
        <f>ROUND(F288*H288,2)</f>
        <v>741.89</v>
      </c>
      <c r="J288" s="5">
        <f>ROUND(K288*$H288,2)</f>
        <v>0</v>
      </c>
      <c r="K288" s="5">
        <v>0</v>
      </c>
      <c r="L288" s="25">
        <f t="shared" si="68"/>
        <v>0</v>
      </c>
      <c r="M288" s="5">
        <f>ROUND(N288*$H288,2)</f>
        <v>0</v>
      </c>
      <c r="N288" s="5">
        <v>0</v>
      </c>
      <c r="O288" s="25">
        <f t="shared" si="69"/>
        <v>0</v>
      </c>
      <c r="P288" s="5">
        <f>ROUND(Q288*$H288,2)</f>
        <v>741.89</v>
      </c>
      <c r="Q288" s="5">
        <f t="shared" si="77"/>
        <v>5.6</v>
      </c>
      <c r="R288" s="25">
        <f t="shared" si="71"/>
        <v>1</v>
      </c>
      <c r="S288" s="5">
        <f>ROUND(T288*$H288,2)</f>
        <v>0</v>
      </c>
      <c r="T288" s="5">
        <v>0</v>
      </c>
      <c r="U288" s="25">
        <f t="shared" si="72"/>
        <v>0</v>
      </c>
      <c r="V288" s="5">
        <f>ROUND(W288*$H288,2)</f>
        <v>0</v>
      </c>
      <c r="W288" s="5">
        <v>0</v>
      </c>
      <c r="X288" s="25">
        <f t="shared" si="73"/>
        <v>0</v>
      </c>
      <c r="Y288" s="5">
        <f t="shared" si="74"/>
        <v>741.89</v>
      </c>
      <c r="Z288" s="25">
        <f t="shared" si="75"/>
        <v>1</v>
      </c>
      <c r="AA288" s="25">
        <f t="shared" si="76"/>
        <v>4.6026257207659206E-4</v>
      </c>
    </row>
    <row r="289" spans="1:27" x14ac:dyDescent="0.3">
      <c r="A289" s="15" t="s">
        <v>99</v>
      </c>
      <c r="B289" s="48" t="str">
        <f>VLOOKUP(A289,MEMORIA!$A:$N,2,FALSE)</f>
        <v>REVESTIMENTO</v>
      </c>
      <c r="C289" s="49"/>
      <c r="D289" s="49"/>
      <c r="E289" s="49"/>
      <c r="F289" s="49"/>
      <c r="G289" s="49"/>
      <c r="H289" s="50"/>
      <c r="I289" s="16">
        <f>SUM(I$290:I$291)</f>
        <v>2341.92</v>
      </c>
      <c r="J289" s="16">
        <f>SUM(J$290:J$291)</f>
        <v>0</v>
      </c>
      <c r="K289" s="16"/>
      <c r="L289" s="17">
        <f t="shared" si="68"/>
        <v>0</v>
      </c>
      <c r="M289" s="16">
        <f>SUM(M$290:M$291)</f>
        <v>0</v>
      </c>
      <c r="N289" s="16"/>
      <c r="O289" s="17">
        <f t="shared" si="69"/>
        <v>0</v>
      </c>
      <c r="P289" s="16">
        <f>SUM(P$290:P$291)</f>
        <v>2341.92</v>
      </c>
      <c r="Q289" s="16"/>
      <c r="R289" s="17">
        <f t="shared" si="71"/>
        <v>1</v>
      </c>
      <c r="S289" s="16">
        <f>SUM(S$290:S$291)</f>
        <v>0</v>
      </c>
      <c r="T289" s="16"/>
      <c r="U289" s="17">
        <f t="shared" si="72"/>
        <v>0</v>
      </c>
      <c r="V289" s="16">
        <f>SUM(V$290:V$291)</f>
        <v>0</v>
      </c>
      <c r="W289" s="16"/>
      <c r="X289" s="17">
        <f t="shared" si="73"/>
        <v>0</v>
      </c>
      <c r="Y289" s="16">
        <f t="shared" si="74"/>
        <v>2341.92</v>
      </c>
      <c r="Z289" s="17">
        <f t="shared" si="75"/>
        <v>1</v>
      </c>
      <c r="AA289" s="17">
        <f t="shared" si="76"/>
        <v>1.452908278582556E-3</v>
      </c>
    </row>
    <row r="290" spans="1:27" ht="86.4" x14ac:dyDescent="0.3">
      <c r="A290" s="23" t="s">
        <v>373</v>
      </c>
      <c r="B290" s="23">
        <f>VLOOKUP(A290,MEMORIA!$A:$N,2,FALSE)</f>
        <v>87904</v>
      </c>
      <c r="C290" s="23" t="str">
        <f>VLOOKUP(A290,MEMORIA!$A:$N,3,FALSE)</f>
        <v>SINAPI</v>
      </c>
      <c r="D290" s="24" t="str">
        <f>VLOOKUP(A290,MEMORIA!$A:$N,4,FALSE)</f>
        <v>CHAPISCO APLICADO EM ALVENARIA (COM PRESENÇA DE VÃOS) E ESTRUTURAS DE CONCRETO DE FACHADA, COM COLHER DE PEDREIRO. ARGAMASSA TRAÇO 1:3 COM PREPARO MANUAL. AF_10/2022</v>
      </c>
      <c r="E290" s="23" t="str">
        <f>VLOOKUP(A290,MEMORIA!$A:$N,5,FALSE)</f>
        <v>M2</v>
      </c>
      <c r="F290" s="5">
        <f>VLOOKUP(A290,MEMORIA!$A:$N,14,FALSE)</f>
        <v>38.619999999999997</v>
      </c>
      <c r="G290" s="5">
        <f>VLOOKUP(A290,ORCAMENTO!$A:$I,7,FALSE)</f>
        <v>8.7199999999999989</v>
      </c>
      <c r="H290" s="5">
        <f>VLOOKUP(A290,ORCAMENTO!$A:$I,8,FALSE)</f>
        <v>10.669999999999998</v>
      </c>
      <c r="I290" s="5">
        <f>ROUND(F290*H290,2)</f>
        <v>412.08</v>
      </c>
      <c r="J290" s="5">
        <f>ROUND(K290*$H290,2)</f>
        <v>0</v>
      </c>
      <c r="K290" s="5">
        <v>0</v>
      </c>
      <c r="L290" s="25">
        <f t="shared" si="68"/>
        <v>0</v>
      </c>
      <c r="M290" s="5">
        <f>ROUND(N290*$H290,2)</f>
        <v>0</v>
      </c>
      <c r="N290" s="5">
        <v>0</v>
      </c>
      <c r="O290" s="25">
        <f t="shared" si="69"/>
        <v>0</v>
      </c>
      <c r="P290" s="5">
        <f>ROUND(Q290*$H290,2)</f>
        <v>412.08</v>
      </c>
      <c r="Q290" s="5">
        <f t="shared" si="77"/>
        <v>38.619999999999997</v>
      </c>
      <c r="R290" s="25">
        <f t="shared" si="71"/>
        <v>1</v>
      </c>
      <c r="S290" s="5">
        <f>ROUND(T290*$H290,2)</f>
        <v>0</v>
      </c>
      <c r="T290" s="5">
        <v>0</v>
      </c>
      <c r="U290" s="25">
        <f t="shared" si="72"/>
        <v>0</v>
      </c>
      <c r="V290" s="5">
        <f>ROUND(W290*$H290,2)</f>
        <v>0</v>
      </c>
      <c r="W290" s="5">
        <v>0</v>
      </c>
      <c r="X290" s="25">
        <f t="shared" si="73"/>
        <v>0</v>
      </c>
      <c r="Y290" s="5">
        <f t="shared" si="74"/>
        <v>412.08</v>
      </c>
      <c r="Z290" s="25">
        <f t="shared" si="75"/>
        <v>1</v>
      </c>
      <c r="AA290" s="25">
        <f t="shared" si="76"/>
        <v>2.5565110825233128E-4</v>
      </c>
    </row>
    <row r="291" spans="1:27" ht="86.4" x14ac:dyDescent="0.3">
      <c r="A291" s="23" t="s">
        <v>374</v>
      </c>
      <c r="B291" s="23">
        <f>VLOOKUP(A291,MEMORIA!$A:$N,2,FALSE)</f>
        <v>87530</v>
      </c>
      <c r="C291" s="23" t="str">
        <f>VLOOKUP(A291,MEMORIA!$A:$N,3,FALSE)</f>
        <v>SINAPI</v>
      </c>
      <c r="D291" s="24" t="str">
        <f>VLOOKUP(A291,MEMORIA!$A:$N,4,FALSE)</f>
        <v>MASSA ÚNICA, EM ARGAMASSA TRAÇO 1:2:8, PREPARO MANUAL, APLICADA MANUALMENTE EM PAREDES INTERNAS DE AMBIENTES COM ÁREA ENTRE 5M² E 10M², E = 17,5MM, COM TALISCAS. AF_03/2024</v>
      </c>
      <c r="E291" s="23" t="str">
        <f>VLOOKUP(A291,MEMORIA!$A:$N,5,FALSE)</f>
        <v>M2</v>
      </c>
      <c r="F291" s="5">
        <f>VLOOKUP(A291,MEMORIA!$A:$N,14,FALSE)</f>
        <v>38.619999999999997</v>
      </c>
      <c r="G291" s="5">
        <f>VLOOKUP(A291,ORCAMENTO!$A:$I,7,FALSE)</f>
        <v>40.85</v>
      </c>
      <c r="H291" s="5">
        <f>VLOOKUP(A291,ORCAMENTO!$A:$I,8,FALSE)</f>
        <v>49.97</v>
      </c>
      <c r="I291" s="5">
        <f>ROUND(F291*H291,2)</f>
        <v>1929.84</v>
      </c>
      <c r="J291" s="5">
        <f>ROUND(K291*$H291,2)</f>
        <v>0</v>
      </c>
      <c r="K291" s="5">
        <v>0</v>
      </c>
      <c r="L291" s="25">
        <f t="shared" si="68"/>
        <v>0</v>
      </c>
      <c r="M291" s="5">
        <f>ROUND(N291*$H291,2)</f>
        <v>0</v>
      </c>
      <c r="N291" s="5">
        <v>0</v>
      </c>
      <c r="O291" s="25">
        <f t="shared" si="69"/>
        <v>0</v>
      </c>
      <c r="P291" s="5">
        <f>ROUND(Q291*$H291,2)</f>
        <v>1929.84</v>
      </c>
      <c r="Q291" s="5">
        <f t="shared" si="77"/>
        <v>38.619999999999997</v>
      </c>
      <c r="R291" s="25">
        <f t="shared" si="71"/>
        <v>1</v>
      </c>
      <c r="S291" s="5">
        <f>ROUND(T291*$H291,2)</f>
        <v>0</v>
      </c>
      <c r="T291" s="5">
        <v>0</v>
      </c>
      <c r="U291" s="25">
        <f t="shared" si="72"/>
        <v>0</v>
      </c>
      <c r="V291" s="5">
        <f>ROUND(W291*$H291,2)</f>
        <v>0</v>
      </c>
      <c r="W291" s="5">
        <v>0</v>
      </c>
      <c r="X291" s="25">
        <f t="shared" si="73"/>
        <v>0</v>
      </c>
      <c r="Y291" s="5">
        <f t="shared" si="74"/>
        <v>1929.84</v>
      </c>
      <c r="Z291" s="25">
        <f t="shared" si="75"/>
        <v>1</v>
      </c>
      <c r="AA291" s="25">
        <f t="shared" si="76"/>
        <v>1.1972571703302247E-3</v>
      </c>
    </row>
    <row r="292" spans="1:27" x14ac:dyDescent="0.3">
      <c r="A292" s="15" t="s">
        <v>100</v>
      </c>
      <c r="B292" s="48" t="str">
        <f>VLOOKUP(A292,MEMORIA!$A:$N,2,FALSE)</f>
        <v>ESQUADRIAS</v>
      </c>
      <c r="C292" s="49"/>
      <c r="D292" s="49"/>
      <c r="E292" s="49"/>
      <c r="F292" s="49"/>
      <c r="G292" s="49"/>
      <c r="H292" s="50"/>
      <c r="I292" s="16">
        <f>SUM(I$293:I$294)</f>
        <v>2243.75</v>
      </c>
      <c r="J292" s="16">
        <f>SUM(J$293:J$294)</f>
        <v>0</v>
      </c>
      <c r="K292" s="16"/>
      <c r="L292" s="17">
        <f t="shared" si="68"/>
        <v>0</v>
      </c>
      <c r="M292" s="16">
        <f>SUM(M$293:M$294)</f>
        <v>0</v>
      </c>
      <c r="N292" s="16"/>
      <c r="O292" s="17">
        <f t="shared" si="69"/>
        <v>0</v>
      </c>
      <c r="P292" s="16">
        <f>SUM(P$293:P$294)</f>
        <v>2243.75</v>
      </c>
      <c r="Q292" s="16"/>
      <c r="R292" s="17">
        <f t="shared" si="71"/>
        <v>1</v>
      </c>
      <c r="S292" s="16">
        <f>SUM(S$293:S$294)</f>
        <v>0</v>
      </c>
      <c r="T292" s="16"/>
      <c r="U292" s="17">
        <f t="shared" si="72"/>
        <v>0</v>
      </c>
      <c r="V292" s="16">
        <f>SUM(V$293:V$294)</f>
        <v>0</v>
      </c>
      <c r="W292" s="16"/>
      <c r="X292" s="17">
        <f t="shared" si="73"/>
        <v>0</v>
      </c>
      <c r="Y292" s="16">
        <f t="shared" si="74"/>
        <v>2243.75</v>
      </c>
      <c r="Z292" s="17">
        <f t="shared" si="75"/>
        <v>1</v>
      </c>
      <c r="AA292" s="17">
        <f t="shared" si="76"/>
        <v>1.3920044024004279E-3</v>
      </c>
    </row>
    <row r="293" spans="1:27" ht="43.2" x14ac:dyDescent="0.3">
      <c r="A293" s="23" t="s">
        <v>375</v>
      </c>
      <c r="B293" s="23">
        <f>VLOOKUP(A293,MEMORIA!$A:$N,2,FALSE)</f>
        <v>100701</v>
      </c>
      <c r="C293" s="23" t="str">
        <f>VLOOKUP(A293,MEMORIA!$A:$N,3,FALSE)</f>
        <v>SINAPI</v>
      </c>
      <c r="D293" s="24" t="str">
        <f>VLOOKUP(A293,MEMORIA!$A:$N,4,FALSE)</f>
        <v>PORTA DE FERRO, DE ABRIR, TIPO GRADE COM CHAPA, COM GUARNIÇÕES. AF_12/2019</v>
      </c>
      <c r="E293" s="23" t="str">
        <f>VLOOKUP(A293,MEMORIA!$A:$N,5,FALSE)</f>
        <v>M2</v>
      </c>
      <c r="F293" s="5">
        <f>VLOOKUP(A293,MEMORIA!$A:$N,14,FALSE)</f>
        <v>1.68</v>
      </c>
      <c r="G293" s="5">
        <f>VLOOKUP(A293,ORCAMENTO!$A:$I,7,FALSE)</f>
        <v>415.24</v>
      </c>
      <c r="H293" s="5">
        <f>VLOOKUP(A293,ORCAMENTO!$A:$I,8,FALSE)</f>
        <v>507.96000000000004</v>
      </c>
      <c r="I293" s="5">
        <f>ROUND(F293*H293,2)</f>
        <v>853.37</v>
      </c>
      <c r="J293" s="5">
        <f>ROUND(K293*$H293,2)</f>
        <v>0</v>
      </c>
      <c r="K293" s="5">
        <v>0</v>
      </c>
      <c r="L293" s="25">
        <f t="shared" si="68"/>
        <v>0</v>
      </c>
      <c r="M293" s="5">
        <f>ROUND(N293*$H293,2)</f>
        <v>0</v>
      </c>
      <c r="N293" s="5">
        <v>0</v>
      </c>
      <c r="O293" s="25">
        <f t="shared" si="69"/>
        <v>0</v>
      </c>
      <c r="P293" s="5">
        <f>ROUND(Q293*$H293,2)</f>
        <v>853.37</v>
      </c>
      <c r="Q293" s="5">
        <f t="shared" si="77"/>
        <v>1.68</v>
      </c>
      <c r="R293" s="25">
        <f t="shared" si="71"/>
        <v>1</v>
      </c>
      <c r="S293" s="5">
        <f>ROUND(T293*$H293,2)</f>
        <v>0</v>
      </c>
      <c r="T293" s="5">
        <v>0</v>
      </c>
      <c r="U293" s="25">
        <f t="shared" si="72"/>
        <v>0</v>
      </c>
      <c r="V293" s="5">
        <f>ROUND(W293*$H293,2)</f>
        <v>0</v>
      </c>
      <c r="W293" s="5">
        <v>0</v>
      </c>
      <c r="X293" s="25">
        <f t="shared" si="73"/>
        <v>0</v>
      </c>
      <c r="Y293" s="5">
        <f t="shared" si="74"/>
        <v>853.37</v>
      </c>
      <c r="Z293" s="25">
        <f t="shared" si="75"/>
        <v>1</v>
      </c>
      <c r="AA293" s="25">
        <f t="shared" si="76"/>
        <v>5.2942386490315463E-4</v>
      </c>
    </row>
    <row r="294" spans="1:27" ht="43.2" x14ac:dyDescent="0.3">
      <c r="A294" s="23" t="s">
        <v>376</v>
      </c>
      <c r="B294" s="23" t="str">
        <f>VLOOKUP(A294,MEMORIA!$A:$N,2,FALSE)</f>
        <v>COMP219</v>
      </c>
      <c r="C294" s="23" t="str">
        <f>VLOOKUP(A294,MEMORIA!$A:$N,3,FALSE)</f>
        <v>PRÓPRIA</v>
      </c>
      <c r="D294" s="24" t="str">
        <f>VLOOKUP(A294,MEMORIA!$A:$N,4,FALSE)</f>
        <v>PORTÃO DE FERRO EM BARRA CHATA TIPO TIJOLINHO (REF: C1999-SEINFRA 28)</v>
      </c>
      <c r="E294" s="23" t="str">
        <f>VLOOKUP(A294,MEMORIA!$A:$N,5,FALSE)</f>
        <v>M2</v>
      </c>
      <c r="F294" s="5">
        <f>VLOOKUP(A294,MEMORIA!$A:$N,14,FALSE)</f>
        <v>6</v>
      </c>
      <c r="G294" s="5">
        <f>VLOOKUP(A294,ORCAMENTO!$A:$I,7,FALSE)</f>
        <v>189.43</v>
      </c>
      <c r="H294" s="5">
        <f>VLOOKUP(A294,ORCAMENTO!$A:$I,8,FALSE)</f>
        <v>231.73000000000002</v>
      </c>
      <c r="I294" s="5">
        <f>ROUND(F294*H294,2)</f>
        <v>1390.38</v>
      </c>
      <c r="J294" s="5">
        <f>ROUND(K294*$H294,2)</f>
        <v>0</v>
      </c>
      <c r="K294" s="5">
        <v>0</v>
      </c>
      <c r="L294" s="25">
        <f t="shared" si="68"/>
        <v>0</v>
      </c>
      <c r="M294" s="5">
        <f>ROUND(N294*$H294,2)</f>
        <v>0</v>
      </c>
      <c r="N294" s="5">
        <v>0</v>
      </c>
      <c r="O294" s="25">
        <f t="shared" si="69"/>
        <v>0</v>
      </c>
      <c r="P294" s="5">
        <f>ROUND(Q294*$H294,2)</f>
        <v>1390.38</v>
      </c>
      <c r="Q294" s="5">
        <f t="shared" si="77"/>
        <v>6</v>
      </c>
      <c r="R294" s="25">
        <f t="shared" si="71"/>
        <v>1</v>
      </c>
      <c r="S294" s="5">
        <f>ROUND(T294*$H294,2)</f>
        <v>0</v>
      </c>
      <c r="T294" s="5">
        <v>0</v>
      </c>
      <c r="U294" s="25">
        <f t="shared" si="72"/>
        <v>0</v>
      </c>
      <c r="V294" s="5">
        <f>ROUND(W294*$H294,2)</f>
        <v>0</v>
      </c>
      <c r="W294" s="5">
        <v>0</v>
      </c>
      <c r="X294" s="25">
        <f t="shared" si="73"/>
        <v>0</v>
      </c>
      <c r="Y294" s="5">
        <f t="shared" si="74"/>
        <v>1390.38</v>
      </c>
      <c r="Z294" s="25">
        <f t="shared" si="75"/>
        <v>1</v>
      </c>
      <c r="AA294" s="25">
        <f t="shared" si="76"/>
        <v>8.625805374972733E-4</v>
      </c>
    </row>
    <row r="295" spans="1:27" x14ac:dyDescent="0.3">
      <c r="A295" s="15" t="s">
        <v>101</v>
      </c>
      <c r="B295" s="48" t="str">
        <f>VLOOKUP(A295,MEMORIA!$A:$N,2,FALSE)</f>
        <v>PINTURA</v>
      </c>
      <c r="C295" s="49"/>
      <c r="D295" s="49"/>
      <c r="E295" s="49"/>
      <c r="F295" s="49"/>
      <c r="G295" s="49"/>
      <c r="H295" s="50"/>
      <c r="I295" s="16">
        <f>SUM(I$296:I$297)</f>
        <v>649.88</v>
      </c>
      <c r="J295" s="16">
        <f>SUM(J$296:J$297)</f>
        <v>0</v>
      </c>
      <c r="K295" s="16"/>
      <c r="L295" s="17">
        <f t="shared" si="68"/>
        <v>0</v>
      </c>
      <c r="M295" s="16">
        <f>SUM(M$296:M$297)</f>
        <v>0</v>
      </c>
      <c r="N295" s="16"/>
      <c r="O295" s="17">
        <f t="shared" si="69"/>
        <v>0</v>
      </c>
      <c r="P295" s="16">
        <f>SUM(P$296:P$297)</f>
        <v>649.88</v>
      </c>
      <c r="Q295" s="16"/>
      <c r="R295" s="17">
        <f t="shared" si="71"/>
        <v>1</v>
      </c>
      <c r="S295" s="16">
        <f>SUM(S$296:S$297)</f>
        <v>0</v>
      </c>
      <c r="T295" s="16"/>
      <c r="U295" s="17">
        <f t="shared" si="72"/>
        <v>0</v>
      </c>
      <c r="V295" s="16">
        <f>SUM(V$296:V$297)</f>
        <v>0</v>
      </c>
      <c r="W295" s="16"/>
      <c r="X295" s="17">
        <f t="shared" si="73"/>
        <v>0</v>
      </c>
      <c r="Y295" s="16">
        <f t="shared" si="74"/>
        <v>649.88</v>
      </c>
      <c r="Z295" s="17">
        <f t="shared" si="75"/>
        <v>1</v>
      </c>
      <c r="AA295" s="17">
        <f t="shared" si="76"/>
        <v>4.0318031020924349E-4</v>
      </c>
    </row>
    <row r="296" spans="1:27" ht="28.8" x14ac:dyDescent="0.3">
      <c r="A296" s="23" t="s">
        <v>377</v>
      </c>
      <c r="B296" s="23" t="str">
        <f>VLOOKUP(A296,MEMORIA!$A:$N,2,FALSE)</f>
        <v>COMP205</v>
      </c>
      <c r="C296" s="23" t="str">
        <f>VLOOKUP(A296,MEMORIA!$A:$N,3,FALSE)</f>
        <v>PRÓPRIA</v>
      </c>
      <c r="D296" s="24" t="str">
        <f>VLOOKUP(A296,MEMORIA!$A:$N,4,FALSE)</f>
        <v>CAIAÇÃO EM TRES DEMÃOS EM PAREDES (REF: C0589-SEINFRA 28)</v>
      </c>
      <c r="E296" s="23" t="str">
        <f>VLOOKUP(A296,MEMORIA!$A:$N,5,FALSE)</f>
        <v>M2</v>
      </c>
      <c r="F296" s="5">
        <f>VLOOKUP(A296,MEMORIA!$A:$N,14,FALSE)</f>
        <v>38.619999999999997</v>
      </c>
      <c r="G296" s="5">
        <f>VLOOKUP(A296,ORCAMENTO!$A:$I,7,FALSE)</f>
        <v>9.3800000000000008</v>
      </c>
      <c r="H296" s="5">
        <f>VLOOKUP(A296,ORCAMENTO!$A:$I,8,FALSE)</f>
        <v>11.47</v>
      </c>
      <c r="I296" s="5">
        <f>ROUND(F296*H296,2)</f>
        <v>442.97</v>
      </c>
      <c r="J296" s="5">
        <f>ROUND(K296*$H296,2)</f>
        <v>0</v>
      </c>
      <c r="K296" s="5">
        <v>0</v>
      </c>
      <c r="L296" s="25">
        <f t="shared" si="68"/>
        <v>0</v>
      </c>
      <c r="M296" s="5">
        <f>ROUND(N296*$H296,2)</f>
        <v>0</v>
      </c>
      <c r="N296" s="5">
        <v>0</v>
      </c>
      <c r="O296" s="25">
        <f t="shared" si="69"/>
        <v>0</v>
      </c>
      <c r="P296" s="5">
        <f>ROUND(Q296*$H296,2)</f>
        <v>442.97</v>
      </c>
      <c r="Q296" s="5">
        <f t="shared" si="77"/>
        <v>38.619999999999997</v>
      </c>
      <c r="R296" s="25">
        <f t="shared" si="71"/>
        <v>1</v>
      </c>
      <c r="S296" s="5">
        <f>ROUND(T296*$H296,2)</f>
        <v>0</v>
      </c>
      <c r="T296" s="5">
        <v>0</v>
      </c>
      <c r="U296" s="25">
        <f t="shared" si="72"/>
        <v>0</v>
      </c>
      <c r="V296" s="5">
        <f>ROUND(W296*$H296,2)</f>
        <v>0</v>
      </c>
      <c r="W296" s="5">
        <v>0</v>
      </c>
      <c r="X296" s="25">
        <f t="shared" si="73"/>
        <v>0</v>
      </c>
      <c r="Y296" s="5">
        <f t="shared" si="74"/>
        <v>442.97</v>
      </c>
      <c r="Z296" s="25">
        <f t="shared" si="75"/>
        <v>1</v>
      </c>
      <c r="AA296" s="25">
        <f t="shared" si="76"/>
        <v>2.7481501510030868E-4</v>
      </c>
    </row>
    <row r="297" spans="1:27" ht="86.4" x14ac:dyDescent="0.3">
      <c r="A297" s="23" t="s">
        <v>378</v>
      </c>
      <c r="B297" s="23">
        <f>VLOOKUP(A297,MEMORIA!$A:$N,2,FALSE)</f>
        <v>100758</v>
      </c>
      <c r="C297" s="23" t="str">
        <f>VLOOKUP(A297,MEMORIA!$A:$N,3,FALSE)</f>
        <v>SINAPI</v>
      </c>
      <c r="D297" s="24" t="str">
        <f>VLOOKUP(A297,MEMORIA!$A:$N,4,FALSE)</f>
        <v>PINTURA COM TINTA ALQUÍDICA DE ACABAMENTO (ESMALTE SINTÉTICO ACETINADO) APLICADA A ROLO OU PINCEL SOBRE SUPERFÍCIES METÁLICAS (EXCETO PERFIL) EXECUTADO EM OBRA (02 DEMÃOS). AF_01/2020</v>
      </c>
      <c r="E297" s="23" t="str">
        <f>VLOOKUP(A297,MEMORIA!$A:$N,5,FALSE)</f>
        <v>M2</v>
      </c>
      <c r="F297" s="5">
        <f>VLOOKUP(A297,MEMORIA!$A:$N,14,FALSE)</f>
        <v>3.36</v>
      </c>
      <c r="G297" s="5">
        <f>VLOOKUP(A297,ORCAMENTO!$A:$I,7,FALSE)</f>
        <v>50.339999999999996</v>
      </c>
      <c r="H297" s="5">
        <f>VLOOKUP(A297,ORCAMENTO!$A:$I,8,FALSE)</f>
        <v>61.58</v>
      </c>
      <c r="I297" s="5">
        <f>ROUND(F297*H297,2)</f>
        <v>206.91</v>
      </c>
      <c r="J297" s="5">
        <f>ROUND(K297*$H297,2)</f>
        <v>0</v>
      </c>
      <c r="K297" s="5">
        <v>0</v>
      </c>
      <c r="L297" s="25">
        <f t="shared" si="68"/>
        <v>0</v>
      </c>
      <c r="M297" s="5">
        <f>ROUND(N297*$H297,2)</f>
        <v>0</v>
      </c>
      <c r="N297" s="5">
        <v>0</v>
      </c>
      <c r="O297" s="25">
        <f t="shared" si="69"/>
        <v>0</v>
      </c>
      <c r="P297" s="5">
        <f>ROUND(Q297*$H297,2)</f>
        <v>206.91</v>
      </c>
      <c r="Q297" s="5">
        <f t="shared" si="77"/>
        <v>3.36</v>
      </c>
      <c r="R297" s="25">
        <f t="shared" si="71"/>
        <v>1</v>
      </c>
      <c r="S297" s="5">
        <f>ROUND(T297*$H297,2)</f>
        <v>0</v>
      </c>
      <c r="T297" s="5">
        <v>0</v>
      </c>
      <c r="U297" s="25">
        <f t="shared" si="72"/>
        <v>0</v>
      </c>
      <c r="V297" s="5">
        <f>ROUND(W297*$H297,2)</f>
        <v>0</v>
      </c>
      <c r="W297" s="5">
        <v>0</v>
      </c>
      <c r="X297" s="25">
        <f t="shared" si="73"/>
        <v>0</v>
      </c>
      <c r="Y297" s="5">
        <f t="shared" si="74"/>
        <v>206.91</v>
      </c>
      <c r="Z297" s="25">
        <f t="shared" si="75"/>
        <v>1</v>
      </c>
      <c r="AA297" s="25">
        <f t="shared" si="76"/>
        <v>1.2836529510893484E-4</v>
      </c>
    </row>
    <row r="298" spans="1:27" x14ac:dyDescent="0.3">
      <c r="A298" s="15" t="s">
        <v>102</v>
      </c>
      <c r="B298" s="48" t="str">
        <f>VLOOKUP(A298,MEMORIA!$A:$N,2,FALSE)</f>
        <v>CERCAMENTO</v>
      </c>
      <c r="C298" s="49"/>
      <c r="D298" s="49"/>
      <c r="E298" s="49"/>
      <c r="F298" s="49"/>
      <c r="G298" s="49"/>
      <c r="H298" s="50"/>
      <c r="I298" s="16">
        <f>SUM(I$299:I$299)</f>
        <v>5908.53</v>
      </c>
      <c r="J298" s="16">
        <f>SUM(J$299:J$299)</f>
        <v>0</v>
      </c>
      <c r="K298" s="16"/>
      <c r="L298" s="17">
        <f t="shared" si="68"/>
        <v>0</v>
      </c>
      <c r="M298" s="16">
        <f>SUM(M$299:M$299)</f>
        <v>0</v>
      </c>
      <c r="N298" s="16"/>
      <c r="O298" s="17">
        <f t="shared" si="69"/>
        <v>0</v>
      </c>
      <c r="P298" s="16">
        <f>SUM(P$299:P$299)</f>
        <v>5908.53</v>
      </c>
      <c r="Q298" s="16"/>
      <c r="R298" s="17">
        <f t="shared" si="71"/>
        <v>1</v>
      </c>
      <c r="S298" s="16">
        <f>SUM(S$299:S$299)</f>
        <v>0</v>
      </c>
      <c r="T298" s="16"/>
      <c r="U298" s="17">
        <f t="shared" si="72"/>
        <v>0</v>
      </c>
      <c r="V298" s="16">
        <f>SUM(V$299:V$299)</f>
        <v>0</v>
      </c>
      <c r="W298" s="16"/>
      <c r="X298" s="17">
        <f t="shared" si="73"/>
        <v>0</v>
      </c>
      <c r="Y298" s="16">
        <f t="shared" si="74"/>
        <v>5908.53</v>
      </c>
      <c r="Z298" s="17">
        <f t="shared" si="75"/>
        <v>1</v>
      </c>
      <c r="AA298" s="17">
        <f t="shared" si="76"/>
        <v>3.6656043550818943E-3</v>
      </c>
    </row>
    <row r="299" spans="1:27" ht="100.8" x14ac:dyDescent="0.3">
      <c r="A299" s="23" t="s">
        <v>379</v>
      </c>
      <c r="B299" s="23">
        <f>VLOOKUP(A299,MEMORIA!$A:$N,2,FALSE)</f>
        <v>101197</v>
      </c>
      <c r="C299" s="23" t="str">
        <f>VLOOKUP(A299,MEMORIA!$A:$N,3,FALSE)</f>
        <v>SINAPI</v>
      </c>
      <c r="D299" s="24" t="str">
        <f>VLOOKUP(A299,MEMORIA!$A:$N,4,FALSE)</f>
        <v>CERCA COM MOURÕES DE CONCRETO, SEÇÃO "T" PONTA INCLINADA, 10X10 CM, ESPAÇAMENTO DE 2,5 M, CRAVADOS 0,5 M, COM 11 FIOS DE ARAME FARPADO Nº 14 - FORNECIMENTO E INSTALAÇÃO. AF_05/2020</v>
      </c>
      <c r="E299" s="23" t="str">
        <f>VLOOKUP(A299,MEMORIA!$A:$N,5,FALSE)</f>
        <v>M</v>
      </c>
      <c r="F299" s="5">
        <f>VLOOKUP(A299,MEMORIA!$A:$N,14,FALSE)</f>
        <v>37</v>
      </c>
      <c r="G299" s="5">
        <f>VLOOKUP(A299,ORCAMENTO!$A:$I,7,FALSE)</f>
        <v>130.54</v>
      </c>
      <c r="H299" s="5">
        <f>VLOOKUP(A299,ORCAMENTO!$A:$I,8,FALSE)</f>
        <v>159.69</v>
      </c>
      <c r="I299" s="5">
        <f>ROUND(F299*H299,2)</f>
        <v>5908.53</v>
      </c>
      <c r="J299" s="5">
        <f>ROUND(K299*$H299,2)</f>
        <v>0</v>
      </c>
      <c r="K299" s="5">
        <v>0</v>
      </c>
      <c r="L299" s="25">
        <f t="shared" si="68"/>
        <v>0</v>
      </c>
      <c r="M299" s="5">
        <f>ROUND(N299*$H299,2)</f>
        <v>0</v>
      </c>
      <c r="N299" s="5">
        <v>0</v>
      </c>
      <c r="O299" s="25">
        <f t="shared" si="69"/>
        <v>0</v>
      </c>
      <c r="P299" s="5">
        <f>ROUND(Q299*$H299,2)</f>
        <v>5908.53</v>
      </c>
      <c r="Q299" s="5">
        <f t="shared" si="77"/>
        <v>37</v>
      </c>
      <c r="R299" s="25">
        <f t="shared" si="71"/>
        <v>1</v>
      </c>
      <c r="S299" s="5">
        <f>ROUND(T299*$H299,2)</f>
        <v>0</v>
      </c>
      <c r="T299" s="5">
        <v>0</v>
      </c>
      <c r="U299" s="25">
        <f t="shared" si="72"/>
        <v>0</v>
      </c>
      <c r="V299" s="5">
        <f>ROUND(W299*$H299,2)</f>
        <v>0</v>
      </c>
      <c r="W299" s="5">
        <v>0</v>
      </c>
      <c r="X299" s="25">
        <f t="shared" si="73"/>
        <v>0</v>
      </c>
      <c r="Y299" s="5">
        <f t="shared" si="74"/>
        <v>5908.53</v>
      </c>
      <c r="Z299" s="25">
        <f t="shared" si="75"/>
        <v>1</v>
      </c>
      <c r="AA299" s="25">
        <f t="shared" si="76"/>
        <v>3.6656043550818943E-3</v>
      </c>
    </row>
    <row r="300" spans="1:27" x14ac:dyDescent="0.3">
      <c r="A300" s="12" t="s">
        <v>103</v>
      </c>
      <c r="B300" s="51" t="str">
        <f>VLOOKUP(A300,MEMORIA!$A:$N,2,FALSE)</f>
        <v>INSTALAÇÕES ELÉTRICAS</v>
      </c>
      <c r="C300" s="52"/>
      <c r="D300" s="52"/>
      <c r="E300" s="52"/>
      <c r="F300" s="52"/>
      <c r="G300" s="52"/>
      <c r="H300" s="53"/>
      <c r="I300" s="13">
        <f>SUM(I$301:I$302)</f>
        <v>17909.879999999997</v>
      </c>
      <c r="J300" s="13">
        <f>SUM(J$301:J$302)</f>
        <v>0</v>
      </c>
      <c r="K300" s="13"/>
      <c r="L300" s="14">
        <f t="shared" si="68"/>
        <v>0</v>
      </c>
      <c r="M300" s="13">
        <f>SUM(M$301:M$302)</f>
        <v>0</v>
      </c>
      <c r="N300" s="13"/>
      <c r="O300" s="14">
        <f t="shared" si="69"/>
        <v>0</v>
      </c>
      <c r="P300" s="13">
        <f>SUM(P$301:P$302)</f>
        <v>17909.879999999997</v>
      </c>
      <c r="Q300" s="13"/>
      <c r="R300" s="14">
        <f t="shared" si="71"/>
        <v>1</v>
      </c>
      <c r="S300" s="13">
        <f>SUM(S$301:S$302)</f>
        <v>0</v>
      </c>
      <c r="T300" s="13"/>
      <c r="U300" s="14">
        <f t="shared" si="72"/>
        <v>0</v>
      </c>
      <c r="V300" s="13">
        <f>SUM(V$301:V$302)</f>
        <v>0</v>
      </c>
      <c r="W300" s="13"/>
      <c r="X300" s="14">
        <f t="shared" si="73"/>
        <v>0</v>
      </c>
      <c r="Y300" s="13">
        <f t="shared" si="74"/>
        <v>17909.879999999997</v>
      </c>
      <c r="Z300" s="14">
        <f t="shared" si="75"/>
        <v>1</v>
      </c>
      <c r="AA300" s="14">
        <f t="shared" si="76"/>
        <v>1.1111145094802617E-2</v>
      </c>
    </row>
    <row r="301" spans="1:27" ht="100.8" x14ac:dyDescent="0.3">
      <c r="A301" s="23" t="s">
        <v>380</v>
      </c>
      <c r="B301" s="23" t="str">
        <f>VLOOKUP(A301,MEMORIA!$A:$N,2,FALSE)</f>
        <v>COMP223</v>
      </c>
      <c r="C301" s="23" t="str">
        <f>VLOOKUP(A301,MEMORIA!$A:$N,3,FALSE)</f>
        <v>PRÓPRIA</v>
      </c>
      <c r="D301" s="24" t="str">
        <f>VLOOKUP(A301,MEMORIA!$A:$N,4,FALSE)</f>
        <v>FORNECIMENTO E INSTALAÇÃO DE KIT DE BOMBEAMENTO SOLAR P/ POÇO COM PROFUNDIDADE DE 100 A 120 M, INCLUSO BOMBA 3CV, INVERSOR, PAINÉIS, QUADRO DE COMANDO, DISJUNTORES, CABOS E CONEXÕES E ESTRUTURA TIPO SOLO</v>
      </c>
      <c r="E301" s="23" t="str">
        <f>VLOOKUP(A301,MEMORIA!$A:$N,5,FALSE)</f>
        <v>UND</v>
      </c>
      <c r="F301" s="5">
        <f>VLOOKUP(A301,MEMORIA!$A:$N,14,FALSE)</f>
        <v>1</v>
      </c>
      <c r="G301" s="5">
        <f>VLOOKUP(A301,ORCAMENTO!$A:$I,7,FALSE)</f>
        <v>12042.74</v>
      </c>
      <c r="H301" s="5">
        <f>VLOOKUP(A301,ORCAMENTO!$A:$I,8,FALSE)</f>
        <v>14731.88</v>
      </c>
      <c r="I301" s="5">
        <f>ROUND(F301*H301,2)</f>
        <v>14731.88</v>
      </c>
      <c r="J301" s="5">
        <f>ROUND(K301*$H301,2)</f>
        <v>0</v>
      </c>
      <c r="K301" s="5">
        <v>0</v>
      </c>
      <c r="L301" s="25">
        <f t="shared" si="68"/>
        <v>0</v>
      </c>
      <c r="M301" s="5">
        <f>ROUND(N301*$H301,2)</f>
        <v>0</v>
      </c>
      <c r="N301" s="5">
        <v>0</v>
      </c>
      <c r="O301" s="25">
        <f t="shared" si="69"/>
        <v>0</v>
      </c>
      <c r="P301" s="5">
        <f>ROUND(Q301*$H301,2)</f>
        <v>14731.88</v>
      </c>
      <c r="Q301" s="5">
        <f t="shared" si="77"/>
        <v>1</v>
      </c>
      <c r="R301" s="25">
        <f t="shared" si="71"/>
        <v>1</v>
      </c>
      <c r="S301" s="5">
        <f>ROUND(T301*$H301,2)</f>
        <v>0</v>
      </c>
      <c r="T301" s="5">
        <v>0</v>
      </c>
      <c r="U301" s="25">
        <f t="shared" si="72"/>
        <v>0</v>
      </c>
      <c r="V301" s="5">
        <f>ROUND(W301*$H301,2)</f>
        <v>0</v>
      </c>
      <c r="W301" s="5">
        <v>0</v>
      </c>
      <c r="X301" s="25">
        <f t="shared" si="73"/>
        <v>0</v>
      </c>
      <c r="Y301" s="5">
        <f t="shared" si="74"/>
        <v>14731.88</v>
      </c>
      <c r="Z301" s="25">
        <f t="shared" si="75"/>
        <v>1</v>
      </c>
      <c r="AA301" s="25">
        <f t="shared" si="76"/>
        <v>9.1395395278595273E-3</v>
      </c>
    </row>
    <row r="302" spans="1:27" ht="28.8" x14ac:dyDescent="0.3">
      <c r="A302" s="23" t="s">
        <v>381</v>
      </c>
      <c r="B302" s="23" t="str">
        <f>VLOOKUP(A302,MEMORIA!$A:$N,2,FALSE)</f>
        <v>COMPOS24</v>
      </c>
      <c r="C302" s="23" t="str">
        <f>VLOOKUP(A302,MEMORIA!$A:$N,3,FALSE)</f>
        <v>PRÓPRIA</v>
      </c>
      <c r="D302" s="24" t="str">
        <f>VLOOKUP(A302,MEMORIA!$A:$N,4,FALSE)</f>
        <v>FORNECIMENTO E INSTALAÇÃO DE CABO CHATO SUBMERSO DE 3 X 6 MM²</v>
      </c>
      <c r="E302" s="23" t="str">
        <f>VLOOKUP(A302,MEMORIA!$A:$N,5,FALSE)</f>
        <v>M</v>
      </c>
      <c r="F302" s="5">
        <f>VLOOKUP(A302,MEMORIA!$A:$N,14,FALSE)</f>
        <v>100</v>
      </c>
      <c r="G302" s="5">
        <f>VLOOKUP(A302,ORCAMENTO!$A:$I,7,FALSE)</f>
        <v>25.98</v>
      </c>
      <c r="H302" s="5">
        <f>VLOOKUP(A302,ORCAMENTO!$A:$I,8,FALSE)</f>
        <v>31.78</v>
      </c>
      <c r="I302" s="5">
        <f>ROUND(F302*H302,2)</f>
        <v>3178</v>
      </c>
      <c r="J302" s="5">
        <f>ROUND(K302*$H302,2)</f>
        <v>0</v>
      </c>
      <c r="K302" s="5">
        <v>0</v>
      </c>
      <c r="L302" s="25">
        <f t="shared" si="68"/>
        <v>0</v>
      </c>
      <c r="M302" s="5">
        <f>ROUND(N302*$H302,2)</f>
        <v>0</v>
      </c>
      <c r="N302" s="5">
        <v>0</v>
      </c>
      <c r="O302" s="25">
        <f t="shared" si="69"/>
        <v>0</v>
      </c>
      <c r="P302" s="5">
        <f>ROUND(Q302*$H302,2)</f>
        <v>3178</v>
      </c>
      <c r="Q302" s="5">
        <f t="shared" si="77"/>
        <v>100</v>
      </c>
      <c r="R302" s="25">
        <f t="shared" si="71"/>
        <v>1</v>
      </c>
      <c r="S302" s="5">
        <f>ROUND(T302*$H302,2)</f>
        <v>0</v>
      </c>
      <c r="T302" s="5">
        <v>0</v>
      </c>
      <c r="U302" s="25">
        <f t="shared" si="72"/>
        <v>0</v>
      </c>
      <c r="V302" s="5">
        <f>ROUND(W302*$H302,2)</f>
        <v>0</v>
      </c>
      <c r="W302" s="5">
        <v>0</v>
      </c>
      <c r="X302" s="25">
        <f t="shared" si="73"/>
        <v>0</v>
      </c>
      <c r="Y302" s="5">
        <f t="shared" si="74"/>
        <v>3178</v>
      </c>
      <c r="Z302" s="25">
        <f t="shared" si="75"/>
        <v>1</v>
      </c>
      <c r="AA302" s="25">
        <f t="shared" si="76"/>
        <v>1.9716055669430905E-3</v>
      </c>
    </row>
    <row r="303" spans="1:27" x14ac:dyDescent="0.3">
      <c r="A303" s="12" t="s">
        <v>104</v>
      </c>
      <c r="B303" s="51" t="str">
        <f>VLOOKUP(A303,MEMORIA!$A:$N,2,FALSE)</f>
        <v>ADUÇÃO</v>
      </c>
      <c r="C303" s="52"/>
      <c r="D303" s="52"/>
      <c r="E303" s="52"/>
      <c r="F303" s="52"/>
      <c r="G303" s="52"/>
      <c r="H303" s="53"/>
      <c r="I303" s="13">
        <f>SUM(I$304,I$307,I$309,)</f>
        <v>1455.29</v>
      </c>
      <c r="J303" s="13">
        <f>SUM(J$304,J$307,J$309,)</f>
        <v>0</v>
      </c>
      <c r="K303" s="13"/>
      <c r="L303" s="14">
        <f t="shared" si="68"/>
        <v>0</v>
      </c>
      <c r="M303" s="13">
        <f>SUM(M$304,M$307,M$309,)</f>
        <v>0</v>
      </c>
      <c r="N303" s="13"/>
      <c r="O303" s="14">
        <f t="shared" si="69"/>
        <v>0</v>
      </c>
      <c r="P303" s="13">
        <f>SUM(P$304,P$307,P$309,)</f>
        <v>1455.29</v>
      </c>
      <c r="Q303" s="13"/>
      <c r="R303" s="14">
        <f t="shared" si="71"/>
        <v>1</v>
      </c>
      <c r="S303" s="13">
        <f>SUM(S$304,S$307,S$309,)</f>
        <v>0</v>
      </c>
      <c r="T303" s="13"/>
      <c r="U303" s="14">
        <f t="shared" si="72"/>
        <v>0</v>
      </c>
      <c r="V303" s="13">
        <f>SUM(V$304,V$307,V$309,)</f>
        <v>0</v>
      </c>
      <c r="W303" s="13"/>
      <c r="X303" s="14">
        <f t="shared" si="73"/>
        <v>0</v>
      </c>
      <c r="Y303" s="13">
        <f t="shared" si="74"/>
        <v>1455.29</v>
      </c>
      <c r="Z303" s="14">
        <f t="shared" si="75"/>
        <v>1</v>
      </c>
      <c r="AA303" s="14">
        <f t="shared" si="76"/>
        <v>9.028501779473286E-4</v>
      </c>
    </row>
    <row r="304" spans="1:27" x14ac:dyDescent="0.3">
      <c r="A304" s="15" t="s">
        <v>105</v>
      </c>
      <c r="B304" s="48" t="str">
        <f>VLOOKUP(A304,MEMORIA!$A:$N,2,FALSE)</f>
        <v>MOVIMENTO DE TERRA</v>
      </c>
      <c r="C304" s="49"/>
      <c r="D304" s="49"/>
      <c r="E304" s="49"/>
      <c r="F304" s="49"/>
      <c r="G304" s="49"/>
      <c r="H304" s="50"/>
      <c r="I304" s="16">
        <f>SUM(I$305:I$306)</f>
        <v>485.08</v>
      </c>
      <c r="J304" s="16">
        <f>SUM(J$305:J$306)</f>
        <v>0</v>
      </c>
      <c r="K304" s="16"/>
      <c r="L304" s="17">
        <f t="shared" si="68"/>
        <v>0</v>
      </c>
      <c r="M304" s="16">
        <f>SUM(M$305:M$306)</f>
        <v>0</v>
      </c>
      <c r="N304" s="16"/>
      <c r="O304" s="17">
        <f t="shared" si="69"/>
        <v>0</v>
      </c>
      <c r="P304" s="16">
        <f>SUM(P$305:P$306)</f>
        <v>485.08</v>
      </c>
      <c r="Q304" s="16"/>
      <c r="R304" s="17">
        <f t="shared" si="71"/>
        <v>1</v>
      </c>
      <c r="S304" s="16">
        <f>SUM(S$305:S$306)</f>
        <v>0</v>
      </c>
      <c r="T304" s="16"/>
      <c r="U304" s="17">
        <f t="shared" si="72"/>
        <v>0</v>
      </c>
      <c r="V304" s="16">
        <f>SUM(V$305:V$306)</f>
        <v>0</v>
      </c>
      <c r="W304" s="16"/>
      <c r="X304" s="17">
        <f t="shared" si="73"/>
        <v>0</v>
      </c>
      <c r="Y304" s="16">
        <f t="shared" si="74"/>
        <v>485.08</v>
      </c>
      <c r="Z304" s="17">
        <f t="shared" si="75"/>
        <v>1</v>
      </c>
      <c r="AA304" s="17">
        <f t="shared" si="76"/>
        <v>3.0093971945020591E-4</v>
      </c>
    </row>
    <row r="305" spans="1:27" ht="28.8" x14ac:dyDescent="0.3">
      <c r="A305" s="23" t="s">
        <v>382</v>
      </c>
      <c r="B305" s="23">
        <f>VLOOKUP(A305,MEMORIA!$A:$N,2,FALSE)</f>
        <v>93358</v>
      </c>
      <c r="C305" s="23" t="str">
        <f>VLOOKUP(A305,MEMORIA!$A:$N,3,FALSE)</f>
        <v>SINAPI</v>
      </c>
      <c r="D305" s="24" t="str">
        <f>VLOOKUP(A305,MEMORIA!$A:$N,4,FALSE)</f>
        <v>ESCAVAÇÃO MANUAL DE VALA. AF_09/2024</v>
      </c>
      <c r="E305" s="23" t="str">
        <f>VLOOKUP(A305,MEMORIA!$A:$N,5,FALSE)</f>
        <v>M3</v>
      </c>
      <c r="F305" s="5">
        <f>VLOOKUP(A305,MEMORIA!$A:$N,14,FALSE)</f>
        <v>3.23</v>
      </c>
      <c r="G305" s="5">
        <f>VLOOKUP(A305,ORCAMENTO!$A:$I,7,FALSE)</f>
        <v>85.87</v>
      </c>
      <c r="H305" s="5">
        <f>VLOOKUP(A305,ORCAMENTO!$A:$I,8,FALSE)</f>
        <v>105.04</v>
      </c>
      <c r="I305" s="5">
        <f>ROUND(F305*H305,2)</f>
        <v>339.28</v>
      </c>
      <c r="J305" s="5">
        <f>ROUND(K305*$H305,2)</f>
        <v>0</v>
      </c>
      <c r="K305" s="5">
        <v>0</v>
      </c>
      <c r="L305" s="25">
        <f t="shared" si="68"/>
        <v>0</v>
      </c>
      <c r="M305" s="5">
        <f>ROUND(N305*$H305,2)</f>
        <v>0</v>
      </c>
      <c r="N305" s="5">
        <v>0</v>
      </c>
      <c r="O305" s="25">
        <f t="shared" si="69"/>
        <v>0</v>
      </c>
      <c r="P305" s="5">
        <f>ROUND(Q305*$H305,2)</f>
        <v>339.28</v>
      </c>
      <c r="Q305" s="5">
        <f t="shared" ref="Q305:Q306" si="78">F305</f>
        <v>3.23</v>
      </c>
      <c r="R305" s="25">
        <f t="shared" si="71"/>
        <v>1</v>
      </c>
      <c r="S305" s="5">
        <f>ROUND(T305*$H305,2)</f>
        <v>0</v>
      </c>
      <c r="T305" s="5">
        <v>0</v>
      </c>
      <c r="U305" s="25">
        <f t="shared" si="72"/>
        <v>0</v>
      </c>
      <c r="V305" s="5">
        <f>ROUND(W305*$H305,2)</f>
        <v>0</v>
      </c>
      <c r="W305" s="5">
        <v>0</v>
      </c>
      <c r="X305" s="25">
        <f t="shared" si="73"/>
        <v>0</v>
      </c>
      <c r="Y305" s="5">
        <f t="shared" si="74"/>
        <v>339.28</v>
      </c>
      <c r="Z305" s="25">
        <f t="shared" si="75"/>
        <v>1</v>
      </c>
      <c r="AA305" s="25">
        <f t="shared" si="76"/>
        <v>2.1048657544130012E-4</v>
      </c>
    </row>
    <row r="306" spans="1:27" ht="28.8" x14ac:dyDescent="0.3">
      <c r="A306" s="23" t="s">
        <v>383</v>
      </c>
      <c r="B306" s="23" t="str">
        <f>VLOOKUP(A306,MEMORIA!$A:$N,2,FALSE)</f>
        <v>COMPOS28</v>
      </c>
      <c r="C306" s="23" t="str">
        <f>VLOOKUP(A306,MEMORIA!$A:$N,3,FALSE)</f>
        <v>PRÓPRIA</v>
      </c>
      <c r="D306" s="24" t="str">
        <f>VLOOKUP(A306,MEMORIA!$A:$N,4,FALSE)</f>
        <v>REATERRO DE VALA COM COMPACTAÇÃO MANUAL</v>
      </c>
      <c r="E306" s="23" t="str">
        <f>VLOOKUP(A306,MEMORIA!$A:$N,5,FALSE)</f>
        <v>M³</v>
      </c>
      <c r="F306" s="5">
        <f>VLOOKUP(A306,MEMORIA!$A:$N,14,FALSE)</f>
        <v>3.23</v>
      </c>
      <c r="G306" s="5">
        <f>VLOOKUP(A306,ORCAMENTO!$A:$I,7,FALSE)</f>
        <v>36.9</v>
      </c>
      <c r="H306" s="5">
        <f>VLOOKUP(A306,ORCAMENTO!$A:$I,8,FALSE)</f>
        <v>45.14</v>
      </c>
      <c r="I306" s="5">
        <f>ROUND(F306*H306,2)</f>
        <v>145.80000000000001</v>
      </c>
      <c r="J306" s="5">
        <f>ROUND(K306*$H306,2)</f>
        <v>0</v>
      </c>
      <c r="K306" s="5">
        <v>0</v>
      </c>
      <c r="L306" s="25">
        <f t="shared" si="68"/>
        <v>0</v>
      </c>
      <c r="M306" s="5">
        <f>ROUND(N306*$H306,2)</f>
        <v>0</v>
      </c>
      <c r="N306" s="5">
        <v>0</v>
      </c>
      <c r="O306" s="25">
        <f t="shared" si="69"/>
        <v>0</v>
      </c>
      <c r="P306" s="5">
        <f>ROUND(Q306*$H306,2)</f>
        <v>145.80000000000001</v>
      </c>
      <c r="Q306" s="5">
        <f t="shared" si="78"/>
        <v>3.23</v>
      </c>
      <c r="R306" s="25">
        <f t="shared" si="71"/>
        <v>1</v>
      </c>
      <c r="S306" s="5">
        <f>ROUND(T306*$H306,2)</f>
        <v>0</v>
      </c>
      <c r="T306" s="5">
        <v>0</v>
      </c>
      <c r="U306" s="25">
        <f t="shared" si="72"/>
        <v>0</v>
      </c>
      <c r="V306" s="5">
        <f>ROUND(W306*$H306,2)</f>
        <v>0</v>
      </c>
      <c r="W306" s="5">
        <v>0</v>
      </c>
      <c r="X306" s="25">
        <f t="shared" si="73"/>
        <v>0</v>
      </c>
      <c r="Y306" s="5">
        <f t="shared" si="74"/>
        <v>145.80000000000001</v>
      </c>
      <c r="Z306" s="25">
        <f t="shared" si="75"/>
        <v>1</v>
      </c>
      <c r="AA306" s="25">
        <f t="shared" si="76"/>
        <v>9.0453144008905803E-5</v>
      </c>
    </row>
    <row r="307" spans="1:27" x14ac:dyDescent="0.3">
      <c r="A307" s="15" t="s">
        <v>106</v>
      </c>
      <c r="B307" s="48" t="str">
        <f>VLOOKUP(A307,MEMORIA!$A:$N,2,FALSE)</f>
        <v>INFRAESTRUTURA</v>
      </c>
      <c r="C307" s="49"/>
      <c r="D307" s="49"/>
      <c r="E307" s="49"/>
      <c r="F307" s="49"/>
      <c r="G307" s="49"/>
      <c r="H307" s="50"/>
      <c r="I307" s="16">
        <f>SUM(I$308:I$308)</f>
        <v>264.64</v>
      </c>
      <c r="J307" s="16">
        <f>SUM(J$308:J$308)</f>
        <v>0</v>
      </c>
      <c r="K307" s="16"/>
      <c r="L307" s="17">
        <f t="shared" si="68"/>
        <v>0</v>
      </c>
      <c r="M307" s="16">
        <f>SUM(M$308:M$308)</f>
        <v>0</v>
      </c>
      <c r="N307" s="16"/>
      <c r="O307" s="17">
        <f t="shared" si="69"/>
        <v>0</v>
      </c>
      <c r="P307" s="16">
        <f>SUM(P$308:P$308)</f>
        <v>264.64</v>
      </c>
      <c r="Q307" s="16"/>
      <c r="R307" s="17">
        <f t="shared" si="71"/>
        <v>1</v>
      </c>
      <c r="S307" s="16">
        <f>SUM(S$308:S$308)</f>
        <v>0</v>
      </c>
      <c r="T307" s="16"/>
      <c r="U307" s="17">
        <f t="shared" si="72"/>
        <v>0</v>
      </c>
      <c r="V307" s="16">
        <f>SUM(V$308:V$308)</f>
        <v>0</v>
      </c>
      <c r="W307" s="16"/>
      <c r="X307" s="17">
        <f t="shared" si="73"/>
        <v>0</v>
      </c>
      <c r="Y307" s="16">
        <f t="shared" si="74"/>
        <v>264.64</v>
      </c>
      <c r="Z307" s="17">
        <f t="shared" si="75"/>
        <v>1</v>
      </c>
      <c r="AA307" s="17">
        <f t="shared" si="76"/>
        <v>1.6418052147130883E-4</v>
      </c>
    </row>
    <row r="308" spans="1:27" x14ac:dyDescent="0.3">
      <c r="A308" s="23" t="s">
        <v>384</v>
      </c>
      <c r="B308" s="23" t="str">
        <f>VLOOKUP(A308,MEMORIA!$A:$N,2,FALSE)</f>
        <v>COMP216</v>
      </c>
      <c r="C308" s="23" t="str">
        <f>VLOOKUP(A308,MEMORIA!$A:$N,3,FALSE)</f>
        <v>PRÓPRIA</v>
      </c>
      <c r="D308" s="24" t="str">
        <f>VLOOKUP(A308,MEMORIA!$A:$N,4,FALSE)</f>
        <v>BLOCO DE ANCORAGEM EM CONCRETO SIMPLES FCK=10MPA (REF: C3403-SEINFRA 28)</v>
      </c>
      <c r="E308" s="23" t="str">
        <f>VLOOKUP(A308,MEMORIA!$A:$N,5,FALSE)</f>
        <v>M3</v>
      </c>
      <c r="F308" s="5">
        <f>VLOOKUP(A308,MEMORIA!$A:$N,14,FALSE)</f>
        <v>0.26</v>
      </c>
      <c r="G308" s="5">
        <f>VLOOKUP(A308,ORCAMENTO!$A:$I,7,FALSE)</f>
        <v>832.05</v>
      </c>
      <c r="H308" s="5">
        <f>VLOOKUP(A308,ORCAMENTO!$A:$I,8,FALSE)</f>
        <v>1017.8499999999999</v>
      </c>
      <c r="I308" s="5">
        <f>ROUND(F308*H308,2)</f>
        <v>264.64</v>
      </c>
      <c r="J308" s="5">
        <f>ROUND(K308*$H308,2)</f>
        <v>0</v>
      </c>
      <c r="K308" s="5">
        <v>0</v>
      </c>
      <c r="L308" s="25">
        <f t="shared" si="68"/>
        <v>0</v>
      </c>
      <c r="M308" s="5">
        <f>ROUND(N308*$H308,2)</f>
        <v>0</v>
      </c>
      <c r="N308" s="5">
        <v>0</v>
      </c>
      <c r="O308" s="25">
        <f t="shared" si="69"/>
        <v>0</v>
      </c>
      <c r="P308" s="5">
        <f>ROUND(Q308*$H308,2)</f>
        <v>264.64</v>
      </c>
      <c r="Q308" s="5">
        <f t="shared" ref="Q308" si="79">F308</f>
        <v>0.26</v>
      </c>
      <c r="R308" s="25">
        <f t="shared" si="71"/>
        <v>1</v>
      </c>
      <c r="S308" s="5">
        <f>ROUND(T308*$H308,2)</f>
        <v>0</v>
      </c>
      <c r="T308" s="5">
        <v>0</v>
      </c>
      <c r="U308" s="25">
        <f t="shared" si="72"/>
        <v>0</v>
      </c>
      <c r="V308" s="5">
        <f>ROUND(W308*$H308,2)</f>
        <v>0</v>
      </c>
      <c r="W308" s="5">
        <v>0</v>
      </c>
      <c r="X308" s="25">
        <f t="shared" si="73"/>
        <v>0</v>
      </c>
      <c r="Y308" s="5">
        <f t="shared" si="74"/>
        <v>264.64</v>
      </c>
      <c r="Z308" s="25">
        <f t="shared" si="75"/>
        <v>1</v>
      </c>
      <c r="AA308" s="25">
        <f t="shared" si="76"/>
        <v>1.6418052147130883E-4</v>
      </c>
    </row>
    <row r="309" spans="1:27" x14ac:dyDescent="0.3">
      <c r="A309" s="15" t="s">
        <v>107</v>
      </c>
      <c r="B309" s="48" t="str">
        <f>VLOOKUP(A309,MEMORIA!$A:$N,2,FALSE)</f>
        <v>INSTALAÇÕES HIDRÁULICAS</v>
      </c>
      <c r="C309" s="49"/>
      <c r="D309" s="49"/>
      <c r="E309" s="49"/>
      <c r="F309" s="49"/>
      <c r="G309" s="49"/>
      <c r="H309" s="50"/>
      <c r="I309" s="16">
        <f>SUM(I$310:I$311)</f>
        <v>705.57</v>
      </c>
      <c r="J309" s="16">
        <f>SUM(J$310:J$311)</f>
        <v>0</v>
      </c>
      <c r="K309" s="16"/>
      <c r="L309" s="17">
        <f t="shared" si="68"/>
        <v>0</v>
      </c>
      <c r="M309" s="16">
        <f>SUM(M$310:M$311)</f>
        <v>0</v>
      </c>
      <c r="N309" s="16"/>
      <c r="O309" s="17">
        <f t="shared" si="69"/>
        <v>0</v>
      </c>
      <c r="P309" s="16">
        <f>SUM(P$310:P$311)</f>
        <v>705.57</v>
      </c>
      <c r="Q309" s="16"/>
      <c r="R309" s="17">
        <f t="shared" si="71"/>
        <v>1</v>
      </c>
      <c r="S309" s="16">
        <f>SUM(S$310:S$311)</f>
        <v>0</v>
      </c>
      <c r="T309" s="16"/>
      <c r="U309" s="17">
        <f t="shared" si="72"/>
        <v>0</v>
      </c>
      <c r="V309" s="16">
        <f>SUM(V$310:V$311)</f>
        <v>0</v>
      </c>
      <c r="W309" s="16"/>
      <c r="X309" s="17">
        <f t="shared" si="73"/>
        <v>0</v>
      </c>
      <c r="Y309" s="16">
        <f t="shared" si="74"/>
        <v>705.57</v>
      </c>
      <c r="Z309" s="17">
        <f t="shared" si="75"/>
        <v>1</v>
      </c>
      <c r="AA309" s="17">
        <f t="shared" si="76"/>
        <v>4.3772993702581391E-4</v>
      </c>
    </row>
    <row r="310" spans="1:27" ht="43.2" x14ac:dyDescent="0.3">
      <c r="A310" s="23" t="s">
        <v>385</v>
      </c>
      <c r="B310" s="23">
        <f>VLOOKUP(A310,MEMORIA!$A:$N,2,FALSE)</f>
        <v>94498</v>
      </c>
      <c r="C310" s="23" t="str">
        <f>VLOOKUP(A310,MEMORIA!$A:$N,3,FALSE)</f>
        <v>SINAPI</v>
      </c>
      <c r="D310" s="24" t="str">
        <f>VLOOKUP(A310,MEMORIA!$A:$N,4,FALSE)</f>
        <v>REGISTRO DE GAVETA BRUTO, LATÃO, ROSCÁVEL, 2" - FORNECIMENTO E INSTALAÇÃO. AF_08/2021</v>
      </c>
      <c r="E310" s="23" t="str">
        <f>VLOOKUP(A310,MEMORIA!$A:$N,5,FALSE)</f>
        <v>UN</v>
      </c>
      <c r="F310" s="5">
        <f>VLOOKUP(A310,MEMORIA!$A:$N,14,FALSE)</f>
        <v>1</v>
      </c>
      <c r="G310" s="5">
        <f>VLOOKUP(A310,ORCAMENTO!$A:$I,7,FALSE)</f>
        <v>164.12</v>
      </c>
      <c r="H310" s="5">
        <f>VLOOKUP(A310,ORCAMENTO!$A:$I,8,FALSE)</f>
        <v>200.77</v>
      </c>
      <c r="I310" s="5">
        <f>ROUND(F310*H310,2)</f>
        <v>200.77</v>
      </c>
      <c r="J310" s="5">
        <f>ROUND(K310*$H310,2)</f>
        <v>0</v>
      </c>
      <c r="K310" s="5">
        <v>0</v>
      </c>
      <c r="L310" s="25">
        <f t="shared" si="68"/>
        <v>0</v>
      </c>
      <c r="M310" s="5">
        <f>ROUND(N310*$H310,2)</f>
        <v>0</v>
      </c>
      <c r="N310" s="5">
        <v>0</v>
      </c>
      <c r="O310" s="25">
        <f t="shared" si="69"/>
        <v>0</v>
      </c>
      <c r="P310" s="5">
        <f>ROUND(Q310*$H310,2)</f>
        <v>200.77</v>
      </c>
      <c r="Q310" s="5">
        <f t="shared" ref="Q310:Q311" si="80">F310</f>
        <v>1</v>
      </c>
      <c r="R310" s="25">
        <f t="shared" si="71"/>
        <v>1</v>
      </c>
      <c r="S310" s="5">
        <f>ROUND(T310*$H310,2)</f>
        <v>0</v>
      </c>
      <c r="T310" s="5">
        <v>0</v>
      </c>
      <c r="U310" s="25">
        <f t="shared" si="72"/>
        <v>0</v>
      </c>
      <c r="V310" s="5">
        <f>ROUND(W310*$H310,2)</f>
        <v>0</v>
      </c>
      <c r="W310" s="5">
        <v>0</v>
      </c>
      <c r="X310" s="25">
        <f t="shared" si="73"/>
        <v>0</v>
      </c>
      <c r="Y310" s="5">
        <f t="shared" si="74"/>
        <v>200.77</v>
      </c>
      <c r="Z310" s="25">
        <f t="shared" si="75"/>
        <v>1</v>
      </c>
      <c r="AA310" s="25">
        <f t="shared" si="76"/>
        <v>1.2455608863283963E-4</v>
      </c>
    </row>
    <row r="311" spans="1:27" ht="43.2" x14ac:dyDescent="0.3">
      <c r="A311" s="23" t="s">
        <v>386</v>
      </c>
      <c r="B311" s="23" t="str">
        <f>VLOOKUP(A311,MEMORIA!$A:$N,2,FALSE)</f>
        <v>COMPOS27</v>
      </c>
      <c r="C311" s="23" t="str">
        <f>VLOOKUP(A311,MEMORIA!$A:$N,3,FALSE)</f>
        <v>PRÓPRIA</v>
      </c>
      <c r="D311" s="24" t="str">
        <f>VLOOKUP(A311,MEMORIA!$A:$N,4,FALSE)</f>
        <v>AQUISIÇÃO E ASSENTAMENTO DE TUBO RÍGIDO PVC, CLASSE 12, DN 50 MM, INCLUSO CONEXÕES</v>
      </c>
      <c r="E311" s="23" t="str">
        <f>VLOOKUP(A311,MEMORIA!$A:$N,5,FALSE)</f>
        <v>M</v>
      </c>
      <c r="F311" s="5">
        <f>VLOOKUP(A311,MEMORIA!$A:$N,14,FALSE)</f>
        <v>16</v>
      </c>
      <c r="G311" s="5">
        <f>VLOOKUP(A311,ORCAMENTO!$A:$I,7,FALSE)</f>
        <v>25.79</v>
      </c>
      <c r="H311" s="5">
        <f>VLOOKUP(A311,ORCAMENTO!$A:$I,8,FALSE)</f>
        <v>31.549999999999997</v>
      </c>
      <c r="I311" s="5">
        <f>ROUND(F311*H311,2)</f>
        <v>504.8</v>
      </c>
      <c r="J311" s="5">
        <f>ROUND(K311*$H311,2)</f>
        <v>0</v>
      </c>
      <c r="K311" s="5">
        <v>0</v>
      </c>
      <c r="L311" s="25">
        <f t="shared" si="68"/>
        <v>0</v>
      </c>
      <c r="M311" s="5">
        <f>ROUND(N311*$H311,2)</f>
        <v>0</v>
      </c>
      <c r="N311" s="5">
        <v>0</v>
      </c>
      <c r="O311" s="25">
        <f t="shared" si="69"/>
        <v>0</v>
      </c>
      <c r="P311" s="5">
        <f>ROUND(Q311*$H311,2)</f>
        <v>504.8</v>
      </c>
      <c r="Q311" s="5">
        <f t="shared" si="80"/>
        <v>16</v>
      </c>
      <c r="R311" s="25">
        <f t="shared" si="71"/>
        <v>1</v>
      </c>
      <c r="S311" s="5">
        <f>ROUND(T311*$H311,2)</f>
        <v>0</v>
      </c>
      <c r="T311" s="5">
        <v>0</v>
      </c>
      <c r="U311" s="25">
        <f t="shared" si="72"/>
        <v>0</v>
      </c>
      <c r="V311" s="5">
        <f>ROUND(W311*$H311,2)</f>
        <v>0</v>
      </c>
      <c r="W311" s="5">
        <v>0</v>
      </c>
      <c r="X311" s="25">
        <f t="shared" si="73"/>
        <v>0</v>
      </c>
      <c r="Y311" s="5">
        <f t="shared" si="74"/>
        <v>504.8</v>
      </c>
      <c r="Z311" s="25">
        <f t="shared" si="75"/>
        <v>1</v>
      </c>
      <c r="AA311" s="25">
        <f t="shared" si="76"/>
        <v>3.1317384839297429E-4</v>
      </c>
    </row>
    <row r="312" spans="1:27" x14ac:dyDescent="0.3">
      <c r="A312" s="12" t="s">
        <v>108</v>
      </c>
      <c r="B312" s="51" t="str">
        <f>VLOOKUP(A312,MEMORIA!$A:$N,2,FALSE)</f>
        <v>RESERVAÇÃO</v>
      </c>
      <c r="C312" s="52"/>
      <c r="D312" s="52"/>
      <c r="E312" s="52"/>
      <c r="F312" s="52"/>
      <c r="G312" s="52"/>
      <c r="H312" s="53"/>
      <c r="I312" s="13">
        <f>SUM(I$313:I$315)</f>
        <v>21782.2</v>
      </c>
      <c r="J312" s="13">
        <f>SUM(J$313:J$315)</f>
        <v>0</v>
      </c>
      <c r="K312" s="13"/>
      <c r="L312" s="14">
        <f t="shared" si="68"/>
        <v>0</v>
      </c>
      <c r="M312" s="13">
        <f>SUM(M$313:M$315)</f>
        <v>0</v>
      </c>
      <c r="N312" s="13"/>
      <c r="O312" s="14">
        <f t="shared" si="69"/>
        <v>0</v>
      </c>
      <c r="P312" s="13">
        <f>SUM(P$313:P$315)</f>
        <v>21782.2</v>
      </c>
      <c r="Q312" s="13"/>
      <c r="R312" s="14">
        <f t="shared" si="71"/>
        <v>1</v>
      </c>
      <c r="S312" s="13">
        <f>SUM(S$313:S$315)</f>
        <v>0</v>
      </c>
      <c r="T312" s="13"/>
      <c r="U312" s="14">
        <f t="shared" si="72"/>
        <v>0</v>
      </c>
      <c r="V312" s="13">
        <f>SUM(V$313:V$315)</f>
        <v>0</v>
      </c>
      <c r="W312" s="13"/>
      <c r="X312" s="14">
        <f t="shared" si="73"/>
        <v>0</v>
      </c>
      <c r="Y312" s="13">
        <f t="shared" si="74"/>
        <v>21782.2</v>
      </c>
      <c r="Z312" s="14">
        <f t="shared" si="75"/>
        <v>1</v>
      </c>
      <c r="AA312" s="14">
        <f t="shared" si="76"/>
        <v>1.3513501189511577E-2</v>
      </c>
    </row>
    <row r="313" spans="1:27" ht="158.4" x14ac:dyDescent="0.3">
      <c r="A313" s="23" t="s">
        <v>387</v>
      </c>
      <c r="B313" s="23" t="str">
        <f>VLOOKUP(A313,MEMORIA!$A:$N,2,FALSE)</f>
        <v>COMPS35</v>
      </c>
      <c r="C313" s="23" t="str">
        <f>VLOOKUP(A313,MEMORIA!$A:$N,3,FALSE)</f>
        <v>PRÓPRIA</v>
      </c>
      <c r="D313" s="24" t="str">
        <f>VLOOKUP(A313,MEMORIA!$A:$N,4,FALSE)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313" s="23" t="str">
        <f>VLOOKUP(A313,MEMORIA!$A:$N,5,FALSE)</f>
        <v>UND</v>
      </c>
      <c r="F313" s="5">
        <f>VLOOKUP(A313,MEMORIA!$A:$N,14,FALSE)</f>
        <v>1</v>
      </c>
      <c r="G313" s="5">
        <f>VLOOKUP(A313,ORCAMENTO!$A:$I,7,FALSE)</f>
        <v>16919.690000000002</v>
      </c>
      <c r="H313" s="5">
        <f>VLOOKUP(A313,ORCAMENTO!$A:$I,8,FALSE)</f>
        <v>20697.86</v>
      </c>
      <c r="I313" s="5">
        <f>ROUND(F313*H313,2)</f>
        <v>20697.86</v>
      </c>
      <c r="J313" s="5">
        <f>ROUND(K313*$H313,2)</f>
        <v>0</v>
      </c>
      <c r="K313" s="5">
        <v>0</v>
      </c>
      <c r="L313" s="25">
        <f t="shared" si="68"/>
        <v>0</v>
      </c>
      <c r="M313" s="5">
        <f>ROUND(N313*$H313,2)</f>
        <v>0</v>
      </c>
      <c r="N313" s="5">
        <v>0</v>
      </c>
      <c r="O313" s="25">
        <f t="shared" si="69"/>
        <v>0</v>
      </c>
      <c r="P313" s="5">
        <f>ROUND(Q313*$H313,2)</f>
        <v>20697.86</v>
      </c>
      <c r="Q313" s="5">
        <f t="shared" ref="Q313:Q315" si="81">F313</f>
        <v>1</v>
      </c>
      <c r="R313" s="25">
        <f t="shared" si="71"/>
        <v>1</v>
      </c>
      <c r="S313" s="5">
        <f>ROUND(T313*$H313,2)</f>
        <v>0</v>
      </c>
      <c r="T313" s="5">
        <v>0</v>
      </c>
      <c r="U313" s="25">
        <f t="shared" si="72"/>
        <v>0</v>
      </c>
      <c r="V313" s="5">
        <f>ROUND(W313*$H313,2)</f>
        <v>0</v>
      </c>
      <c r="W313" s="5">
        <v>0</v>
      </c>
      <c r="X313" s="25">
        <f t="shared" si="73"/>
        <v>0</v>
      </c>
      <c r="Y313" s="5">
        <f t="shared" si="74"/>
        <v>20697.86</v>
      </c>
      <c r="Z313" s="25">
        <f t="shared" si="75"/>
        <v>1</v>
      </c>
      <c r="AA313" s="25">
        <f t="shared" si="76"/>
        <v>1.2840785399562215E-2</v>
      </c>
    </row>
    <row r="314" spans="1:27" ht="43.2" x14ac:dyDescent="0.3">
      <c r="A314" s="23" t="s">
        <v>388</v>
      </c>
      <c r="B314" s="23">
        <f>VLOOKUP(A314,MEMORIA!$A:$N,2,FALSE)</f>
        <v>94498</v>
      </c>
      <c r="C314" s="23" t="str">
        <f>VLOOKUP(A314,MEMORIA!$A:$N,3,FALSE)</f>
        <v>SINAPI</v>
      </c>
      <c r="D314" s="24" t="str">
        <f>VLOOKUP(A314,MEMORIA!$A:$N,4,FALSE)</f>
        <v>REGISTRO DE GAVETA BRUTO, LATÃO, ROSCÁVEL, 2" - FORNECIMENTO E INSTALAÇÃO. AF_08/2021</v>
      </c>
      <c r="E314" s="23" t="str">
        <f>VLOOKUP(A314,MEMORIA!$A:$N,5,FALSE)</f>
        <v>UN</v>
      </c>
      <c r="F314" s="5">
        <f>VLOOKUP(A314,MEMORIA!$A:$N,14,FALSE)</f>
        <v>2</v>
      </c>
      <c r="G314" s="5">
        <f>VLOOKUP(A314,ORCAMENTO!$A:$I,7,FALSE)</f>
        <v>164.12</v>
      </c>
      <c r="H314" s="5">
        <f>VLOOKUP(A314,ORCAMENTO!$A:$I,8,FALSE)</f>
        <v>200.77</v>
      </c>
      <c r="I314" s="5">
        <f>ROUND(F314*H314,2)</f>
        <v>401.54</v>
      </c>
      <c r="J314" s="5">
        <f>ROUND(K314*$H314,2)</f>
        <v>0</v>
      </c>
      <c r="K314" s="5">
        <v>0</v>
      </c>
      <c r="L314" s="25">
        <f t="shared" si="68"/>
        <v>0</v>
      </c>
      <c r="M314" s="5">
        <f>ROUND(N314*$H314,2)</f>
        <v>0</v>
      </c>
      <c r="N314" s="5">
        <v>0</v>
      </c>
      <c r="O314" s="25">
        <f t="shared" si="69"/>
        <v>0</v>
      </c>
      <c r="P314" s="5">
        <f>ROUND(Q314*$H314,2)</f>
        <v>401.54</v>
      </c>
      <c r="Q314" s="5">
        <f t="shared" si="81"/>
        <v>2</v>
      </c>
      <c r="R314" s="25">
        <f t="shared" si="71"/>
        <v>1</v>
      </c>
      <c r="S314" s="5">
        <f>ROUND(T314*$H314,2)</f>
        <v>0</v>
      </c>
      <c r="T314" s="5">
        <v>0</v>
      </c>
      <c r="U314" s="25">
        <f t="shared" si="72"/>
        <v>0</v>
      </c>
      <c r="V314" s="5">
        <f>ROUND(W314*$H314,2)</f>
        <v>0</v>
      </c>
      <c r="W314" s="5">
        <v>0</v>
      </c>
      <c r="X314" s="25">
        <f t="shared" si="73"/>
        <v>0</v>
      </c>
      <c r="Y314" s="5">
        <f t="shared" si="74"/>
        <v>401.54</v>
      </c>
      <c r="Z314" s="25">
        <f t="shared" si="75"/>
        <v>1</v>
      </c>
      <c r="AA314" s="25">
        <f t="shared" si="76"/>
        <v>2.4911217726567925E-4</v>
      </c>
    </row>
    <row r="315" spans="1:27" ht="43.2" x14ac:dyDescent="0.3">
      <c r="A315" s="23" t="s">
        <v>389</v>
      </c>
      <c r="B315" s="23" t="str">
        <f>VLOOKUP(A315,MEMORIA!$A:$N,2,FALSE)</f>
        <v>COMPOS35</v>
      </c>
      <c r="C315" s="23" t="str">
        <f>VLOOKUP(A315,MEMORIA!$A:$N,3,FALSE)</f>
        <v>PRÓPRIA</v>
      </c>
      <c r="D315" s="24" t="str">
        <f>VLOOKUP(A315,MEMORIA!$A:$N,4,FALSE)</f>
        <v>AQUISIÇÃO E ASSENTAMENTO DE TUBO RÍGIDO PVC, CLASSE 12, DN 60 MM, INCLUSO CONEXÕES</v>
      </c>
      <c r="E315" s="23" t="str">
        <f>VLOOKUP(A315,MEMORIA!$A:$N,5,FALSE)</f>
        <v>M</v>
      </c>
      <c r="F315" s="5">
        <f>VLOOKUP(A315,MEMORIA!$A:$N,14,FALSE)</f>
        <v>20</v>
      </c>
      <c r="G315" s="5">
        <f>VLOOKUP(A315,ORCAMENTO!$A:$I,7,FALSE)</f>
        <v>27.91</v>
      </c>
      <c r="H315" s="5">
        <f>VLOOKUP(A315,ORCAMENTO!$A:$I,8,FALSE)</f>
        <v>34.14</v>
      </c>
      <c r="I315" s="5">
        <f>ROUND(F315*H315,2)</f>
        <v>682.8</v>
      </c>
      <c r="J315" s="5">
        <f>ROUND(K315*$H315,2)</f>
        <v>0</v>
      </c>
      <c r="K315" s="5">
        <v>0</v>
      </c>
      <c r="L315" s="25">
        <f t="shared" si="68"/>
        <v>0</v>
      </c>
      <c r="M315" s="5">
        <f>ROUND(N315*$H315,2)</f>
        <v>0</v>
      </c>
      <c r="N315" s="5">
        <v>0</v>
      </c>
      <c r="O315" s="25">
        <f t="shared" si="69"/>
        <v>0</v>
      </c>
      <c r="P315" s="5">
        <f>ROUND(Q315*$H315,2)</f>
        <v>682.8</v>
      </c>
      <c r="Q315" s="5">
        <f t="shared" si="81"/>
        <v>20</v>
      </c>
      <c r="R315" s="25">
        <f t="shared" si="71"/>
        <v>1</v>
      </c>
      <c r="S315" s="5">
        <f>ROUND(T315*$H315,2)</f>
        <v>0</v>
      </c>
      <c r="T315" s="5">
        <v>0</v>
      </c>
      <c r="U315" s="25">
        <f t="shared" si="72"/>
        <v>0</v>
      </c>
      <c r="V315" s="5">
        <f>ROUND(W315*$H315,2)</f>
        <v>0</v>
      </c>
      <c r="W315" s="5">
        <v>0</v>
      </c>
      <c r="X315" s="25">
        <f t="shared" si="73"/>
        <v>0</v>
      </c>
      <c r="Y315" s="5">
        <f t="shared" si="74"/>
        <v>682.8</v>
      </c>
      <c r="Z315" s="25">
        <f t="shared" si="75"/>
        <v>1</v>
      </c>
      <c r="AA315" s="25">
        <f t="shared" si="76"/>
        <v>4.2360361268368226E-4</v>
      </c>
    </row>
    <row r="316" spans="1:27" x14ac:dyDescent="0.3">
      <c r="A316" s="12" t="s">
        <v>109</v>
      </c>
      <c r="B316" s="51" t="str">
        <f>VLOOKUP(A316,MEMORIA!$A:$N,2,FALSE)</f>
        <v>DISTRIBUIÇÃO</v>
      </c>
      <c r="C316" s="52"/>
      <c r="D316" s="52"/>
      <c r="E316" s="52"/>
      <c r="F316" s="52"/>
      <c r="G316" s="52"/>
      <c r="H316" s="53"/>
      <c r="I316" s="13">
        <f>SUM(I$317,I$320,)</f>
        <v>21722.17</v>
      </c>
      <c r="J316" s="13">
        <f>SUM(J$317,J$320,)</f>
        <v>0</v>
      </c>
      <c r="K316" s="13"/>
      <c r="L316" s="14">
        <f t="shared" si="68"/>
        <v>0</v>
      </c>
      <c r="M316" s="13">
        <f>SUM(M$317,M$320,)</f>
        <v>0</v>
      </c>
      <c r="N316" s="13"/>
      <c r="O316" s="14">
        <f t="shared" si="69"/>
        <v>0</v>
      </c>
      <c r="P316" s="13">
        <f>SUM(P$317,P$320,)</f>
        <v>21722.17</v>
      </c>
      <c r="Q316" s="13"/>
      <c r="R316" s="14">
        <f t="shared" si="71"/>
        <v>1</v>
      </c>
      <c r="S316" s="13">
        <f>SUM(S$317,S$320,)</f>
        <v>0</v>
      </c>
      <c r="T316" s="13"/>
      <c r="U316" s="14">
        <f t="shared" si="72"/>
        <v>0</v>
      </c>
      <c r="V316" s="13">
        <f>SUM(V$317,V$320,)</f>
        <v>0</v>
      </c>
      <c r="W316" s="13"/>
      <c r="X316" s="14">
        <f t="shared" si="73"/>
        <v>0</v>
      </c>
      <c r="Y316" s="13">
        <f t="shared" si="74"/>
        <v>21722.17</v>
      </c>
      <c r="Z316" s="14">
        <f t="shared" si="75"/>
        <v>1</v>
      </c>
      <c r="AA316" s="14">
        <f t="shared" si="76"/>
        <v>1.3476259061700501E-2</v>
      </c>
    </row>
    <row r="317" spans="1:27" x14ac:dyDescent="0.3">
      <c r="A317" s="15" t="s">
        <v>110</v>
      </c>
      <c r="B317" s="48" t="str">
        <f>VLOOKUP(A317,MEMORIA!$A:$N,2,FALSE)</f>
        <v>MOVIMENTO DE TERRA</v>
      </c>
      <c r="C317" s="49"/>
      <c r="D317" s="49"/>
      <c r="E317" s="49"/>
      <c r="F317" s="49"/>
      <c r="G317" s="49"/>
      <c r="H317" s="50"/>
      <c r="I317" s="16">
        <f>SUM(I$318:I$319)</f>
        <v>4694.28</v>
      </c>
      <c r="J317" s="16">
        <f>SUM(J$318:J$319)</f>
        <v>0</v>
      </c>
      <c r="K317" s="16"/>
      <c r="L317" s="17">
        <f t="shared" si="68"/>
        <v>0</v>
      </c>
      <c r="M317" s="16">
        <f>SUM(M$318:M$319)</f>
        <v>0</v>
      </c>
      <c r="N317" s="16"/>
      <c r="O317" s="17">
        <f t="shared" si="69"/>
        <v>0</v>
      </c>
      <c r="P317" s="16">
        <f>SUM(P$318:P$319)</f>
        <v>4694.28</v>
      </c>
      <c r="Q317" s="16"/>
      <c r="R317" s="17">
        <f t="shared" si="71"/>
        <v>1</v>
      </c>
      <c r="S317" s="16">
        <f>SUM(S$318:S$319)</f>
        <v>0</v>
      </c>
      <c r="T317" s="16"/>
      <c r="U317" s="17">
        <f t="shared" si="72"/>
        <v>0</v>
      </c>
      <c r="V317" s="16">
        <f>SUM(V$318:V$319)</f>
        <v>0</v>
      </c>
      <c r="W317" s="16"/>
      <c r="X317" s="17">
        <f t="shared" si="73"/>
        <v>0</v>
      </c>
      <c r="Y317" s="16">
        <f t="shared" si="74"/>
        <v>4694.28</v>
      </c>
      <c r="Z317" s="17">
        <f t="shared" si="75"/>
        <v>1</v>
      </c>
      <c r="AA317" s="17">
        <f t="shared" si="76"/>
        <v>2.9122934489583421E-3</v>
      </c>
    </row>
    <row r="318" spans="1:27" ht="115.2" x14ac:dyDescent="0.3">
      <c r="A318" s="23" t="s">
        <v>390</v>
      </c>
      <c r="B318" s="23">
        <f>VLOOKUP(A318,MEMORIA!$A:$N,2,FALSE)</f>
        <v>102314</v>
      </c>
      <c r="C318" s="23" t="str">
        <f>VLOOKUP(A318,MEMORIA!$A:$N,3,FALSE)</f>
        <v>SINAPI</v>
      </c>
      <c r="D318" s="24" t="str">
        <f>VLOOKUP(A318,MEMORIA!$A:$N,4,FALSE)</f>
        <v>ESCAVAÇÃO MECANIZADA DE VALA COM PROF. ATÉ 1,5 M (MÉDIA MONTANTE E JUSANTE/UMA COMPOSIÇÃO POR TRECHO),COM ESCAVADEIRA (0,8 M3), LARG. MENOR QUE 1,5 M, EM SOLO DE 2A CATEGORIA, LOCAIS COM BAIXO NÍVEL DE INTERFERÊNCIA. AF_09/2024</v>
      </c>
      <c r="E318" s="23" t="str">
        <f>VLOOKUP(A318,MEMORIA!$A:$N,5,FALSE)</f>
        <v>M3</v>
      </c>
      <c r="F318" s="5">
        <f>VLOOKUP(A318,MEMORIA!$A:$N,14,FALSE)</f>
        <v>180.48</v>
      </c>
      <c r="G318" s="5">
        <f>VLOOKUP(A318,ORCAMENTO!$A:$I,7,FALSE)</f>
        <v>8.5</v>
      </c>
      <c r="H318" s="5">
        <f>VLOOKUP(A318,ORCAMENTO!$A:$I,8,FALSE)</f>
        <v>10.4</v>
      </c>
      <c r="I318" s="5">
        <f>ROUND(F318*H318,2)</f>
        <v>1876.99</v>
      </c>
      <c r="J318" s="5">
        <f>ROUND(K318*$H318,2)</f>
        <v>0</v>
      </c>
      <c r="K318" s="5">
        <v>0</v>
      </c>
      <c r="L318" s="25">
        <f t="shared" si="68"/>
        <v>0</v>
      </c>
      <c r="M318" s="5">
        <f>ROUND(N318*$H318,2)</f>
        <v>0</v>
      </c>
      <c r="N318" s="5">
        <v>0</v>
      </c>
      <c r="O318" s="25">
        <f t="shared" si="69"/>
        <v>0</v>
      </c>
      <c r="P318" s="5">
        <f>ROUND(Q318*$H318,2)</f>
        <v>1876.99</v>
      </c>
      <c r="Q318" s="5">
        <f t="shared" ref="Q318:Q319" si="82">F318</f>
        <v>180.48</v>
      </c>
      <c r="R318" s="25">
        <f t="shared" si="71"/>
        <v>1</v>
      </c>
      <c r="S318" s="5">
        <f>ROUND(T318*$H318,2)</f>
        <v>0</v>
      </c>
      <c r="T318" s="5">
        <v>0</v>
      </c>
      <c r="U318" s="25">
        <f t="shared" si="72"/>
        <v>0</v>
      </c>
      <c r="V318" s="5">
        <f>ROUND(W318*$H318,2)</f>
        <v>0</v>
      </c>
      <c r="W318" s="5">
        <v>0</v>
      </c>
      <c r="X318" s="25">
        <f t="shared" si="73"/>
        <v>0</v>
      </c>
      <c r="Y318" s="5">
        <f t="shared" si="74"/>
        <v>1876.99</v>
      </c>
      <c r="Z318" s="25">
        <f t="shared" si="75"/>
        <v>1</v>
      </c>
      <c r="AA318" s="25">
        <f t="shared" si="76"/>
        <v>1.164469456606832E-3</v>
      </c>
    </row>
    <row r="319" spans="1:27" ht="115.2" x14ac:dyDescent="0.3">
      <c r="A319" s="23" t="s">
        <v>391</v>
      </c>
      <c r="B319" s="23" t="str">
        <f>VLOOKUP(A319,MEMORIA!$A:$N,2,FALSE)</f>
        <v>COMP199</v>
      </c>
      <c r="C319" s="23" t="str">
        <f>VLOOKUP(A319,MEMORIA!$A:$N,3,FALSE)</f>
        <v>PRÓPRIA</v>
      </c>
      <c r="D319" s="24" t="str">
        <f>VLOOKUP(A319,MEMORIA!$A:$N,4,FALSE)</f>
        <v>REATERRO MECANIZADO DE VALA COM RETROESCAVADEIRA (CAPACIDADE DA CAÇAMBA DA RETRO: 0,26 M³/POTÊNCIA: 88 HP), LARGURA ATÉ 0,8 M, PROFUNDIDADE ATÉ 1,5 M, COM SOLO (SEM SUBSTITUIÇÃO) DE 1ª CATEGORIA. AF_08/2023 (REF: 104733-SINAPI-05/2025)</v>
      </c>
      <c r="E319" s="23" t="str">
        <f>VLOOKUP(A319,MEMORIA!$A:$N,5,FALSE)</f>
        <v>M3</v>
      </c>
      <c r="F319" s="5">
        <f>VLOOKUP(A319,MEMORIA!$A:$N,14,FALSE)</f>
        <v>180.48</v>
      </c>
      <c r="G319" s="5">
        <f>VLOOKUP(A319,ORCAMENTO!$A:$I,7,FALSE)</f>
        <v>12.76</v>
      </c>
      <c r="H319" s="5">
        <f>VLOOKUP(A319,ORCAMENTO!$A:$I,8,FALSE)</f>
        <v>15.61</v>
      </c>
      <c r="I319" s="5">
        <f>ROUND(F319*H319,2)</f>
        <v>2817.29</v>
      </c>
      <c r="J319" s="5">
        <f>ROUND(K319*$H319,2)</f>
        <v>0</v>
      </c>
      <c r="K319" s="5">
        <v>0</v>
      </c>
      <c r="L319" s="25">
        <f t="shared" si="68"/>
        <v>0</v>
      </c>
      <c r="M319" s="5">
        <f>ROUND(N319*$H319,2)</f>
        <v>0</v>
      </c>
      <c r="N319" s="5">
        <v>0</v>
      </c>
      <c r="O319" s="25">
        <f t="shared" si="69"/>
        <v>0</v>
      </c>
      <c r="P319" s="5">
        <f>ROUND(Q319*$H319,2)</f>
        <v>2817.29</v>
      </c>
      <c r="Q319" s="5">
        <f t="shared" si="82"/>
        <v>180.48</v>
      </c>
      <c r="R319" s="25">
        <f t="shared" si="71"/>
        <v>1</v>
      </c>
      <c r="S319" s="5">
        <f>ROUND(T319*$H319,2)</f>
        <v>0</v>
      </c>
      <c r="T319" s="5">
        <v>0</v>
      </c>
      <c r="U319" s="25">
        <f t="shared" si="72"/>
        <v>0</v>
      </c>
      <c r="V319" s="5">
        <f>ROUND(W319*$H319,2)</f>
        <v>0</v>
      </c>
      <c r="W319" s="5">
        <v>0</v>
      </c>
      <c r="X319" s="25">
        <f t="shared" si="73"/>
        <v>0</v>
      </c>
      <c r="Y319" s="5">
        <f t="shared" si="74"/>
        <v>2817.29</v>
      </c>
      <c r="Z319" s="25">
        <f t="shared" si="75"/>
        <v>1</v>
      </c>
      <c r="AA319" s="25">
        <f t="shared" si="76"/>
        <v>1.7478239923515103E-3</v>
      </c>
    </row>
    <row r="320" spans="1:27" x14ac:dyDescent="0.3">
      <c r="A320" s="15" t="s">
        <v>111</v>
      </c>
      <c r="B320" s="48" t="str">
        <f>VLOOKUP(A320,MEMORIA!$A:$N,2,FALSE)</f>
        <v>INSTALAÇÕES HIDRÁULICAS</v>
      </c>
      <c r="C320" s="49"/>
      <c r="D320" s="49"/>
      <c r="E320" s="49"/>
      <c r="F320" s="49"/>
      <c r="G320" s="49"/>
      <c r="H320" s="50"/>
      <c r="I320" s="16">
        <f>SUM(I$321:I$322)</f>
        <v>17027.89</v>
      </c>
      <c r="J320" s="16">
        <f>SUM(J$321:J$322)</f>
        <v>0</v>
      </c>
      <c r="K320" s="16"/>
      <c r="L320" s="17">
        <f t="shared" si="68"/>
        <v>0</v>
      </c>
      <c r="M320" s="16">
        <f>SUM(M$321:M$322)</f>
        <v>0</v>
      </c>
      <c r="N320" s="16"/>
      <c r="O320" s="17">
        <f t="shared" si="69"/>
        <v>0</v>
      </c>
      <c r="P320" s="16">
        <f>SUM(P$321:P$322)</f>
        <v>17027.89</v>
      </c>
      <c r="Q320" s="16"/>
      <c r="R320" s="17">
        <f t="shared" si="71"/>
        <v>1</v>
      </c>
      <c r="S320" s="16">
        <f>SUM(S$321:S$322)</f>
        <v>0</v>
      </c>
      <c r="T320" s="16"/>
      <c r="U320" s="17">
        <f t="shared" si="72"/>
        <v>0</v>
      </c>
      <c r="V320" s="16">
        <f>SUM(V$321:V$322)</f>
        <v>0</v>
      </c>
      <c r="W320" s="16"/>
      <c r="X320" s="17">
        <f t="shared" si="73"/>
        <v>0</v>
      </c>
      <c r="Y320" s="16">
        <f t="shared" si="74"/>
        <v>17027.89</v>
      </c>
      <c r="Z320" s="17">
        <f t="shared" si="75"/>
        <v>1</v>
      </c>
      <c r="AA320" s="17">
        <f t="shared" si="76"/>
        <v>1.0563965612742161E-2</v>
      </c>
    </row>
    <row r="321" spans="1:27" ht="43.2" x14ac:dyDescent="0.3">
      <c r="A321" s="23" t="s">
        <v>392</v>
      </c>
      <c r="B321" s="23" t="str">
        <f>VLOOKUP(A321,MEMORIA!$A:$N,2,FALSE)</f>
        <v>COMPOS35</v>
      </c>
      <c r="C321" s="23" t="str">
        <f>VLOOKUP(A321,MEMORIA!$A:$N,3,FALSE)</f>
        <v>PRÓPRIA</v>
      </c>
      <c r="D321" s="24" t="str">
        <f>VLOOKUP(A321,MEMORIA!$A:$N,4,FALSE)</f>
        <v>AQUISIÇÃO E ASSENTAMENTO DE TUBO RÍGIDO PVC, CLASSE 12, DN 60 MM, INCLUSO CONEXÕES</v>
      </c>
      <c r="E321" s="23" t="str">
        <f>VLOOKUP(A321,MEMORIA!$A:$N,5,FALSE)</f>
        <v>M</v>
      </c>
      <c r="F321" s="5">
        <f>VLOOKUP(A321,MEMORIA!$A:$N,14,FALSE)</f>
        <v>432.3</v>
      </c>
      <c r="G321" s="5">
        <f>VLOOKUP(A321,ORCAMENTO!$A:$I,7,FALSE)</f>
        <v>27.91</v>
      </c>
      <c r="H321" s="5">
        <f>VLOOKUP(A321,ORCAMENTO!$A:$I,8,FALSE)</f>
        <v>34.14</v>
      </c>
      <c r="I321" s="5">
        <f>ROUND(F321*H321,2)</f>
        <v>14758.72</v>
      </c>
      <c r="J321" s="5">
        <f>ROUND(K321*$H321,2)</f>
        <v>0</v>
      </c>
      <c r="K321" s="5">
        <v>0</v>
      </c>
      <c r="L321" s="25">
        <f t="shared" si="68"/>
        <v>0</v>
      </c>
      <c r="M321" s="5">
        <f>ROUND(N321*$H321,2)</f>
        <v>0</v>
      </c>
      <c r="N321" s="5">
        <v>0</v>
      </c>
      <c r="O321" s="25">
        <f t="shared" si="69"/>
        <v>0</v>
      </c>
      <c r="P321" s="5">
        <f>ROUND(Q321*$H321,2)</f>
        <v>14758.72</v>
      </c>
      <c r="Q321" s="5">
        <f t="shared" ref="Q321:Q322" si="83">F321</f>
        <v>432.3</v>
      </c>
      <c r="R321" s="25">
        <f t="shared" si="71"/>
        <v>1</v>
      </c>
      <c r="S321" s="5">
        <f>ROUND(T321*$H321,2)</f>
        <v>0</v>
      </c>
      <c r="T321" s="5">
        <v>0</v>
      </c>
      <c r="U321" s="25">
        <f t="shared" si="72"/>
        <v>0</v>
      </c>
      <c r="V321" s="5">
        <f>ROUND(W321*$H321,2)</f>
        <v>0</v>
      </c>
      <c r="W321" s="5">
        <v>0</v>
      </c>
      <c r="X321" s="25">
        <f t="shared" si="73"/>
        <v>0</v>
      </c>
      <c r="Y321" s="5">
        <f t="shared" si="74"/>
        <v>14758.72</v>
      </c>
      <c r="Z321" s="25">
        <f t="shared" si="75"/>
        <v>1</v>
      </c>
      <c r="AA321" s="25">
        <f t="shared" si="76"/>
        <v>9.1561908473739243E-3</v>
      </c>
    </row>
    <row r="322" spans="1:27" x14ac:dyDescent="0.3">
      <c r="A322" s="23" t="s">
        <v>393</v>
      </c>
      <c r="B322" s="23" t="str">
        <f>VLOOKUP(A322,MEMORIA!$A:$N,2,FALSE)</f>
        <v>COMPOS36</v>
      </c>
      <c r="C322" s="23" t="str">
        <f>VLOOKUP(A322,MEMORIA!$A:$N,3,FALSE)</f>
        <v>PRÓPRIA</v>
      </c>
      <c r="D322" s="24" t="str">
        <f>VLOOKUP(A322,MEMORIA!$A:$N,4,FALSE)</f>
        <v>LIGAÇÃO DOMICILIAR</v>
      </c>
      <c r="E322" s="23" t="str">
        <f>VLOOKUP(A322,MEMORIA!$A:$N,5,FALSE)</f>
        <v>UND</v>
      </c>
      <c r="F322" s="5">
        <f>VLOOKUP(A322,MEMORIA!$A:$N,14,FALSE)</f>
        <v>9</v>
      </c>
      <c r="G322" s="5">
        <f>VLOOKUP(A322,ORCAMENTO!$A:$I,7,FALSE)</f>
        <v>206.11</v>
      </c>
      <c r="H322" s="5">
        <f>VLOOKUP(A322,ORCAMENTO!$A:$I,8,FALSE)</f>
        <v>252.13000000000002</v>
      </c>
      <c r="I322" s="5">
        <f>ROUND(F322*H322,2)</f>
        <v>2269.17</v>
      </c>
      <c r="J322" s="5">
        <f>ROUND(K322*$H322,2)</f>
        <v>0</v>
      </c>
      <c r="K322" s="5">
        <v>0</v>
      </c>
      <c r="L322" s="25">
        <f t="shared" si="68"/>
        <v>0</v>
      </c>
      <c r="M322" s="5">
        <f>ROUND(N322*$H322,2)</f>
        <v>0</v>
      </c>
      <c r="N322" s="5">
        <v>0</v>
      </c>
      <c r="O322" s="25">
        <f t="shared" si="69"/>
        <v>0</v>
      </c>
      <c r="P322" s="5">
        <f>ROUND(Q322*$H322,2)</f>
        <v>2269.17</v>
      </c>
      <c r="Q322" s="5">
        <f t="shared" si="83"/>
        <v>9</v>
      </c>
      <c r="R322" s="25">
        <f t="shared" si="71"/>
        <v>1</v>
      </c>
      <c r="S322" s="5">
        <f>ROUND(T322*$H322,2)</f>
        <v>0</v>
      </c>
      <c r="T322" s="5">
        <v>0</v>
      </c>
      <c r="U322" s="25">
        <f t="shared" si="72"/>
        <v>0</v>
      </c>
      <c r="V322" s="5">
        <f>ROUND(W322*$H322,2)</f>
        <v>0</v>
      </c>
      <c r="W322" s="5">
        <v>0</v>
      </c>
      <c r="X322" s="25">
        <f t="shared" si="73"/>
        <v>0</v>
      </c>
      <c r="Y322" s="5">
        <f t="shared" si="74"/>
        <v>2269.17</v>
      </c>
      <c r="Z322" s="25">
        <f t="shared" si="75"/>
        <v>1</v>
      </c>
      <c r="AA322" s="25">
        <f t="shared" si="76"/>
        <v>1.4077747653682359E-3</v>
      </c>
    </row>
    <row r="323" spans="1:27" x14ac:dyDescent="0.3">
      <c r="A323" s="9">
        <v>6</v>
      </c>
      <c r="B323" s="54" t="str">
        <f>VLOOKUP(A323,MEMORIA!$A:$N,2,FALSE)</f>
        <v>LOCALIDADE LAGOA DO CABOCLO (ANÍSIO DE ABREU-PI)</v>
      </c>
      <c r="C323" s="55"/>
      <c r="D323" s="55"/>
      <c r="E323" s="55"/>
      <c r="F323" s="55"/>
      <c r="G323" s="55"/>
      <c r="H323" s="56"/>
      <c r="I323" s="10">
        <f>SUM(I$324,I$340,I$344,I$378,I$381,I$390,I$394,)</f>
        <v>168867.97</v>
      </c>
      <c r="J323" s="10">
        <f>SUM(J$324,J$340,J$344,J$378,J$381,J$390,J$394,)</f>
        <v>0</v>
      </c>
      <c r="K323" s="10"/>
      <c r="L323" s="11">
        <f t="shared" si="68"/>
        <v>0</v>
      </c>
      <c r="M323" s="10">
        <f>SUM(M$324,M$340,M$344,M$378,M$381,M$390,M$394,)</f>
        <v>0</v>
      </c>
      <c r="N323" s="10"/>
      <c r="O323" s="11">
        <f t="shared" si="69"/>
        <v>0</v>
      </c>
      <c r="P323" s="10">
        <f>SUM(P$324,P$340,P$344,P$378,P$381,P$390,P$394,)</f>
        <v>0</v>
      </c>
      <c r="Q323" s="10"/>
      <c r="R323" s="11">
        <f t="shared" si="71"/>
        <v>0</v>
      </c>
      <c r="S323" s="10">
        <f>SUM(S$324,S$340,S$344,S$378,S$381,S$390,S$394,)</f>
        <v>168867.97</v>
      </c>
      <c r="T323" s="10"/>
      <c r="U323" s="11">
        <f t="shared" si="72"/>
        <v>1</v>
      </c>
      <c r="V323" s="10">
        <f>SUM(V$324,V$340,V$344,V$378,V$381,V$390,V$394,)</f>
        <v>0</v>
      </c>
      <c r="W323" s="10"/>
      <c r="X323" s="11">
        <f t="shared" si="73"/>
        <v>0</v>
      </c>
      <c r="Y323" s="10">
        <f t="shared" si="74"/>
        <v>168867.97</v>
      </c>
      <c r="Z323" s="11">
        <f t="shared" si="75"/>
        <v>1</v>
      </c>
      <c r="AA323" s="11">
        <f t="shared" si="76"/>
        <v>0.10476432653567616</v>
      </c>
    </row>
    <row r="324" spans="1:27" x14ac:dyDescent="0.3">
      <c r="A324" s="12" t="s">
        <v>112</v>
      </c>
      <c r="B324" s="51" t="str">
        <f>VLOOKUP(A324,MEMORIA!$A:$N,2,FALSE)</f>
        <v>PERFURAÇÃO DE POÇO TUBULAR</v>
      </c>
      <c r="C324" s="52"/>
      <c r="D324" s="52"/>
      <c r="E324" s="52"/>
      <c r="F324" s="52"/>
      <c r="G324" s="52"/>
      <c r="H324" s="53"/>
      <c r="I324" s="13">
        <f>SUM(I$325:I$339)</f>
        <v>38113.39</v>
      </c>
      <c r="J324" s="13">
        <f>SUM(J$325:J$339)</f>
        <v>0</v>
      </c>
      <c r="K324" s="13"/>
      <c r="L324" s="14">
        <f t="shared" si="68"/>
        <v>0</v>
      </c>
      <c r="M324" s="13">
        <f>SUM(M$325:M$339)</f>
        <v>0</v>
      </c>
      <c r="N324" s="13"/>
      <c r="O324" s="14">
        <f t="shared" si="69"/>
        <v>0</v>
      </c>
      <c r="P324" s="13">
        <f>SUM(P$325:P$339)</f>
        <v>0</v>
      </c>
      <c r="Q324" s="13"/>
      <c r="R324" s="14">
        <f t="shared" si="71"/>
        <v>0</v>
      </c>
      <c r="S324" s="13">
        <f>SUM(S$325:S$339)</f>
        <v>38113.39</v>
      </c>
      <c r="T324" s="13"/>
      <c r="U324" s="14">
        <f t="shared" si="72"/>
        <v>1</v>
      </c>
      <c r="V324" s="13">
        <f>SUM(V$325:V$339)</f>
        <v>0</v>
      </c>
      <c r="W324" s="13"/>
      <c r="X324" s="14">
        <f t="shared" si="73"/>
        <v>0</v>
      </c>
      <c r="Y324" s="13">
        <f t="shared" si="74"/>
        <v>38113.39</v>
      </c>
      <c r="Z324" s="14">
        <f t="shared" si="75"/>
        <v>1</v>
      </c>
      <c r="AA324" s="14">
        <f t="shared" si="76"/>
        <v>2.3645239741684431E-2</v>
      </c>
    </row>
    <row r="325" spans="1:27" ht="43.2" x14ac:dyDescent="0.3">
      <c r="A325" s="23" t="s">
        <v>394</v>
      </c>
      <c r="B325" s="23" t="str">
        <f>VLOOKUP(A325,MEMORIA!$A:$N,2,FALSE)</f>
        <v>COMPOS3</v>
      </c>
      <c r="C325" s="23" t="str">
        <f>VLOOKUP(A325,MEMORIA!$A:$N,3,FALSE)</f>
        <v>PRÓPRIA</v>
      </c>
      <c r="D325" s="24" t="str">
        <f>VLOOKUP(A325,MEMORIA!$A:$N,4,FALSE)</f>
        <v>LOCAÇÃO DO POÇO COM ESTUDO GEOLÓGICO/HIDROGEOLÓGICO/GEOFÍSICO</v>
      </c>
      <c r="E325" s="23" t="str">
        <f>VLOOKUP(A325,MEMORIA!$A:$N,5,FALSE)</f>
        <v>UN</v>
      </c>
      <c r="F325" s="5">
        <f>VLOOKUP(A325,MEMORIA!$A:$N,14,FALSE)</f>
        <v>1</v>
      </c>
      <c r="G325" s="5">
        <f>VLOOKUP(A325,ORCAMENTO!$A:$I,7,FALSE)</f>
        <v>1692.3999999999999</v>
      </c>
      <c r="H325" s="5">
        <f>VLOOKUP(A325,ORCAMENTO!$A:$I,8,FALSE)</f>
        <v>2070.31</v>
      </c>
      <c r="I325" s="5">
        <f t="shared" ref="I325:I339" si="84">ROUND(F325*H325,2)</f>
        <v>2070.31</v>
      </c>
      <c r="J325" s="5">
        <f t="shared" ref="J325:J339" si="85">ROUND(K325*$H325,2)</f>
        <v>0</v>
      </c>
      <c r="K325" s="5">
        <v>0</v>
      </c>
      <c r="L325" s="25">
        <f t="shared" si="68"/>
        <v>0</v>
      </c>
      <c r="M325" s="5">
        <f t="shared" ref="M325:M339" si="86">ROUND(N325*$H325,2)</f>
        <v>0</v>
      </c>
      <c r="N325" s="5">
        <v>0</v>
      </c>
      <c r="O325" s="25">
        <f t="shared" si="69"/>
        <v>0</v>
      </c>
      <c r="P325" s="5">
        <f t="shared" ref="P325:P339" si="87">ROUND(Q325*$H325,2)</f>
        <v>0</v>
      </c>
      <c r="Q325" s="5">
        <v>0</v>
      </c>
      <c r="R325" s="25">
        <f t="shared" si="71"/>
        <v>0</v>
      </c>
      <c r="S325" s="5">
        <f t="shared" ref="S325:S339" si="88">ROUND(T325*$H325,2)</f>
        <v>2070.31</v>
      </c>
      <c r="T325" s="5">
        <f>F325</f>
        <v>1</v>
      </c>
      <c r="U325" s="25">
        <f t="shared" si="72"/>
        <v>1</v>
      </c>
      <c r="V325" s="5">
        <f t="shared" ref="V325:V339" si="89">ROUND(W325*$H325,2)</f>
        <v>0</v>
      </c>
      <c r="W325" s="5">
        <v>0</v>
      </c>
      <c r="X325" s="25">
        <f t="shared" si="73"/>
        <v>0</v>
      </c>
      <c r="Y325" s="5">
        <f t="shared" si="74"/>
        <v>2070.31</v>
      </c>
      <c r="Z325" s="25">
        <f t="shared" si="75"/>
        <v>1</v>
      </c>
      <c r="AA325" s="25">
        <f t="shared" si="76"/>
        <v>1.2844036253297515E-3</v>
      </c>
    </row>
    <row r="326" spans="1:27" ht="28.8" x14ac:dyDescent="0.3">
      <c r="A326" s="23" t="s">
        <v>395</v>
      </c>
      <c r="B326" s="23" t="str">
        <f>VLOOKUP(A326,MEMORIA!$A:$N,2,FALSE)</f>
        <v>COMPOS4</v>
      </c>
      <c r="C326" s="23" t="str">
        <f>VLOOKUP(A326,MEMORIA!$A:$N,3,FALSE)</f>
        <v>PRÓPRIA</v>
      </c>
      <c r="D326" s="24" t="str">
        <f>VLOOKUP(A326,MEMORIA!$A:$N,4,FALSE)</f>
        <v>TRANSPORTE DE MÁQUINAS E EQUIPAMENTOS</v>
      </c>
      <c r="E326" s="23" t="str">
        <f>VLOOKUP(A326,MEMORIA!$A:$N,5,FALSE)</f>
        <v>KM</v>
      </c>
      <c r="F326" s="5">
        <f>VLOOKUP(A326,MEMORIA!$A:$N,14,FALSE)</f>
        <v>8.6999999999999993</v>
      </c>
      <c r="G326" s="5">
        <f>VLOOKUP(A326,ORCAMENTO!$A:$I,7,FALSE)</f>
        <v>5.5</v>
      </c>
      <c r="H326" s="5">
        <f>VLOOKUP(A326,ORCAMENTO!$A:$I,8,FALSE)</f>
        <v>6.73</v>
      </c>
      <c r="I326" s="5">
        <f t="shared" si="84"/>
        <v>58.55</v>
      </c>
      <c r="J326" s="5">
        <f t="shared" si="85"/>
        <v>0</v>
      </c>
      <c r="K326" s="5">
        <v>0</v>
      </c>
      <c r="L326" s="25">
        <f t="shared" si="68"/>
        <v>0</v>
      </c>
      <c r="M326" s="5">
        <f t="shared" si="86"/>
        <v>0</v>
      </c>
      <c r="N326" s="5">
        <v>0</v>
      </c>
      <c r="O326" s="25">
        <f t="shared" si="69"/>
        <v>0</v>
      </c>
      <c r="P326" s="5">
        <f t="shared" si="87"/>
        <v>0</v>
      </c>
      <c r="Q326" s="5">
        <v>0</v>
      </c>
      <c r="R326" s="25">
        <f t="shared" si="71"/>
        <v>0</v>
      </c>
      <c r="S326" s="5">
        <f t="shared" si="88"/>
        <v>58.55</v>
      </c>
      <c r="T326" s="5">
        <f t="shared" ref="T326:T343" si="90">F326</f>
        <v>8.6999999999999993</v>
      </c>
      <c r="U326" s="25">
        <f t="shared" si="72"/>
        <v>1</v>
      </c>
      <c r="V326" s="5">
        <f t="shared" si="89"/>
        <v>0</v>
      </c>
      <c r="W326" s="5">
        <v>0</v>
      </c>
      <c r="X326" s="25">
        <f t="shared" si="73"/>
        <v>0</v>
      </c>
      <c r="Y326" s="5">
        <f t="shared" si="74"/>
        <v>58.55</v>
      </c>
      <c r="Z326" s="25">
        <f t="shared" si="75"/>
        <v>1</v>
      </c>
      <c r="AA326" s="25">
        <f t="shared" si="76"/>
        <v>3.6323947748432337E-5</v>
      </c>
    </row>
    <row r="327" spans="1:27" ht="28.8" x14ac:dyDescent="0.3">
      <c r="A327" s="23" t="s">
        <v>396</v>
      </c>
      <c r="B327" s="23" t="str">
        <f>VLOOKUP(A327,MEMORIA!$A:$N,2,FALSE)</f>
        <v>COMPOS4</v>
      </c>
      <c r="C327" s="23" t="str">
        <f>VLOOKUP(A327,MEMORIA!$A:$N,3,FALSE)</f>
        <v>PRÓPRIA</v>
      </c>
      <c r="D327" s="24" t="str">
        <f>VLOOKUP(A327,MEMORIA!$A:$N,4,FALSE)</f>
        <v>TRANSPORTE DE MÁQUINAS E EQUIPAMENTOS</v>
      </c>
      <c r="E327" s="23" t="str">
        <f>VLOOKUP(A327,MEMORIA!$A:$N,5,FALSE)</f>
        <v>KM</v>
      </c>
      <c r="F327" s="5">
        <f>VLOOKUP(A327,MEMORIA!$A:$N,14,FALSE)</f>
        <v>8.6999999999999993</v>
      </c>
      <c r="G327" s="5">
        <f>VLOOKUP(A327,ORCAMENTO!$A:$I,7,FALSE)</f>
        <v>5.5</v>
      </c>
      <c r="H327" s="5">
        <f>VLOOKUP(A327,ORCAMENTO!$A:$I,8,FALSE)</f>
        <v>6.73</v>
      </c>
      <c r="I327" s="5">
        <f t="shared" si="84"/>
        <v>58.55</v>
      </c>
      <c r="J327" s="5">
        <f t="shared" si="85"/>
        <v>0</v>
      </c>
      <c r="K327" s="5">
        <v>0</v>
      </c>
      <c r="L327" s="25">
        <f t="shared" si="68"/>
        <v>0</v>
      </c>
      <c r="M327" s="5">
        <f t="shared" si="86"/>
        <v>0</v>
      </c>
      <c r="N327" s="5">
        <v>0</v>
      </c>
      <c r="O327" s="25">
        <f t="shared" si="69"/>
        <v>0</v>
      </c>
      <c r="P327" s="5">
        <f t="shared" si="87"/>
        <v>0</v>
      </c>
      <c r="Q327" s="5">
        <v>0</v>
      </c>
      <c r="R327" s="25">
        <f t="shared" si="71"/>
        <v>0</v>
      </c>
      <c r="S327" s="5">
        <f t="shared" si="88"/>
        <v>58.55</v>
      </c>
      <c r="T327" s="5">
        <f t="shared" si="90"/>
        <v>8.6999999999999993</v>
      </c>
      <c r="U327" s="25">
        <f t="shared" si="72"/>
        <v>1</v>
      </c>
      <c r="V327" s="5">
        <f t="shared" si="89"/>
        <v>0</v>
      </c>
      <c r="W327" s="5">
        <v>0</v>
      </c>
      <c r="X327" s="25">
        <f t="shared" si="73"/>
        <v>0</v>
      </c>
      <c r="Y327" s="5">
        <f t="shared" si="74"/>
        <v>58.55</v>
      </c>
      <c r="Z327" s="25">
        <f t="shared" si="75"/>
        <v>1</v>
      </c>
      <c r="AA327" s="25">
        <f t="shared" si="76"/>
        <v>3.6323947748432337E-5</v>
      </c>
    </row>
    <row r="328" spans="1:27" x14ac:dyDescent="0.3">
      <c r="A328" s="23" t="s">
        <v>397</v>
      </c>
      <c r="B328" s="23" t="str">
        <f>VLOOKUP(A328,MEMORIA!$A:$N,2,FALSE)</f>
        <v>COMPOS5</v>
      </c>
      <c r="C328" s="23" t="str">
        <f>VLOOKUP(A328,MEMORIA!$A:$N,3,FALSE)</f>
        <v>PRÓPRIA</v>
      </c>
      <c r="D328" s="24" t="str">
        <f>VLOOKUP(A328,MEMORIA!$A:$N,4,FALSE)</f>
        <v>PERFILAGEM ÓTICA</v>
      </c>
      <c r="E328" s="23" t="str">
        <f>VLOOKUP(A328,MEMORIA!$A:$N,5,FALSE)</f>
        <v>UN</v>
      </c>
      <c r="F328" s="5">
        <f>VLOOKUP(A328,MEMORIA!$A:$N,14,FALSE)</f>
        <v>1</v>
      </c>
      <c r="G328" s="5">
        <f>VLOOKUP(A328,ORCAMENTO!$A:$I,7,FALSE)</f>
        <v>2908.88</v>
      </c>
      <c r="H328" s="5">
        <f>VLOOKUP(A328,ORCAMENTO!$A:$I,8,FALSE)</f>
        <v>3558.4300000000003</v>
      </c>
      <c r="I328" s="5">
        <f t="shared" si="84"/>
        <v>3558.43</v>
      </c>
      <c r="J328" s="5">
        <f t="shared" si="85"/>
        <v>0</v>
      </c>
      <c r="K328" s="5">
        <v>0</v>
      </c>
      <c r="L328" s="25">
        <f t="shared" ref="L328:L391" si="91">J328/$I328</f>
        <v>0</v>
      </c>
      <c r="M328" s="5">
        <f t="shared" si="86"/>
        <v>0</v>
      </c>
      <c r="N328" s="5">
        <v>0</v>
      </c>
      <c r="O328" s="25">
        <f t="shared" ref="O328:O391" si="92">M328/$I328</f>
        <v>0</v>
      </c>
      <c r="P328" s="5">
        <f t="shared" si="87"/>
        <v>0</v>
      </c>
      <c r="Q328" s="5">
        <v>0</v>
      </c>
      <c r="R328" s="25">
        <f t="shared" ref="R328:R391" si="93">P328/$I328</f>
        <v>0</v>
      </c>
      <c r="S328" s="5">
        <f t="shared" si="88"/>
        <v>3558.43</v>
      </c>
      <c r="T328" s="5">
        <f t="shared" si="90"/>
        <v>1</v>
      </c>
      <c r="U328" s="25">
        <f t="shared" ref="U328:U391" si="94">S328/$I328</f>
        <v>1</v>
      </c>
      <c r="V328" s="5">
        <f t="shared" si="89"/>
        <v>0</v>
      </c>
      <c r="W328" s="5">
        <v>0</v>
      </c>
      <c r="X328" s="25">
        <f t="shared" ref="X328:X391" si="95">V328/$I328</f>
        <v>0</v>
      </c>
      <c r="Y328" s="5">
        <f t="shared" ref="Y328:Y391" si="96">SUM(J328,M328,P328,S328,V328,)</f>
        <v>3558.43</v>
      </c>
      <c r="Z328" s="25">
        <f t="shared" ref="Z328:Z391" si="97">SUM(L328,O328,R328,U328,X328,)</f>
        <v>1</v>
      </c>
      <c r="AA328" s="25">
        <f t="shared" ref="AA328:AA391" si="98">Y328/$I$479</f>
        <v>2.2076212704774394E-3</v>
      </c>
    </row>
    <row r="329" spans="1:27" ht="43.2" x14ac:dyDescent="0.3">
      <c r="A329" s="23" t="s">
        <v>398</v>
      </c>
      <c r="B329" s="23" t="str">
        <f>VLOOKUP(A329,MEMORIA!$A:$N,2,FALSE)</f>
        <v>COMP197</v>
      </c>
      <c r="C329" s="23" t="str">
        <f>VLOOKUP(A329,MEMORIA!$A:$N,3,FALSE)</f>
        <v>PRÓPRIA</v>
      </c>
      <c r="D329" s="24" t="str">
        <f>VLOOKUP(A329,MEMORIA!$A:$N,4,FALSE)</f>
        <v>PERFURAÇÃO EM ROCHA SEDIMENTAR DN 10" (REF: 06230/ORSE-ORSE-04/2025)</v>
      </c>
      <c r="E329" s="23" t="str">
        <f>VLOOKUP(A329,MEMORIA!$A:$N,5,FALSE)</f>
        <v>M</v>
      </c>
      <c r="F329" s="5">
        <f>VLOOKUP(A329,MEMORIA!$A:$N,14,FALSE)</f>
        <v>20</v>
      </c>
      <c r="G329" s="5">
        <f>VLOOKUP(A329,ORCAMENTO!$A:$I,7,FALSE)</f>
        <v>202.21</v>
      </c>
      <c r="H329" s="5">
        <f>VLOOKUP(A329,ORCAMENTO!$A:$I,8,FALSE)</f>
        <v>247.36</v>
      </c>
      <c r="I329" s="5">
        <f t="shared" si="84"/>
        <v>4947.2</v>
      </c>
      <c r="J329" s="5">
        <f t="shared" si="85"/>
        <v>0</v>
      </c>
      <c r="K329" s="5">
        <v>0</v>
      </c>
      <c r="L329" s="25">
        <f t="shared" si="91"/>
        <v>0</v>
      </c>
      <c r="M329" s="5">
        <f t="shared" si="86"/>
        <v>0</v>
      </c>
      <c r="N329" s="5">
        <v>0</v>
      </c>
      <c r="O329" s="25">
        <f t="shared" si="92"/>
        <v>0</v>
      </c>
      <c r="P329" s="5">
        <f t="shared" si="87"/>
        <v>0</v>
      </c>
      <c r="Q329" s="5">
        <v>0</v>
      </c>
      <c r="R329" s="25">
        <f t="shared" si="93"/>
        <v>0</v>
      </c>
      <c r="S329" s="5">
        <f t="shared" si="88"/>
        <v>4947.2</v>
      </c>
      <c r="T329" s="5">
        <f t="shared" si="90"/>
        <v>20</v>
      </c>
      <c r="U329" s="25">
        <f t="shared" si="94"/>
        <v>1</v>
      </c>
      <c r="V329" s="5">
        <f t="shared" si="89"/>
        <v>0</v>
      </c>
      <c r="W329" s="5">
        <v>0</v>
      </c>
      <c r="X329" s="25">
        <f t="shared" si="95"/>
        <v>0</v>
      </c>
      <c r="Y329" s="5">
        <f t="shared" si="96"/>
        <v>4947.2</v>
      </c>
      <c r="Z329" s="25">
        <f t="shared" si="97"/>
        <v>1</v>
      </c>
      <c r="AA329" s="25">
        <f t="shared" si="98"/>
        <v>3.0692029769606223E-3</v>
      </c>
    </row>
    <row r="330" spans="1:27" ht="28.8" x14ac:dyDescent="0.3">
      <c r="A330" s="23" t="s">
        <v>399</v>
      </c>
      <c r="B330" s="23" t="str">
        <f>VLOOKUP(A330,MEMORIA!$A:$N,2,FALSE)</f>
        <v>COMP198</v>
      </c>
      <c r="C330" s="23" t="str">
        <f>VLOOKUP(A330,MEMORIA!$A:$N,3,FALSE)</f>
        <v>PRÓPRIA</v>
      </c>
      <c r="D330" s="24" t="str">
        <f>VLOOKUP(A330,MEMORIA!$A:$N,4,FALSE)</f>
        <v>PERFURAÇÃO EM ROCHA CRISTALINA DN 6" (REF: 06237/ORSE-ORSE-04/2025)</v>
      </c>
      <c r="E330" s="23" t="str">
        <f>VLOOKUP(A330,MEMORIA!$A:$N,5,FALSE)</f>
        <v>M</v>
      </c>
      <c r="F330" s="5">
        <f>VLOOKUP(A330,MEMORIA!$A:$N,14,FALSE)</f>
        <v>80</v>
      </c>
      <c r="G330" s="5">
        <f>VLOOKUP(A330,ORCAMENTO!$A:$I,7,FALSE)</f>
        <v>125.23</v>
      </c>
      <c r="H330" s="5">
        <f>VLOOKUP(A330,ORCAMENTO!$A:$I,8,FALSE)</f>
        <v>153.19</v>
      </c>
      <c r="I330" s="5">
        <f t="shared" si="84"/>
        <v>12255.2</v>
      </c>
      <c r="J330" s="5">
        <f t="shared" si="85"/>
        <v>0</v>
      </c>
      <c r="K330" s="5">
        <v>0</v>
      </c>
      <c r="L330" s="25">
        <f t="shared" si="91"/>
        <v>0</v>
      </c>
      <c r="M330" s="5">
        <f t="shared" si="86"/>
        <v>0</v>
      </c>
      <c r="N330" s="5">
        <v>0</v>
      </c>
      <c r="O330" s="25">
        <f t="shared" si="92"/>
        <v>0</v>
      </c>
      <c r="P330" s="5">
        <f t="shared" si="87"/>
        <v>0</v>
      </c>
      <c r="Q330" s="5">
        <v>0</v>
      </c>
      <c r="R330" s="25">
        <f t="shared" si="93"/>
        <v>0</v>
      </c>
      <c r="S330" s="5">
        <f t="shared" si="88"/>
        <v>12255.2</v>
      </c>
      <c r="T330" s="5">
        <f t="shared" si="90"/>
        <v>80</v>
      </c>
      <c r="U330" s="25">
        <f t="shared" si="94"/>
        <v>1</v>
      </c>
      <c r="V330" s="5">
        <f t="shared" si="89"/>
        <v>0</v>
      </c>
      <c r="W330" s="5">
        <v>0</v>
      </c>
      <c r="X330" s="25">
        <f t="shared" si="95"/>
        <v>0</v>
      </c>
      <c r="Y330" s="5">
        <f t="shared" si="96"/>
        <v>12255.2</v>
      </c>
      <c r="Z330" s="25">
        <f t="shared" si="97"/>
        <v>1</v>
      </c>
      <c r="AA330" s="25">
        <f t="shared" si="98"/>
        <v>7.6030272322218269E-3</v>
      </c>
    </row>
    <row r="331" spans="1:27" x14ac:dyDescent="0.3">
      <c r="A331" s="23" t="s">
        <v>400</v>
      </c>
      <c r="B331" s="23" t="str">
        <f>VLOOKUP(A331,MEMORIA!$A:$N,2,FALSE)</f>
        <v>COMPOS10</v>
      </c>
      <c r="C331" s="23" t="str">
        <f>VLOOKUP(A331,MEMORIA!$A:$N,3,FALSE)</f>
        <v>PRÓPRIA</v>
      </c>
      <c r="D331" s="24" t="str">
        <f>VLOOKUP(A331,MEMORIA!$A:$N,4,FALSE)</f>
        <v>CIMENTAÇÃO SANITÁRIA</v>
      </c>
      <c r="E331" s="23" t="str">
        <f>VLOOKUP(A331,MEMORIA!$A:$N,5,FALSE)</f>
        <v>M</v>
      </c>
      <c r="F331" s="5">
        <f>VLOOKUP(A331,MEMORIA!$A:$N,14,FALSE)</f>
        <v>10</v>
      </c>
      <c r="G331" s="5">
        <f>VLOOKUP(A331,ORCAMENTO!$A:$I,7,FALSE)</f>
        <v>98.79</v>
      </c>
      <c r="H331" s="5">
        <f>VLOOKUP(A331,ORCAMENTO!$A:$I,8,FALSE)</f>
        <v>120.85000000000001</v>
      </c>
      <c r="I331" s="5">
        <f t="shared" si="84"/>
        <v>1208.5</v>
      </c>
      <c r="J331" s="5">
        <f t="shared" si="85"/>
        <v>0</v>
      </c>
      <c r="K331" s="5">
        <v>0</v>
      </c>
      <c r="L331" s="25">
        <f t="shared" si="91"/>
        <v>0</v>
      </c>
      <c r="M331" s="5">
        <f t="shared" si="86"/>
        <v>0</v>
      </c>
      <c r="N331" s="5">
        <v>0</v>
      </c>
      <c r="O331" s="25">
        <f t="shared" si="92"/>
        <v>0</v>
      </c>
      <c r="P331" s="5">
        <f t="shared" si="87"/>
        <v>0</v>
      </c>
      <c r="Q331" s="5">
        <v>0</v>
      </c>
      <c r="R331" s="25">
        <f t="shared" si="93"/>
        <v>0</v>
      </c>
      <c r="S331" s="5">
        <f t="shared" si="88"/>
        <v>1208.5</v>
      </c>
      <c r="T331" s="5">
        <f t="shared" si="90"/>
        <v>10</v>
      </c>
      <c r="U331" s="25">
        <f t="shared" si="94"/>
        <v>1</v>
      </c>
      <c r="V331" s="5">
        <f t="shared" si="89"/>
        <v>0</v>
      </c>
      <c r="W331" s="5">
        <v>0</v>
      </c>
      <c r="X331" s="25">
        <f t="shared" si="95"/>
        <v>0</v>
      </c>
      <c r="Y331" s="5">
        <f t="shared" si="96"/>
        <v>1208.5</v>
      </c>
      <c r="Z331" s="25">
        <f t="shared" si="97"/>
        <v>1</v>
      </c>
      <c r="AA331" s="25">
        <f t="shared" si="98"/>
        <v>7.4974365250180149E-4</v>
      </c>
    </row>
    <row r="332" spans="1:27" ht="28.8" x14ac:dyDescent="0.3">
      <c r="A332" s="23" t="s">
        <v>401</v>
      </c>
      <c r="B332" s="23" t="str">
        <f>VLOOKUP(A332,MEMORIA!$A:$N,2,FALSE)</f>
        <v>COMPOS11</v>
      </c>
      <c r="C332" s="23" t="str">
        <f>VLOOKUP(A332,MEMORIA!$A:$N,3,FALSE)</f>
        <v>PRÓPRIA</v>
      </c>
      <c r="D332" s="24" t="str">
        <f>VLOOKUP(A332,MEMORIA!$A:$N,4,FALSE)</f>
        <v>LAJE DE PROTEÇÃO EM CONCRETO (1,0 M X 1,0 M X 0,15 M)</v>
      </c>
      <c r="E332" s="23" t="str">
        <f>VLOOKUP(A332,MEMORIA!$A:$N,5,FALSE)</f>
        <v>M³</v>
      </c>
      <c r="F332" s="5">
        <f>VLOOKUP(A332,MEMORIA!$A:$N,14,FALSE)</f>
        <v>0.15</v>
      </c>
      <c r="G332" s="5">
        <f>VLOOKUP(A332,ORCAMENTO!$A:$I,7,FALSE)</f>
        <v>1246.81</v>
      </c>
      <c r="H332" s="5">
        <f>VLOOKUP(A332,ORCAMENTO!$A:$I,8,FALSE)</f>
        <v>1525.22</v>
      </c>
      <c r="I332" s="5">
        <f t="shared" si="84"/>
        <v>228.78</v>
      </c>
      <c r="J332" s="5">
        <f t="shared" si="85"/>
        <v>0</v>
      </c>
      <c r="K332" s="5">
        <v>0</v>
      </c>
      <c r="L332" s="25">
        <f t="shared" si="91"/>
        <v>0</v>
      </c>
      <c r="M332" s="5">
        <f t="shared" si="86"/>
        <v>0</v>
      </c>
      <c r="N332" s="5">
        <v>0</v>
      </c>
      <c r="O332" s="25">
        <f t="shared" si="92"/>
        <v>0</v>
      </c>
      <c r="P332" s="5">
        <f t="shared" si="87"/>
        <v>0</v>
      </c>
      <c r="Q332" s="5">
        <v>0</v>
      </c>
      <c r="R332" s="25">
        <f t="shared" si="93"/>
        <v>0</v>
      </c>
      <c r="S332" s="5">
        <f t="shared" si="88"/>
        <v>228.78</v>
      </c>
      <c r="T332" s="5">
        <f t="shared" si="90"/>
        <v>0.15</v>
      </c>
      <c r="U332" s="25">
        <f t="shared" si="94"/>
        <v>1</v>
      </c>
      <c r="V332" s="5">
        <f t="shared" si="89"/>
        <v>0</v>
      </c>
      <c r="W332" s="5">
        <v>0</v>
      </c>
      <c r="X332" s="25">
        <f t="shared" si="95"/>
        <v>0</v>
      </c>
      <c r="Y332" s="5">
        <f t="shared" si="96"/>
        <v>228.78</v>
      </c>
      <c r="Z332" s="25">
        <f t="shared" si="97"/>
        <v>1</v>
      </c>
      <c r="AA332" s="25">
        <f t="shared" si="98"/>
        <v>1.4193326671027072E-4</v>
      </c>
    </row>
    <row r="333" spans="1:27" x14ac:dyDescent="0.3">
      <c r="A333" s="23" t="s">
        <v>402</v>
      </c>
      <c r="B333" s="23" t="str">
        <f>VLOOKUP(A333,MEMORIA!$A:$N,2,FALSE)</f>
        <v>COMPOS12</v>
      </c>
      <c r="C333" s="23" t="str">
        <f>VLOOKUP(A333,MEMORIA!$A:$N,3,FALSE)</f>
        <v>PRÓPRIA</v>
      </c>
      <c r="D333" s="24" t="str">
        <f>VLOOKUP(A333,MEMORIA!$A:$N,4,FALSE)</f>
        <v>DESENVOLVIMENTO COM BOMBA SUBMERSA</v>
      </c>
      <c r="E333" s="23" t="str">
        <f>VLOOKUP(A333,MEMORIA!$A:$N,5,FALSE)</f>
        <v>H</v>
      </c>
      <c r="F333" s="5">
        <f>VLOOKUP(A333,MEMORIA!$A:$N,14,FALSE)</f>
        <v>6</v>
      </c>
      <c r="G333" s="5">
        <f>VLOOKUP(A333,ORCAMENTO!$A:$I,7,FALSE)</f>
        <v>515.70000000000005</v>
      </c>
      <c r="H333" s="5">
        <f>VLOOKUP(A333,ORCAMENTO!$A:$I,8,FALSE)</f>
        <v>630.86</v>
      </c>
      <c r="I333" s="5">
        <f t="shared" si="84"/>
        <v>3785.16</v>
      </c>
      <c r="J333" s="5">
        <f t="shared" si="85"/>
        <v>0</v>
      </c>
      <c r="K333" s="5">
        <v>0</v>
      </c>
      <c r="L333" s="25">
        <f t="shared" si="91"/>
        <v>0</v>
      </c>
      <c r="M333" s="5">
        <f t="shared" si="86"/>
        <v>0</v>
      </c>
      <c r="N333" s="5">
        <v>0</v>
      </c>
      <c r="O333" s="25">
        <f t="shared" si="92"/>
        <v>0</v>
      </c>
      <c r="P333" s="5">
        <f t="shared" si="87"/>
        <v>0</v>
      </c>
      <c r="Q333" s="5">
        <v>0</v>
      </c>
      <c r="R333" s="25">
        <f t="shared" si="93"/>
        <v>0</v>
      </c>
      <c r="S333" s="5">
        <f t="shared" si="88"/>
        <v>3785.16</v>
      </c>
      <c r="T333" s="5">
        <f t="shared" si="90"/>
        <v>6</v>
      </c>
      <c r="U333" s="25">
        <f t="shared" si="94"/>
        <v>1</v>
      </c>
      <c r="V333" s="5">
        <f t="shared" si="89"/>
        <v>0</v>
      </c>
      <c r="W333" s="5">
        <v>0</v>
      </c>
      <c r="X333" s="25">
        <f t="shared" si="95"/>
        <v>0</v>
      </c>
      <c r="Y333" s="5">
        <f t="shared" si="96"/>
        <v>3785.16</v>
      </c>
      <c r="Z333" s="25">
        <f t="shared" si="97"/>
        <v>1</v>
      </c>
      <c r="AA333" s="25">
        <f t="shared" si="98"/>
        <v>2.3482827337225642E-3</v>
      </c>
    </row>
    <row r="334" spans="1:27" x14ac:dyDescent="0.3">
      <c r="A334" s="23" t="s">
        <v>403</v>
      </c>
      <c r="B334" s="23" t="str">
        <f>VLOOKUP(A334,MEMORIA!$A:$N,2,FALSE)</f>
        <v>COMPOS13</v>
      </c>
      <c r="C334" s="23" t="str">
        <f>VLOOKUP(A334,MEMORIA!$A:$N,3,FALSE)</f>
        <v>PRÓPRIA</v>
      </c>
      <c r="D334" s="24" t="str">
        <f>VLOOKUP(A334,MEMORIA!$A:$N,4,FALSE)</f>
        <v>TESTE VAZÃO COM BOMBA SUBMERSA</v>
      </c>
      <c r="E334" s="23" t="str">
        <f>VLOOKUP(A334,MEMORIA!$A:$N,5,FALSE)</f>
        <v>H</v>
      </c>
      <c r="F334" s="5">
        <f>VLOOKUP(A334,MEMORIA!$A:$N,14,FALSE)</f>
        <v>24</v>
      </c>
      <c r="G334" s="5">
        <f>VLOOKUP(A334,ORCAMENTO!$A:$I,7,FALSE)</f>
        <v>97.789999999999992</v>
      </c>
      <c r="H334" s="5">
        <f>VLOOKUP(A334,ORCAMENTO!$A:$I,8,FALSE)</f>
        <v>119.63</v>
      </c>
      <c r="I334" s="5">
        <f t="shared" si="84"/>
        <v>2871.12</v>
      </c>
      <c r="J334" s="5">
        <f t="shared" si="85"/>
        <v>0</v>
      </c>
      <c r="K334" s="5">
        <v>0</v>
      </c>
      <c r="L334" s="25">
        <f t="shared" si="91"/>
        <v>0</v>
      </c>
      <c r="M334" s="5">
        <f t="shared" si="86"/>
        <v>0</v>
      </c>
      <c r="N334" s="5">
        <v>0</v>
      </c>
      <c r="O334" s="25">
        <f t="shared" si="92"/>
        <v>0</v>
      </c>
      <c r="P334" s="5">
        <f t="shared" si="87"/>
        <v>0</v>
      </c>
      <c r="Q334" s="5">
        <v>0</v>
      </c>
      <c r="R334" s="25">
        <f t="shared" si="93"/>
        <v>0</v>
      </c>
      <c r="S334" s="5">
        <f t="shared" si="88"/>
        <v>2871.12</v>
      </c>
      <c r="T334" s="5">
        <f t="shared" si="90"/>
        <v>24</v>
      </c>
      <c r="U334" s="25">
        <f t="shared" si="94"/>
        <v>1</v>
      </c>
      <c r="V334" s="5">
        <f t="shared" si="89"/>
        <v>0</v>
      </c>
      <c r="W334" s="5">
        <v>0</v>
      </c>
      <c r="X334" s="25">
        <f t="shared" si="95"/>
        <v>0</v>
      </c>
      <c r="Y334" s="5">
        <f t="shared" si="96"/>
        <v>2871.12</v>
      </c>
      <c r="Z334" s="25">
        <f t="shared" si="97"/>
        <v>1</v>
      </c>
      <c r="AA334" s="25">
        <f t="shared" si="98"/>
        <v>1.7812196901704363E-3</v>
      </c>
    </row>
    <row r="335" spans="1:27" x14ac:dyDescent="0.3">
      <c r="A335" s="23" t="s">
        <v>404</v>
      </c>
      <c r="B335" s="23" t="str">
        <f>VLOOKUP(A335,MEMORIA!$A:$N,2,FALSE)</f>
        <v>COMPOS14</v>
      </c>
      <c r="C335" s="23" t="str">
        <f>VLOOKUP(A335,MEMORIA!$A:$N,3,FALSE)</f>
        <v>PRÓPRIA</v>
      </c>
      <c r="D335" s="24" t="str">
        <f>VLOOKUP(A335,MEMORIA!$A:$N,4,FALSE)</f>
        <v>DESINFECÇÃO</v>
      </c>
      <c r="E335" s="23" t="str">
        <f>VLOOKUP(A335,MEMORIA!$A:$N,5,FALSE)</f>
        <v>H</v>
      </c>
      <c r="F335" s="5">
        <f>VLOOKUP(A335,MEMORIA!$A:$N,14,FALSE)</f>
        <v>4</v>
      </c>
      <c r="G335" s="5">
        <f>VLOOKUP(A335,ORCAMENTO!$A:$I,7,FALSE)</f>
        <v>102.36000000000003</v>
      </c>
      <c r="H335" s="5">
        <f>VLOOKUP(A335,ORCAMENTO!$A:$I,8,FALSE)</f>
        <v>125.22000000000003</v>
      </c>
      <c r="I335" s="5">
        <f t="shared" si="84"/>
        <v>500.88</v>
      </c>
      <c r="J335" s="5">
        <f t="shared" si="85"/>
        <v>0</v>
      </c>
      <c r="K335" s="5">
        <v>0</v>
      </c>
      <c r="L335" s="25">
        <f t="shared" si="91"/>
        <v>0</v>
      </c>
      <c r="M335" s="5">
        <f t="shared" si="86"/>
        <v>0</v>
      </c>
      <c r="N335" s="5">
        <v>0</v>
      </c>
      <c r="O335" s="25">
        <f t="shared" si="92"/>
        <v>0</v>
      </c>
      <c r="P335" s="5">
        <f t="shared" si="87"/>
        <v>0</v>
      </c>
      <c r="Q335" s="5">
        <v>0</v>
      </c>
      <c r="R335" s="25">
        <f t="shared" si="93"/>
        <v>0</v>
      </c>
      <c r="S335" s="5">
        <f t="shared" si="88"/>
        <v>500.88</v>
      </c>
      <c r="T335" s="5">
        <f t="shared" si="90"/>
        <v>4</v>
      </c>
      <c r="U335" s="25">
        <f t="shared" si="94"/>
        <v>1</v>
      </c>
      <c r="V335" s="5">
        <f t="shared" si="89"/>
        <v>0</v>
      </c>
      <c r="W335" s="5">
        <v>0</v>
      </c>
      <c r="X335" s="25">
        <f t="shared" si="95"/>
        <v>0</v>
      </c>
      <c r="Y335" s="5">
        <f t="shared" si="96"/>
        <v>500.88</v>
      </c>
      <c r="Z335" s="25">
        <f t="shared" si="97"/>
        <v>1</v>
      </c>
      <c r="AA335" s="25">
        <f t="shared" si="98"/>
        <v>3.107419120108418E-4</v>
      </c>
    </row>
    <row r="336" spans="1:27" x14ac:dyDescent="0.3">
      <c r="A336" s="23" t="s">
        <v>405</v>
      </c>
      <c r="B336" s="23" t="str">
        <f>VLOOKUP(A336,MEMORIA!$A:$N,2,FALSE)</f>
        <v>COMPOS15</v>
      </c>
      <c r="C336" s="23" t="str">
        <f>VLOOKUP(A336,MEMORIA!$A:$N,3,FALSE)</f>
        <v>PRÓPRIA</v>
      </c>
      <c r="D336" s="24" t="str">
        <f>VLOOKUP(A336,MEMORIA!$A:$N,4,FALSE)</f>
        <v>RELATÓRIO TÉCNICO</v>
      </c>
      <c r="E336" s="23" t="str">
        <f>VLOOKUP(A336,MEMORIA!$A:$N,5,FALSE)</f>
        <v>UN</v>
      </c>
      <c r="F336" s="5">
        <f>VLOOKUP(A336,MEMORIA!$A:$N,14,FALSE)</f>
        <v>1</v>
      </c>
      <c r="G336" s="5">
        <f>VLOOKUP(A336,ORCAMENTO!$A:$I,7,FALSE)</f>
        <v>1110.2</v>
      </c>
      <c r="H336" s="5">
        <f>VLOOKUP(A336,ORCAMENTO!$A:$I,8,FALSE)</f>
        <v>1358.1100000000001</v>
      </c>
      <c r="I336" s="5">
        <f t="shared" si="84"/>
        <v>1358.11</v>
      </c>
      <c r="J336" s="5">
        <f t="shared" si="85"/>
        <v>0</v>
      </c>
      <c r="K336" s="5">
        <v>0</v>
      </c>
      <c r="L336" s="25">
        <f t="shared" si="91"/>
        <v>0</v>
      </c>
      <c r="M336" s="5">
        <f t="shared" si="86"/>
        <v>0</v>
      </c>
      <c r="N336" s="5">
        <v>0</v>
      </c>
      <c r="O336" s="25">
        <f t="shared" si="92"/>
        <v>0</v>
      </c>
      <c r="P336" s="5">
        <f t="shared" si="87"/>
        <v>0</v>
      </c>
      <c r="Q336" s="5">
        <v>0</v>
      </c>
      <c r="R336" s="25">
        <f t="shared" si="93"/>
        <v>0</v>
      </c>
      <c r="S336" s="5">
        <f t="shared" si="88"/>
        <v>1358.11</v>
      </c>
      <c r="T336" s="5">
        <f t="shared" si="90"/>
        <v>1</v>
      </c>
      <c r="U336" s="25">
        <f t="shared" si="94"/>
        <v>1</v>
      </c>
      <c r="V336" s="5">
        <f t="shared" si="89"/>
        <v>0</v>
      </c>
      <c r="W336" s="5">
        <v>0</v>
      </c>
      <c r="X336" s="25">
        <f t="shared" si="95"/>
        <v>0</v>
      </c>
      <c r="Y336" s="5">
        <f t="shared" si="96"/>
        <v>1358.11</v>
      </c>
      <c r="Z336" s="25">
        <f t="shared" si="97"/>
        <v>1</v>
      </c>
      <c r="AA336" s="25">
        <f t="shared" si="98"/>
        <v>8.4256048978007577E-4</v>
      </c>
    </row>
    <row r="337" spans="1:27" x14ac:dyDescent="0.3">
      <c r="A337" s="23" t="s">
        <v>406</v>
      </c>
      <c r="B337" s="23" t="str">
        <f>VLOOKUP(A337,MEMORIA!$A:$N,2,FALSE)</f>
        <v>COMPOS16</v>
      </c>
      <c r="C337" s="23" t="str">
        <f>VLOOKUP(A337,MEMORIA!$A:$N,3,FALSE)</f>
        <v>PRÓPRIA</v>
      </c>
      <c r="D337" s="24" t="str">
        <f>VLOOKUP(A337,MEMORIA!$A:$N,4,FALSE)</f>
        <v>ANÁLISE FÍSICO-QUÍMICA DA ÁGUA</v>
      </c>
      <c r="E337" s="23" t="str">
        <f>VLOOKUP(A337,MEMORIA!$A:$N,5,FALSE)</f>
        <v>UN</v>
      </c>
      <c r="F337" s="5">
        <f>VLOOKUP(A337,MEMORIA!$A:$N,14,FALSE)</f>
        <v>1</v>
      </c>
      <c r="G337" s="5">
        <f>VLOOKUP(A337,ORCAMENTO!$A:$I,7,FALSE)</f>
        <v>565.21</v>
      </c>
      <c r="H337" s="5">
        <f>VLOOKUP(A337,ORCAMENTO!$A:$I,8,FALSE)</f>
        <v>691.42000000000007</v>
      </c>
      <c r="I337" s="5">
        <f t="shared" si="84"/>
        <v>691.42</v>
      </c>
      <c r="J337" s="5">
        <f t="shared" si="85"/>
        <v>0</v>
      </c>
      <c r="K337" s="5">
        <v>0</v>
      </c>
      <c r="L337" s="25">
        <f t="shared" si="91"/>
        <v>0</v>
      </c>
      <c r="M337" s="5">
        <f t="shared" si="86"/>
        <v>0</v>
      </c>
      <c r="N337" s="5">
        <v>0</v>
      </c>
      <c r="O337" s="25">
        <f t="shared" si="92"/>
        <v>0</v>
      </c>
      <c r="P337" s="5">
        <f t="shared" si="87"/>
        <v>0</v>
      </c>
      <c r="Q337" s="5">
        <v>0</v>
      </c>
      <c r="R337" s="25">
        <f t="shared" si="93"/>
        <v>0</v>
      </c>
      <c r="S337" s="5">
        <f t="shared" si="88"/>
        <v>691.42</v>
      </c>
      <c r="T337" s="5">
        <f t="shared" si="90"/>
        <v>1</v>
      </c>
      <c r="U337" s="25">
        <f t="shared" si="94"/>
        <v>1</v>
      </c>
      <c r="V337" s="5">
        <f t="shared" si="89"/>
        <v>0</v>
      </c>
      <c r="W337" s="5">
        <v>0</v>
      </c>
      <c r="X337" s="25">
        <f t="shared" si="95"/>
        <v>0</v>
      </c>
      <c r="Y337" s="5">
        <f t="shared" si="96"/>
        <v>691.42</v>
      </c>
      <c r="Z337" s="25">
        <f t="shared" si="97"/>
        <v>1</v>
      </c>
      <c r="AA337" s="25">
        <f t="shared" si="98"/>
        <v>4.2895139115663682E-4</v>
      </c>
    </row>
    <row r="338" spans="1:27" ht="43.2" x14ac:dyDescent="0.3">
      <c r="A338" s="23" t="s">
        <v>407</v>
      </c>
      <c r="B338" s="23" t="str">
        <f>VLOOKUP(A338,MEMORIA!$A:$N,2,FALSE)</f>
        <v>COMPOS1</v>
      </c>
      <c r="C338" s="23" t="str">
        <f>VLOOKUP(A338,MEMORIA!$A:$N,3,FALSE)</f>
        <v>PRÓPRIA</v>
      </c>
      <c r="D338" s="24" t="str">
        <f>VLOOKUP(A338,MEMORIA!$A:$N,4,FALSE)</f>
        <v>FORNECIMENTO E INSTALAÇÃO DE REVESTIMENTO GEOMECÂNICO STANDART DN-154-S</v>
      </c>
      <c r="E338" s="23" t="str">
        <f>VLOOKUP(A338,MEMORIA!$A:$N,5,FALSE)</f>
        <v>M</v>
      </c>
      <c r="F338" s="5">
        <f>VLOOKUP(A338,MEMORIA!$A:$N,14,FALSE)</f>
        <v>21</v>
      </c>
      <c r="G338" s="5">
        <f>VLOOKUP(A338,ORCAMENTO!$A:$I,7,FALSE)</f>
        <v>170.76</v>
      </c>
      <c r="H338" s="5">
        <f>VLOOKUP(A338,ORCAMENTO!$A:$I,8,FALSE)</f>
        <v>208.89</v>
      </c>
      <c r="I338" s="5">
        <f t="shared" si="84"/>
        <v>4386.6899999999996</v>
      </c>
      <c r="J338" s="5">
        <f t="shared" si="85"/>
        <v>0</v>
      </c>
      <c r="K338" s="5">
        <v>0</v>
      </c>
      <c r="L338" s="25">
        <f t="shared" si="91"/>
        <v>0</v>
      </c>
      <c r="M338" s="5">
        <f t="shared" si="86"/>
        <v>0</v>
      </c>
      <c r="N338" s="5">
        <v>0</v>
      </c>
      <c r="O338" s="25">
        <f t="shared" si="92"/>
        <v>0</v>
      </c>
      <c r="P338" s="5">
        <f t="shared" si="87"/>
        <v>0</v>
      </c>
      <c r="Q338" s="5">
        <v>0</v>
      </c>
      <c r="R338" s="25">
        <f t="shared" si="93"/>
        <v>0</v>
      </c>
      <c r="S338" s="5">
        <f t="shared" si="88"/>
        <v>4386.6899999999996</v>
      </c>
      <c r="T338" s="5">
        <f t="shared" si="90"/>
        <v>21</v>
      </c>
      <c r="U338" s="25">
        <f t="shared" si="94"/>
        <v>1</v>
      </c>
      <c r="V338" s="5">
        <f t="shared" si="89"/>
        <v>0</v>
      </c>
      <c r="W338" s="5">
        <v>0</v>
      </c>
      <c r="X338" s="25">
        <f t="shared" si="95"/>
        <v>0</v>
      </c>
      <c r="Y338" s="5">
        <f t="shared" si="96"/>
        <v>4386.6899999999996</v>
      </c>
      <c r="Z338" s="25">
        <f t="shared" si="97"/>
        <v>1</v>
      </c>
      <c r="AA338" s="25">
        <f t="shared" si="98"/>
        <v>2.7214670939123935E-3</v>
      </c>
    </row>
    <row r="339" spans="1:27" ht="28.8" x14ac:dyDescent="0.3">
      <c r="A339" s="23" t="s">
        <v>408</v>
      </c>
      <c r="B339" s="23" t="str">
        <f>VLOOKUP(A339,MEMORIA!$A:$N,2,FALSE)</f>
        <v>COMPOS2</v>
      </c>
      <c r="C339" s="23" t="str">
        <f>VLOOKUP(A339,MEMORIA!$A:$N,3,FALSE)</f>
        <v>PRÓPRIA</v>
      </c>
      <c r="D339" s="24" t="str">
        <f>VLOOKUP(A339,MEMORIA!$A:$N,4,FALSE)</f>
        <v>FORNECIMENTO E INSTALAÇÃO DE TAMPA PARA POÇO</v>
      </c>
      <c r="E339" s="23" t="str">
        <f>VLOOKUP(A339,MEMORIA!$A:$N,5,FALSE)</f>
        <v>UN</v>
      </c>
      <c r="F339" s="5">
        <f>VLOOKUP(A339,MEMORIA!$A:$N,14,FALSE)</f>
        <v>1</v>
      </c>
      <c r="G339" s="5">
        <f>VLOOKUP(A339,ORCAMENTO!$A:$I,7,FALSE)</f>
        <v>109.94</v>
      </c>
      <c r="H339" s="5">
        <f>VLOOKUP(A339,ORCAMENTO!$A:$I,8,FALSE)</f>
        <v>134.49</v>
      </c>
      <c r="I339" s="5">
        <f t="shared" si="84"/>
        <v>134.49</v>
      </c>
      <c r="J339" s="5">
        <f t="shared" si="85"/>
        <v>0</v>
      </c>
      <c r="K339" s="5">
        <v>0</v>
      </c>
      <c r="L339" s="25">
        <f t="shared" si="91"/>
        <v>0</v>
      </c>
      <c r="M339" s="5">
        <f t="shared" si="86"/>
        <v>0</v>
      </c>
      <c r="N339" s="5">
        <v>0</v>
      </c>
      <c r="O339" s="25">
        <f t="shared" si="92"/>
        <v>0</v>
      </c>
      <c r="P339" s="5">
        <f t="shared" si="87"/>
        <v>0</v>
      </c>
      <c r="Q339" s="5">
        <v>0</v>
      </c>
      <c r="R339" s="25">
        <f t="shared" si="93"/>
        <v>0</v>
      </c>
      <c r="S339" s="5">
        <f t="shared" si="88"/>
        <v>134.49</v>
      </c>
      <c r="T339" s="5">
        <f t="shared" si="90"/>
        <v>1</v>
      </c>
      <c r="U339" s="25">
        <f t="shared" si="94"/>
        <v>1</v>
      </c>
      <c r="V339" s="5">
        <f t="shared" si="89"/>
        <v>0</v>
      </c>
      <c r="W339" s="5">
        <v>0</v>
      </c>
      <c r="X339" s="25">
        <f t="shared" si="95"/>
        <v>0</v>
      </c>
      <c r="Y339" s="5">
        <f t="shared" si="96"/>
        <v>134.49</v>
      </c>
      <c r="Z339" s="25">
        <f t="shared" si="97"/>
        <v>1</v>
      </c>
      <c r="AA339" s="25">
        <f t="shared" si="98"/>
        <v>8.3436511232906329E-5</v>
      </c>
    </row>
    <row r="340" spans="1:27" x14ac:dyDescent="0.3">
      <c r="A340" s="12" t="s">
        <v>113</v>
      </c>
      <c r="B340" s="51" t="str">
        <f>VLOOKUP(A340,MEMORIA!$A:$N,2,FALSE)</f>
        <v>AQUISIÇÃO E INSTALAÇÃO DE EQUIPAMENTOS DE BOMBEAMENTO, RECALQUE/BARRILETE E CONEXÕES PARA INTERLIGAÇÃO COM RESERVATÓRIO</v>
      </c>
      <c r="C340" s="52"/>
      <c r="D340" s="52"/>
      <c r="E340" s="52"/>
      <c r="F340" s="52"/>
      <c r="G340" s="52"/>
      <c r="H340" s="53"/>
      <c r="I340" s="13">
        <f>SUM(I$341:I$343)</f>
        <v>9017.39</v>
      </c>
      <c r="J340" s="13">
        <f>SUM(J$341:J$343)</f>
        <v>0</v>
      </c>
      <c r="K340" s="13"/>
      <c r="L340" s="14">
        <f t="shared" si="91"/>
        <v>0</v>
      </c>
      <c r="M340" s="13">
        <f>SUM(M$341:M$343)</f>
        <v>0</v>
      </c>
      <c r="N340" s="13"/>
      <c r="O340" s="14">
        <f t="shared" si="92"/>
        <v>0</v>
      </c>
      <c r="P340" s="13">
        <f>SUM(P$341:P$343)</f>
        <v>0</v>
      </c>
      <c r="Q340" s="13"/>
      <c r="R340" s="14">
        <f t="shared" si="93"/>
        <v>0</v>
      </c>
      <c r="S340" s="13">
        <f>SUM(S$341:S$343)</f>
        <v>9017.39</v>
      </c>
      <c r="T340" s="13"/>
      <c r="U340" s="14">
        <f t="shared" si="94"/>
        <v>1</v>
      </c>
      <c r="V340" s="13">
        <f>SUM(V$341:V$343)</f>
        <v>0</v>
      </c>
      <c r="W340" s="13"/>
      <c r="X340" s="14">
        <f t="shared" si="95"/>
        <v>0</v>
      </c>
      <c r="Y340" s="13">
        <f t="shared" si="96"/>
        <v>9017.39</v>
      </c>
      <c r="Z340" s="14">
        <f t="shared" si="97"/>
        <v>1</v>
      </c>
      <c r="AA340" s="14">
        <f t="shared" si="98"/>
        <v>5.5943160236931891E-3</v>
      </c>
    </row>
    <row r="341" spans="1:27" ht="43.2" x14ac:dyDescent="0.3">
      <c r="A341" s="23" t="s">
        <v>409</v>
      </c>
      <c r="B341" s="23" t="str">
        <f>VLOOKUP(A341,MEMORIA!$A:$N,2,FALSE)</f>
        <v>COMPOS19</v>
      </c>
      <c r="C341" s="23" t="str">
        <f>VLOOKUP(A341,MEMORIA!$A:$N,3,FALSE)</f>
        <v>PRÓPRIA</v>
      </c>
      <c r="D341" s="24" t="str">
        <f>VLOOKUP(A341,MEMORIA!$A:$N,4,FALSE)</f>
        <v>FORNECIMENTO E INSTALAÇÃO DE TUBO EDUTOR DE PVC DE 1.1/2'' COM LUVA</v>
      </c>
      <c r="E341" s="23" t="str">
        <f>VLOOKUP(A341,MEMORIA!$A:$N,5,FALSE)</f>
        <v>M</v>
      </c>
      <c r="F341" s="5">
        <f>VLOOKUP(A341,MEMORIA!$A:$N,14,FALSE)</f>
        <v>90</v>
      </c>
      <c r="G341" s="5">
        <f>VLOOKUP(A341,ORCAMENTO!$A:$I,7,FALSE)</f>
        <v>46.25</v>
      </c>
      <c r="H341" s="5">
        <f>VLOOKUP(A341,ORCAMENTO!$A:$I,8,FALSE)</f>
        <v>56.58</v>
      </c>
      <c r="I341" s="5">
        <f>ROUND(F341*H341,2)</f>
        <v>5092.2</v>
      </c>
      <c r="J341" s="5">
        <f>ROUND(K341*$H341,2)</f>
        <v>0</v>
      </c>
      <c r="K341" s="5">
        <v>0</v>
      </c>
      <c r="L341" s="25">
        <f t="shared" si="91"/>
        <v>0</v>
      </c>
      <c r="M341" s="5">
        <f>ROUND(N341*$H341,2)</f>
        <v>0</v>
      </c>
      <c r="N341" s="5">
        <v>0</v>
      </c>
      <c r="O341" s="25">
        <f t="shared" si="92"/>
        <v>0</v>
      </c>
      <c r="P341" s="5">
        <f>ROUND(Q341*$H341,2)</f>
        <v>0</v>
      </c>
      <c r="Q341" s="5">
        <v>0</v>
      </c>
      <c r="R341" s="25">
        <f t="shared" si="93"/>
        <v>0</v>
      </c>
      <c r="S341" s="5">
        <f>ROUND(T341*$H341,2)</f>
        <v>5092.2</v>
      </c>
      <c r="T341" s="5">
        <f t="shared" si="90"/>
        <v>90</v>
      </c>
      <c r="U341" s="25">
        <f t="shared" si="94"/>
        <v>1</v>
      </c>
      <c r="V341" s="5">
        <f>ROUND(W341*$H341,2)</f>
        <v>0</v>
      </c>
      <c r="W341" s="5">
        <v>0</v>
      </c>
      <c r="X341" s="25">
        <f t="shared" si="95"/>
        <v>0</v>
      </c>
      <c r="Y341" s="5">
        <f t="shared" si="96"/>
        <v>5092.2</v>
      </c>
      <c r="Z341" s="25">
        <f t="shared" si="97"/>
        <v>1</v>
      </c>
      <c r="AA341" s="25">
        <f t="shared" si="98"/>
        <v>3.1591598074221542E-3</v>
      </c>
    </row>
    <row r="342" spans="1:27" x14ac:dyDescent="0.3">
      <c r="A342" s="23" t="s">
        <v>410</v>
      </c>
      <c r="B342" s="23" t="str">
        <f>VLOOKUP(A342,MEMORIA!$A:$N,2,FALSE)</f>
        <v>COMPOS21</v>
      </c>
      <c r="C342" s="23" t="str">
        <f>VLOOKUP(A342,MEMORIA!$A:$N,3,FALSE)</f>
        <v>PRÓPRIA</v>
      </c>
      <c r="D342" s="24" t="str">
        <f>VLOOKUP(A342,MEMORIA!$A:$N,4,FALSE)</f>
        <v>BARRILETE (CURVAS E CONEXÕES)</v>
      </c>
      <c r="E342" s="23" t="str">
        <f>VLOOKUP(A342,MEMORIA!$A:$N,5,FALSE)</f>
        <v>UN</v>
      </c>
      <c r="F342" s="5">
        <f>VLOOKUP(A342,MEMORIA!$A:$N,14,FALSE)</f>
        <v>1</v>
      </c>
      <c r="G342" s="5">
        <f>VLOOKUP(A342,ORCAMENTO!$A:$I,7,FALSE)</f>
        <v>2147.0500000000002</v>
      </c>
      <c r="H342" s="5">
        <f>VLOOKUP(A342,ORCAMENTO!$A:$I,8,FALSE)</f>
        <v>2626.4900000000002</v>
      </c>
      <c r="I342" s="5">
        <f>ROUND(F342*H342,2)</f>
        <v>2626.49</v>
      </c>
      <c r="J342" s="5">
        <f>ROUND(K342*$H342,2)</f>
        <v>0</v>
      </c>
      <c r="K342" s="5">
        <v>0</v>
      </c>
      <c r="L342" s="25">
        <f t="shared" si="91"/>
        <v>0</v>
      </c>
      <c r="M342" s="5">
        <f>ROUND(N342*$H342,2)</f>
        <v>0</v>
      </c>
      <c r="N342" s="5">
        <v>0</v>
      </c>
      <c r="O342" s="25">
        <f t="shared" si="92"/>
        <v>0</v>
      </c>
      <c r="P342" s="5">
        <f>ROUND(Q342*$H342,2)</f>
        <v>0</v>
      </c>
      <c r="Q342" s="5">
        <v>0</v>
      </c>
      <c r="R342" s="25">
        <f t="shared" si="93"/>
        <v>0</v>
      </c>
      <c r="S342" s="5">
        <f>ROUND(T342*$H342,2)</f>
        <v>2626.49</v>
      </c>
      <c r="T342" s="5">
        <f t="shared" si="90"/>
        <v>1</v>
      </c>
      <c r="U342" s="25">
        <f t="shared" si="94"/>
        <v>1</v>
      </c>
      <c r="V342" s="5">
        <f>ROUND(W342*$H342,2)</f>
        <v>0</v>
      </c>
      <c r="W342" s="5">
        <v>0</v>
      </c>
      <c r="X342" s="25">
        <f t="shared" si="95"/>
        <v>0</v>
      </c>
      <c r="Y342" s="5">
        <f t="shared" si="96"/>
        <v>2626.49</v>
      </c>
      <c r="Z342" s="25">
        <f t="shared" si="97"/>
        <v>1</v>
      </c>
      <c r="AA342" s="25">
        <f t="shared" si="98"/>
        <v>1.6294532113028187E-3</v>
      </c>
    </row>
    <row r="343" spans="1:27" ht="28.8" x14ac:dyDescent="0.3">
      <c r="A343" s="23" t="s">
        <v>411</v>
      </c>
      <c r="B343" s="23" t="str">
        <f>VLOOKUP(A343,MEMORIA!$A:$N,2,FALSE)</f>
        <v>COMPOS26</v>
      </c>
      <c r="C343" s="23" t="str">
        <f>VLOOKUP(A343,MEMORIA!$A:$N,3,FALSE)</f>
        <v>PRÓPRIA</v>
      </c>
      <c r="D343" s="24" t="str">
        <f>VLOOKUP(A343,MEMORIA!$A:$N,4,FALSE)</f>
        <v>AQUISIÇÃO E INSTALAÇÃO DE DOSADOR DE CLORO</v>
      </c>
      <c r="E343" s="23" t="str">
        <f>VLOOKUP(A343,MEMORIA!$A:$N,5,FALSE)</f>
        <v>UND</v>
      </c>
      <c r="F343" s="5">
        <f>VLOOKUP(A343,MEMORIA!$A:$N,14,FALSE)</f>
        <v>1</v>
      </c>
      <c r="G343" s="5">
        <f>VLOOKUP(A343,ORCAMENTO!$A:$I,7,FALSE)</f>
        <v>1061.6399999999999</v>
      </c>
      <c r="H343" s="5">
        <f>VLOOKUP(A343,ORCAMENTO!$A:$I,8,FALSE)</f>
        <v>1298.6999999999998</v>
      </c>
      <c r="I343" s="5">
        <f>ROUND(F343*H343,2)</f>
        <v>1298.7</v>
      </c>
      <c r="J343" s="5">
        <f>ROUND(K343*$H343,2)</f>
        <v>0</v>
      </c>
      <c r="K343" s="5">
        <v>0</v>
      </c>
      <c r="L343" s="25">
        <f t="shared" si="91"/>
        <v>0</v>
      </c>
      <c r="M343" s="5">
        <f>ROUND(N343*$H343,2)</f>
        <v>0</v>
      </c>
      <c r="N343" s="5">
        <v>0</v>
      </c>
      <c r="O343" s="25">
        <f t="shared" si="92"/>
        <v>0</v>
      </c>
      <c r="P343" s="5">
        <f>ROUND(Q343*$H343,2)</f>
        <v>0</v>
      </c>
      <c r="Q343" s="5">
        <v>0</v>
      </c>
      <c r="R343" s="25">
        <f t="shared" si="93"/>
        <v>0</v>
      </c>
      <c r="S343" s="5">
        <f>ROUND(T343*$H343,2)</f>
        <v>1298.7</v>
      </c>
      <c r="T343" s="5">
        <f t="shared" si="90"/>
        <v>1</v>
      </c>
      <c r="U343" s="25">
        <f t="shared" si="94"/>
        <v>1</v>
      </c>
      <c r="V343" s="5">
        <f>ROUND(W343*$H343,2)</f>
        <v>0</v>
      </c>
      <c r="W343" s="5">
        <v>0</v>
      </c>
      <c r="X343" s="25">
        <f t="shared" si="95"/>
        <v>0</v>
      </c>
      <c r="Y343" s="5">
        <f t="shared" si="96"/>
        <v>1298.7</v>
      </c>
      <c r="Z343" s="25">
        <f t="shared" si="97"/>
        <v>1</v>
      </c>
      <c r="AA343" s="25">
        <f t="shared" si="98"/>
        <v>8.0570300496821655E-4</v>
      </c>
    </row>
    <row r="344" spans="1:27" x14ac:dyDescent="0.3">
      <c r="A344" s="12" t="s">
        <v>114</v>
      </c>
      <c r="B344" s="51" t="str">
        <f>VLOOKUP(A344,MEMORIA!$A:$N,2,FALSE)</f>
        <v>CONSTRUÇÃO DA CASA DE COMANDO</v>
      </c>
      <c r="C344" s="52"/>
      <c r="D344" s="52"/>
      <c r="E344" s="52"/>
      <c r="F344" s="52"/>
      <c r="G344" s="52"/>
      <c r="H344" s="53"/>
      <c r="I344" s="13">
        <f>SUM(I$345,I$348,I$350,I$354,I$357,I$360,I$363,I$367,I$370,I$373,I$376,)</f>
        <v>20274.329999999998</v>
      </c>
      <c r="J344" s="13">
        <f>SUM(J$345,J$348,J$350,J$354,J$357,J$360,J$363,J$367,J$370,J$373,J$376,)</f>
        <v>0</v>
      </c>
      <c r="K344" s="13"/>
      <c r="L344" s="14">
        <f t="shared" si="91"/>
        <v>0</v>
      </c>
      <c r="M344" s="13">
        <f>SUM(M$345,M$348,M$350,M$354,M$357,M$360,M$363,M$367,M$370,M$373,M$376,)</f>
        <v>0</v>
      </c>
      <c r="N344" s="13"/>
      <c r="O344" s="14">
        <f t="shared" si="92"/>
        <v>0</v>
      </c>
      <c r="P344" s="13">
        <f>SUM(P$345,P$348,P$350,P$354,P$357,P$360,P$363,P$367,P$370,P$373,P$376,)</f>
        <v>0</v>
      </c>
      <c r="Q344" s="13"/>
      <c r="R344" s="14">
        <f t="shared" si="93"/>
        <v>0</v>
      </c>
      <c r="S344" s="13">
        <f>SUM(S$345,S$348,S$350,S$354,S$357,S$360,S$363,S$367,S$370,S$373,S$376,)</f>
        <v>20274.329999999998</v>
      </c>
      <c r="T344" s="13"/>
      <c r="U344" s="14">
        <f t="shared" si="94"/>
        <v>1</v>
      </c>
      <c r="V344" s="13">
        <f>SUM(V$345,V$348,V$350,V$354,V$357,V$360,V$363,V$367,V$370,V$373,V$376,)</f>
        <v>0</v>
      </c>
      <c r="W344" s="13"/>
      <c r="X344" s="14">
        <f t="shared" si="95"/>
        <v>0</v>
      </c>
      <c r="Y344" s="13">
        <f t="shared" si="96"/>
        <v>20274.329999999998</v>
      </c>
      <c r="Z344" s="14">
        <f t="shared" si="97"/>
        <v>1</v>
      </c>
      <c r="AA344" s="14">
        <f t="shared" si="98"/>
        <v>1.2578030803663093E-2</v>
      </c>
    </row>
    <row r="345" spans="1:27" x14ac:dyDescent="0.3">
      <c r="A345" s="15" t="s">
        <v>115</v>
      </c>
      <c r="B345" s="48" t="str">
        <f>VLOOKUP(A345,MEMORIA!$A:$N,2,FALSE)</f>
        <v>SERVIÇOS PRELIMINARES</v>
      </c>
      <c r="C345" s="49"/>
      <c r="D345" s="49"/>
      <c r="E345" s="49"/>
      <c r="F345" s="49"/>
      <c r="G345" s="49"/>
      <c r="H345" s="50"/>
      <c r="I345" s="16">
        <f>SUM(I$346:I$347)</f>
        <v>1315.92</v>
      </c>
      <c r="J345" s="16">
        <f>SUM(J$346:J$347)</f>
        <v>0</v>
      </c>
      <c r="K345" s="16"/>
      <c r="L345" s="17">
        <f t="shared" si="91"/>
        <v>0</v>
      </c>
      <c r="M345" s="16">
        <f>SUM(M$346:M$347)</f>
        <v>0</v>
      </c>
      <c r="N345" s="16"/>
      <c r="O345" s="17">
        <f t="shared" si="92"/>
        <v>0</v>
      </c>
      <c r="P345" s="16">
        <f>SUM(P$346:P$347)</f>
        <v>0</v>
      </c>
      <c r="Q345" s="16"/>
      <c r="R345" s="17">
        <f t="shared" si="93"/>
        <v>0</v>
      </c>
      <c r="S345" s="16">
        <f>SUM(S$346:S$347)</f>
        <v>1315.92</v>
      </c>
      <c r="T345" s="16"/>
      <c r="U345" s="17">
        <f t="shared" si="94"/>
        <v>1</v>
      </c>
      <c r="V345" s="16">
        <f>SUM(V$346:V$347)</f>
        <v>0</v>
      </c>
      <c r="W345" s="16"/>
      <c r="X345" s="17">
        <f t="shared" si="95"/>
        <v>0</v>
      </c>
      <c r="Y345" s="16">
        <f t="shared" si="96"/>
        <v>1315.92</v>
      </c>
      <c r="Z345" s="17">
        <f t="shared" si="97"/>
        <v>1</v>
      </c>
      <c r="AA345" s="17">
        <f t="shared" si="98"/>
        <v>8.1638615407544121E-4</v>
      </c>
    </row>
    <row r="346" spans="1:27" ht="28.8" x14ac:dyDescent="0.3">
      <c r="A346" s="23" t="s">
        <v>412</v>
      </c>
      <c r="B346" s="23">
        <f>VLOOKUP(A346,MEMORIA!$A:$N,2,FALSE)</f>
        <v>98524</v>
      </c>
      <c r="C346" s="23" t="str">
        <f>VLOOKUP(A346,MEMORIA!$A:$N,3,FALSE)</f>
        <v>SINAPI</v>
      </c>
      <c r="D346" s="24" t="str">
        <f>VLOOKUP(A346,MEMORIA!$A:$N,4,FALSE)</f>
        <v>LIMPEZA MANUAL DE VEGETAÇÃO EM TERRENO COM ENXADA. AF_03/2024</v>
      </c>
      <c r="E346" s="23" t="str">
        <f>VLOOKUP(A346,MEMORIA!$A:$N,5,FALSE)</f>
        <v>M2</v>
      </c>
      <c r="F346" s="5">
        <f>VLOOKUP(A346,MEMORIA!$A:$N,14,FALSE)</f>
        <v>100</v>
      </c>
      <c r="G346" s="5">
        <f>VLOOKUP(A346,ORCAMENTO!$A:$I,7,FALSE)</f>
        <v>4.62</v>
      </c>
      <c r="H346" s="5">
        <f>VLOOKUP(A346,ORCAMENTO!$A:$I,8,FALSE)</f>
        <v>5.65</v>
      </c>
      <c r="I346" s="5">
        <f>ROUND(F346*H346,2)</f>
        <v>565</v>
      </c>
      <c r="J346" s="5">
        <f>ROUND(K346*$H346,2)</f>
        <v>0</v>
      </c>
      <c r="K346" s="5">
        <v>0</v>
      </c>
      <c r="L346" s="25">
        <f t="shared" si="91"/>
        <v>0</v>
      </c>
      <c r="M346" s="5">
        <f>ROUND(N346*$H346,2)</f>
        <v>0</v>
      </c>
      <c r="N346" s="5">
        <v>0</v>
      </c>
      <c r="O346" s="25">
        <f t="shared" si="92"/>
        <v>0</v>
      </c>
      <c r="P346" s="5">
        <f>ROUND(Q346*$H346,2)</f>
        <v>0</v>
      </c>
      <c r="Q346" s="5">
        <v>0</v>
      </c>
      <c r="R346" s="25">
        <f t="shared" si="93"/>
        <v>0</v>
      </c>
      <c r="S346" s="5">
        <f>ROUND(T346*$H346,2)</f>
        <v>565</v>
      </c>
      <c r="T346" s="5">
        <f t="shared" ref="T346:T347" si="99">F346</f>
        <v>100</v>
      </c>
      <c r="U346" s="25">
        <f t="shared" si="94"/>
        <v>1</v>
      </c>
      <c r="V346" s="5">
        <f>ROUND(W346*$H346,2)</f>
        <v>0</v>
      </c>
      <c r="W346" s="5">
        <v>0</v>
      </c>
      <c r="X346" s="25">
        <f t="shared" si="95"/>
        <v>0</v>
      </c>
      <c r="Y346" s="5">
        <f t="shared" si="96"/>
        <v>565</v>
      </c>
      <c r="Z346" s="25">
        <f t="shared" si="97"/>
        <v>1</v>
      </c>
      <c r="AA346" s="25">
        <f t="shared" si="98"/>
        <v>3.5052144283286539E-4</v>
      </c>
    </row>
    <row r="347" spans="1:27" ht="57.6" x14ac:dyDescent="0.3">
      <c r="A347" s="23" t="s">
        <v>413</v>
      </c>
      <c r="B347" s="23">
        <f>VLOOKUP(A347,MEMORIA!$A:$N,2,FALSE)</f>
        <v>99059</v>
      </c>
      <c r="C347" s="23" t="str">
        <f>VLOOKUP(A347,MEMORIA!$A:$N,3,FALSE)</f>
        <v>SINAPI</v>
      </c>
      <c r="D347" s="24" t="str">
        <f>VLOOKUP(A347,MEMORIA!$A:$N,4,FALSE)</f>
        <v>LOCAÇÃO CONVENCIONAL DE OBRA, UTILIZANDO GABARITO DE TÁBUAS CORRIDAS PONTALETADAS A CADA 2,00M - 2 UTILIZAÇÕES. AF_03/2024</v>
      </c>
      <c r="E347" s="23" t="str">
        <f>VLOOKUP(A347,MEMORIA!$A:$N,5,FALSE)</f>
        <v>M</v>
      </c>
      <c r="F347" s="5">
        <f>VLOOKUP(A347,MEMORIA!$A:$N,14,FALSE)</f>
        <v>10.199999999999999</v>
      </c>
      <c r="G347" s="5">
        <f>VLOOKUP(A347,ORCAMENTO!$A:$I,7,FALSE)</f>
        <v>60.18</v>
      </c>
      <c r="H347" s="5">
        <f>VLOOKUP(A347,ORCAMENTO!$A:$I,8,FALSE)</f>
        <v>73.62</v>
      </c>
      <c r="I347" s="5">
        <f>ROUND(F347*H347,2)</f>
        <v>750.92</v>
      </c>
      <c r="J347" s="5">
        <f>ROUND(K347*$H347,2)</f>
        <v>0</v>
      </c>
      <c r="K347" s="5">
        <v>0</v>
      </c>
      <c r="L347" s="25">
        <f t="shared" si="91"/>
        <v>0</v>
      </c>
      <c r="M347" s="5">
        <f>ROUND(N347*$H347,2)</f>
        <v>0</v>
      </c>
      <c r="N347" s="5">
        <v>0</v>
      </c>
      <c r="O347" s="25">
        <f t="shared" si="92"/>
        <v>0</v>
      </c>
      <c r="P347" s="5">
        <f>ROUND(Q347*$H347,2)</f>
        <v>0</v>
      </c>
      <c r="Q347" s="5">
        <v>0</v>
      </c>
      <c r="R347" s="25">
        <f t="shared" si="93"/>
        <v>0</v>
      </c>
      <c r="S347" s="5">
        <f>ROUND(T347*$H347,2)</f>
        <v>750.92</v>
      </c>
      <c r="T347" s="5">
        <f t="shared" si="99"/>
        <v>10.199999999999999</v>
      </c>
      <c r="U347" s="25">
        <f t="shared" si="94"/>
        <v>1</v>
      </c>
      <c r="V347" s="5">
        <f>ROUND(W347*$H347,2)</f>
        <v>0</v>
      </c>
      <c r="W347" s="5">
        <v>0</v>
      </c>
      <c r="X347" s="25">
        <f t="shared" si="95"/>
        <v>0</v>
      </c>
      <c r="Y347" s="5">
        <f t="shared" si="96"/>
        <v>750.92</v>
      </c>
      <c r="Z347" s="25">
        <f t="shared" si="97"/>
        <v>1</v>
      </c>
      <c r="AA347" s="25">
        <f t="shared" si="98"/>
        <v>4.6586471124257571E-4</v>
      </c>
    </row>
    <row r="348" spans="1:27" x14ac:dyDescent="0.3">
      <c r="A348" s="15" t="s">
        <v>116</v>
      </c>
      <c r="B348" s="48" t="str">
        <f>VLOOKUP(A348,MEMORIA!$A:$N,2,FALSE)</f>
        <v>MOVIMENTO DE TERRA</v>
      </c>
      <c r="C348" s="49"/>
      <c r="D348" s="49"/>
      <c r="E348" s="49"/>
      <c r="F348" s="49"/>
      <c r="G348" s="49"/>
      <c r="H348" s="50"/>
      <c r="I348" s="16">
        <f>SUM(I$349:I$349)</f>
        <v>161.76</v>
      </c>
      <c r="J348" s="16">
        <f>SUM(J$349:J$349)</f>
        <v>0</v>
      </c>
      <c r="K348" s="16"/>
      <c r="L348" s="17">
        <f t="shared" si="91"/>
        <v>0</v>
      </c>
      <c r="M348" s="16">
        <f>SUM(M$349:M$349)</f>
        <v>0</v>
      </c>
      <c r="N348" s="16"/>
      <c r="O348" s="17">
        <f t="shared" si="92"/>
        <v>0</v>
      </c>
      <c r="P348" s="16">
        <f>SUM(P$349:P$349)</f>
        <v>0</v>
      </c>
      <c r="Q348" s="16"/>
      <c r="R348" s="17">
        <f t="shared" si="93"/>
        <v>0</v>
      </c>
      <c r="S348" s="16">
        <f>SUM(S$349:S$349)</f>
        <v>161.76</v>
      </c>
      <c r="T348" s="16"/>
      <c r="U348" s="17">
        <f t="shared" si="94"/>
        <v>1</v>
      </c>
      <c r="V348" s="16">
        <f>SUM(V$349:V$349)</f>
        <v>0</v>
      </c>
      <c r="W348" s="16"/>
      <c r="X348" s="17">
        <f t="shared" si="95"/>
        <v>0</v>
      </c>
      <c r="Y348" s="16">
        <f t="shared" si="96"/>
        <v>161.76</v>
      </c>
      <c r="Z348" s="17">
        <f t="shared" si="97"/>
        <v>1</v>
      </c>
      <c r="AA348" s="17">
        <f t="shared" si="98"/>
        <v>1.0035459927901647E-4</v>
      </c>
    </row>
    <row r="349" spans="1:27" ht="28.8" x14ac:dyDescent="0.3">
      <c r="A349" s="23" t="s">
        <v>414</v>
      </c>
      <c r="B349" s="23">
        <f>VLOOKUP(A349,MEMORIA!$A:$N,2,FALSE)</f>
        <v>93358</v>
      </c>
      <c r="C349" s="23" t="str">
        <f>VLOOKUP(A349,MEMORIA!$A:$N,3,FALSE)</f>
        <v>SINAPI</v>
      </c>
      <c r="D349" s="24" t="str">
        <f>VLOOKUP(A349,MEMORIA!$A:$N,4,FALSE)</f>
        <v>ESCAVAÇÃO MANUAL DE VALA. AF_09/2024</v>
      </c>
      <c r="E349" s="23" t="str">
        <f>VLOOKUP(A349,MEMORIA!$A:$N,5,FALSE)</f>
        <v>M3</v>
      </c>
      <c r="F349" s="5">
        <f>VLOOKUP(A349,MEMORIA!$A:$N,14,FALSE)</f>
        <v>1.54</v>
      </c>
      <c r="G349" s="5">
        <f>VLOOKUP(A349,ORCAMENTO!$A:$I,7,FALSE)</f>
        <v>85.87</v>
      </c>
      <c r="H349" s="5">
        <f>VLOOKUP(A349,ORCAMENTO!$A:$I,8,FALSE)</f>
        <v>105.04</v>
      </c>
      <c r="I349" s="5">
        <f>ROUND(F349*H349,2)</f>
        <v>161.76</v>
      </c>
      <c r="J349" s="5">
        <f>ROUND(K349*$H349,2)</f>
        <v>0</v>
      </c>
      <c r="K349" s="5">
        <v>0</v>
      </c>
      <c r="L349" s="25">
        <f t="shared" si="91"/>
        <v>0</v>
      </c>
      <c r="M349" s="5">
        <f>ROUND(N349*$H349,2)</f>
        <v>0</v>
      </c>
      <c r="N349" s="5">
        <v>0</v>
      </c>
      <c r="O349" s="25">
        <f t="shared" si="92"/>
        <v>0</v>
      </c>
      <c r="P349" s="5">
        <f>ROUND(Q349*$H349,2)</f>
        <v>0</v>
      </c>
      <c r="Q349" s="5">
        <v>0</v>
      </c>
      <c r="R349" s="25">
        <f t="shared" si="93"/>
        <v>0</v>
      </c>
      <c r="S349" s="5">
        <f>ROUND(T349*$H349,2)</f>
        <v>161.76</v>
      </c>
      <c r="T349" s="5">
        <f t="shared" ref="T349" si="100">F349</f>
        <v>1.54</v>
      </c>
      <c r="U349" s="25">
        <f t="shared" si="94"/>
        <v>1</v>
      </c>
      <c r="V349" s="5">
        <f>ROUND(W349*$H349,2)</f>
        <v>0</v>
      </c>
      <c r="W349" s="5">
        <v>0</v>
      </c>
      <c r="X349" s="25">
        <f t="shared" si="95"/>
        <v>0</v>
      </c>
      <c r="Y349" s="5">
        <f t="shared" si="96"/>
        <v>161.76</v>
      </c>
      <c r="Z349" s="25">
        <f t="shared" si="97"/>
        <v>1</v>
      </c>
      <c r="AA349" s="25">
        <f t="shared" si="98"/>
        <v>1.0035459927901647E-4</v>
      </c>
    </row>
    <row r="350" spans="1:27" x14ac:dyDescent="0.3">
      <c r="A350" s="15" t="s">
        <v>117</v>
      </c>
      <c r="B350" s="48" t="str">
        <f>VLOOKUP(A350,MEMORIA!$A:$N,2,FALSE)</f>
        <v>INFRAESTRUTURA</v>
      </c>
      <c r="C350" s="49"/>
      <c r="D350" s="49"/>
      <c r="E350" s="49"/>
      <c r="F350" s="49"/>
      <c r="G350" s="49"/>
      <c r="H350" s="50"/>
      <c r="I350" s="16">
        <f>SUM(I$351:I$353)</f>
        <v>1229.81</v>
      </c>
      <c r="J350" s="16">
        <f>SUM(J$351:J$353)</f>
        <v>0</v>
      </c>
      <c r="K350" s="16"/>
      <c r="L350" s="17">
        <f t="shared" si="91"/>
        <v>0</v>
      </c>
      <c r="M350" s="16">
        <f>SUM(M$351:M$353)</f>
        <v>0</v>
      </c>
      <c r="N350" s="16"/>
      <c r="O350" s="17">
        <f t="shared" si="92"/>
        <v>0</v>
      </c>
      <c r="P350" s="16">
        <f>SUM(P$351:P$353)</f>
        <v>0</v>
      </c>
      <c r="Q350" s="16"/>
      <c r="R350" s="17">
        <f t="shared" si="93"/>
        <v>0</v>
      </c>
      <c r="S350" s="16">
        <f>SUM(S$351:S$353)</f>
        <v>1229.81</v>
      </c>
      <c r="T350" s="16"/>
      <c r="U350" s="17">
        <f t="shared" si="94"/>
        <v>1</v>
      </c>
      <c r="V350" s="16">
        <f>SUM(V$351:V$353)</f>
        <v>0</v>
      </c>
      <c r="W350" s="16"/>
      <c r="X350" s="17">
        <f t="shared" si="95"/>
        <v>0</v>
      </c>
      <c r="Y350" s="16">
        <f t="shared" si="96"/>
        <v>1229.81</v>
      </c>
      <c r="Z350" s="17">
        <f t="shared" si="97"/>
        <v>1</v>
      </c>
      <c r="AA350" s="17">
        <f t="shared" si="98"/>
        <v>7.6296420461997557E-4</v>
      </c>
    </row>
    <row r="351" spans="1:27" ht="28.8" x14ac:dyDescent="0.3">
      <c r="A351" s="23" t="s">
        <v>415</v>
      </c>
      <c r="B351" s="23">
        <f>VLOOKUP(A351,MEMORIA!$A:$N,2,FALSE)</f>
        <v>96617</v>
      </c>
      <c r="C351" s="23" t="str">
        <f>VLOOKUP(A351,MEMORIA!$A:$N,3,FALSE)</f>
        <v>SINAPI</v>
      </c>
      <c r="D351" s="24" t="str">
        <f>VLOOKUP(A351,MEMORIA!$A:$N,4,FALSE)</f>
        <v>LASTRO DE CONCRETO MAGRO, APLICADO EM BLOCOS DE COROAMENTO OU SAPATAS, ESPESSURA DE 3 CM. AF_01/2024</v>
      </c>
      <c r="E351" s="23" t="str">
        <f>VLOOKUP(A351,MEMORIA!$A:$N,5,FALSE)</f>
        <v>M2</v>
      </c>
      <c r="F351" s="5">
        <f>VLOOKUP(A351,MEMORIA!$A:$N,14,FALSE)</f>
        <v>2.58</v>
      </c>
      <c r="G351" s="5">
        <f>VLOOKUP(A351,ORCAMENTO!$A:$I,7,FALSE)</f>
        <v>23.57</v>
      </c>
      <c r="H351" s="5">
        <f>VLOOKUP(A351,ORCAMENTO!$A:$I,8,FALSE)</f>
        <v>28.83</v>
      </c>
      <c r="I351" s="5">
        <f>ROUND(F351*H351,2)</f>
        <v>74.38</v>
      </c>
      <c r="J351" s="5">
        <f>ROUND(K351*$H351,2)</f>
        <v>0</v>
      </c>
      <c r="K351" s="5">
        <v>0</v>
      </c>
      <c r="L351" s="25">
        <f t="shared" si="91"/>
        <v>0</v>
      </c>
      <c r="M351" s="5">
        <f>ROUND(N351*$H351,2)</f>
        <v>0</v>
      </c>
      <c r="N351" s="5">
        <v>0</v>
      </c>
      <c r="O351" s="25">
        <f t="shared" si="92"/>
        <v>0</v>
      </c>
      <c r="P351" s="5">
        <f>ROUND(Q351*$H351,2)</f>
        <v>0</v>
      </c>
      <c r="Q351" s="5">
        <v>0</v>
      </c>
      <c r="R351" s="25">
        <f t="shared" si="93"/>
        <v>0</v>
      </c>
      <c r="S351" s="5">
        <f>ROUND(T351*$H351,2)</f>
        <v>74.38</v>
      </c>
      <c r="T351" s="5">
        <f t="shared" ref="T351:T353" si="101">F351</f>
        <v>2.58</v>
      </c>
      <c r="U351" s="25">
        <f t="shared" si="94"/>
        <v>1</v>
      </c>
      <c r="V351" s="5">
        <f>ROUND(W351*$H351,2)</f>
        <v>0</v>
      </c>
      <c r="W351" s="5">
        <v>0</v>
      </c>
      <c r="X351" s="25">
        <f t="shared" si="95"/>
        <v>0</v>
      </c>
      <c r="Y351" s="5">
        <f t="shared" si="96"/>
        <v>74.38</v>
      </c>
      <c r="Z351" s="25">
        <f t="shared" si="97"/>
        <v>1</v>
      </c>
      <c r="AA351" s="25">
        <f t="shared" si="98"/>
        <v>4.6144752067094741E-5</v>
      </c>
    </row>
    <row r="352" spans="1:27" ht="72" x14ac:dyDescent="0.3">
      <c r="A352" s="23" t="s">
        <v>416</v>
      </c>
      <c r="B352" s="23">
        <f>VLOOKUP(A352,MEMORIA!$A:$N,2,FALSE)</f>
        <v>103800</v>
      </c>
      <c r="C352" s="23" t="str">
        <f>VLOOKUP(A352,MEMORIA!$A:$N,3,FALSE)</f>
        <v>SINAPI</v>
      </c>
      <c r="D352" s="24" t="str">
        <f>VLOOKUP(A352,MEMORIA!$A:$N,4,FALSE)</f>
        <v>PEDRA ARGAMASSADA COM CIMENTO E AREIA 1:3, 40% DE ARGAMASSA EM VOLUME - AREIA E PEDRA DE MÃO COMERCIAIS - FORNECIMENTO E ASSENTAMENTO. AF_08/2022</v>
      </c>
      <c r="E352" s="23" t="str">
        <f>VLOOKUP(A352,MEMORIA!$A:$N,5,FALSE)</f>
        <v>M3</v>
      </c>
      <c r="F352" s="5">
        <f>VLOOKUP(A352,MEMORIA!$A:$N,14,FALSE)</f>
        <v>1.04</v>
      </c>
      <c r="G352" s="5">
        <f>VLOOKUP(A352,ORCAMENTO!$A:$I,7,FALSE)</f>
        <v>666</v>
      </c>
      <c r="H352" s="5">
        <f>VLOOKUP(A352,ORCAMENTO!$A:$I,8,FALSE)</f>
        <v>814.72</v>
      </c>
      <c r="I352" s="5">
        <f>ROUND(F352*H352,2)</f>
        <v>847.31</v>
      </c>
      <c r="J352" s="5">
        <f>ROUND(K352*$H352,2)</f>
        <v>0</v>
      </c>
      <c r="K352" s="5">
        <v>0</v>
      </c>
      <c r="L352" s="25">
        <f t="shared" si="91"/>
        <v>0</v>
      </c>
      <c r="M352" s="5">
        <f>ROUND(N352*$H352,2)</f>
        <v>0</v>
      </c>
      <c r="N352" s="5">
        <v>0</v>
      </c>
      <c r="O352" s="25">
        <f t="shared" si="92"/>
        <v>0</v>
      </c>
      <c r="P352" s="5">
        <f>ROUND(Q352*$H352,2)</f>
        <v>0</v>
      </c>
      <c r="Q352" s="5">
        <v>0</v>
      </c>
      <c r="R352" s="25">
        <f t="shared" si="93"/>
        <v>0</v>
      </c>
      <c r="S352" s="5">
        <f>ROUND(T352*$H352,2)</f>
        <v>847.31</v>
      </c>
      <c r="T352" s="5">
        <f t="shared" si="101"/>
        <v>1.04</v>
      </c>
      <c r="U352" s="25">
        <f t="shared" si="94"/>
        <v>1</v>
      </c>
      <c r="V352" s="5">
        <f>ROUND(W352*$H352,2)</f>
        <v>0</v>
      </c>
      <c r="W352" s="5">
        <v>0</v>
      </c>
      <c r="X352" s="25">
        <f t="shared" si="95"/>
        <v>0</v>
      </c>
      <c r="Y352" s="5">
        <f t="shared" si="96"/>
        <v>847.31</v>
      </c>
      <c r="Z352" s="25">
        <f t="shared" si="97"/>
        <v>1</v>
      </c>
      <c r="AA352" s="25">
        <f t="shared" si="98"/>
        <v>5.2566428978179677E-4</v>
      </c>
    </row>
    <row r="353" spans="1:27" ht="86.4" x14ac:dyDescent="0.3">
      <c r="A353" s="23" t="s">
        <v>417</v>
      </c>
      <c r="B353" s="23">
        <f>VLOOKUP(A353,MEMORIA!$A:$N,2,FALSE)</f>
        <v>103335</v>
      </c>
      <c r="C353" s="23" t="str">
        <f>VLOOKUP(A353,MEMORIA!$A:$N,3,FALSE)</f>
        <v>SINAPI</v>
      </c>
      <c r="D353" s="24" t="str">
        <f>VLOOKUP(A353,MEMORIA!$A:$N,4,FALSE)</f>
        <v>ALVENARIA DE VEDAÇÃO DE BLOCOS CERÂMICOS FURADOS NA HORIZONTAL DE 14X9X19 CM (ESPESSURA 14 CM, BLOCO DEITADO) E ARGAMASSA DE ASSENTAMENTO COM PREPARO MANUAL. AF_12/2021</v>
      </c>
      <c r="E353" s="23" t="str">
        <f>VLOOKUP(A353,MEMORIA!$A:$N,5,FALSE)</f>
        <v>M2</v>
      </c>
      <c r="F353" s="5">
        <f>VLOOKUP(A353,MEMORIA!$A:$N,14,FALSE)</f>
        <v>1.7200000000000002</v>
      </c>
      <c r="G353" s="5">
        <f>VLOOKUP(A353,ORCAMENTO!$A:$I,7,FALSE)</f>
        <v>146.44</v>
      </c>
      <c r="H353" s="5">
        <f>VLOOKUP(A353,ORCAMENTO!$A:$I,8,FALSE)</f>
        <v>179.14</v>
      </c>
      <c r="I353" s="5">
        <f>ROUND(F353*H353,2)</f>
        <v>308.12</v>
      </c>
      <c r="J353" s="5">
        <f>ROUND(K353*$H353,2)</f>
        <v>0</v>
      </c>
      <c r="K353" s="5">
        <v>0</v>
      </c>
      <c r="L353" s="25">
        <f t="shared" si="91"/>
        <v>0</v>
      </c>
      <c r="M353" s="5">
        <f>ROUND(N353*$H353,2)</f>
        <v>0</v>
      </c>
      <c r="N353" s="5">
        <v>0</v>
      </c>
      <c r="O353" s="25">
        <f t="shared" si="92"/>
        <v>0</v>
      </c>
      <c r="P353" s="5">
        <f>ROUND(Q353*$H353,2)</f>
        <v>0</v>
      </c>
      <c r="Q353" s="5">
        <v>0</v>
      </c>
      <c r="R353" s="25">
        <f t="shared" si="93"/>
        <v>0</v>
      </c>
      <c r="S353" s="5">
        <f>ROUND(T353*$H353,2)</f>
        <v>308.12</v>
      </c>
      <c r="T353" s="5">
        <f t="shared" si="101"/>
        <v>1.7200000000000002</v>
      </c>
      <c r="U353" s="25">
        <f t="shared" si="94"/>
        <v>1</v>
      </c>
      <c r="V353" s="5">
        <f>ROUND(W353*$H353,2)</f>
        <v>0</v>
      </c>
      <c r="W353" s="5">
        <v>0</v>
      </c>
      <c r="X353" s="25">
        <f t="shared" si="95"/>
        <v>0</v>
      </c>
      <c r="Y353" s="5">
        <f t="shared" si="96"/>
        <v>308.12</v>
      </c>
      <c r="Z353" s="25">
        <f t="shared" si="97"/>
        <v>1</v>
      </c>
      <c r="AA353" s="25">
        <f t="shared" si="98"/>
        <v>1.9115516277108405E-4</v>
      </c>
    </row>
    <row r="354" spans="1:27" x14ac:dyDescent="0.3">
      <c r="A354" s="15" t="s">
        <v>118</v>
      </c>
      <c r="B354" s="48" t="str">
        <f>VLOOKUP(A354,MEMORIA!$A:$N,2,FALSE)</f>
        <v>SUPERESTRUTURA</v>
      </c>
      <c r="C354" s="49"/>
      <c r="D354" s="49"/>
      <c r="E354" s="49"/>
      <c r="F354" s="49"/>
      <c r="G354" s="49"/>
      <c r="H354" s="50"/>
      <c r="I354" s="16">
        <f>SUM(I$355:I$356)</f>
        <v>1323.3</v>
      </c>
      <c r="J354" s="16">
        <f>SUM(J$355:J$356)</f>
        <v>0</v>
      </c>
      <c r="K354" s="16"/>
      <c r="L354" s="17">
        <f t="shared" si="91"/>
        <v>0</v>
      </c>
      <c r="M354" s="16">
        <f>SUM(M$355:M$356)</f>
        <v>0</v>
      </c>
      <c r="N354" s="16"/>
      <c r="O354" s="17">
        <f t="shared" si="92"/>
        <v>0</v>
      </c>
      <c r="P354" s="16">
        <f>SUM(P$355:P$356)</f>
        <v>0</v>
      </c>
      <c r="Q354" s="16"/>
      <c r="R354" s="17">
        <f t="shared" si="93"/>
        <v>0</v>
      </c>
      <c r="S354" s="16">
        <f>SUM(S$355:S$356)</f>
        <v>1323.3</v>
      </c>
      <c r="T354" s="16"/>
      <c r="U354" s="17">
        <f t="shared" si="94"/>
        <v>1</v>
      </c>
      <c r="V354" s="16">
        <f>SUM(V$355:V$356)</f>
        <v>0</v>
      </c>
      <c r="W354" s="16"/>
      <c r="X354" s="17">
        <f t="shared" si="95"/>
        <v>0</v>
      </c>
      <c r="Y354" s="16">
        <f t="shared" si="96"/>
        <v>1323.3</v>
      </c>
      <c r="Z354" s="17">
        <f t="shared" si="97"/>
        <v>1</v>
      </c>
      <c r="AA354" s="17">
        <f t="shared" si="98"/>
        <v>8.20964646549966E-4</v>
      </c>
    </row>
    <row r="355" spans="1:27" ht="28.8" x14ac:dyDescent="0.3">
      <c r="A355" s="23" t="s">
        <v>418</v>
      </c>
      <c r="B355" s="23" t="str">
        <f>VLOOKUP(A355,MEMORIA!$A:$N,2,FALSE)</f>
        <v>COMPCOM01</v>
      </c>
      <c r="C355" s="23" t="str">
        <f>VLOOKUP(A355,MEMORIA!$A:$N,3,FALSE)</f>
        <v>PRÓPRIA</v>
      </c>
      <c r="D355" s="24" t="str">
        <f>VLOOKUP(A355,MEMORIA!$A:$N,4,FALSE)</f>
        <v>CINTA DE AMARRAÇÃO DE ALVENARIA MOLDADA IN LOCO EM CONCRETO</v>
      </c>
      <c r="E355" s="23" t="str">
        <f>VLOOKUP(A355,MEMORIA!$A:$N,5,FALSE)</f>
        <v>M</v>
      </c>
      <c r="F355" s="5">
        <f>VLOOKUP(A355,MEMORIA!$A:$N,14,FALSE)</f>
        <v>8.6</v>
      </c>
      <c r="G355" s="5">
        <f>VLOOKUP(A355,ORCAMENTO!$A:$I,7,FALSE)</f>
        <v>81.47999999999999</v>
      </c>
      <c r="H355" s="5">
        <f>VLOOKUP(A355,ORCAMENTO!$A:$I,8,FALSE)</f>
        <v>99.669999999999987</v>
      </c>
      <c r="I355" s="5">
        <f>ROUND(F355*H355,2)</f>
        <v>857.16</v>
      </c>
      <c r="J355" s="5">
        <f>ROUND(K355*$H355,2)</f>
        <v>0</v>
      </c>
      <c r="K355" s="5">
        <v>0</v>
      </c>
      <c r="L355" s="25">
        <f t="shared" si="91"/>
        <v>0</v>
      </c>
      <c r="M355" s="5">
        <f>ROUND(N355*$H355,2)</f>
        <v>0</v>
      </c>
      <c r="N355" s="5">
        <v>0</v>
      </c>
      <c r="O355" s="25">
        <f t="shared" si="92"/>
        <v>0</v>
      </c>
      <c r="P355" s="5">
        <f>ROUND(Q355*$H355,2)</f>
        <v>0</v>
      </c>
      <c r="Q355" s="5">
        <v>0</v>
      </c>
      <c r="R355" s="25">
        <f t="shared" si="93"/>
        <v>0</v>
      </c>
      <c r="S355" s="5">
        <f>ROUND(T355*$H355,2)</f>
        <v>857.16</v>
      </c>
      <c r="T355" s="5">
        <f t="shared" ref="T355:T356" si="102">F355</f>
        <v>8.6</v>
      </c>
      <c r="U355" s="25">
        <f t="shared" si="94"/>
        <v>1</v>
      </c>
      <c r="V355" s="5">
        <f>ROUND(W355*$H355,2)</f>
        <v>0</v>
      </c>
      <c r="W355" s="5">
        <v>0</v>
      </c>
      <c r="X355" s="25">
        <f t="shared" si="95"/>
        <v>0</v>
      </c>
      <c r="Y355" s="5">
        <f t="shared" si="96"/>
        <v>857.16</v>
      </c>
      <c r="Z355" s="25">
        <f t="shared" si="97"/>
        <v>1</v>
      </c>
      <c r="AA355" s="25">
        <f t="shared" si="98"/>
        <v>5.3177515033383876E-4</v>
      </c>
    </row>
    <row r="356" spans="1:27" ht="72" x14ac:dyDescent="0.3">
      <c r="A356" s="23" t="s">
        <v>419</v>
      </c>
      <c r="B356" s="23" t="str">
        <f>VLOOKUP(A356,MEMORIA!$A:$N,2,FALSE)</f>
        <v>COMPCOM02</v>
      </c>
      <c r="C356" s="23" t="str">
        <f>VLOOKUP(A356,MEMORIA!$A:$N,3,FALSE)</f>
        <v>PRÓPRIA</v>
      </c>
      <c r="D356" s="24" t="str">
        <f>VLOOKUP(A356,MEMORIA!$A:$N,4,FALSE)</f>
        <v>(COMPOSIÇÃO REPRESENTATIVA) EXECUÇÃO DE ESTRUTURAS DE CONCRETO ARMADO, PARA EDIFICAÇÃO INSTITUCIONAL TÉRREA, FCK = 25 MPA</v>
      </c>
      <c r="E356" s="23" t="str">
        <f>VLOOKUP(A356,MEMORIA!$A:$N,5,FALSE)</f>
        <v>M³</v>
      </c>
      <c r="F356" s="5">
        <f>VLOOKUP(A356,MEMORIA!$A:$N,14,FALSE)</f>
        <v>0.30000000000000004</v>
      </c>
      <c r="G356" s="5">
        <f>VLOOKUP(A356,ORCAMENTO!$A:$I,7,FALSE)</f>
        <v>1270.1599999999999</v>
      </c>
      <c r="H356" s="5">
        <f>VLOOKUP(A356,ORCAMENTO!$A:$I,8,FALSE)</f>
        <v>1553.79</v>
      </c>
      <c r="I356" s="5">
        <f>ROUND(F356*H356,2)</f>
        <v>466.14</v>
      </c>
      <c r="J356" s="5">
        <f>ROUND(K356*$H356,2)</f>
        <v>0</v>
      </c>
      <c r="K356" s="5">
        <v>0</v>
      </c>
      <c r="L356" s="25">
        <f t="shared" si="91"/>
        <v>0</v>
      </c>
      <c r="M356" s="5">
        <f>ROUND(N356*$H356,2)</f>
        <v>0</v>
      </c>
      <c r="N356" s="5">
        <v>0</v>
      </c>
      <c r="O356" s="25">
        <f t="shared" si="92"/>
        <v>0</v>
      </c>
      <c r="P356" s="5">
        <f>ROUND(Q356*$H356,2)</f>
        <v>0</v>
      </c>
      <c r="Q356" s="5">
        <v>0</v>
      </c>
      <c r="R356" s="25">
        <f t="shared" si="93"/>
        <v>0</v>
      </c>
      <c r="S356" s="5">
        <f>ROUND(T356*$H356,2)</f>
        <v>466.14</v>
      </c>
      <c r="T356" s="5">
        <f t="shared" si="102"/>
        <v>0.30000000000000004</v>
      </c>
      <c r="U356" s="25">
        <f t="shared" si="94"/>
        <v>1</v>
      </c>
      <c r="V356" s="5">
        <f>ROUND(W356*$H356,2)</f>
        <v>0</v>
      </c>
      <c r="W356" s="5">
        <v>0</v>
      </c>
      <c r="X356" s="25">
        <f t="shared" si="95"/>
        <v>0</v>
      </c>
      <c r="Y356" s="5">
        <f t="shared" si="96"/>
        <v>466.14</v>
      </c>
      <c r="Z356" s="25">
        <f t="shared" si="97"/>
        <v>1</v>
      </c>
      <c r="AA356" s="25">
        <f t="shared" si="98"/>
        <v>2.8918949621612724E-4</v>
      </c>
    </row>
    <row r="357" spans="1:27" x14ac:dyDescent="0.3">
      <c r="A357" s="15" t="s">
        <v>119</v>
      </c>
      <c r="B357" s="48" t="str">
        <f>VLOOKUP(A357,MEMORIA!$A:$N,2,FALSE)</f>
        <v>VEDAÇÃO VERTICAL</v>
      </c>
      <c r="C357" s="49"/>
      <c r="D357" s="49"/>
      <c r="E357" s="49"/>
      <c r="F357" s="49"/>
      <c r="G357" s="49"/>
      <c r="H357" s="50"/>
      <c r="I357" s="16">
        <f>SUM(I$358:I$359)</f>
        <v>2620</v>
      </c>
      <c r="J357" s="16">
        <f>SUM(J$358:J$359)</f>
        <v>0</v>
      </c>
      <c r="K357" s="16"/>
      <c r="L357" s="17">
        <f t="shared" si="91"/>
        <v>0</v>
      </c>
      <c r="M357" s="16">
        <f>SUM(M$358:M$359)</f>
        <v>0</v>
      </c>
      <c r="N357" s="16"/>
      <c r="O357" s="17">
        <f t="shared" si="92"/>
        <v>0</v>
      </c>
      <c r="P357" s="16">
        <f>SUM(P$358:P$359)</f>
        <v>0</v>
      </c>
      <c r="Q357" s="16"/>
      <c r="R357" s="17">
        <f t="shared" si="93"/>
        <v>0</v>
      </c>
      <c r="S357" s="16">
        <f>SUM(S$358:S$359)</f>
        <v>2620</v>
      </c>
      <c r="T357" s="16"/>
      <c r="U357" s="17">
        <f t="shared" si="94"/>
        <v>1</v>
      </c>
      <c r="V357" s="16">
        <f>SUM(V$358:V$359)</f>
        <v>0</v>
      </c>
      <c r="W357" s="16"/>
      <c r="X357" s="17">
        <f t="shared" si="95"/>
        <v>0</v>
      </c>
      <c r="Y357" s="16">
        <f t="shared" si="96"/>
        <v>2620</v>
      </c>
      <c r="Z357" s="17">
        <f t="shared" si="97"/>
        <v>1</v>
      </c>
      <c r="AA357" s="17">
        <f t="shared" si="98"/>
        <v>1.6254268676497475E-3</v>
      </c>
    </row>
    <row r="358" spans="1:27" ht="72" x14ac:dyDescent="0.3">
      <c r="A358" s="23" t="s">
        <v>420</v>
      </c>
      <c r="B358" s="23">
        <f>VLOOKUP(A358,MEMORIA!$A:$N,2,FALSE)</f>
        <v>103329</v>
      </c>
      <c r="C358" s="23" t="str">
        <f>VLOOKUP(A358,MEMORIA!$A:$N,3,FALSE)</f>
        <v>SINAPI</v>
      </c>
      <c r="D358" s="24" t="str">
        <f>VLOOKUP(A358,MEMORIA!$A:$N,4,FALSE)</f>
        <v>ALVENARIA DE VEDAÇÃO DE BLOCOS CERÂMICOS FURADOS NA HORIZONTAL DE 9X19X19 CM (ESPESSURA 9 CM) E ARGAMASSA DE ASSENTAMENTO COM PREPARO MANUAL. AF_12/2021</v>
      </c>
      <c r="E358" s="23" t="str">
        <f>VLOOKUP(A358,MEMORIA!$A:$N,5,FALSE)</f>
        <v>M2</v>
      </c>
      <c r="F358" s="5">
        <f>VLOOKUP(A358,MEMORIA!$A:$N,14,FALSE)</f>
        <v>19.310000000000002</v>
      </c>
      <c r="G358" s="5">
        <f>VLOOKUP(A358,ORCAMENTO!$A:$I,7,FALSE)</f>
        <v>95.039999999999992</v>
      </c>
      <c r="H358" s="5">
        <f>VLOOKUP(A358,ORCAMENTO!$A:$I,8,FALSE)</f>
        <v>116.25999999999999</v>
      </c>
      <c r="I358" s="5">
        <f>ROUND(F358*H358,2)</f>
        <v>2244.98</v>
      </c>
      <c r="J358" s="5">
        <f>ROUND(K358*$H358,2)</f>
        <v>0</v>
      </c>
      <c r="K358" s="5">
        <v>0</v>
      </c>
      <c r="L358" s="25">
        <f t="shared" si="91"/>
        <v>0</v>
      </c>
      <c r="M358" s="5">
        <f>ROUND(N358*$H358,2)</f>
        <v>0</v>
      </c>
      <c r="N358" s="5">
        <v>0</v>
      </c>
      <c r="O358" s="25">
        <f t="shared" si="92"/>
        <v>0</v>
      </c>
      <c r="P358" s="5">
        <f>ROUND(Q358*$H358,2)</f>
        <v>0</v>
      </c>
      <c r="Q358" s="5">
        <v>0</v>
      </c>
      <c r="R358" s="25">
        <f t="shared" si="93"/>
        <v>0</v>
      </c>
      <c r="S358" s="5">
        <f>ROUND(T358*$H358,2)</f>
        <v>2244.98</v>
      </c>
      <c r="T358" s="5">
        <f t="shared" ref="T358:T359" si="103">F358</f>
        <v>19.310000000000002</v>
      </c>
      <c r="U358" s="25">
        <f t="shared" si="94"/>
        <v>1</v>
      </c>
      <c r="V358" s="5">
        <f>ROUND(W358*$H358,2)</f>
        <v>0</v>
      </c>
      <c r="W358" s="5">
        <v>0</v>
      </c>
      <c r="X358" s="25">
        <f t="shared" si="95"/>
        <v>0</v>
      </c>
      <c r="Y358" s="5">
        <f t="shared" si="96"/>
        <v>2244.98</v>
      </c>
      <c r="Z358" s="25">
        <f t="shared" si="97"/>
        <v>1</v>
      </c>
      <c r="AA358" s="25">
        <f t="shared" si="98"/>
        <v>1.3927674844795154E-3</v>
      </c>
    </row>
    <row r="359" spans="1:27" ht="72" x14ac:dyDescent="0.3">
      <c r="A359" s="23" t="s">
        <v>421</v>
      </c>
      <c r="B359" s="23">
        <f>VLOOKUP(A359,MEMORIA!$A:$N,2,FALSE)</f>
        <v>101161</v>
      </c>
      <c r="C359" s="23" t="str">
        <f>VLOOKUP(A359,MEMORIA!$A:$N,3,FALSE)</f>
        <v>SINAPI</v>
      </c>
      <c r="D359" s="24" t="str">
        <f>VLOOKUP(A359,MEMORIA!$A:$N,4,FALSE)</f>
        <v>ALVENARIA DE VEDAÇÃO COM ELEMENTO VAZADO DE CONCRETO (COBOGÓ) DE 7X50X50CM E ARGAMASSA DE ASSENTAMENTO COM PREPARO EM BETONEIRA. AF_05/2020</v>
      </c>
      <c r="E359" s="23" t="str">
        <f>VLOOKUP(A359,MEMORIA!$A:$N,5,FALSE)</f>
        <v>M2</v>
      </c>
      <c r="F359" s="5">
        <f>VLOOKUP(A359,MEMORIA!$A:$N,14,FALSE)</f>
        <v>1.5</v>
      </c>
      <c r="G359" s="5">
        <f>VLOOKUP(A359,ORCAMENTO!$A:$I,7,FALSE)</f>
        <v>204.37</v>
      </c>
      <c r="H359" s="5">
        <f>VLOOKUP(A359,ORCAMENTO!$A:$I,8,FALSE)</f>
        <v>250.01</v>
      </c>
      <c r="I359" s="5">
        <f>ROUND(F359*H359,2)</f>
        <v>375.02</v>
      </c>
      <c r="J359" s="5">
        <f>ROUND(K359*$H359,2)</f>
        <v>0</v>
      </c>
      <c r="K359" s="5">
        <v>0</v>
      </c>
      <c r="L359" s="25">
        <f t="shared" si="91"/>
        <v>0</v>
      </c>
      <c r="M359" s="5">
        <f>ROUND(N359*$H359,2)</f>
        <v>0</v>
      </c>
      <c r="N359" s="5">
        <v>0</v>
      </c>
      <c r="O359" s="25">
        <f t="shared" si="92"/>
        <v>0</v>
      </c>
      <c r="P359" s="5">
        <f>ROUND(Q359*$H359,2)</f>
        <v>0</v>
      </c>
      <c r="Q359" s="5">
        <v>0</v>
      </c>
      <c r="R359" s="25">
        <f t="shared" si="93"/>
        <v>0</v>
      </c>
      <c r="S359" s="5">
        <f>ROUND(T359*$H359,2)</f>
        <v>375.02</v>
      </c>
      <c r="T359" s="5">
        <f t="shared" si="103"/>
        <v>1.5</v>
      </c>
      <c r="U359" s="25">
        <f t="shared" si="94"/>
        <v>1</v>
      </c>
      <c r="V359" s="5">
        <f>ROUND(W359*$H359,2)</f>
        <v>0</v>
      </c>
      <c r="W359" s="5">
        <v>0</v>
      </c>
      <c r="X359" s="25">
        <f t="shared" si="95"/>
        <v>0</v>
      </c>
      <c r="Y359" s="5">
        <f t="shared" si="96"/>
        <v>375.02</v>
      </c>
      <c r="Z359" s="25">
        <f t="shared" si="97"/>
        <v>1</v>
      </c>
      <c r="AA359" s="25">
        <f t="shared" si="98"/>
        <v>2.3265938317023217E-4</v>
      </c>
    </row>
    <row r="360" spans="1:27" x14ac:dyDescent="0.3">
      <c r="A360" s="15" t="s">
        <v>120</v>
      </c>
      <c r="B360" s="48" t="str">
        <f>VLOOKUP(A360,MEMORIA!$A:$N,2,FALSE)</f>
        <v>COBERTURA</v>
      </c>
      <c r="C360" s="49"/>
      <c r="D360" s="49"/>
      <c r="E360" s="49"/>
      <c r="F360" s="49"/>
      <c r="G360" s="49"/>
      <c r="H360" s="50"/>
      <c r="I360" s="16">
        <f>SUM(I$361:I$362)</f>
        <v>1305.45</v>
      </c>
      <c r="J360" s="16">
        <f>SUM(J$361:J$362)</f>
        <v>0</v>
      </c>
      <c r="K360" s="16"/>
      <c r="L360" s="17">
        <f t="shared" si="91"/>
        <v>0</v>
      </c>
      <c r="M360" s="16">
        <f>SUM(M$361:M$362)</f>
        <v>0</v>
      </c>
      <c r="N360" s="16"/>
      <c r="O360" s="17">
        <f t="shared" si="92"/>
        <v>0</v>
      </c>
      <c r="P360" s="16">
        <f>SUM(P$361:P$362)</f>
        <v>0</v>
      </c>
      <c r="Q360" s="16"/>
      <c r="R360" s="17">
        <f t="shared" si="93"/>
        <v>0</v>
      </c>
      <c r="S360" s="16">
        <f>SUM(S$361:S$362)</f>
        <v>1305.45</v>
      </c>
      <c r="T360" s="16"/>
      <c r="U360" s="17">
        <f t="shared" si="94"/>
        <v>1</v>
      </c>
      <c r="V360" s="16">
        <f>SUM(V$361:V$362)</f>
        <v>0</v>
      </c>
      <c r="W360" s="16"/>
      <c r="X360" s="17">
        <f t="shared" si="95"/>
        <v>0</v>
      </c>
      <c r="Y360" s="16">
        <f t="shared" si="96"/>
        <v>1305.45</v>
      </c>
      <c r="Z360" s="17">
        <f t="shared" si="97"/>
        <v>1</v>
      </c>
      <c r="AA360" s="17">
        <f t="shared" si="98"/>
        <v>8.0989065052418439E-4</v>
      </c>
    </row>
    <row r="361" spans="1:27" ht="57.6" x14ac:dyDescent="0.3">
      <c r="A361" s="23" t="s">
        <v>422</v>
      </c>
      <c r="B361" s="23" t="str">
        <f>VLOOKUP(A361,MEMORIA!$A:$N,2,FALSE)</f>
        <v>COMPCOM03</v>
      </c>
      <c r="C361" s="23" t="str">
        <f>VLOOKUP(A361,MEMORIA!$A:$N,3,FALSE)</f>
        <v>PRÓPRIA</v>
      </c>
      <c r="D361" s="24" t="str">
        <f>VLOOKUP(A361,MEMORIA!$A:$N,4,FALSE)</f>
        <v>TELHAMENTO COM TELHA CERÂMICA CAPA-CANAL, TIPO COLONIAL, COM ATÉ 2 ÁGUAS, INCLUSO TRANSPORTE VERTICAL</v>
      </c>
      <c r="E361" s="23" t="str">
        <f>VLOOKUP(A361,MEMORIA!$A:$N,5,FALSE)</f>
        <v>M²</v>
      </c>
      <c r="F361" s="5">
        <f>VLOOKUP(A361,MEMORIA!$A:$N,14,FALSE)</f>
        <v>10.23</v>
      </c>
      <c r="G361" s="5">
        <f>VLOOKUP(A361,ORCAMENTO!$A:$I,7,FALSE)</f>
        <v>37.64</v>
      </c>
      <c r="H361" s="5">
        <f>VLOOKUP(A361,ORCAMENTO!$A:$I,8,FALSE)</f>
        <v>46.05</v>
      </c>
      <c r="I361" s="5">
        <f>ROUND(F361*H361,2)</f>
        <v>471.09</v>
      </c>
      <c r="J361" s="5">
        <f>ROUND(K361*$H361,2)</f>
        <v>0</v>
      </c>
      <c r="K361" s="5">
        <v>0</v>
      </c>
      <c r="L361" s="25">
        <f t="shared" si="91"/>
        <v>0</v>
      </c>
      <c r="M361" s="5">
        <f>ROUND(N361*$H361,2)</f>
        <v>0</v>
      </c>
      <c r="N361" s="5">
        <v>0</v>
      </c>
      <c r="O361" s="25">
        <f t="shared" si="92"/>
        <v>0</v>
      </c>
      <c r="P361" s="5">
        <f>ROUND(Q361*$H361,2)</f>
        <v>0</v>
      </c>
      <c r="Q361" s="5">
        <v>0</v>
      </c>
      <c r="R361" s="25">
        <f t="shared" si="93"/>
        <v>0</v>
      </c>
      <c r="S361" s="5">
        <f>ROUND(T361*$H361,2)</f>
        <v>471.09</v>
      </c>
      <c r="T361" s="5">
        <f t="shared" ref="T361:T362" si="104">F361</f>
        <v>10.23</v>
      </c>
      <c r="U361" s="25">
        <f t="shared" si="94"/>
        <v>1</v>
      </c>
      <c r="V361" s="5">
        <f>ROUND(W361*$H361,2)</f>
        <v>0</v>
      </c>
      <c r="W361" s="5">
        <v>0</v>
      </c>
      <c r="X361" s="25">
        <f t="shared" si="95"/>
        <v>0</v>
      </c>
      <c r="Y361" s="5">
        <f t="shared" si="96"/>
        <v>471.09</v>
      </c>
      <c r="Z361" s="25">
        <f t="shared" si="97"/>
        <v>1</v>
      </c>
      <c r="AA361" s="25">
        <f t="shared" si="98"/>
        <v>2.9226043629050364E-4</v>
      </c>
    </row>
    <row r="362" spans="1:27" ht="72" x14ac:dyDescent="0.3">
      <c r="A362" s="23" t="s">
        <v>423</v>
      </c>
      <c r="B362" s="23" t="str">
        <f>VLOOKUP(A362,MEMORIA!$A:$N,2,FALSE)</f>
        <v>COMPCOM04</v>
      </c>
      <c r="C362" s="23" t="str">
        <f>VLOOKUP(A362,MEMORIA!$A:$N,3,FALSE)</f>
        <v>PRÓPRIA</v>
      </c>
      <c r="D362" s="24" t="str">
        <f>VLOOKUP(A362,MEMORIA!$A:$N,4,FALSE)</f>
        <v>TRAMA DE MADEIRA COMPOSTA POR RIPAS, CAIBROS E TERÇAS PARA TELHADOS DE ATÉ 2 ÁGUAS PARA TELHA CERÂMICA CAPA-CANAL, INCLUSO TRANSPORTE VERTICAL</v>
      </c>
      <c r="E362" s="23" t="str">
        <f>VLOOKUP(A362,MEMORIA!$A:$N,5,FALSE)</f>
        <v>M²</v>
      </c>
      <c r="F362" s="5">
        <f>VLOOKUP(A362,MEMORIA!$A:$N,14,FALSE)</f>
        <v>10.23</v>
      </c>
      <c r="G362" s="5">
        <f>VLOOKUP(A362,ORCAMENTO!$A:$I,7,FALSE)</f>
        <v>66.67</v>
      </c>
      <c r="H362" s="5">
        <f>VLOOKUP(A362,ORCAMENTO!$A:$I,8,FALSE)</f>
        <v>81.56</v>
      </c>
      <c r="I362" s="5">
        <f>ROUND(F362*H362,2)</f>
        <v>834.36</v>
      </c>
      <c r="J362" s="5">
        <f>ROUND(K362*$H362,2)</f>
        <v>0</v>
      </c>
      <c r="K362" s="5">
        <v>0</v>
      </c>
      <c r="L362" s="25">
        <f t="shared" si="91"/>
        <v>0</v>
      </c>
      <c r="M362" s="5">
        <f>ROUND(N362*$H362,2)</f>
        <v>0</v>
      </c>
      <c r="N362" s="5">
        <v>0</v>
      </c>
      <c r="O362" s="25">
        <f t="shared" si="92"/>
        <v>0</v>
      </c>
      <c r="P362" s="5">
        <f>ROUND(Q362*$H362,2)</f>
        <v>0</v>
      </c>
      <c r="Q362" s="5">
        <v>0</v>
      </c>
      <c r="R362" s="25">
        <f t="shared" si="93"/>
        <v>0</v>
      </c>
      <c r="S362" s="5">
        <f>ROUND(T362*$H362,2)</f>
        <v>834.36</v>
      </c>
      <c r="T362" s="5">
        <f t="shared" si="104"/>
        <v>10.23</v>
      </c>
      <c r="U362" s="25">
        <f t="shared" si="94"/>
        <v>1</v>
      </c>
      <c r="V362" s="5">
        <f>ROUND(W362*$H362,2)</f>
        <v>0</v>
      </c>
      <c r="W362" s="5">
        <v>0</v>
      </c>
      <c r="X362" s="25">
        <f t="shared" si="95"/>
        <v>0</v>
      </c>
      <c r="Y362" s="5">
        <f t="shared" si="96"/>
        <v>834.36</v>
      </c>
      <c r="Z362" s="25">
        <f t="shared" si="97"/>
        <v>1</v>
      </c>
      <c r="AA362" s="25">
        <f t="shared" si="98"/>
        <v>5.1763021423368064E-4</v>
      </c>
    </row>
    <row r="363" spans="1:27" x14ac:dyDescent="0.3">
      <c r="A363" s="15" t="s">
        <v>121</v>
      </c>
      <c r="B363" s="48" t="str">
        <f>VLOOKUP(A363,MEMORIA!$A:$N,2,FALSE)</f>
        <v>PISO</v>
      </c>
      <c r="C363" s="49"/>
      <c r="D363" s="49"/>
      <c r="E363" s="49"/>
      <c r="F363" s="49"/>
      <c r="G363" s="49"/>
      <c r="H363" s="50"/>
      <c r="I363" s="16">
        <f>SUM(I$364:I$366)</f>
        <v>1174.01</v>
      </c>
      <c r="J363" s="16">
        <f>SUM(J$364:J$366)</f>
        <v>0</v>
      </c>
      <c r="K363" s="16"/>
      <c r="L363" s="17">
        <f t="shared" si="91"/>
        <v>0</v>
      </c>
      <c r="M363" s="16">
        <f>SUM(M$364:M$366)</f>
        <v>0</v>
      </c>
      <c r="N363" s="16"/>
      <c r="O363" s="17">
        <f t="shared" si="92"/>
        <v>0</v>
      </c>
      <c r="P363" s="16">
        <f>SUM(P$364:P$366)</f>
        <v>0</v>
      </c>
      <c r="Q363" s="16"/>
      <c r="R363" s="17">
        <f t="shared" si="93"/>
        <v>0</v>
      </c>
      <c r="S363" s="16">
        <f>SUM(S$364:S$366)</f>
        <v>1174.01</v>
      </c>
      <c r="T363" s="16"/>
      <c r="U363" s="17">
        <f t="shared" si="94"/>
        <v>1</v>
      </c>
      <c r="V363" s="16">
        <f>SUM(V$364:V$366)</f>
        <v>0</v>
      </c>
      <c r="W363" s="16"/>
      <c r="X363" s="17">
        <f t="shared" si="95"/>
        <v>0</v>
      </c>
      <c r="Y363" s="16">
        <f t="shared" si="96"/>
        <v>1174.01</v>
      </c>
      <c r="Z363" s="17">
        <f t="shared" si="97"/>
        <v>1</v>
      </c>
      <c r="AA363" s="17">
        <f t="shared" si="98"/>
        <v>7.2834633469064125E-4</v>
      </c>
    </row>
    <row r="364" spans="1:27" ht="28.8" x14ac:dyDescent="0.3">
      <c r="A364" s="23" t="s">
        <v>424</v>
      </c>
      <c r="B364" s="23">
        <f>VLOOKUP(A364,MEMORIA!$A:$N,2,FALSE)</f>
        <v>96617</v>
      </c>
      <c r="C364" s="23" t="str">
        <f>VLOOKUP(A364,MEMORIA!$A:$N,3,FALSE)</f>
        <v>SINAPI</v>
      </c>
      <c r="D364" s="24" t="str">
        <f>VLOOKUP(A364,MEMORIA!$A:$N,4,FALSE)</f>
        <v>LASTRO DE CONCRETO MAGRO, APLICADO EM BLOCOS DE COROAMENTO OU SAPATAS, ESPESSURA DE 3 CM. AF_01/2024</v>
      </c>
      <c r="E364" s="23" t="str">
        <f>VLOOKUP(A364,MEMORIA!$A:$N,5,FALSE)</f>
        <v>M2</v>
      </c>
      <c r="F364" s="5">
        <f>VLOOKUP(A364,MEMORIA!$A:$N,14,FALSE)</f>
        <v>4</v>
      </c>
      <c r="G364" s="5">
        <f>VLOOKUP(A364,ORCAMENTO!$A:$I,7,FALSE)</f>
        <v>23.57</v>
      </c>
      <c r="H364" s="5">
        <f>VLOOKUP(A364,ORCAMENTO!$A:$I,8,FALSE)</f>
        <v>28.83</v>
      </c>
      <c r="I364" s="5">
        <f>ROUND(F364*H364,2)</f>
        <v>115.32</v>
      </c>
      <c r="J364" s="5">
        <f>ROUND(K364*$H364,2)</f>
        <v>0</v>
      </c>
      <c r="K364" s="5">
        <v>0</v>
      </c>
      <c r="L364" s="25">
        <f t="shared" si="91"/>
        <v>0</v>
      </c>
      <c r="M364" s="5">
        <f>ROUND(N364*$H364,2)</f>
        <v>0</v>
      </c>
      <c r="N364" s="5">
        <v>0</v>
      </c>
      <c r="O364" s="25">
        <f t="shared" si="92"/>
        <v>0</v>
      </c>
      <c r="P364" s="5">
        <f>ROUND(Q364*$H364,2)</f>
        <v>0</v>
      </c>
      <c r="Q364" s="5">
        <v>0</v>
      </c>
      <c r="R364" s="25">
        <f t="shared" si="93"/>
        <v>0</v>
      </c>
      <c r="S364" s="5">
        <f>ROUND(T364*$H364,2)</f>
        <v>115.32</v>
      </c>
      <c r="T364" s="5">
        <f t="shared" ref="T364:T366" si="105">F364</f>
        <v>4</v>
      </c>
      <c r="U364" s="25">
        <f t="shared" si="94"/>
        <v>1</v>
      </c>
      <c r="V364" s="5">
        <f>ROUND(W364*$H364,2)</f>
        <v>0</v>
      </c>
      <c r="W364" s="5">
        <v>0</v>
      </c>
      <c r="X364" s="25">
        <f t="shared" si="95"/>
        <v>0</v>
      </c>
      <c r="Y364" s="5">
        <f t="shared" si="96"/>
        <v>115.32</v>
      </c>
      <c r="Z364" s="25">
        <f t="shared" si="97"/>
        <v>1</v>
      </c>
      <c r="AA364" s="25">
        <f t="shared" si="98"/>
        <v>7.1543597853957586E-5</v>
      </c>
    </row>
    <row r="365" spans="1:27" ht="72" x14ac:dyDescent="0.3">
      <c r="A365" s="23" t="s">
        <v>425</v>
      </c>
      <c r="B365" s="23">
        <f>VLOOKUP(A365,MEMORIA!$A:$N,2,FALSE)</f>
        <v>101749</v>
      </c>
      <c r="C365" s="23" t="str">
        <f>VLOOKUP(A365,MEMORIA!$A:$N,3,FALSE)</f>
        <v>SINAPI</v>
      </c>
      <c r="D365" s="24" t="str">
        <f>VLOOKUP(A365,MEMORIA!$A:$N,4,FALSE)</f>
        <v>PISO CIMENTADO, TRAÇO 1:3 (CIMENTO E AREIA), ACABAMENTO LISO, ESPESSURA 4,0 CM, PREPARO MECÂNICO DA ARGAMASSA. AF_09/2020</v>
      </c>
      <c r="E365" s="23" t="str">
        <f>VLOOKUP(A365,MEMORIA!$A:$N,5,FALSE)</f>
        <v>M2</v>
      </c>
      <c r="F365" s="5">
        <f>VLOOKUP(A365,MEMORIA!$A:$N,14,FALSE)</f>
        <v>4</v>
      </c>
      <c r="G365" s="5">
        <f>VLOOKUP(A365,ORCAMENTO!$A:$I,7,FALSE)</f>
        <v>64.739999999999995</v>
      </c>
      <c r="H365" s="5">
        <f>VLOOKUP(A365,ORCAMENTO!$A:$I,8,FALSE)</f>
        <v>79.199999999999989</v>
      </c>
      <c r="I365" s="5">
        <f>ROUND(F365*H365,2)</f>
        <v>316.8</v>
      </c>
      <c r="J365" s="5">
        <f>ROUND(K365*$H365,2)</f>
        <v>0</v>
      </c>
      <c r="K365" s="5">
        <v>0</v>
      </c>
      <c r="L365" s="25">
        <f t="shared" si="91"/>
        <v>0</v>
      </c>
      <c r="M365" s="5">
        <f>ROUND(N365*$H365,2)</f>
        <v>0</v>
      </c>
      <c r="N365" s="5">
        <v>0</v>
      </c>
      <c r="O365" s="25">
        <f t="shared" si="92"/>
        <v>0</v>
      </c>
      <c r="P365" s="5">
        <f>ROUND(Q365*$H365,2)</f>
        <v>0</v>
      </c>
      <c r="Q365" s="5">
        <v>0</v>
      </c>
      <c r="R365" s="25">
        <f t="shared" si="93"/>
        <v>0</v>
      </c>
      <c r="S365" s="5">
        <f>ROUND(T365*$H365,2)</f>
        <v>316.8</v>
      </c>
      <c r="T365" s="5">
        <f t="shared" si="105"/>
        <v>4</v>
      </c>
      <c r="U365" s="25">
        <f t="shared" si="94"/>
        <v>1</v>
      </c>
      <c r="V365" s="5">
        <f>ROUND(W365*$H365,2)</f>
        <v>0</v>
      </c>
      <c r="W365" s="5">
        <v>0</v>
      </c>
      <c r="X365" s="25">
        <f t="shared" si="95"/>
        <v>0</v>
      </c>
      <c r="Y365" s="5">
        <f t="shared" si="96"/>
        <v>316.8</v>
      </c>
      <c r="Z365" s="25">
        <f t="shared" si="97"/>
        <v>1</v>
      </c>
      <c r="AA365" s="25">
        <f t="shared" si="98"/>
        <v>1.9654016476009162E-4</v>
      </c>
    </row>
    <row r="366" spans="1:27" ht="72" x14ac:dyDescent="0.3">
      <c r="A366" s="23" t="s">
        <v>426</v>
      </c>
      <c r="B366" s="23">
        <f>VLOOKUP(A366,MEMORIA!$A:$N,2,FALSE)</f>
        <v>94994</v>
      </c>
      <c r="C366" s="23" t="str">
        <f>VLOOKUP(A366,MEMORIA!$A:$N,3,FALSE)</f>
        <v>SINAPI</v>
      </c>
      <c r="D366" s="24" t="str">
        <f>VLOOKUP(A366,MEMORIA!$A:$N,4,FALSE)</f>
        <v>EXECUÇÃO DE PASSEIO (CALÇADA) OU PISO DE CONCRETO COM CONCRETO MOLDADO IN LOCO, FEITO EM OBRA, ACABAMENTO CONVENCIONAL, ESPESSURA 8 CM, ARMADO. AF_08/2022</v>
      </c>
      <c r="E366" s="23" t="str">
        <f>VLOOKUP(A366,MEMORIA!$A:$N,5,FALSE)</f>
        <v>M2</v>
      </c>
      <c r="F366" s="5">
        <f>VLOOKUP(A366,MEMORIA!$A:$N,14,FALSE)</f>
        <v>5.6</v>
      </c>
      <c r="G366" s="5">
        <f>VLOOKUP(A366,ORCAMENTO!$A:$I,7,FALSE)</f>
        <v>108.30000000000003</v>
      </c>
      <c r="H366" s="5">
        <f>VLOOKUP(A366,ORCAMENTO!$A:$I,8,FALSE)</f>
        <v>132.48000000000002</v>
      </c>
      <c r="I366" s="5">
        <f>ROUND(F366*H366,2)</f>
        <v>741.89</v>
      </c>
      <c r="J366" s="5">
        <f>ROUND(K366*$H366,2)</f>
        <v>0</v>
      </c>
      <c r="K366" s="5">
        <v>0</v>
      </c>
      <c r="L366" s="25">
        <f t="shared" si="91"/>
        <v>0</v>
      </c>
      <c r="M366" s="5">
        <f>ROUND(N366*$H366,2)</f>
        <v>0</v>
      </c>
      <c r="N366" s="5">
        <v>0</v>
      </c>
      <c r="O366" s="25">
        <f t="shared" si="92"/>
        <v>0</v>
      </c>
      <c r="P366" s="5">
        <f>ROUND(Q366*$H366,2)</f>
        <v>0</v>
      </c>
      <c r="Q366" s="5">
        <v>0</v>
      </c>
      <c r="R366" s="25">
        <f t="shared" si="93"/>
        <v>0</v>
      </c>
      <c r="S366" s="5">
        <f>ROUND(T366*$H366,2)</f>
        <v>741.89</v>
      </c>
      <c r="T366" s="5">
        <f t="shared" si="105"/>
        <v>5.6</v>
      </c>
      <c r="U366" s="25">
        <f t="shared" si="94"/>
        <v>1</v>
      </c>
      <c r="V366" s="5">
        <f>ROUND(W366*$H366,2)</f>
        <v>0</v>
      </c>
      <c r="W366" s="5">
        <v>0</v>
      </c>
      <c r="X366" s="25">
        <f t="shared" si="95"/>
        <v>0</v>
      </c>
      <c r="Y366" s="5">
        <f t="shared" si="96"/>
        <v>741.89</v>
      </c>
      <c r="Z366" s="25">
        <f t="shared" si="97"/>
        <v>1</v>
      </c>
      <c r="AA366" s="25">
        <f t="shared" si="98"/>
        <v>4.6026257207659206E-4</v>
      </c>
    </row>
    <row r="367" spans="1:27" x14ac:dyDescent="0.3">
      <c r="A367" s="15" t="s">
        <v>122</v>
      </c>
      <c r="B367" s="48" t="str">
        <f>VLOOKUP(A367,MEMORIA!$A:$N,2,FALSE)</f>
        <v>REVESTIMENTO</v>
      </c>
      <c r="C367" s="49"/>
      <c r="D367" s="49"/>
      <c r="E367" s="49"/>
      <c r="F367" s="49"/>
      <c r="G367" s="49"/>
      <c r="H367" s="50"/>
      <c r="I367" s="16">
        <f>SUM(I$368:I$369)</f>
        <v>2341.92</v>
      </c>
      <c r="J367" s="16">
        <f>SUM(J$368:J$369)</f>
        <v>0</v>
      </c>
      <c r="K367" s="16"/>
      <c r="L367" s="17">
        <f t="shared" si="91"/>
        <v>0</v>
      </c>
      <c r="M367" s="16">
        <f>SUM(M$368:M$369)</f>
        <v>0</v>
      </c>
      <c r="N367" s="16"/>
      <c r="O367" s="17">
        <f t="shared" si="92"/>
        <v>0</v>
      </c>
      <c r="P367" s="16">
        <f>SUM(P$368:P$369)</f>
        <v>0</v>
      </c>
      <c r="Q367" s="16"/>
      <c r="R367" s="17">
        <f t="shared" si="93"/>
        <v>0</v>
      </c>
      <c r="S367" s="16">
        <f>SUM(S$368:S$369)</f>
        <v>2341.92</v>
      </c>
      <c r="T367" s="16"/>
      <c r="U367" s="17">
        <f t="shared" si="94"/>
        <v>1</v>
      </c>
      <c r="V367" s="16">
        <f>SUM(V$368:V$369)</f>
        <v>0</v>
      </c>
      <c r="W367" s="16"/>
      <c r="X367" s="17">
        <f t="shared" si="95"/>
        <v>0</v>
      </c>
      <c r="Y367" s="16">
        <f t="shared" si="96"/>
        <v>2341.92</v>
      </c>
      <c r="Z367" s="17">
        <f t="shared" si="97"/>
        <v>1</v>
      </c>
      <c r="AA367" s="17">
        <f t="shared" si="98"/>
        <v>1.452908278582556E-3</v>
      </c>
    </row>
    <row r="368" spans="1:27" ht="86.4" x14ac:dyDescent="0.3">
      <c r="A368" s="23" t="s">
        <v>427</v>
      </c>
      <c r="B368" s="23">
        <f>VLOOKUP(A368,MEMORIA!$A:$N,2,FALSE)</f>
        <v>87904</v>
      </c>
      <c r="C368" s="23" t="str">
        <f>VLOOKUP(A368,MEMORIA!$A:$N,3,FALSE)</f>
        <v>SINAPI</v>
      </c>
      <c r="D368" s="24" t="str">
        <f>VLOOKUP(A368,MEMORIA!$A:$N,4,FALSE)</f>
        <v>CHAPISCO APLICADO EM ALVENARIA (COM PRESENÇA DE VÃOS) E ESTRUTURAS DE CONCRETO DE FACHADA, COM COLHER DE PEDREIRO. ARGAMASSA TRAÇO 1:3 COM PREPARO MANUAL. AF_10/2022</v>
      </c>
      <c r="E368" s="23" t="str">
        <f>VLOOKUP(A368,MEMORIA!$A:$N,5,FALSE)</f>
        <v>M2</v>
      </c>
      <c r="F368" s="5">
        <f>VLOOKUP(A368,MEMORIA!$A:$N,14,FALSE)</f>
        <v>38.619999999999997</v>
      </c>
      <c r="G368" s="5">
        <f>VLOOKUP(A368,ORCAMENTO!$A:$I,7,FALSE)</f>
        <v>8.7199999999999989</v>
      </c>
      <c r="H368" s="5">
        <f>VLOOKUP(A368,ORCAMENTO!$A:$I,8,FALSE)</f>
        <v>10.669999999999998</v>
      </c>
      <c r="I368" s="5">
        <f>ROUND(F368*H368,2)</f>
        <v>412.08</v>
      </c>
      <c r="J368" s="5">
        <f>ROUND(K368*$H368,2)</f>
        <v>0</v>
      </c>
      <c r="K368" s="5">
        <v>0</v>
      </c>
      <c r="L368" s="25">
        <f t="shared" si="91"/>
        <v>0</v>
      </c>
      <c r="M368" s="5">
        <f>ROUND(N368*$H368,2)</f>
        <v>0</v>
      </c>
      <c r="N368" s="5">
        <v>0</v>
      </c>
      <c r="O368" s="25">
        <f t="shared" si="92"/>
        <v>0</v>
      </c>
      <c r="P368" s="5">
        <f>ROUND(Q368*$H368,2)</f>
        <v>0</v>
      </c>
      <c r="Q368" s="5">
        <v>0</v>
      </c>
      <c r="R368" s="25">
        <f t="shared" si="93"/>
        <v>0</v>
      </c>
      <c r="S368" s="5">
        <f>ROUND(T368*$H368,2)</f>
        <v>412.08</v>
      </c>
      <c r="T368" s="5">
        <f t="shared" ref="T368:T369" si="106">F368</f>
        <v>38.619999999999997</v>
      </c>
      <c r="U368" s="25">
        <f t="shared" si="94"/>
        <v>1</v>
      </c>
      <c r="V368" s="5">
        <f>ROUND(W368*$H368,2)</f>
        <v>0</v>
      </c>
      <c r="W368" s="5">
        <v>0</v>
      </c>
      <c r="X368" s="25">
        <f t="shared" si="95"/>
        <v>0</v>
      </c>
      <c r="Y368" s="5">
        <f t="shared" si="96"/>
        <v>412.08</v>
      </c>
      <c r="Z368" s="25">
        <f t="shared" si="97"/>
        <v>1</v>
      </c>
      <c r="AA368" s="25">
        <f t="shared" si="98"/>
        <v>2.5565110825233128E-4</v>
      </c>
    </row>
    <row r="369" spans="1:27" ht="86.4" x14ac:dyDescent="0.3">
      <c r="A369" s="23" t="s">
        <v>428</v>
      </c>
      <c r="B369" s="23">
        <f>VLOOKUP(A369,MEMORIA!$A:$N,2,FALSE)</f>
        <v>87530</v>
      </c>
      <c r="C369" s="23" t="str">
        <f>VLOOKUP(A369,MEMORIA!$A:$N,3,FALSE)</f>
        <v>SINAPI</v>
      </c>
      <c r="D369" s="24" t="str">
        <f>VLOOKUP(A369,MEMORIA!$A:$N,4,FALSE)</f>
        <v>MASSA ÚNICA, EM ARGAMASSA TRAÇO 1:2:8, PREPARO MANUAL, APLICADA MANUALMENTE EM PAREDES INTERNAS DE AMBIENTES COM ÁREA ENTRE 5M² E 10M², E = 17,5MM, COM TALISCAS. AF_03/2024</v>
      </c>
      <c r="E369" s="23" t="str">
        <f>VLOOKUP(A369,MEMORIA!$A:$N,5,FALSE)</f>
        <v>M2</v>
      </c>
      <c r="F369" s="5">
        <f>VLOOKUP(A369,MEMORIA!$A:$N,14,FALSE)</f>
        <v>38.619999999999997</v>
      </c>
      <c r="G369" s="5">
        <f>VLOOKUP(A369,ORCAMENTO!$A:$I,7,FALSE)</f>
        <v>40.85</v>
      </c>
      <c r="H369" s="5">
        <f>VLOOKUP(A369,ORCAMENTO!$A:$I,8,FALSE)</f>
        <v>49.97</v>
      </c>
      <c r="I369" s="5">
        <f>ROUND(F369*H369,2)</f>
        <v>1929.84</v>
      </c>
      <c r="J369" s="5">
        <f>ROUND(K369*$H369,2)</f>
        <v>0</v>
      </c>
      <c r="K369" s="5">
        <v>0</v>
      </c>
      <c r="L369" s="25">
        <f t="shared" si="91"/>
        <v>0</v>
      </c>
      <c r="M369" s="5">
        <f>ROUND(N369*$H369,2)</f>
        <v>0</v>
      </c>
      <c r="N369" s="5">
        <v>0</v>
      </c>
      <c r="O369" s="25">
        <f t="shared" si="92"/>
        <v>0</v>
      </c>
      <c r="P369" s="5">
        <f>ROUND(Q369*$H369,2)</f>
        <v>0</v>
      </c>
      <c r="Q369" s="5">
        <v>0</v>
      </c>
      <c r="R369" s="25">
        <f t="shared" si="93"/>
        <v>0</v>
      </c>
      <c r="S369" s="5">
        <f>ROUND(T369*$H369,2)</f>
        <v>1929.84</v>
      </c>
      <c r="T369" s="5">
        <f t="shared" si="106"/>
        <v>38.619999999999997</v>
      </c>
      <c r="U369" s="25">
        <f t="shared" si="94"/>
        <v>1</v>
      </c>
      <c r="V369" s="5">
        <f>ROUND(W369*$H369,2)</f>
        <v>0</v>
      </c>
      <c r="W369" s="5">
        <v>0</v>
      </c>
      <c r="X369" s="25">
        <f t="shared" si="95"/>
        <v>0</v>
      </c>
      <c r="Y369" s="5">
        <f t="shared" si="96"/>
        <v>1929.84</v>
      </c>
      <c r="Z369" s="25">
        <f t="shared" si="97"/>
        <v>1</v>
      </c>
      <c r="AA369" s="25">
        <f t="shared" si="98"/>
        <v>1.1972571703302247E-3</v>
      </c>
    </row>
    <row r="370" spans="1:27" x14ac:dyDescent="0.3">
      <c r="A370" s="15" t="s">
        <v>123</v>
      </c>
      <c r="B370" s="48" t="str">
        <f>VLOOKUP(A370,MEMORIA!$A:$N,2,FALSE)</f>
        <v>ESQUADRIAS</v>
      </c>
      <c r="C370" s="49"/>
      <c r="D370" s="49"/>
      <c r="E370" s="49"/>
      <c r="F370" s="49"/>
      <c r="G370" s="49"/>
      <c r="H370" s="50"/>
      <c r="I370" s="16">
        <f>SUM(I$371:I$372)</f>
        <v>2243.75</v>
      </c>
      <c r="J370" s="16">
        <f>SUM(J$371:J$372)</f>
        <v>0</v>
      </c>
      <c r="K370" s="16"/>
      <c r="L370" s="17">
        <f t="shared" si="91"/>
        <v>0</v>
      </c>
      <c r="M370" s="16">
        <f>SUM(M$371:M$372)</f>
        <v>0</v>
      </c>
      <c r="N370" s="16"/>
      <c r="O370" s="17">
        <f t="shared" si="92"/>
        <v>0</v>
      </c>
      <c r="P370" s="16">
        <f>SUM(P$371:P$372)</f>
        <v>0</v>
      </c>
      <c r="Q370" s="16"/>
      <c r="R370" s="17">
        <f t="shared" si="93"/>
        <v>0</v>
      </c>
      <c r="S370" s="16">
        <f>SUM(S$371:S$372)</f>
        <v>2243.75</v>
      </c>
      <c r="T370" s="16"/>
      <c r="U370" s="17">
        <f t="shared" si="94"/>
        <v>1</v>
      </c>
      <c r="V370" s="16">
        <f>SUM(V$371:V$372)</f>
        <v>0</v>
      </c>
      <c r="W370" s="16"/>
      <c r="X370" s="17">
        <f t="shared" si="95"/>
        <v>0</v>
      </c>
      <c r="Y370" s="16">
        <f t="shared" si="96"/>
        <v>2243.75</v>
      </c>
      <c r="Z370" s="17">
        <f t="shared" si="97"/>
        <v>1</v>
      </c>
      <c r="AA370" s="17">
        <f t="shared" si="98"/>
        <v>1.3920044024004279E-3</v>
      </c>
    </row>
    <row r="371" spans="1:27" ht="43.2" x14ac:dyDescent="0.3">
      <c r="A371" s="23" t="s">
        <v>429</v>
      </c>
      <c r="B371" s="23">
        <f>VLOOKUP(A371,MEMORIA!$A:$N,2,FALSE)</f>
        <v>100701</v>
      </c>
      <c r="C371" s="23" t="str">
        <f>VLOOKUP(A371,MEMORIA!$A:$N,3,FALSE)</f>
        <v>SINAPI</v>
      </c>
      <c r="D371" s="24" t="str">
        <f>VLOOKUP(A371,MEMORIA!$A:$N,4,FALSE)</f>
        <v>PORTA DE FERRO, DE ABRIR, TIPO GRADE COM CHAPA, COM GUARNIÇÕES. AF_12/2019</v>
      </c>
      <c r="E371" s="23" t="str">
        <f>VLOOKUP(A371,MEMORIA!$A:$N,5,FALSE)</f>
        <v>M2</v>
      </c>
      <c r="F371" s="5">
        <f>VLOOKUP(A371,MEMORIA!$A:$N,14,FALSE)</f>
        <v>1.68</v>
      </c>
      <c r="G371" s="5">
        <f>VLOOKUP(A371,ORCAMENTO!$A:$I,7,FALSE)</f>
        <v>415.24</v>
      </c>
      <c r="H371" s="5">
        <f>VLOOKUP(A371,ORCAMENTO!$A:$I,8,FALSE)</f>
        <v>507.96000000000004</v>
      </c>
      <c r="I371" s="5">
        <f>ROUND(F371*H371,2)</f>
        <v>853.37</v>
      </c>
      <c r="J371" s="5">
        <f>ROUND(K371*$H371,2)</f>
        <v>0</v>
      </c>
      <c r="K371" s="5">
        <v>0</v>
      </c>
      <c r="L371" s="25">
        <f t="shared" si="91"/>
        <v>0</v>
      </c>
      <c r="M371" s="5">
        <f>ROUND(N371*$H371,2)</f>
        <v>0</v>
      </c>
      <c r="N371" s="5">
        <v>0</v>
      </c>
      <c r="O371" s="25">
        <f t="shared" si="92"/>
        <v>0</v>
      </c>
      <c r="P371" s="5">
        <f>ROUND(Q371*$H371,2)</f>
        <v>0</v>
      </c>
      <c r="Q371" s="5">
        <v>0</v>
      </c>
      <c r="R371" s="25">
        <f t="shared" si="93"/>
        <v>0</v>
      </c>
      <c r="S371" s="5">
        <f>ROUND(T371*$H371,2)</f>
        <v>853.37</v>
      </c>
      <c r="T371" s="5">
        <f t="shared" ref="T371:T372" si="107">F371</f>
        <v>1.68</v>
      </c>
      <c r="U371" s="25">
        <f t="shared" si="94"/>
        <v>1</v>
      </c>
      <c r="V371" s="5">
        <f>ROUND(W371*$H371,2)</f>
        <v>0</v>
      </c>
      <c r="W371" s="5">
        <v>0</v>
      </c>
      <c r="X371" s="25">
        <f t="shared" si="95"/>
        <v>0</v>
      </c>
      <c r="Y371" s="5">
        <f t="shared" si="96"/>
        <v>853.37</v>
      </c>
      <c r="Z371" s="25">
        <f t="shared" si="97"/>
        <v>1</v>
      </c>
      <c r="AA371" s="25">
        <f t="shared" si="98"/>
        <v>5.2942386490315463E-4</v>
      </c>
    </row>
    <row r="372" spans="1:27" ht="43.2" x14ac:dyDescent="0.3">
      <c r="A372" s="23" t="s">
        <v>430</v>
      </c>
      <c r="B372" s="23" t="str">
        <f>VLOOKUP(A372,MEMORIA!$A:$N,2,FALSE)</f>
        <v>COMP219</v>
      </c>
      <c r="C372" s="23" t="str">
        <f>VLOOKUP(A372,MEMORIA!$A:$N,3,FALSE)</f>
        <v>PRÓPRIA</v>
      </c>
      <c r="D372" s="24" t="str">
        <f>VLOOKUP(A372,MEMORIA!$A:$N,4,FALSE)</f>
        <v>PORTÃO DE FERRO EM BARRA CHATA TIPO TIJOLINHO (REF: C1999-SEINFRA 28)</v>
      </c>
      <c r="E372" s="23" t="str">
        <f>VLOOKUP(A372,MEMORIA!$A:$N,5,FALSE)</f>
        <v>M2</v>
      </c>
      <c r="F372" s="5">
        <f>VLOOKUP(A372,MEMORIA!$A:$N,14,FALSE)</f>
        <v>6</v>
      </c>
      <c r="G372" s="5">
        <f>VLOOKUP(A372,ORCAMENTO!$A:$I,7,FALSE)</f>
        <v>189.43</v>
      </c>
      <c r="H372" s="5">
        <f>VLOOKUP(A372,ORCAMENTO!$A:$I,8,FALSE)</f>
        <v>231.73000000000002</v>
      </c>
      <c r="I372" s="5">
        <f>ROUND(F372*H372,2)</f>
        <v>1390.38</v>
      </c>
      <c r="J372" s="5">
        <f>ROUND(K372*$H372,2)</f>
        <v>0</v>
      </c>
      <c r="K372" s="5">
        <v>0</v>
      </c>
      <c r="L372" s="25">
        <f t="shared" si="91"/>
        <v>0</v>
      </c>
      <c r="M372" s="5">
        <f>ROUND(N372*$H372,2)</f>
        <v>0</v>
      </c>
      <c r="N372" s="5">
        <v>0</v>
      </c>
      <c r="O372" s="25">
        <f t="shared" si="92"/>
        <v>0</v>
      </c>
      <c r="P372" s="5">
        <f>ROUND(Q372*$H372,2)</f>
        <v>0</v>
      </c>
      <c r="Q372" s="5">
        <v>0</v>
      </c>
      <c r="R372" s="25">
        <f t="shared" si="93"/>
        <v>0</v>
      </c>
      <c r="S372" s="5">
        <f>ROUND(T372*$H372,2)</f>
        <v>1390.38</v>
      </c>
      <c r="T372" s="5">
        <f t="shared" si="107"/>
        <v>6</v>
      </c>
      <c r="U372" s="25">
        <f t="shared" si="94"/>
        <v>1</v>
      </c>
      <c r="V372" s="5">
        <f>ROUND(W372*$H372,2)</f>
        <v>0</v>
      </c>
      <c r="W372" s="5">
        <v>0</v>
      </c>
      <c r="X372" s="25">
        <f t="shared" si="95"/>
        <v>0</v>
      </c>
      <c r="Y372" s="5">
        <f t="shared" si="96"/>
        <v>1390.38</v>
      </c>
      <c r="Z372" s="25">
        <f t="shared" si="97"/>
        <v>1</v>
      </c>
      <c r="AA372" s="25">
        <f t="shared" si="98"/>
        <v>8.625805374972733E-4</v>
      </c>
    </row>
    <row r="373" spans="1:27" x14ac:dyDescent="0.3">
      <c r="A373" s="15" t="s">
        <v>124</v>
      </c>
      <c r="B373" s="48" t="str">
        <f>VLOOKUP(A373,MEMORIA!$A:$N,2,FALSE)</f>
        <v>PINTURA</v>
      </c>
      <c r="C373" s="49"/>
      <c r="D373" s="49"/>
      <c r="E373" s="49"/>
      <c r="F373" s="49"/>
      <c r="G373" s="49"/>
      <c r="H373" s="50"/>
      <c r="I373" s="16">
        <f>SUM(I$374:I$375)</f>
        <v>649.88</v>
      </c>
      <c r="J373" s="16">
        <f>SUM(J$374:J$375)</f>
        <v>0</v>
      </c>
      <c r="K373" s="16"/>
      <c r="L373" s="17">
        <f t="shared" si="91"/>
        <v>0</v>
      </c>
      <c r="M373" s="16">
        <f>SUM(M$374:M$375)</f>
        <v>0</v>
      </c>
      <c r="N373" s="16"/>
      <c r="O373" s="17">
        <f t="shared" si="92"/>
        <v>0</v>
      </c>
      <c r="P373" s="16">
        <f>SUM(P$374:P$375)</f>
        <v>0</v>
      </c>
      <c r="Q373" s="16"/>
      <c r="R373" s="17">
        <f t="shared" si="93"/>
        <v>0</v>
      </c>
      <c r="S373" s="16">
        <f>SUM(S$374:S$375)</f>
        <v>649.88</v>
      </c>
      <c r="T373" s="16"/>
      <c r="U373" s="17">
        <f t="shared" si="94"/>
        <v>1</v>
      </c>
      <c r="V373" s="16">
        <f>SUM(V$374:V$375)</f>
        <v>0</v>
      </c>
      <c r="W373" s="16"/>
      <c r="X373" s="17">
        <f t="shared" si="95"/>
        <v>0</v>
      </c>
      <c r="Y373" s="16">
        <f t="shared" si="96"/>
        <v>649.88</v>
      </c>
      <c r="Z373" s="17">
        <f t="shared" si="97"/>
        <v>1</v>
      </c>
      <c r="AA373" s="17">
        <f t="shared" si="98"/>
        <v>4.0318031020924349E-4</v>
      </c>
    </row>
    <row r="374" spans="1:27" ht="28.8" x14ac:dyDescent="0.3">
      <c r="A374" s="23" t="s">
        <v>431</v>
      </c>
      <c r="B374" s="23" t="str">
        <f>VLOOKUP(A374,MEMORIA!$A:$N,2,FALSE)</f>
        <v>COMP205</v>
      </c>
      <c r="C374" s="23" t="str">
        <f>VLOOKUP(A374,MEMORIA!$A:$N,3,FALSE)</f>
        <v>PRÓPRIA</v>
      </c>
      <c r="D374" s="24" t="str">
        <f>VLOOKUP(A374,MEMORIA!$A:$N,4,FALSE)</f>
        <v>CAIAÇÃO EM TRES DEMÃOS EM PAREDES (REF: C0589-SEINFRA 28)</v>
      </c>
      <c r="E374" s="23" t="str">
        <f>VLOOKUP(A374,MEMORIA!$A:$N,5,FALSE)</f>
        <v>M2</v>
      </c>
      <c r="F374" s="5">
        <f>VLOOKUP(A374,MEMORIA!$A:$N,14,FALSE)</f>
        <v>38.619999999999997</v>
      </c>
      <c r="G374" s="5">
        <f>VLOOKUP(A374,ORCAMENTO!$A:$I,7,FALSE)</f>
        <v>9.3800000000000008</v>
      </c>
      <c r="H374" s="5">
        <f>VLOOKUP(A374,ORCAMENTO!$A:$I,8,FALSE)</f>
        <v>11.47</v>
      </c>
      <c r="I374" s="5">
        <f>ROUND(F374*H374,2)</f>
        <v>442.97</v>
      </c>
      <c r="J374" s="5">
        <f>ROUND(K374*$H374,2)</f>
        <v>0</v>
      </c>
      <c r="K374" s="5">
        <v>0</v>
      </c>
      <c r="L374" s="25">
        <f t="shared" si="91"/>
        <v>0</v>
      </c>
      <c r="M374" s="5">
        <f>ROUND(N374*$H374,2)</f>
        <v>0</v>
      </c>
      <c r="N374" s="5">
        <v>0</v>
      </c>
      <c r="O374" s="25">
        <f t="shared" si="92"/>
        <v>0</v>
      </c>
      <c r="P374" s="5">
        <f>ROUND(Q374*$H374,2)</f>
        <v>0</v>
      </c>
      <c r="Q374" s="5">
        <v>0</v>
      </c>
      <c r="R374" s="25">
        <f t="shared" si="93"/>
        <v>0</v>
      </c>
      <c r="S374" s="5">
        <f>ROUND(T374*$H374,2)</f>
        <v>442.97</v>
      </c>
      <c r="T374" s="5">
        <f t="shared" ref="T374:T375" si="108">F374</f>
        <v>38.619999999999997</v>
      </c>
      <c r="U374" s="25">
        <f t="shared" si="94"/>
        <v>1</v>
      </c>
      <c r="V374" s="5">
        <f>ROUND(W374*$H374,2)</f>
        <v>0</v>
      </c>
      <c r="W374" s="5">
        <v>0</v>
      </c>
      <c r="X374" s="25">
        <f t="shared" si="95"/>
        <v>0</v>
      </c>
      <c r="Y374" s="5">
        <f t="shared" si="96"/>
        <v>442.97</v>
      </c>
      <c r="Z374" s="25">
        <f t="shared" si="97"/>
        <v>1</v>
      </c>
      <c r="AA374" s="25">
        <f t="shared" si="98"/>
        <v>2.7481501510030868E-4</v>
      </c>
    </row>
    <row r="375" spans="1:27" ht="86.4" x14ac:dyDescent="0.3">
      <c r="A375" s="23" t="s">
        <v>432</v>
      </c>
      <c r="B375" s="23">
        <f>VLOOKUP(A375,MEMORIA!$A:$N,2,FALSE)</f>
        <v>100758</v>
      </c>
      <c r="C375" s="23" t="str">
        <f>VLOOKUP(A375,MEMORIA!$A:$N,3,FALSE)</f>
        <v>SINAPI</v>
      </c>
      <c r="D375" s="24" t="str">
        <f>VLOOKUP(A375,MEMORIA!$A:$N,4,FALSE)</f>
        <v>PINTURA COM TINTA ALQUÍDICA DE ACABAMENTO (ESMALTE SINTÉTICO ACETINADO) APLICADA A ROLO OU PINCEL SOBRE SUPERFÍCIES METÁLICAS (EXCETO PERFIL) EXECUTADO EM OBRA (02 DEMÃOS). AF_01/2020</v>
      </c>
      <c r="E375" s="23" t="str">
        <f>VLOOKUP(A375,MEMORIA!$A:$N,5,FALSE)</f>
        <v>M2</v>
      </c>
      <c r="F375" s="5">
        <f>VLOOKUP(A375,MEMORIA!$A:$N,14,FALSE)</f>
        <v>3.36</v>
      </c>
      <c r="G375" s="5">
        <f>VLOOKUP(A375,ORCAMENTO!$A:$I,7,FALSE)</f>
        <v>50.339999999999996</v>
      </c>
      <c r="H375" s="5">
        <f>VLOOKUP(A375,ORCAMENTO!$A:$I,8,FALSE)</f>
        <v>61.58</v>
      </c>
      <c r="I375" s="5">
        <f>ROUND(F375*H375,2)</f>
        <v>206.91</v>
      </c>
      <c r="J375" s="5">
        <f>ROUND(K375*$H375,2)</f>
        <v>0</v>
      </c>
      <c r="K375" s="5">
        <v>0</v>
      </c>
      <c r="L375" s="25">
        <f t="shared" si="91"/>
        <v>0</v>
      </c>
      <c r="M375" s="5">
        <f>ROUND(N375*$H375,2)</f>
        <v>0</v>
      </c>
      <c r="N375" s="5">
        <v>0</v>
      </c>
      <c r="O375" s="25">
        <f t="shared" si="92"/>
        <v>0</v>
      </c>
      <c r="P375" s="5">
        <f>ROUND(Q375*$H375,2)</f>
        <v>0</v>
      </c>
      <c r="Q375" s="5">
        <v>0</v>
      </c>
      <c r="R375" s="25">
        <f t="shared" si="93"/>
        <v>0</v>
      </c>
      <c r="S375" s="5">
        <f>ROUND(T375*$H375,2)</f>
        <v>206.91</v>
      </c>
      <c r="T375" s="5">
        <f t="shared" si="108"/>
        <v>3.36</v>
      </c>
      <c r="U375" s="25">
        <f t="shared" si="94"/>
        <v>1</v>
      </c>
      <c r="V375" s="5">
        <f>ROUND(W375*$H375,2)</f>
        <v>0</v>
      </c>
      <c r="W375" s="5">
        <v>0</v>
      </c>
      <c r="X375" s="25">
        <f t="shared" si="95"/>
        <v>0</v>
      </c>
      <c r="Y375" s="5">
        <f t="shared" si="96"/>
        <v>206.91</v>
      </c>
      <c r="Z375" s="25">
        <f t="shared" si="97"/>
        <v>1</v>
      </c>
      <c r="AA375" s="25">
        <f t="shared" si="98"/>
        <v>1.2836529510893484E-4</v>
      </c>
    </row>
    <row r="376" spans="1:27" x14ac:dyDescent="0.3">
      <c r="A376" s="15" t="s">
        <v>125</v>
      </c>
      <c r="B376" s="48" t="str">
        <f>VLOOKUP(A376,MEMORIA!$A:$N,2,FALSE)</f>
        <v>CERCAMENTO</v>
      </c>
      <c r="C376" s="49"/>
      <c r="D376" s="49"/>
      <c r="E376" s="49"/>
      <c r="F376" s="49"/>
      <c r="G376" s="49"/>
      <c r="H376" s="50"/>
      <c r="I376" s="16">
        <f>SUM(I$377:I$377)</f>
        <v>5908.53</v>
      </c>
      <c r="J376" s="16">
        <f>SUM(J$377:J$377)</f>
        <v>0</v>
      </c>
      <c r="K376" s="16"/>
      <c r="L376" s="17">
        <f t="shared" si="91"/>
        <v>0</v>
      </c>
      <c r="M376" s="16">
        <f>SUM(M$377:M$377)</f>
        <v>0</v>
      </c>
      <c r="N376" s="16"/>
      <c r="O376" s="17">
        <f t="shared" si="92"/>
        <v>0</v>
      </c>
      <c r="P376" s="16">
        <f>SUM(P$377:P$377)</f>
        <v>0</v>
      </c>
      <c r="Q376" s="16"/>
      <c r="R376" s="17">
        <f t="shared" si="93"/>
        <v>0</v>
      </c>
      <c r="S376" s="16">
        <f>SUM(S$377:S$377)</f>
        <v>5908.53</v>
      </c>
      <c r="T376" s="16"/>
      <c r="U376" s="17">
        <f t="shared" si="94"/>
        <v>1</v>
      </c>
      <c r="V376" s="16">
        <f>SUM(V$377:V$377)</f>
        <v>0</v>
      </c>
      <c r="W376" s="16"/>
      <c r="X376" s="17">
        <f t="shared" si="95"/>
        <v>0</v>
      </c>
      <c r="Y376" s="16">
        <f t="shared" si="96"/>
        <v>5908.53</v>
      </c>
      <c r="Z376" s="17">
        <f t="shared" si="97"/>
        <v>1</v>
      </c>
      <c r="AA376" s="17">
        <f t="shared" si="98"/>
        <v>3.6656043550818943E-3</v>
      </c>
    </row>
    <row r="377" spans="1:27" ht="100.8" x14ac:dyDescent="0.3">
      <c r="A377" s="23" t="s">
        <v>433</v>
      </c>
      <c r="B377" s="23">
        <f>VLOOKUP(A377,MEMORIA!$A:$N,2,FALSE)</f>
        <v>101197</v>
      </c>
      <c r="C377" s="23" t="str">
        <f>VLOOKUP(A377,MEMORIA!$A:$N,3,FALSE)</f>
        <v>SINAPI</v>
      </c>
      <c r="D377" s="24" t="str">
        <f>VLOOKUP(A377,MEMORIA!$A:$N,4,FALSE)</f>
        <v>CERCA COM MOURÕES DE CONCRETO, SEÇÃO "T" PONTA INCLINADA, 10X10 CM, ESPAÇAMENTO DE 2,5 M, CRAVADOS 0,5 M, COM 11 FIOS DE ARAME FARPADO Nº 14 - FORNECIMENTO E INSTALAÇÃO. AF_05/2020</v>
      </c>
      <c r="E377" s="23" t="str">
        <f>VLOOKUP(A377,MEMORIA!$A:$N,5,FALSE)</f>
        <v>M</v>
      </c>
      <c r="F377" s="5">
        <f>VLOOKUP(A377,MEMORIA!$A:$N,14,FALSE)</f>
        <v>37</v>
      </c>
      <c r="G377" s="5">
        <f>VLOOKUP(A377,ORCAMENTO!$A:$I,7,FALSE)</f>
        <v>130.54</v>
      </c>
      <c r="H377" s="5">
        <f>VLOOKUP(A377,ORCAMENTO!$A:$I,8,FALSE)</f>
        <v>159.69</v>
      </c>
      <c r="I377" s="5">
        <f>ROUND(F377*H377,2)</f>
        <v>5908.53</v>
      </c>
      <c r="J377" s="5">
        <f>ROUND(K377*$H377,2)</f>
        <v>0</v>
      </c>
      <c r="K377" s="5">
        <v>0</v>
      </c>
      <c r="L377" s="25">
        <f t="shared" si="91"/>
        <v>0</v>
      </c>
      <c r="M377" s="5">
        <f>ROUND(N377*$H377,2)</f>
        <v>0</v>
      </c>
      <c r="N377" s="5">
        <v>0</v>
      </c>
      <c r="O377" s="25">
        <f t="shared" si="92"/>
        <v>0</v>
      </c>
      <c r="P377" s="5">
        <f>ROUND(Q377*$H377,2)</f>
        <v>0</v>
      </c>
      <c r="Q377" s="5">
        <v>0</v>
      </c>
      <c r="R377" s="25">
        <f t="shared" si="93"/>
        <v>0</v>
      </c>
      <c r="S377" s="5">
        <f>ROUND(T377*$H377,2)</f>
        <v>5908.53</v>
      </c>
      <c r="T377" s="5">
        <f t="shared" ref="T377" si="109">F377</f>
        <v>37</v>
      </c>
      <c r="U377" s="25">
        <f t="shared" si="94"/>
        <v>1</v>
      </c>
      <c r="V377" s="5">
        <f>ROUND(W377*$H377,2)</f>
        <v>0</v>
      </c>
      <c r="W377" s="5">
        <v>0</v>
      </c>
      <c r="X377" s="25">
        <f t="shared" si="95"/>
        <v>0</v>
      </c>
      <c r="Y377" s="5">
        <f t="shared" si="96"/>
        <v>5908.53</v>
      </c>
      <c r="Z377" s="25">
        <f t="shared" si="97"/>
        <v>1</v>
      </c>
      <c r="AA377" s="25">
        <f t="shared" si="98"/>
        <v>3.6656043550818943E-3</v>
      </c>
    </row>
    <row r="378" spans="1:27" x14ac:dyDescent="0.3">
      <c r="A378" s="12" t="s">
        <v>126</v>
      </c>
      <c r="B378" s="51" t="str">
        <f>VLOOKUP(A378,MEMORIA!$A:$N,2,FALSE)</f>
        <v>INSTALAÇÕES ELÉTRICAS</v>
      </c>
      <c r="C378" s="52"/>
      <c r="D378" s="52"/>
      <c r="E378" s="52"/>
      <c r="F378" s="52"/>
      <c r="G378" s="52"/>
      <c r="H378" s="53"/>
      <c r="I378" s="13">
        <f>SUM(I$379:I$380)</f>
        <v>17909.879999999997</v>
      </c>
      <c r="J378" s="13">
        <f>SUM(J$379:J$380)</f>
        <v>0</v>
      </c>
      <c r="K378" s="13"/>
      <c r="L378" s="14">
        <f t="shared" si="91"/>
        <v>0</v>
      </c>
      <c r="M378" s="13">
        <f>SUM(M$379:M$380)</f>
        <v>0</v>
      </c>
      <c r="N378" s="13"/>
      <c r="O378" s="14">
        <f t="shared" si="92"/>
        <v>0</v>
      </c>
      <c r="P378" s="13">
        <f>SUM(P$379:P$380)</f>
        <v>0</v>
      </c>
      <c r="Q378" s="13"/>
      <c r="R378" s="14">
        <f t="shared" si="93"/>
        <v>0</v>
      </c>
      <c r="S378" s="13">
        <f>SUM(S$379:S$380)</f>
        <v>17909.879999999997</v>
      </c>
      <c r="T378" s="13"/>
      <c r="U378" s="14">
        <f t="shared" si="94"/>
        <v>1</v>
      </c>
      <c r="V378" s="13">
        <f>SUM(V$379:V$380)</f>
        <v>0</v>
      </c>
      <c r="W378" s="13"/>
      <c r="X378" s="14">
        <f t="shared" si="95"/>
        <v>0</v>
      </c>
      <c r="Y378" s="13">
        <f t="shared" si="96"/>
        <v>17909.879999999997</v>
      </c>
      <c r="Z378" s="14">
        <f t="shared" si="97"/>
        <v>1</v>
      </c>
      <c r="AA378" s="14">
        <f t="shared" si="98"/>
        <v>1.1111145094802617E-2</v>
      </c>
    </row>
    <row r="379" spans="1:27" ht="100.8" x14ac:dyDescent="0.3">
      <c r="A379" s="23" t="s">
        <v>434</v>
      </c>
      <c r="B379" s="23" t="str">
        <f>VLOOKUP(A379,MEMORIA!$A:$N,2,FALSE)</f>
        <v>COMP223</v>
      </c>
      <c r="C379" s="23" t="str">
        <f>VLOOKUP(A379,MEMORIA!$A:$N,3,FALSE)</f>
        <v>PRÓPRIA</v>
      </c>
      <c r="D379" s="24" t="str">
        <f>VLOOKUP(A379,MEMORIA!$A:$N,4,FALSE)</f>
        <v>FORNECIMENTO E INSTALAÇÃO DE KIT DE BOMBEAMENTO SOLAR P/ POÇO COM PROFUNDIDADE DE 100 A 120 M, INCLUSO BOMBA 3CV, INVERSOR, PAINÉIS, QUADRO DE COMANDO, DISJUNTORES, CABOS E CONEXÕES E ESTRUTURA TIPO SOLO</v>
      </c>
      <c r="E379" s="23" t="str">
        <f>VLOOKUP(A379,MEMORIA!$A:$N,5,FALSE)</f>
        <v>UND</v>
      </c>
      <c r="F379" s="5">
        <f>VLOOKUP(A379,MEMORIA!$A:$N,14,FALSE)</f>
        <v>1</v>
      </c>
      <c r="G379" s="5">
        <f>VLOOKUP(A379,ORCAMENTO!$A:$I,7,FALSE)</f>
        <v>12042.74</v>
      </c>
      <c r="H379" s="5">
        <f>VLOOKUP(A379,ORCAMENTO!$A:$I,8,FALSE)</f>
        <v>14731.88</v>
      </c>
      <c r="I379" s="5">
        <f>ROUND(F379*H379,2)</f>
        <v>14731.88</v>
      </c>
      <c r="J379" s="5">
        <f>ROUND(K379*$H379,2)</f>
        <v>0</v>
      </c>
      <c r="K379" s="5">
        <v>0</v>
      </c>
      <c r="L379" s="25">
        <f t="shared" si="91"/>
        <v>0</v>
      </c>
      <c r="M379" s="5">
        <f>ROUND(N379*$H379,2)</f>
        <v>0</v>
      </c>
      <c r="N379" s="5">
        <v>0</v>
      </c>
      <c r="O379" s="25">
        <f t="shared" si="92"/>
        <v>0</v>
      </c>
      <c r="P379" s="5">
        <f>ROUND(Q379*$H379,2)</f>
        <v>0</v>
      </c>
      <c r="Q379" s="5">
        <v>0</v>
      </c>
      <c r="R379" s="25">
        <f t="shared" si="93"/>
        <v>0</v>
      </c>
      <c r="S379" s="5">
        <f>ROUND(T379*$H379,2)</f>
        <v>14731.88</v>
      </c>
      <c r="T379" s="5">
        <f t="shared" ref="T379:T380" si="110">F379</f>
        <v>1</v>
      </c>
      <c r="U379" s="25">
        <f t="shared" si="94"/>
        <v>1</v>
      </c>
      <c r="V379" s="5">
        <f>ROUND(W379*$H379,2)</f>
        <v>0</v>
      </c>
      <c r="W379" s="5">
        <v>0</v>
      </c>
      <c r="X379" s="25">
        <f t="shared" si="95"/>
        <v>0</v>
      </c>
      <c r="Y379" s="5">
        <f t="shared" si="96"/>
        <v>14731.88</v>
      </c>
      <c r="Z379" s="25">
        <f t="shared" si="97"/>
        <v>1</v>
      </c>
      <c r="AA379" s="25">
        <f t="shared" si="98"/>
        <v>9.1395395278595273E-3</v>
      </c>
    </row>
    <row r="380" spans="1:27" ht="28.8" x14ac:dyDescent="0.3">
      <c r="A380" s="23" t="s">
        <v>435</v>
      </c>
      <c r="B380" s="23" t="str">
        <f>VLOOKUP(A380,MEMORIA!$A:$N,2,FALSE)</f>
        <v>COMPOS24</v>
      </c>
      <c r="C380" s="23" t="str">
        <f>VLOOKUP(A380,MEMORIA!$A:$N,3,FALSE)</f>
        <v>PRÓPRIA</v>
      </c>
      <c r="D380" s="24" t="str">
        <f>VLOOKUP(A380,MEMORIA!$A:$N,4,FALSE)</f>
        <v>FORNECIMENTO E INSTALAÇÃO DE CABO CHATO SUBMERSO DE 3 X 6 MM²</v>
      </c>
      <c r="E380" s="23" t="str">
        <f>VLOOKUP(A380,MEMORIA!$A:$N,5,FALSE)</f>
        <v>M</v>
      </c>
      <c r="F380" s="5">
        <f>VLOOKUP(A380,MEMORIA!$A:$N,14,FALSE)</f>
        <v>100</v>
      </c>
      <c r="G380" s="5">
        <f>VLOOKUP(A380,ORCAMENTO!$A:$I,7,FALSE)</f>
        <v>25.98</v>
      </c>
      <c r="H380" s="5">
        <f>VLOOKUP(A380,ORCAMENTO!$A:$I,8,FALSE)</f>
        <v>31.78</v>
      </c>
      <c r="I380" s="5">
        <f>ROUND(F380*H380,2)</f>
        <v>3178</v>
      </c>
      <c r="J380" s="5">
        <f>ROUND(K380*$H380,2)</f>
        <v>0</v>
      </c>
      <c r="K380" s="5">
        <v>0</v>
      </c>
      <c r="L380" s="25">
        <f t="shared" si="91"/>
        <v>0</v>
      </c>
      <c r="M380" s="5">
        <f>ROUND(N380*$H380,2)</f>
        <v>0</v>
      </c>
      <c r="N380" s="5">
        <v>0</v>
      </c>
      <c r="O380" s="25">
        <f t="shared" si="92"/>
        <v>0</v>
      </c>
      <c r="P380" s="5">
        <f>ROUND(Q380*$H380,2)</f>
        <v>0</v>
      </c>
      <c r="Q380" s="5">
        <v>0</v>
      </c>
      <c r="R380" s="25">
        <f t="shared" si="93"/>
        <v>0</v>
      </c>
      <c r="S380" s="5">
        <f>ROUND(T380*$H380,2)</f>
        <v>3178</v>
      </c>
      <c r="T380" s="5">
        <f t="shared" si="110"/>
        <v>100</v>
      </c>
      <c r="U380" s="25">
        <f t="shared" si="94"/>
        <v>1</v>
      </c>
      <c r="V380" s="5">
        <f>ROUND(W380*$H380,2)</f>
        <v>0</v>
      </c>
      <c r="W380" s="5">
        <v>0</v>
      </c>
      <c r="X380" s="25">
        <f t="shared" si="95"/>
        <v>0</v>
      </c>
      <c r="Y380" s="5">
        <f t="shared" si="96"/>
        <v>3178</v>
      </c>
      <c r="Z380" s="25">
        <f t="shared" si="97"/>
        <v>1</v>
      </c>
      <c r="AA380" s="25">
        <f t="shared" si="98"/>
        <v>1.9716055669430905E-3</v>
      </c>
    </row>
    <row r="381" spans="1:27" x14ac:dyDescent="0.3">
      <c r="A381" s="12" t="s">
        <v>127</v>
      </c>
      <c r="B381" s="51" t="str">
        <f>VLOOKUP(A381,MEMORIA!$A:$N,2,FALSE)</f>
        <v>ADUÇÃO</v>
      </c>
      <c r="C381" s="52"/>
      <c r="D381" s="52"/>
      <c r="E381" s="52"/>
      <c r="F381" s="52"/>
      <c r="G381" s="52"/>
      <c r="H381" s="53"/>
      <c r="I381" s="13">
        <f>SUM(I$382,I$385,I$387,)</f>
        <v>1455.29</v>
      </c>
      <c r="J381" s="13">
        <f>SUM(J$382,J$385,J$387,)</f>
        <v>0</v>
      </c>
      <c r="K381" s="13"/>
      <c r="L381" s="14">
        <f t="shared" si="91"/>
        <v>0</v>
      </c>
      <c r="M381" s="13">
        <f>SUM(M$382,M$385,M$387,)</f>
        <v>0</v>
      </c>
      <c r="N381" s="13"/>
      <c r="O381" s="14">
        <f t="shared" si="92"/>
        <v>0</v>
      </c>
      <c r="P381" s="13">
        <f>SUM(P$382,P$385,P$387,)</f>
        <v>0</v>
      </c>
      <c r="Q381" s="13"/>
      <c r="R381" s="14">
        <f t="shared" si="93"/>
        <v>0</v>
      </c>
      <c r="S381" s="13">
        <f>SUM(S$382,S$385,S$387,)</f>
        <v>1455.29</v>
      </c>
      <c r="T381" s="13"/>
      <c r="U381" s="14">
        <f t="shared" si="94"/>
        <v>1</v>
      </c>
      <c r="V381" s="13">
        <f>SUM(V$382,V$385,V$387,)</f>
        <v>0</v>
      </c>
      <c r="W381" s="13"/>
      <c r="X381" s="14">
        <f t="shared" si="95"/>
        <v>0</v>
      </c>
      <c r="Y381" s="13">
        <f t="shared" si="96"/>
        <v>1455.29</v>
      </c>
      <c r="Z381" s="14">
        <f t="shared" si="97"/>
        <v>1</v>
      </c>
      <c r="AA381" s="14">
        <f t="shared" si="98"/>
        <v>9.028501779473286E-4</v>
      </c>
    </row>
    <row r="382" spans="1:27" x14ac:dyDescent="0.3">
      <c r="A382" s="15" t="s">
        <v>128</v>
      </c>
      <c r="B382" s="48" t="str">
        <f>VLOOKUP(A382,MEMORIA!$A:$N,2,FALSE)</f>
        <v>MOVIMENTO DE TERRA</v>
      </c>
      <c r="C382" s="49"/>
      <c r="D382" s="49"/>
      <c r="E382" s="49"/>
      <c r="F382" s="49"/>
      <c r="G382" s="49"/>
      <c r="H382" s="50"/>
      <c r="I382" s="16">
        <f>SUM(I$383:I$384)</f>
        <v>485.08</v>
      </c>
      <c r="J382" s="16">
        <f>SUM(J$383:J$384)</f>
        <v>0</v>
      </c>
      <c r="K382" s="16"/>
      <c r="L382" s="17">
        <f t="shared" si="91"/>
        <v>0</v>
      </c>
      <c r="M382" s="16">
        <f>SUM(M$383:M$384)</f>
        <v>0</v>
      </c>
      <c r="N382" s="16"/>
      <c r="O382" s="17">
        <f t="shared" si="92"/>
        <v>0</v>
      </c>
      <c r="P382" s="16">
        <f>SUM(P$383:P$384)</f>
        <v>0</v>
      </c>
      <c r="Q382" s="16"/>
      <c r="R382" s="17">
        <f t="shared" si="93"/>
        <v>0</v>
      </c>
      <c r="S382" s="16">
        <f>SUM(S$383:S$384)</f>
        <v>485.08</v>
      </c>
      <c r="T382" s="16"/>
      <c r="U382" s="17">
        <f t="shared" si="94"/>
        <v>1</v>
      </c>
      <c r="V382" s="16">
        <f>SUM(V$383:V$384)</f>
        <v>0</v>
      </c>
      <c r="W382" s="16"/>
      <c r="X382" s="17">
        <f t="shared" si="95"/>
        <v>0</v>
      </c>
      <c r="Y382" s="16">
        <f t="shared" si="96"/>
        <v>485.08</v>
      </c>
      <c r="Z382" s="17">
        <f t="shared" si="97"/>
        <v>1</v>
      </c>
      <c r="AA382" s="17">
        <f t="shared" si="98"/>
        <v>3.0093971945020591E-4</v>
      </c>
    </row>
    <row r="383" spans="1:27" ht="28.8" x14ac:dyDescent="0.3">
      <c r="A383" s="23" t="s">
        <v>436</v>
      </c>
      <c r="B383" s="23">
        <f>VLOOKUP(A383,MEMORIA!$A:$N,2,FALSE)</f>
        <v>93358</v>
      </c>
      <c r="C383" s="23" t="str">
        <f>VLOOKUP(A383,MEMORIA!$A:$N,3,FALSE)</f>
        <v>SINAPI</v>
      </c>
      <c r="D383" s="24" t="str">
        <f>VLOOKUP(A383,MEMORIA!$A:$N,4,FALSE)</f>
        <v>ESCAVAÇÃO MANUAL DE VALA. AF_09/2024</v>
      </c>
      <c r="E383" s="23" t="str">
        <f>VLOOKUP(A383,MEMORIA!$A:$N,5,FALSE)</f>
        <v>M3</v>
      </c>
      <c r="F383" s="5">
        <f>VLOOKUP(A383,MEMORIA!$A:$N,14,FALSE)</f>
        <v>3.23</v>
      </c>
      <c r="G383" s="5">
        <f>VLOOKUP(A383,ORCAMENTO!$A:$I,7,FALSE)</f>
        <v>85.87</v>
      </c>
      <c r="H383" s="5">
        <f>VLOOKUP(A383,ORCAMENTO!$A:$I,8,FALSE)</f>
        <v>105.04</v>
      </c>
      <c r="I383" s="5">
        <f>ROUND(F383*H383,2)</f>
        <v>339.28</v>
      </c>
      <c r="J383" s="5">
        <f>ROUND(K383*$H383,2)</f>
        <v>0</v>
      </c>
      <c r="K383" s="5">
        <v>0</v>
      </c>
      <c r="L383" s="25">
        <f t="shared" si="91"/>
        <v>0</v>
      </c>
      <c r="M383" s="5">
        <f>ROUND(N383*$H383,2)</f>
        <v>0</v>
      </c>
      <c r="N383" s="5">
        <v>0</v>
      </c>
      <c r="O383" s="25">
        <f t="shared" si="92"/>
        <v>0</v>
      </c>
      <c r="P383" s="5">
        <f>ROUND(Q383*$H383,2)</f>
        <v>0</v>
      </c>
      <c r="Q383" s="5">
        <v>0</v>
      </c>
      <c r="R383" s="25">
        <f t="shared" si="93"/>
        <v>0</v>
      </c>
      <c r="S383" s="5">
        <f>ROUND(T383*$H383,2)</f>
        <v>339.28</v>
      </c>
      <c r="T383" s="5">
        <f t="shared" ref="T383:T384" si="111">F383</f>
        <v>3.23</v>
      </c>
      <c r="U383" s="25">
        <f t="shared" si="94"/>
        <v>1</v>
      </c>
      <c r="V383" s="5">
        <f>ROUND(W383*$H383,2)</f>
        <v>0</v>
      </c>
      <c r="W383" s="5">
        <v>0</v>
      </c>
      <c r="X383" s="25">
        <f t="shared" si="95"/>
        <v>0</v>
      </c>
      <c r="Y383" s="5">
        <f t="shared" si="96"/>
        <v>339.28</v>
      </c>
      <c r="Z383" s="25">
        <f t="shared" si="97"/>
        <v>1</v>
      </c>
      <c r="AA383" s="25">
        <f t="shared" si="98"/>
        <v>2.1048657544130012E-4</v>
      </c>
    </row>
    <row r="384" spans="1:27" ht="28.8" x14ac:dyDescent="0.3">
      <c r="A384" s="23" t="s">
        <v>437</v>
      </c>
      <c r="B384" s="23" t="str">
        <f>VLOOKUP(A384,MEMORIA!$A:$N,2,FALSE)</f>
        <v>COMPOS28</v>
      </c>
      <c r="C384" s="23" t="str">
        <f>VLOOKUP(A384,MEMORIA!$A:$N,3,FALSE)</f>
        <v>PRÓPRIA</v>
      </c>
      <c r="D384" s="24" t="str">
        <f>VLOOKUP(A384,MEMORIA!$A:$N,4,FALSE)</f>
        <v>REATERRO DE VALA COM COMPACTAÇÃO MANUAL</v>
      </c>
      <c r="E384" s="23" t="str">
        <f>VLOOKUP(A384,MEMORIA!$A:$N,5,FALSE)</f>
        <v>M³</v>
      </c>
      <c r="F384" s="5">
        <f>VLOOKUP(A384,MEMORIA!$A:$N,14,FALSE)</f>
        <v>3.23</v>
      </c>
      <c r="G384" s="5">
        <f>VLOOKUP(A384,ORCAMENTO!$A:$I,7,FALSE)</f>
        <v>36.9</v>
      </c>
      <c r="H384" s="5">
        <f>VLOOKUP(A384,ORCAMENTO!$A:$I,8,FALSE)</f>
        <v>45.14</v>
      </c>
      <c r="I384" s="5">
        <f>ROUND(F384*H384,2)</f>
        <v>145.80000000000001</v>
      </c>
      <c r="J384" s="5">
        <f>ROUND(K384*$H384,2)</f>
        <v>0</v>
      </c>
      <c r="K384" s="5">
        <v>0</v>
      </c>
      <c r="L384" s="25">
        <f t="shared" si="91"/>
        <v>0</v>
      </c>
      <c r="M384" s="5">
        <f>ROUND(N384*$H384,2)</f>
        <v>0</v>
      </c>
      <c r="N384" s="5">
        <v>0</v>
      </c>
      <c r="O384" s="25">
        <f t="shared" si="92"/>
        <v>0</v>
      </c>
      <c r="P384" s="5">
        <f>ROUND(Q384*$H384,2)</f>
        <v>0</v>
      </c>
      <c r="Q384" s="5">
        <v>0</v>
      </c>
      <c r="R384" s="25">
        <f t="shared" si="93"/>
        <v>0</v>
      </c>
      <c r="S384" s="5">
        <f>ROUND(T384*$H384,2)</f>
        <v>145.80000000000001</v>
      </c>
      <c r="T384" s="5">
        <f t="shared" si="111"/>
        <v>3.23</v>
      </c>
      <c r="U384" s="25">
        <f t="shared" si="94"/>
        <v>1</v>
      </c>
      <c r="V384" s="5">
        <f>ROUND(W384*$H384,2)</f>
        <v>0</v>
      </c>
      <c r="W384" s="5">
        <v>0</v>
      </c>
      <c r="X384" s="25">
        <f t="shared" si="95"/>
        <v>0</v>
      </c>
      <c r="Y384" s="5">
        <f t="shared" si="96"/>
        <v>145.80000000000001</v>
      </c>
      <c r="Z384" s="25">
        <f t="shared" si="97"/>
        <v>1</v>
      </c>
      <c r="AA384" s="25">
        <f t="shared" si="98"/>
        <v>9.0453144008905803E-5</v>
      </c>
    </row>
    <row r="385" spans="1:27" x14ac:dyDescent="0.3">
      <c r="A385" s="15" t="s">
        <v>129</v>
      </c>
      <c r="B385" s="48" t="str">
        <f>VLOOKUP(A385,MEMORIA!$A:$N,2,FALSE)</f>
        <v>INFRAESTRUTURA</v>
      </c>
      <c r="C385" s="49"/>
      <c r="D385" s="49"/>
      <c r="E385" s="49"/>
      <c r="F385" s="49"/>
      <c r="G385" s="49"/>
      <c r="H385" s="50"/>
      <c r="I385" s="16">
        <f>SUM(I$386:I$386)</f>
        <v>264.64</v>
      </c>
      <c r="J385" s="16">
        <f>SUM(J$386:J$386)</f>
        <v>0</v>
      </c>
      <c r="K385" s="16"/>
      <c r="L385" s="17">
        <f t="shared" si="91"/>
        <v>0</v>
      </c>
      <c r="M385" s="16">
        <f>SUM(M$386:M$386)</f>
        <v>0</v>
      </c>
      <c r="N385" s="16"/>
      <c r="O385" s="17">
        <f t="shared" si="92"/>
        <v>0</v>
      </c>
      <c r="P385" s="16">
        <f>SUM(P$386:P$386)</f>
        <v>0</v>
      </c>
      <c r="Q385" s="16"/>
      <c r="R385" s="17">
        <f t="shared" si="93"/>
        <v>0</v>
      </c>
      <c r="S385" s="16">
        <f>SUM(S$386:S$386)</f>
        <v>264.64</v>
      </c>
      <c r="T385" s="16"/>
      <c r="U385" s="17">
        <f t="shared" si="94"/>
        <v>1</v>
      </c>
      <c r="V385" s="16">
        <f>SUM(V$386:V$386)</f>
        <v>0</v>
      </c>
      <c r="W385" s="16"/>
      <c r="X385" s="17">
        <f t="shared" si="95"/>
        <v>0</v>
      </c>
      <c r="Y385" s="16">
        <f t="shared" si="96"/>
        <v>264.64</v>
      </c>
      <c r="Z385" s="17">
        <f t="shared" si="97"/>
        <v>1</v>
      </c>
      <c r="AA385" s="17">
        <f t="shared" si="98"/>
        <v>1.6418052147130883E-4</v>
      </c>
    </row>
    <row r="386" spans="1:27" x14ac:dyDescent="0.3">
      <c r="A386" s="23" t="s">
        <v>438</v>
      </c>
      <c r="B386" s="23" t="str">
        <f>VLOOKUP(A386,MEMORIA!$A:$N,2,FALSE)</f>
        <v>COMP216</v>
      </c>
      <c r="C386" s="23" t="str">
        <f>VLOOKUP(A386,MEMORIA!$A:$N,3,FALSE)</f>
        <v>PRÓPRIA</v>
      </c>
      <c r="D386" s="24" t="str">
        <f>VLOOKUP(A386,MEMORIA!$A:$N,4,FALSE)</f>
        <v>BLOCO DE ANCORAGEM EM CONCRETO SIMPLES FCK=10MPA (REF: C3403-SEINFRA 28)</v>
      </c>
      <c r="E386" s="23" t="str">
        <f>VLOOKUP(A386,MEMORIA!$A:$N,5,FALSE)</f>
        <v>M3</v>
      </c>
      <c r="F386" s="5">
        <f>VLOOKUP(A386,MEMORIA!$A:$N,14,FALSE)</f>
        <v>0.26</v>
      </c>
      <c r="G386" s="5">
        <f>VLOOKUP(A386,ORCAMENTO!$A:$I,7,FALSE)</f>
        <v>832.05</v>
      </c>
      <c r="H386" s="5">
        <f>VLOOKUP(A386,ORCAMENTO!$A:$I,8,FALSE)</f>
        <v>1017.8499999999999</v>
      </c>
      <c r="I386" s="5">
        <f>ROUND(F386*H386,2)</f>
        <v>264.64</v>
      </c>
      <c r="J386" s="5">
        <f>ROUND(K386*$H386,2)</f>
        <v>0</v>
      </c>
      <c r="K386" s="5">
        <v>0</v>
      </c>
      <c r="L386" s="25">
        <f t="shared" si="91"/>
        <v>0</v>
      </c>
      <c r="M386" s="5">
        <f>ROUND(N386*$H386,2)</f>
        <v>0</v>
      </c>
      <c r="N386" s="5">
        <v>0</v>
      </c>
      <c r="O386" s="25">
        <f t="shared" si="92"/>
        <v>0</v>
      </c>
      <c r="P386" s="5">
        <f>ROUND(Q386*$H386,2)</f>
        <v>0</v>
      </c>
      <c r="Q386" s="5">
        <v>0</v>
      </c>
      <c r="R386" s="25">
        <f t="shared" si="93"/>
        <v>0</v>
      </c>
      <c r="S386" s="5">
        <f>ROUND(T386*$H386,2)</f>
        <v>264.64</v>
      </c>
      <c r="T386" s="5">
        <f t="shared" ref="T386" si="112">F386</f>
        <v>0.26</v>
      </c>
      <c r="U386" s="25">
        <f t="shared" si="94"/>
        <v>1</v>
      </c>
      <c r="V386" s="5">
        <f>ROUND(W386*$H386,2)</f>
        <v>0</v>
      </c>
      <c r="W386" s="5">
        <v>0</v>
      </c>
      <c r="X386" s="25">
        <f t="shared" si="95"/>
        <v>0</v>
      </c>
      <c r="Y386" s="5">
        <f t="shared" si="96"/>
        <v>264.64</v>
      </c>
      <c r="Z386" s="25">
        <f t="shared" si="97"/>
        <v>1</v>
      </c>
      <c r="AA386" s="25">
        <f t="shared" si="98"/>
        <v>1.6418052147130883E-4</v>
      </c>
    </row>
    <row r="387" spans="1:27" x14ac:dyDescent="0.3">
      <c r="A387" s="15" t="s">
        <v>130</v>
      </c>
      <c r="B387" s="48" t="str">
        <f>VLOOKUP(A387,MEMORIA!$A:$N,2,FALSE)</f>
        <v>INSTALAÇÕES HIDRÁULICAS</v>
      </c>
      <c r="C387" s="49"/>
      <c r="D387" s="49"/>
      <c r="E387" s="49"/>
      <c r="F387" s="49"/>
      <c r="G387" s="49"/>
      <c r="H387" s="50"/>
      <c r="I387" s="16">
        <f>SUM(I$388:I$389)</f>
        <v>705.57</v>
      </c>
      <c r="J387" s="16">
        <f>SUM(J$388:J$389)</f>
        <v>0</v>
      </c>
      <c r="K387" s="16"/>
      <c r="L387" s="17">
        <f t="shared" si="91"/>
        <v>0</v>
      </c>
      <c r="M387" s="16">
        <f>SUM(M$388:M$389)</f>
        <v>0</v>
      </c>
      <c r="N387" s="16"/>
      <c r="O387" s="17">
        <f t="shared" si="92"/>
        <v>0</v>
      </c>
      <c r="P387" s="16">
        <f>SUM(P$388:P$389)</f>
        <v>0</v>
      </c>
      <c r="Q387" s="16"/>
      <c r="R387" s="17">
        <f t="shared" si="93"/>
        <v>0</v>
      </c>
      <c r="S387" s="16">
        <f>SUM(S$388:S$389)</f>
        <v>705.57</v>
      </c>
      <c r="T387" s="16"/>
      <c r="U387" s="17">
        <f t="shared" si="94"/>
        <v>1</v>
      </c>
      <c r="V387" s="16">
        <f>SUM(V$388:V$389)</f>
        <v>0</v>
      </c>
      <c r="W387" s="16"/>
      <c r="X387" s="17">
        <f t="shared" si="95"/>
        <v>0</v>
      </c>
      <c r="Y387" s="16">
        <f t="shared" si="96"/>
        <v>705.57</v>
      </c>
      <c r="Z387" s="17">
        <f t="shared" si="97"/>
        <v>1</v>
      </c>
      <c r="AA387" s="17">
        <f t="shared" si="98"/>
        <v>4.3772993702581391E-4</v>
      </c>
    </row>
    <row r="388" spans="1:27" ht="43.2" x14ac:dyDescent="0.3">
      <c r="A388" s="23" t="s">
        <v>439</v>
      </c>
      <c r="B388" s="23">
        <f>VLOOKUP(A388,MEMORIA!$A:$N,2,FALSE)</f>
        <v>94498</v>
      </c>
      <c r="C388" s="23" t="str">
        <f>VLOOKUP(A388,MEMORIA!$A:$N,3,FALSE)</f>
        <v>SINAPI</v>
      </c>
      <c r="D388" s="24" t="str">
        <f>VLOOKUP(A388,MEMORIA!$A:$N,4,FALSE)</f>
        <v>REGISTRO DE GAVETA BRUTO, LATÃO, ROSCÁVEL, 2" - FORNECIMENTO E INSTALAÇÃO. AF_08/2021</v>
      </c>
      <c r="E388" s="23" t="str">
        <f>VLOOKUP(A388,MEMORIA!$A:$N,5,FALSE)</f>
        <v>UN</v>
      </c>
      <c r="F388" s="5">
        <f>VLOOKUP(A388,MEMORIA!$A:$N,14,FALSE)</f>
        <v>1</v>
      </c>
      <c r="G388" s="5">
        <f>VLOOKUP(A388,ORCAMENTO!$A:$I,7,FALSE)</f>
        <v>164.12</v>
      </c>
      <c r="H388" s="5">
        <f>VLOOKUP(A388,ORCAMENTO!$A:$I,8,FALSE)</f>
        <v>200.77</v>
      </c>
      <c r="I388" s="5">
        <f>ROUND(F388*H388,2)</f>
        <v>200.77</v>
      </c>
      <c r="J388" s="5">
        <f>ROUND(K388*$H388,2)</f>
        <v>0</v>
      </c>
      <c r="K388" s="5">
        <v>0</v>
      </c>
      <c r="L388" s="25">
        <f t="shared" si="91"/>
        <v>0</v>
      </c>
      <c r="M388" s="5">
        <f>ROUND(N388*$H388,2)</f>
        <v>0</v>
      </c>
      <c r="N388" s="5">
        <v>0</v>
      </c>
      <c r="O388" s="25">
        <f t="shared" si="92"/>
        <v>0</v>
      </c>
      <c r="P388" s="5">
        <f>ROUND(Q388*$H388,2)</f>
        <v>0</v>
      </c>
      <c r="Q388" s="5">
        <v>0</v>
      </c>
      <c r="R388" s="25">
        <f t="shared" si="93"/>
        <v>0</v>
      </c>
      <c r="S388" s="5">
        <f>ROUND(T388*$H388,2)</f>
        <v>200.77</v>
      </c>
      <c r="T388" s="5">
        <f t="shared" ref="T388:T389" si="113">F388</f>
        <v>1</v>
      </c>
      <c r="U388" s="25">
        <f t="shared" si="94"/>
        <v>1</v>
      </c>
      <c r="V388" s="5">
        <f>ROUND(W388*$H388,2)</f>
        <v>0</v>
      </c>
      <c r="W388" s="5">
        <v>0</v>
      </c>
      <c r="X388" s="25">
        <f t="shared" si="95"/>
        <v>0</v>
      </c>
      <c r="Y388" s="5">
        <f t="shared" si="96"/>
        <v>200.77</v>
      </c>
      <c r="Z388" s="25">
        <f t="shared" si="97"/>
        <v>1</v>
      </c>
      <c r="AA388" s="25">
        <f t="shared" si="98"/>
        <v>1.2455608863283963E-4</v>
      </c>
    </row>
    <row r="389" spans="1:27" ht="43.2" x14ac:dyDescent="0.3">
      <c r="A389" s="23" t="s">
        <v>440</v>
      </c>
      <c r="B389" s="23" t="str">
        <f>VLOOKUP(A389,MEMORIA!$A:$N,2,FALSE)</f>
        <v>COMPOS27</v>
      </c>
      <c r="C389" s="23" t="str">
        <f>VLOOKUP(A389,MEMORIA!$A:$N,3,FALSE)</f>
        <v>PRÓPRIA</v>
      </c>
      <c r="D389" s="24" t="str">
        <f>VLOOKUP(A389,MEMORIA!$A:$N,4,FALSE)</f>
        <v>AQUISIÇÃO E ASSENTAMENTO DE TUBO RÍGIDO PVC, CLASSE 12, DN 50 MM, INCLUSO CONEXÕES</v>
      </c>
      <c r="E389" s="23" t="str">
        <f>VLOOKUP(A389,MEMORIA!$A:$N,5,FALSE)</f>
        <v>M</v>
      </c>
      <c r="F389" s="5">
        <f>VLOOKUP(A389,MEMORIA!$A:$N,14,FALSE)</f>
        <v>16</v>
      </c>
      <c r="G389" s="5">
        <f>VLOOKUP(A389,ORCAMENTO!$A:$I,7,FALSE)</f>
        <v>25.79</v>
      </c>
      <c r="H389" s="5">
        <f>VLOOKUP(A389,ORCAMENTO!$A:$I,8,FALSE)</f>
        <v>31.549999999999997</v>
      </c>
      <c r="I389" s="5">
        <f>ROUND(F389*H389,2)</f>
        <v>504.8</v>
      </c>
      <c r="J389" s="5">
        <f>ROUND(K389*$H389,2)</f>
        <v>0</v>
      </c>
      <c r="K389" s="5">
        <v>0</v>
      </c>
      <c r="L389" s="25">
        <f t="shared" si="91"/>
        <v>0</v>
      </c>
      <c r="M389" s="5">
        <f>ROUND(N389*$H389,2)</f>
        <v>0</v>
      </c>
      <c r="N389" s="5">
        <v>0</v>
      </c>
      <c r="O389" s="25">
        <f t="shared" si="92"/>
        <v>0</v>
      </c>
      <c r="P389" s="5">
        <f>ROUND(Q389*$H389,2)</f>
        <v>0</v>
      </c>
      <c r="Q389" s="5">
        <v>0</v>
      </c>
      <c r="R389" s="25">
        <f t="shared" si="93"/>
        <v>0</v>
      </c>
      <c r="S389" s="5">
        <f>ROUND(T389*$H389,2)</f>
        <v>504.8</v>
      </c>
      <c r="T389" s="5">
        <f t="shared" si="113"/>
        <v>16</v>
      </c>
      <c r="U389" s="25">
        <f t="shared" si="94"/>
        <v>1</v>
      </c>
      <c r="V389" s="5">
        <f>ROUND(W389*$H389,2)</f>
        <v>0</v>
      </c>
      <c r="W389" s="5">
        <v>0</v>
      </c>
      <c r="X389" s="25">
        <f t="shared" si="95"/>
        <v>0</v>
      </c>
      <c r="Y389" s="5">
        <f t="shared" si="96"/>
        <v>504.8</v>
      </c>
      <c r="Z389" s="25">
        <f t="shared" si="97"/>
        <v>1</v>
      </c>
      <c r="AA389" s="25">
        <f t="shared" si="98"/>
        <v>3.1317384839297429E-4</v>
      </c>
    </row>
    <row r="390" spans="1:27" x14ac:dyDescent="0.3">
      <c r="A390" s="12" t="s">
        <v>131</v>
      </c>
      <c r="B390" s="51" t="str">
        <f>VLOOKUP(A390,MEMORIA!$A:$N,2,FALSE)</f>
        <v>RESERVAÇÃO</v>
      </c>
      <c r="C390" s="52"/>
      <c r="D390" s="52"/>
      <c r="E390" s="52"/>
      <c r="F390" s="52"/>
      <c r="G390" s="52"/>
      <c r="H390" s="53"/>
      <c r="I390" s="13">
        <f>SUM(I$391:I$393)</f>
        <v>31488.33</v>
      </c>
      <c r="J390" s="13">
        <f>SUM(J$391:J$393)</f>
        <v>0</v>
      </c>
      <c r="K390" s="13"/>
      <c r="L390" s="14">
        <f t="shared" si="91"/>
        <v>0</v>
      </c>
      <c r="M390" s="13">
        <f>SUM(M$391:M$393)</f>
        <v>0</v>
      </c>
      <c r="N390" s="13"/>
      <c r="O390" s="14">
        <f t="shared" si="92"/>
        <v>0</v>
      </c>
      <c r="P390" s="13">
        <f>SUM(P$391:P$393)</f>
        <v>0</v>
      </c>
      <c r="Q390" s="13"/>
      <c r="R390" s="14">
        <f t="shared" si="93"/>
        <v>0</v>
      </c>
      <c r="S390" s="13">
        <f>SUM(S$391:S$393)</f>
        <v>31488.33</v>
      </c>
      <c r="T390" s="13"/>
      <c r="U390" s="14">
        <f t="shared" si="94"/>
        <v>1</v>
      </c>
      <c r="V390" s="13">
        <f>SUM(V$391:V$393)</f>
        <v>0</v>
      </c>
      <c r="W390" s="13"/>
      <c r="X390" s="14">
        <f t="shared" si="95"/>
        <v>0</v>
      </c>
      <c r="Y390" s="13">
        <f t="shared" si="96"/>
        <v>31488.33</v>
      </c>
      <c r="Z390" s="14">
        <f t="shared" si="97"/>
        <v>1</v>
      </c>
      <c r="AA390" s="14">
        <f t="shared" si="98"/>
        <v>1.9535105953977703E-2</v>
      </c>
    </row>
    <row r="391" spans="1:27" ht="158.4" x14ac:dyDescent="0.3">
      <c r="A391" s="23" t="s">
        <v>441</v>
      </c>
      <c r="B391" s="23" t="str">
        <f>VLOOKUP(A391,MEMORIA!$A:$N,2,FALSE)</f>
        <v>COMPOS34</v>
      </c>
      <c r="C391" s="23" t="str">
        <f>VLOOKUP(A391,MEMORIA!$A:$N,3,FALSE)</f>
        <v>PRÓPRIA</v>
      </c>
      <c r="D391" s="24" t="str">
        <f>VLOOKUP(A391,MEMORIA!$A:$N,4,FALSE)</f>
        <v>FORNECIMENTO E INSTALAÇÃO DE RESERVATÓRIO ELEVADO C/ CAIXA D'AGUA EM POLIESTER REFORCADO COM FIBRA DE VIDRO DE 10.000 LITROS, APOIADO EM ESTRUTURA PRÉ-MOLDADA EM CONCRETO, COMPOSTA DE CAPITEL P/APOIO DA CAIXA E PILAR C/ALTURA ÚTIL = 10,00M, INCLUSO FRETE E MONTAGEM NO LOCAL, COM FUNDAÇÃO EM CONCRETO SIMPLES FCK=20MPA</v>
      </c>
      <c r="E391" s="23" t="str">
        <f>VLOOKUP(A391,MEMORIA!$A:$N,5,FALSE)</f>
        <v>UND</v>
      </c>
      <c r="F391" s="5">
        <f>VLOOKUP(A391,MEMORIA!$A:$N,14,FALSE)</f>
        <v>1</v>
      </c>
      <c r="G391" s="5">
        <f>VLOOKUP(A391,ORCAMENTO!$A:$I,7,FALSE)</f>
        <v>24798.26</v>
      </c>
      <c r="H391" s="5">
        <f>VLOOKUP(A391,ORCAMENTO!$A:$I,8,FALSE)</f>
        <v>30335.71</v>
      </c>
      <c r="I391" s="5">
        <f>ROUND(F391*H391,2)</f>
        <v>30335.71</v>
      </c>
      <c r="J391" s="5">
        <f>ROUND(K391*$H391,2)</f>
        <v>0</v>
      </c>
      <c r="K391" s="5">
        <v>0</v>
      </c>
      <c r="L391" s="25">
        <f t="shared" si="91"/>
        <v>0</v>
      </c>
      <c r="M391" s="5">
        <f>ROUND(N391*$H391,2)</f>
        <v>0</v>
      </c>
      <c r="N391" s="5">
        <v>0</v>
      </c>
      <c r="O391" s="25">
        <f t="shared" si="92"/>
        <v>0</v>
      </c>
      <c r="P391" s="5">
        <f>ROUND(Q391*$H391,2)</f>
        <v>0</v>
      </c>
      <c r="Q391" s="5">
        <v>0</v>
      </c>
      <c r="R391" s="25">
        <f t="shared" si="93"/>
        <v>0</v>
      </c>
      <c r="S391" s="5">
        <f>ROUND(T391*$H391,2)</f>
        <v>30335.71</v>
      </c>
      <c r="T391" s="5">
        <f t="shared" ref="T391:T393" si="114">F391</f>
        <v>1</v>
      </c>
      <c r="U391" s="25">
        <f t="shared" si="94"/>
        <v>1</v>
      </c>
      <c r="V391" s="5">
        <f>ROUND(W391*$H391,2)</f>
        <v>0</v>
      </c>
      <c r="W391" s="5">
        <v>0</v>
      </c>
      <c r="X391" s="25">
        <f t="shared" si="95"/>
        <v>0</v>
      </c>
      <c r="Y391" s="5">
        <f t="shared" si="96"/>
        <v>30335.71</v>
      </c>
      <c r="Z391" s="25">
        <f t="shared" si="97"/>
        <v>1</v>
      </c>
      <c r="AA391" s="25">
        <f t="shared" si="98"/>
        <v>1.8820029802759972E-2</v>
      </c>
    </row>
    <row r="392" spans="1:27" ht="43.2" x14ac:dyDescent="0.3">
      <c r="A392" s="23" t="s">
        <v>442</v>
      </c>
      <c r="B392" s="23">
        <f>VLOOKUP(A392,MEMORIA!$A:$N,2,FALSE)</f>
        <v>94498</v>
      </c>
      <c r="C392" s="23" t="str">
        <f>VLOOKUP(A392,MEMORIA!$A:$N,3,FALSE)</f>
        <v>SINAPI</v>
      </c>
      <c r="D392" s="24" t="str">
        <f>VLOOKUP(A392,MEMORIA!$A:$N,4,FALSE)</f>
        <v>REGISTRO DE GAVETA BRUTO, LATÃO, ROSCÁVEL, 2" - FORNECIMENTO E INSTALAÇÃO. AF_08/2021</v>
      </c>
      <c r="E392" s="23" t="str">
        <f>VLOOKUP(A392,MEMORIA!$A:$N,5,FALSE)</f>
        <v>UN</v>
      </c>
      <c r="F392" s="5">
        <f>VLOOKUP(A392,MEMORIA!$A:$N,14,FALSE)</f>
        <v>2</v>
      </c>
      <c r="G392" s="5">
        <f>VLOOKUP(A392,ORCAMENTO!$A:$I,7,FALSE)</f>
        <v>164.12</v>
      </c>
      <c r="H392" s="5">
        <f>VLOOKUP(A392,ORCAMENTO!$A:$I,8,FALSE)</f>
        <v>200.77</v>
      </c>
      <c r="I392" s="5">
        <f>ROUND(F392*H392,2)</f>
        <v>401.54</v>
      </c>
      <c r="J392" s="5">
        <f>ROUND(K392*$H392,2)</f>
        <v>0</v>
      </c>
      <c r="K392" s="5">
        <v>0</v>
      </c>
      <c r="L392" s="25">
        <f t="shared" ref="L392:L455" si="115">J392/$I392</f>
        <v>0</v>
      </c>
      <c r="M392" s="5">
        <f>ROUND(N392*$H392,2)</f>
        <v>0</v>
      </c>
      <c r="N392" s="5">
        <v>0</v>
      </c>
      <c r="O392" s="25">
        <f t="shared" ref="O392:O455" si="116">M392/$I392</f>
        <v>0</v>
      </c>
      <c r="P392" s="5">
        <f>ROUND(Q392*$H392,2)</f>
        <v>0</v>
      </c>
      <c r="Q392" s="5">
        <v>0</v>
      </c>
      <c r="R392" s="25">
        <f t="shared" ref="R392:R455" si="117">P392/$I392</f>
        <v>0</v>
      </c>
      <c r="S392" s="5">
        <f>ROUND(T392*$H392,2)</f>
        <v>401.54</v>
      </c>
      <c r="T392" s="5">
        <f t="shared" si="114"/>
        <v>2</v>
      </c>
      <c r="U392" s="25">
        <f t="shared" ref="U392:U455" si="118">S392/$I392</f>
        <v>1</v>
      </c>
      <c r="V392" s="5">
        <f>ROUND(W392*$H392,2)</f>
        <v>0</v>
      </c>
      <c r="W392" s="5">
        <v>0</v>
      </c>
      <c r="X392" s="25">
        <f t="shared" ref="X392:X455" si="119">V392/$I392</f>
        <v>0</v>
      </c>
      <c r="Y392" s="5">
        <f t="shared" ref="Y392:Y455" si="120">SUM(J392,M392,P392,S392,V392,)</f>
        <v>401.54</v>
      </c>
      <c r="Z392" s="25">
        <f t="shared" ref="Z392:Z455" si="121">SUM(L392,O392,R392,U392,X392,)</f>
        <v>1</v>
      </c>
      <c r="AA392" s="25">
        <f t="shared" ref="AA392:AA455" si="122">Y392/$I$479</f>
        <v>2.4911217726567925E-4</v>
      </c>
    </row>
    <row r="393" spans="1:27" ht="43.2" x14ac:dyDescent="0.3">
      <c r="A393" s="23" t="s">
        <v>443</v>
      </c>
      <c r="B393" s="23" t="str">
        <f>VLOOKUP(A393,MEMORIA!$A:$N,2,FALSE)</f>
        <v>COMPOS35</v>
      </c>
      <c r="C393" s="23" t="str">
        <f>VLOOKUP(A393,MEMORIA!$A:$N,3,FALSE)</f>
        <v>PRÓPRIA</v>
      </c>
      <c r="D393" s="24" t="str">
        <f>VLOOKUP(A393,MEMORIA!$A:$N,4,FALSE)</f>
        <v>AQUISIÇÃO E ASSENTAMENTO DE TUBO RÍGIDO PVC, CLASSE 12, DN 60 MM, INCLUSO CONEXÕES</v>
      </c>
      <c r="E393" s="23" t="str">
        <f>VLOOKUP(A393,MEMORIA!$A:$N,5,FALSE)</f>
        <v>M</v>
      </c>
      <c r="F393" s="5">
        <f>VLOOKUP(A393,MEMORIA!$A:$N,14,FALSE)</f>
        <v>22</v>
      </c>
      <c r="G393" s="5">
        <f>VLOOKUP(A393,ORCAMENTO!$A:$I,7,FALSE)</f>
        <v>27.91</v>
      </c>
      <c r="H393" s="5">
        <f>VLOOKUP(A393,ORCAMENTO!$A:$I,8,FALSE)</f>
        <v>34.14</v>
      </c>
      <c r="I393" s="5">
        <f>ROUND(F393*H393,2)</f>
        <v>751.08</v>
      </c>
      <c r="J393" s="5">
        <f>ROUND(K393*$H393,2)</f>
        <v>0</v>
      </c>
      <c r="K393" s="5">
        <v>0</v>
      </c>
      <c r="L393" s="25">
        <f t="shared" si="115"/>
        <v>0</v>
      </c>
      <c r="M393" s="5">
        <f>ROUND(N393*$H393,2)</f>
        <v>0</v>
      </c>
      <c r="N393" s="5">
        <v>0</v>
      </c>
      <c r="O393" s="25">
        <f t="shared" si="116"/>
        <v>0</v>
      </c>
      <c r="P393" s="5">
        <f>ROUND(Q393*$H393,2)</f>
        <v>0</v>
      </c>
      <c r="Q393" s="5">
        <v>0</v>
      </c>
      <c r="R393" s="25">
        <f t="shared" si="117"/>
        <v>0</v>
      </c>
      <c r="S393" s="5">
        <f>ROUND(T393*$H393,2)</f>
        <v>751.08</v>
      </c>
      <c r="T393" s="5">
        <f t="shared" si="114"/>
        <v>22</v>
      </c>
      <c r="U393" s="25">
        <f t="shared" si="118"/>
        <v>1</v>
      </c>
      <c r="V393" s="5">
        <f>ROUND(W393*$H393,2)</f>
        <v>0</v>
      </c>
      <c r="W393" s="5">
        <v>0</v>
      </c>
      <c r="X393" s="25">
        <f t="shared" si="119"/>
        <v>0</v>
      </c>
      <c r="Y393" s="5">
        <f t="shared" si="120"/>
        <v>751.08</v>
      </c>
      <c r="Z393" s="25">
        <f t="shared" si="121"/>
        <v>1</v>
      </c>
      <c r="AA393" s="25">
        <f t="shared" si="122"/>
        <v>4.6596397395205058E-4</v>
      </c>
    </row>
    <row r="394" spans="1:27" x14ac:dyDescent="0.3">
      <c r="A394" s="12" t="s">
        <v>132</v>
      </c>
      <c r="B394" s="51" t="str">
        <f>VLOOKUP(A394,MEMORIA!$A:$N,2,FALSE)</f>
        <v>DISTRIBUIÇÃO</v>
      </c>
      <c r="C394" s="52"/>
      <c r="D394" s="52"/>
      <c r="E394" s="52"/>
      <c r="F394" s="52"/>
      <c r="G394" s="52"/>
      <c r="H394" s="53"/>
      <c r="I394" s="13">
        <f>SUM(I$395,I$398,)</f>
        <v>50609.360000000008</v>
      </c>
      <c r="J394" s="13">
        <f>SUM(J$395,J$398,)</f>
        <v>0</v>
      </c>
      <c r="K394" s="13"/>
      <c r="L394" s="14">
        <f t="shared" si="115"/>
        <v>0</v>
      </c>
      <c r="M394" s="13">
        <f>SUM(M$395,M$398,)</f>
        <v>0</v>
      </c>
      <c r="N394" s="13"/>
      <c r="O394" s="14">
        <f t="shared" si="116"/>
        <v>0</v>
      </c>
      <c r="P394" s="13">
        <f>SUM(P$395,P$398,)</f>
        <v>0</v>
      </c>
      <c r="Q394" s="13"/>
      <c r="R394" s="14">
        <f t="shared" si="117"/>
        <v>0</v>
      </c>
      <c r="S394" s="13">
        <f>SUM(S$395,S$398,)</f>
        <v>50609.360000000008</v>
      </c>
      <c r="T394" s="13"/>
      <c r="U394" s="14">
        <f t="shared" si="118"/>
        <v>1</v>
      </c>
      <c r="V394" s="13">
        <f>SUM(V$395,V$398,)</f>
        <v>0</v>
      </c>
      <c r="W394" s="13"/>
      <c r="X394" s="14">
        <f t="shared" si="119"/>
        <v>0</v>
      </c>
      <c r="Y394" s="13">
        <f t="shared" si="120"/>
        <v>50609.360000000008</v>
      </c>
      <c r="Z394" s="14">
        <f t="shared" si="121"/>
        <v>1</v>
      </c>
      <c r="AA394" s="14">
        <f t="shared" si="122"/>
        <v>3.13976387399078E-2</v>
      </c>
    </row>
    <row r="395" spans="1:27" x14ac:dyDescent="0.3">
      <c r="A395" s="15" t="s">
        <v>133</v>
      </c>
      <c r="B395" s="48" t="str">
        <f>VLOOKUP(A395,MEMORIA!$A:$N,2,FALSE)</f>
        <v>MOVIMENTO DE TERRA</v>
      </c>
      <c r="C395" s="49"/>
      <c r="D395" s="49"/>
      <c r="E395" s="49"/>
      <c r="F395" s="49"/>
      <c r="G395" s="49"/>
      <c r="H395" s="50"/>
      <c r="I395" s="16">
        <f>SUM(I$396:I$397)</f>
        <v>10935.65</v>
      </c>
      <c r="J395" s="16">
        <f>SUM(J$396:J$397)</f>
        <v>0</v>
      </c>
      <c r="K395" s="16"/>
      <c r="L395" s="17">
        <f t="shared" si="115"/>
        <v>0</v>
      </c>
      <c r="M395" s="16">
        <f>SUM(M$396:M$397)</f>
        <v>0</v>
      </c>
      <c r="N395" s="16"/>
      <c r="O395" s="17">
        <f t="shared" si="116"/>
        <v>0</v>
      </c>
      <c r="P395" s="16">
        <f>SUM(P$396:P$397)</f>
        <v>0</v>
      </c>
      <c r="Q395" s="16"/>
      <c r="R395" s="17">
        <f t="shared" si="117"/>
        <v>0</v>
      </c>
      <c r="S395" s="16">
        <f>SUM(S$396:S$397)</f>
        <v>10935.65</v>
      </c>
      <c r="T395" s="16"/>
      <c r="U395" s="17">
        <f t="shared" si="118"/>
        <v>1</v>
      </c>
      <c r="V395" s="16">
        <f>SUM(V$396:V$397)</f>
        <v>0</v>
      </c>
      <c r="W395" s="16"/>
      <c r="X395" s="17">
        <f t="shared" si="119"/>
        <v>0</v>
      </c>
      <c r="Y395" s="16">
        <f t="shared" si="120"/>
        <v>10935.65</v>
      </c>
      <c r="Z395" s="17">
        <f t="shared" si="121"/>
        <v>1</v>
      </c>
      <c r="AA395" s="17">
        <f t="shared" si="122"/>
        <v>6.7843890554251758E-3</v>
      </c>
    </row>
    <row r="396" spans="1:27" ht="115.2" x14ac:dyDescent="0.3">
      <c r="A396" s="23" t="s">
        <v>444</v>
      </c>
      <c r="B396" s="23">
        <f>VLOOKUP(A396,MEMORIA!$A:$N,2,FALSE)</f>
        <v>102314</v>
      </c>
      <c r="C396" s="23" t="str">
        <f>VLOOKUP(A396,MEMORIA!$A:$N,3,FALSE)</f>
        <v>SINAPI</v>
      </c>
      <c r="D396" s="24" t="str">
        <f>VLOOKUP(A396,MEMORIA!$A:$N,4,FALSE)</f>
        <v>ESCAVAÇÃO MECANIZADA DE VALA COM PROF. ATÉ 1,5 M (MÉDIA MONTANTE E JUSANTE/UMA COMPOSIÇÃO POR TRECHO),COM ESCAVADEIRA (0,8 M3), LARG. MENOR QUE 1,5 M, EM SOLO DE 2A CATEGORIA, LOCAIS COM BAIXO NÍVEL DE INTERFERÊNCIA. AF_09/2024</v>
      </c>
      <c r="E396" s="23" t="str">
        <f>VLOOKUP(A396,MEMORIA!$A:$N,5,FALSE)</f>
        <v>M3</v>
      </c>
      <c r="F396" s="5">
        <f>VLOOKUP(A396,MEMORIA!$A:$N,14,FALSE)</f>
        <v>420.44</v>
      </c>
      <c r="G396" s="5">
        <f>VLOOKUP(A396,ORCAMENTO!$A:$I,7,FALSE)</f>
        <v>8.5</v>
      </c>
      <c r="H396" s="5">
        <f>VLOOKUP(A396,ORCAMENTO!$A:$I,8,FALSE)</f>
        <v>10.4</v>
      </c>
      <c r="I396" s="5">
        <f>ROUND(F396*H396,2)</f>
        <v>4372.58</v>
      </c>
      <c r="J396" s="5">
        <f>ROUND(K396*$H396,2)</f>
        <v>0</v>
      </c>
      <c r="K396" s="5">
        <v>0</v>
      </c>
      <c r="L396" s="25">
        <f t="shared" si="115"/>
        <v>0</v>
      </c>
      <c r="M396" s="5">
        <f>ROUND(N396*$H396,2)</f>
        <v>0</v>
      </c>
      <c r="N396" s="5">
        <v>0</v>
      </c>
      <c r="O396" s="25">
        <f t="shared" si="116"/>
        <v>0</v>
      </c>
      <c r="P396" s="5">
        <f>ROUND(Q396*$H396,2)</f>
        <v>0</v>
      </c>
      <c r="Q396" s="5">
        <v>0</v>
      </c>
      <c r="R396" s="25">
        <f t="shared" si="117"/>
        <v>0</v>
      </c>
      <c r="S396" s="5">
        <f>ROUND(T396*$H396,2)</f>
        <v>4372.58</v>
      </c>
      <c r="T396" s="5">
        <f t="shared" ref="T396:T397" si="123">F396</f>
        <v>420.44</v>
      </c>
      <c r="U396" s="25">
        <f t="shared" si="118"/>
        <v>1</v>
      </c>
      <c r="V396" s="5">
        <f>ROUND(W396*$H396,2)</f>
        <v>0</v>
      </c>
      <c r="W396" s="5">
        <v>0</v>
      </c>
      <c r="X396" s="25">
        <f t="shared" si="119"/>
        <v>0</v>
      </c>
      <c r="Y396" s="5">
        <f t="shared" si="120"/>
        <v>4372.58</v>
      </c>
      <c r="Z396" s="25">
        <f t="shared" si="121"/>
        <v>1</v>
      </c>
      <c r="AA396" s="25">
        <f t="shared" si="122"/>
        <v>2.7127133637205852E-3</v>
      </c>
    </row>
    <row r="397" spans="1:27" ht="115.2" x14ac:dyDescent="0.3">
      <c r="A397" s="23" t="s">
        <v>445</v>
      </c>
      <c r="B397" s="23" t="str">
        <f>VLOOKUP(A397,MEMORIA!$A:$N,2,FALSE)</f>
        <v>COMP199</v>
      </c>
      <c r="C397" s="23" t="str">
        <f>VLOOKUP(A397,MEMORIA!$A:$N,3,FALSE)</f>
        <v>PRÓPRIA</v>
      </c>
      <c r="D397" s="24" t="str">
        <f>VLOOKUP(A397,MEMORIA!$A:$N,4,FALSE)</f>
        <v>REATERRO MECANIZADO DE VALA COM RETROESCAVADEIRA (CAPACIDADE DA CAÇAMBA DA RETRO: 0,26 M³/POTÊNCIA: 88 HP), LARGURA ATÉ 0,8 M, PROFUNDIDADE ATÉ 1,5 M, COM SOLO (SEM SUBSTITUIÇÃO) DE 1ª CATEGORIA. AF_08/2023 (REF: 104733-SINAPI-05/2025)</v>
      </c>
      <c r="E397" s="23" t="str">
        <f>VLOOKUP(A397,MEMORIA!$A:$N,5,FALSE)</f>
        <v>M3</v>
      </c>
      <c r="F397" s="5">
        <f>VLOOKUP(A397,MEMORIA!$A:$N,14,FALSE)</f>
        <v>420.44</v>
      </c>
      <c r="G397" s="5">
        <f>VLOOKUP(A397,ORCAMENTO!$A:$I,7,FALSE)</f>
        <v>12.76</v>
      </c>
      <c r="H397" s="5">
        <f>VLOOKUP(A397,ORCAMENTO!$A:$I,8,FALSE)</f>
        <v>15.61</v>
      </c>
      <c r="I397" s="5">
        <f>ROUND(F397*H397,2)</f>
        <v>6563.07</v>
      </c>
      <c r="J397" s="5">
        <f>ROUND(K397*$H397,2)</f>
        <v>0</v>
      </c>
      <c r="K397" s="5">
        <v>0</v>
      </c>
      <c r="L397" s="25">
        <f t="shared" si="115"/>
        <v>0</v>
      </c>
      <c r="M397" s="5">
        <f>ROUND(N397*$H397,2)</f>
        <v>0</v>
      </c>
      <c r="N397" s="5">
        <v>0</v>
      </c>
      <c r="O397" s="25">
        <f t="shared" si="116"/>
        <v>0</v>
      </c>
      <c r="P397" s="5">
        <f>ROUND(Q397*$H397,2)</f>
        <v>0</v>
      </c>
      <c r="Q397" s="5">
        <v>0</v>
      </c>
      <c r="R397" s="25">
        <f t="shared" si="117"/>
        <v>0</v>
      </c>
      <c r="S397" s="5">
        <f>ROUND(T397*$H397,2)</f>
        <v>6563.07</v>
      </c>
      <c r="T397" s="5">
        <f t="shared" si="123"/>
        <v>420.44</v>
      </c>
      <c r="U397" s="25">
        <f t="shared" si="118"/>
        <v>1</v>
      </c>
      <c r="V397" s="5">
        <f>ROUND(W397*$H397,2)</f>
        <v>0</v>
      </c>
      <c r="W397" s="5">
        <v>0</v>
      </c>
      <c r="X397" s="25">
        <f t="shared" si="119"/>
        <v>0</v>
      </c>
      <c r="Y397" s="5">
        <f t="shared" si="120"/>
        <v>6563.07</v>
      </c>
      <c r="Z397" s="25">
        <f t="shared" si="121"/>
        <v>1</v>
      </c>
      <c r="AA397" s="25">
        <f t="shared" si="122"/>
        <v>4.0716756917045906E-3</v>
      </c>
    </row>
    <row r="398" spans="1:27" x14ac:dyDescent="0.3">
      <c r="A398" s="15" t="s">
        <v>134</v>
      </c>
      <c r="B398" s="48" t="str">
        <f>VLOOKUP(A398,MEMORIA!$A:$N,2,FALSE)</f>
        <v>INSTALAÇÕES HIDRÁULICAS</v>
      </c>
      <c r="C398" s="49"/>
      <c r="D398" s="49"/>
      <c r="E398" s="49"/>
      <c r="F398" s="49"/>
      <c r="G398" s="49"/>
      <c r="H398" s="50"/>
      <c r="I398" s="16">
        <f>SUM(I$399:I$400)</f>
        <v>39673.710000000006</v>
      </c>
      <c r="J398" s="16">
        <f>SUM(J$399:J$400)</f>
        <v>0</v>
      </c>
      <c r="K398" s="16"/>
      <c r="L398" s="17">
        <f t="shared" si="115"/>
        <v>0</v>
      </c>
      <c r="M398" s="16">
        <f>SUM(M$399:M$400)</f>
        <v>0</v>
      </c>
      <c r="N398" s="16"/>
      <c r="O398" s="17">
        <f t="shared" si="116"/>
        <v>0</v>
      </c>
      <c r="P398" s="16">
        <f>SUM(P$399:P$400)</f>
        <v>0</v>
      </c>
      <c r="Q398" s="16"/>
      <c r="R398" s="17">
        <f t="shared" si="117"/>
        <v>0</v>
      </c>
      <c r="S398" s="16">
        <f>SUM(S$399:S$400)</f>
        <v>39673.710000000006</v>
      </c>
      <c r="T398" s="16"/>
      <c r="U398" s="17">
        <f t="shared" si="118"/>
        <v>1</v>
      </c>
      <c r="V398" s="16">
        <f>SUM(V$399:V$400)</f>
        <v>0</v>
      </c>
      <c r="W398" s="16"/>
      <c r="X398" s="17">
        <f t="shared" si="119"/>
        <v>0</v>
      </c>
      <c r="Y398" s="16">
        <f t="shared" si="120"/>
        <v>39673.710000000006</v>
      </c>
      <c r="Z398" s="17">
        <f t="shared" si="121"/>
        <v>1</v>
      </c>
      <c r="AA398" s="17">
        <f t="shared" si="122"/>
        <v>2.4613249684482624E-2</v>
      </c>
    </row>
    <row r="399" spans="1:27" ht="43.2" x14ac:dyDescent="0.3">
      <c r="A399" s="23" t="s">
        <v>446</v>
      </c>
      <c r="B399" s="23" t="str">
        <f>VLOOKUP(A399,MEMORIA!$A:$N,2,FALSE)</f>
        <v>COMPOS35</v>
      </c>
      <c r="C399" s="23" t="str">
        <f>VLOOKUP(A399,MEMORIA!$A:$N,3,FALSE)</f>
        <v>PRÓPRIA</v>
      </c>
      <c r="D399" s="24" t="str">
        <f>VLOOKUP(A399,MEMORIA!$A:$N,4,FALSE)</f>
        <v>AQUISIÇÃO E ASSENTAMENTO DE TUBO RÍGIDO PVC, CLASSE 12, DN 60 MM, INCLUSO CONEXÕES</v>
      </c>
      <c r="E399" s="23" t="str">
        <f>VLOOKUP(A399,MEMORIA!$A:$N,5,FALSE)</f>
        <v>M</v>
      </c>
      <c r="F399" s="5">
        <f>VLOOKUP(A399,MEMORIA!$A:$N,14,FALSE)</f>
        <v>1007</v>
      </c>
      <c r="G399" s="5">
        <f>VLOOKUP(A399,ORCAMENTO!$A:$I,7,FALSE)</f>
        <v>27.91</v>
      </c>
      <c r="H399" s="5">
        <f>VLOOKUP(A399,ORCAMENTO!$A:$I,8,FALSE)</f>
        <v>34.14</v>
      </c>
      <c r="I399" s="5">
        <f>ROUND(F399*H399,2)</f>
        <v>34378.980000000003</v>
      </c>
      <c r="J399" s="5">
        <f>ROUND(K399*$H399,2)</f>
        <v>0</v>
      </c>
      <c r="K399" s="5">
        <v>0</v>
      </c>
      <c r="L399" s="25">
        <f t="shared" si="115"/>
        <v>0</v>
      </c>
      <c r="M399" s="5">
        <f>ROUND(N399*$H399,2)</f>
        <v>0</v>
      </c>
      <c r="N399" s="5">
        <v>0</v>
      </c>
      <c r="O399" s="25">
        <f t="shared" si="116"/>
        <v>0</v>
      </c>
      <c r="P399" s="5">
        <f>ROUND(Q399*$H399,2)</f>
        <v>0</v>
      </c>
      <c r="Q399" s="5">
        <v>0</v>
      </c>
      <c r="R399" s="25">
        <f t="shared" si="117"/>
        <v>0</v>
      </c>
      <c r="S399" s="5">
        <f>ROUND(T399*$H399,2)</f>
        <v>34378.980000000003</v>
      </c>
      <c r="T399" s="5">
        <f t="shared" ref="T399:T400" si="124">F399</f>
        <v>1007</v>
      </c>
      <c r="U399" s="25">
        <f t="shared" si="118"/>
        <v>1</v>
      </c>
      <c r="V399" s="5">
        <f>ROUND(W399*$H399,2)</f>
        <v>0</v>
      </c>
      <c r="W399" s="5">
        <v>0</v>
      </c>
      <c r="X399" s="25">
        <f t="shared" si="119"/>
        <v>0</v>
      </c>
      <c r="Y399" s="5">
        <f t="shared" si="120"/>
        <v>34378.980000000003</v>
      </c>
      <c r="Z399" s="25">
        <f t="shared" si="121"/>
        <v>1</v>
      </c>
      <c r="AA399" s="25">
        <f t="shared" si="122"/>
        <v>2.1328441898623405E-2</v>
      </c>
    </row>
    <row r="400" spans="1:27" x14ac:dyDescent="0.3">
      <c r="A400" s="23" t="s">
        <v>447</v>
      </c>
      <c r="B400" s="23" t="str">
        <f>VLOOKUP(A400,MEMORIA!$A:$N,2,FALSE)</f>
        <v>COMPOS36</v>
      </c>
      <c r="C400" s="23" t="str">
        <f>VLOOKUP(A400,MEMORIA!$A:$N,3,FALSE)</f>
        <v>PRÓPRIA</v>
      </c>
      <c r="D400" s="24" t="str">
        <f>VLOOKUP(A400,MEMORIA!$A:$N,4,FALSE)</f>
        <v>LIGAÇÃO DOMICILIAR</v>
      </c>
      <c r="E400" s="23" t="str">
        <f>VLOOKUP(A400,MEMORIA!$A:$N,5,FALSE)</f>
        <v>UND</v>
      </c>
      <c r="F400" s="5">
        <f>VLOOKUP(A400,MEMORIA!$A:$N,14,FALSE)</f>
        <v>21</v>
      </c>
      <c r="G400" s="5">
        <f>VLOOKUP(A400,ORCAMENTO!$A:$I,7,FALSE)</f>
        <v>206.11</v>
      </c>
      <c r="H400" s="5">
        <f>VLOOKUP(A400,ORCAMENTO!$A:$I,8,FALSE)</f>
        <v>252.13000000000002</v>
      </c>
      <c r="I400" s="5">
        <f>ROUND(F400*H400,2)</f>
        <v>5294.73</v>
      </c>
      <c r="J400" s="5">
        <f>ROUND(K400*$H400,2)</f>
        <v>0</v>
      </c>
      <c r="K400" s="5">
        <v>0</v>
      </c>
      <c r="L400" s="25">
        <f t="shared" si="115"/>
        <v>0</v>
      </c>
      <c r="M400" s="5">
        <f>ROUND(N400*$H400,2)</f>
        <v>0</v>
      </c>
      <c r="N400" s="5">
        <v>0</v>
      </c>
      <c r="O400" s="25">
        <f t="shared" si="116"/>
        <v>0</v>
      </c>
      <c r="P400" s="5">
        <f>ROUND(Q400*$H400,2)</f>
        <v>0</v>
      </c>
      <c r="Q400" s="5">
        <v>0</v>
      </c>
      <c r="R400" s="25">
        <f t="shared" si="117"/>
        <v>0</v>
      </c>
      <c r="S400" s="5">
        <f>ROUND(T400*$H400,2)</f>
        <v>5294.73</v>
      </c>
      <c r="T400" s="5">
        <f t="shared" si="124"/>
        <v>21</v>
      </c>
      <c r="U400" s="25">
        <f t="shared" si="118"/>
        <v>1</v>
      </c>
      <c r="V400" s="5">
        <f>ROUND(W400*$H400,2)</f>
        <v>0</v>
      </c>
      <c r="W400" s="5">
        <v>0</v>
      </c>
      <c r="X400" s="25">
        <f t="shared" si="119"/>
        <v>0</v>
      </c>
      <c r="Y400" s="5">
        <f t="shared" si="120"/>
        <v>5294.73</v>
      </c>
      <c r="Z400" s="25">
        <f t="shared" si="121"/>
        <v>1</v>
      </c>
      <c r="AA400" s="25">
        <f t="shared" si="122"/>
        <v>3.2848077858592165E-3</v>
      </c>
    </row>
    <row r="401" spans="1:27" x14ac:dyDescent="0.3">
      <c r="A401" s="9">
        <v>7</v>
      </c>
      <c r="B401" s="54" t="str">
        <f>VLOOKUP(A401,MEMORIA!$A:$N,2,FALSE)</f>
        <v>LOCALIDADE SANTA MADALENA (ANÍSIO DE ABREU-PI)</v>
      </c>
      <c r="C401" s="55"/>
      <c r="D401" s="55"/>
      <c r="E401" s="55"/>
      <c r="F401" s="55"/>
      <c r="G401" s="55"/>
      <c r="H401" s="56"/>
      <c r="I401" s="10">
        <f>SUM(I$402,I$418,I$422,I$456,I$459,I$468,I$472,)</f>
        <v>189183.56999999998</v>
      </c>
      <c r="J401" s="10">
        <f>SUM(J$402,J$418,J$422,J$456,J$459,J$468,J$472,)</f>
        <v>0</v>
      </c>
      <c r="K401" s="10"/>
      <c r="L401" s="11">
        <f t="shared" si="115"/>
        <v>0</v>
      </c>
      <c r="M401" s="10">
        <f>SUM(M$402,M$418,M$422,M$456,M$459,M$468,M$472,)</f>
        <v>0</v>
      </c>
      <c r="N401" s="10"/>
      <c r="O401" s="11">
        <f t="shared" si="116"/>
        <v>0</v>
      </c>
      <c r="P401" s="10">
        <f>SUM(P$402,P$418,P$422,P$456,P$459,P$468,P$472,)</f>
        <v>0</v>
      </c>
      <c r="Q401" s="10"/>
      <c r="R401" s="11">
        <f t="shared" si="117"/>
        <v>0</v>
      </c>
      <c r="S401" s="10">
        <f>SUM(S$402,S$418,S$422,S$456,S$459,S$468,S$472,)</f>
        <v>0</v>
      </c>
      <c r="T401" s="10"/>
      <c r="U401" s="11">
        <f t="shared" si="118"/>
        <v>0</v>
      </c>
      <c r="V401" s="10">
        <f>SUM(V$402,V$418,V$422,V$456,V$459,V$468,V$472,)</f>
        <v>189183.56999999998</v>
      </c>
      <c r="W401" s="10"/>
      <c r="X401" s="11">
        <f t="shared" si="119"/>
        <v>1</v>
      </c>
      <c r="Y401" s="10">
        <f t="shared" si="120"/>
        <v>189183.56999999998</v>
      </c>
      <c r="Z401" s="11">
        <f t="shared" si="121"/>
        <v>1</v>
      </c>
      <c r="AA401" s="11">
        <f t="shared" si="122"/>
        <v>0.1173679609144644</v>
      </c>
    </row>
    <row r="402" spans="1:27" x14ac:dyDescent="0.3">
      <c r="A402" s="12" t="s">
        <v>135</v>
      </c>
      <c r="B402" s="51" t="str">
        <f>VLOOKUP(A402,MEMORIA!$A:$N,2,FALSE)</f>
        <v>PERFURAÇÃO DE POÇO TUBULAR</v>
      </c>
      <c r="C402" s="52"/>
      <c r="D402" s="52"/>
      <c r="E402" s="52"/>
      <c r="F402" s="52"/>
      <c r="G402" s="52"/>
      <c r="H402" s="53"/>
      <c r="I402" s="13">
        <f>SUM(I$403:I$417)</f>
        <v>38218.39</v>
      </c>
      <c r="J402" s="13">
        <f>SUM(J$403:J$417)</f>
        <v>0</v>
      </c>
      <c r="K402" s="13"/>
      <c r="L402" s="14">
        <f t="shared" si="115"/>
        <v>0</v>
      </c>
      <c r="M402" s="13">
        <f>SUM(M$403:M$417)</f>
        <v>0</v>
      </c>
      <c r="N402" s="13"/>
      <c r="O402" s="14">
        <f t="shared" si="116"/>
        <v>0</v>
      </c>
      <c r="P402" s="13">
        <f>SUM(P$403:P$417)</f>
        <v>0</v>
      </c>
      <c r="Q402" s="13"/>
      <c r="R402" s="14">
        <f t="shared" si="117"/>
        <v>0</v>
      </c>
      <c r="S402" s="13">
        <f>SUM(S$403:S$417)</f>
        <v>0</v>
      </c>
      <c r="T402" s="13"/>
      <c r="U402" s="14">
        <f t="shared" si="118"/>
        <v>0</v>
      </c>
      <c r="V402" s="13">
        <f>SUM(V$403:V$417)</f>
        <v>38218.39</v>
      </c>
      <c r="W402" s="13"/>
      <c r="X402" s="14">
        <f t="shared" si="119"/>
        <v>1</v>
      </c>
      <c r="Y402" s="13">
        <f t="shared" si="120"/>
        <v>38218.39</v>
      </c>
      <c r="Z402" s="14">
        <f t="shared" si="121"/>
        <v>1</v>
      </c>
      <c r="AA402" s="14">
        <f t="shared" si="122"/>
        <v>2.3710380894777266E-2</v>
      </c>
    </row>
    <row r="403" spans="1:27" ht="43.2" x14ac:dyDescent="0.3">
      <c r="A403" s="23" t="s">
        <v>448</v>
      </c>
      <c r="B403" s="23" t="str">
        <f>VLOOKUP(A403,MEMORIA!$A:$N,2,FALSE)</f>
        <v>COMPOS3</v>
      </c>
      <c r="C403" s="23" t="str">
        <f>VLOOKUP(A403,MEMORIA!$A:$N,3,FALSE)</f>
        <v>PRÓPRIA</v>
      </c>
      <c r="D403" s="24" t="str">
        <f>VLOOKUP(A403,MEMORIA!$A:$N,4,FALSE)</f>
        <v>LOCAÇÃO DO POÇO COM ESTUDO GEOLÓGICO/HIDROGEOLÓGICO/GEOFÍSICO</v>
      </c>
      <c r="E403" s="23" t="str">
        <f>VLOOKUP(A403,MEMORIA!$A:$N,5,FALSE)</f>
        <v>UN</v>
      </c>
      <c r="F403" s="5">
        <f>VLOOKUP(A403,MEMORIA!$A:$N,14,FALSE)</f>
        <v>1</v>
      </c>
      <c r="G403" s="5">
        <f>VLOOKUP(A403,ORCAMENTO!$A:$I,7,FALSE)</f>
        <v>1692.3999999999999</v>
      </c>
      <c r="H403" s="5">
        <f>VLOOKUP(A403,ORCAMENTO!$A:$I,8,FALSE)</f>
        <v>2070.31</v>
      </c>
      <c r="I403" s="5">
        <f t="shared" ref="I403:I417" si="125">ROUND(F403*H403,2)</f>
        <v>2070.31</v>
      </c>
      <c r="J403" s="5">
        <f t="shared" ref="J403:J417" si="126">ROUND(K403*$H403,2)</f>
        <v>0</v>
      </c>
      <c r="K403" s="5">
        <v>0</v>
      </c>
      <c r="L403" s="25">
        <f t="shared" si="115"/>
        <v>0</v>
      </c>
      <c r="M403" s="5">
        <f t="shared" ref="M403:M417" si="127">ROUND(N403*$H403,2)</f>
        <v>0</v>
      </c>
      <c r="N403" s="5">
        <v>0</v>
      </c>
      <c r="O403" s="25">
        <f t="shared" si="116"/>
        <v>0</v>
      </c>
      <c r="P403" s="5">
        <f t="shared" ref="P403:P417" si="128">ROUND(Q403*$H403,2)</f>
        <v>0</v>
      </c>
      <c r="Q403" s="5">
        <v>0</v>
      </c>
      <c r="R403" s="25">
        <f t="shared" si="117"/>
        <v>0</v>
      </c>
      <c r="S403" s="5">
        <f t="shared" ref="S403:S417" si="129">ROUND(T403*$H403,2)</f>
        <v>0</v>
      </c>
      <c r="T403" s="5">
        <v>0</v>
      </c>
      <c r="U403" s="25">
        <f t="shared" si="118"/>
        <v>0</v>
      </c>
      <c r="V403" s="5">
        <f t="shared" ref="V403:V417" si="130">ROUND(W403*$H403,2)</f>
        <v>2070.31</v>
      </c>
      <c r="W403" s="5">
        <f>F403</f>
        <v>1</v>
      </c>
      <c r="X403" s="25">
        <f t="shared" si="119"/>
        <v>1</v>
      </c>
      <c r="Y403" s="5">
        <f t="shared" si="120"/>
        <v>2070.31</v>
      </c>
      <c r="Z403" s="25">
        <f t="shared" si="121"/>
        <v>1</v>
      </c>
      <c r="AA403" s="25">
        <f t="shared" si="122"/>
        <v>1.2844036253297515E-3</v>
      </c>
    </row>
    <row r="404" spans="1:27" ht="28.8" x14ac:dyDescent="0.3">
      <c r="A404" s="23" t="s">
        <v>449</v>
      </c>
      <c r="B404" s="23" t="str">
        <f>VLOOKUP(A404,MEMORIA!$A:$N,2,FALSE)</f>
        <v>COMPOS4</v>
      </c>
      <c r="C404" s="23" t="str">
        <f>VLOOKUP(A404,MEMORIA!$A:$N,3,FALSE)</f>
        <v>PRÓPRIA</v>
      </c>
      <c r="D404" s="24" t="str">
        <f>VLOOKUP(A404,MEMORIA!$A:$N,4,FALSE)</f>
        <v>TRANSPORTE DE MÁQUINAS E EQUIPAMENTOS</v>
      </c>
      <c r="E404" s="23" t="str">
        <f>VLOOKUP(A404,MEMORIA!$A:$N,5,FALSE)</f>
        <v>KM</v>
      </c>
      <c r="F404" s="5">
        <f>VLOOKUP(A404,MEMORIA!$A:$N,14,FALSE)</f>
        <v>16.5</v>
      </c>
      <c r="G404" s="5">
        <f>VLOOKUP(A404,ORCAMENTO!$A:$I,7,FALSE)</f>
        <v>5.5</v>
      </c>
      <c r="H404" s="5">
        <f>VLOOKUP(A404,ORCAMENTO!$A:$I,8,FALSE)</f>
        <v>6.73</v>
      </c>
      <c r="I404" s="5">
        <f t="shared" si="125"/>
        <v>111.05</v>
      </c>
      <c r="J404" s="5">
        <f t="shared" si="126"/>
        <v>0</v>
      </c>
      <c r="K404" s="5">
        <v>0</v>
      </c>
      <c r="L404" s="25">
        <f t="shared" si="115"/>
        <v>0</v>
      </c>
      <c r="M404" s="5">
        <f t="shared" si="127"/>
        <v>0</v>
      </c>
      <c r="N404" s="5">
        <v>0</v>
      </c>
      <c r="O404" s="25">
        <f t="shared" si="116"/>
        <v>0</v>
      </c>
      <c r="P404" s="5">
        <f t="shared" si="128"/>
        <v>0</v>
      </c>
      <c r="Q404" s="5">
        <v>0</v>
      </c>
      <c r="R404" s="25">
        <f t="shared" si="117"/>
        <v>0</v>
      </c>
      <c r="S404" s="5">
        <f t="shared" si="129"/>
        <v>0</v>
      </c>
      <c r="T404" s="5">
        <v>0</v>
      </c>
      <c r="U404" s="25">
        <f t="shared" si="118"/>
        <v>0</v>
      </c>
      <c r="V404" s="5">
        <f t="shared" si="130"/>
        <v>111.05</v>
      </c>
      <c r="W404" s="5">
        <f t="shared" ref="W404:W421" si="131">F404</f>
        <v>16.5</v>
      </c>
      <c r="X404" s="25">
        <f t="shared" si="119"/>
        <v>1</v>
      </c>
      <c r="Y404" s="5">
        <f t="shared" si="120"/>
        <v>111.05</v>
      </c>
      <c r="Z404" s="25">
        <f t="shared" si="121"/>
        <v>1</v>
      </c>
      <c r="AA404" s="25">
        <f t="shared" si="122"/>
        <v>6.8894524294849026E-5</v>
      </c>
    </row>
    <row r="405" spans="1:27" ht="28.8" x14ac:dyDescent="0.3">
      <c r="A405" s="23" t="s">
        <v>450</v>
      </c>
      <c r="B405" s="23" t="str">
        <f>VLOOKUP(A405,MEMORIA!$A:$N,2,FALSE)</f>
        <v>COMPOS4</v>
      </c>
      <c r="C405" s="23" t="str">
        <f>VLOOKUP(A405,MEMORIA!$A:$N,3,FALSE)</f>
        <v>PRÓPRIA</v>
      </c>
      <c r="D405" s="24" t="str">
        <f>VLOOKUP(A405,MEMORIA!$A:$N,4,FALSE)</f>
        <v>TRANSPORTE DE MÁQUINAS E EQUIPAMENTOS</v>
      </c>
      <c r="E405" s="23" t="str">
        <f>VLOOKUP(A405,MEMORIA!$A:$N,5,FALSE)</f>
        <v>KM</v>
      </c>
      <c r="F405" s="5">
        <f>VLOOKUP(A405,MEMORIA!$A:$N,14,FALSE)</f>
        <v>16.5</v>
      </c>
      <c r="G405" s="5">
        <f>VLOOKUP(A405,ORCAMENTO!$A:$I,7,FALSE)</f>
        <v>5.5</v>
      </c>
      <c r="H405" s="5">
        <f>VLOOKUP(A405,ORCAMENTO!$A:$I,8,FALSE)</f>
        <v>6.73</v>
      </c>
      <c r="I405" s="5">
        <f t="shared" si="125"/>
        <v>111.05</v>
      </c>
      <c r="J405" s="5">
        <f t="shared" si="126"/>
        <v>0</v>
      </c>
      <c r="K405" s="5">
        <v>0</v>
      </c>
      <c r="L405" s="25">
        <f t="shared" si="115"/>
        <v>0</v>
      </c>
      <c r="M405" s="5">
        <f t="shared" si="127"/>
        <v>0</v>
      </c>
      <c r="N405" s="5">
        <v>0</v>
      </c>
      <c r="O405" s="25">
        <f t="shared" si="116"/>
        <v>0</v>
      </c>
      <c r="P405" s="5">
        <f t="shared" si="128"/>
        <v>0</v>
      </c>
      <c r="Q405" s="5">
        <v>0</v>
      </c>
      <c r="R405" s="25">
        <f t="shared" si="117"/>
        <v>0</v>
      </c>
      <c r="S405" s="5">
        <f t="shared" si="129"/>
        <v>0</v>
      </c>
      <c r="T405" s="5">
        <v>0</v>
      </c>
      <c r="U405" s="25">
        <f t="shared" si="118"/>
        <v>0</v>
      </c>
      <c r="V405" s="5">
        <f t="shared" si="130"/>
        <v>111.05</v>
      </c>
      <c r="W405" s="5">
        <f t="shared" si="131"/>
        <v>16.5</v>
      </c>
      <c r="X405" s="25">
        <f t="shared" si="119"/>
        <v>1</v>
      </c>
      <c r="Y405" s="5">
        <f t="shared" si="120"/>
        <v>111.05</v>
      </c>
      <c r="Z405" s="25">
        <f t="shared" si="121"/>
        <v>1</v>
      </c>
      <c r="AA405" s="25">
        <f t="shared" si="122"/>
        <v>6.8894524294849026E-5</v>
      </c>
    </row>
    <row r="406" spans="1:27" x14ac:dyDescent="0.3">
      <c r="A406" s="23" t="s">
        <v>451</v>
      </c>
      <c r="B406" s="23" t="str">
        <f>VLOOKUP(A406,MEMORIA!$A:$N,2,FALSE)</f>
        <v>COMPOS5</v>
      </c>
      <c r="C406" s="23" t="str">
        <f>VLOOKUP(A406,MEMORIA!$A:$N,3,FALSE)</f>
        <v>PRÓPRIA</v>
      </c>
      <c r="D406" s="24" t="str">
        <f>VLOOKUP(A406,MEMORIA!$A:$N,4,FALSE)</f>
        <v>PERFILAGEM ÓTICA</v>
      </c>
      <c r="E406" s="23" t="str">
        <f>VLOOKUP(A406,MEMORIA!$A:$N,5,FALSE)</f>
        <v>UN</v>
      </c>
      <c r="F406" s="5">
        <f>VLOOKUP(A406,MEMORIA!$A:$N,14,FALSE)</f>
        <v>1</v>
      </c>
      <c r="G406" s="5">
        <f>VLOOKUP(A406,ORCAMENTO!$A:$I,7,FALSE)</f>
        <v>2908.88</v>
      </c>
      <c r="H406" s="5">
        <f>VLOOKUP(A406,ORCAMENTO!$A:$I,8,FALSE)</f>
        <v>3558.4300000000003</v>
      </c>
      <c r="I406" s="5">
        <f t="shared" si="125"/>
        <v>3558.43</v>
      </c>
      <c r="J406" s="5">
        <f t="shared" si="126"/>
        <v>0</v>
      </c>
      <c r="K406" s="5">
        <v>0</v>
      </c>
      <c r="L406" s="25">
        <f t="shared" si="115"/>
        <v>0</v>
      </c>
      <c r="M406" s="5">
        <f t="shared" si="127"/>
        <v>0</v>
      </c>
      <c r="N406" s="5">
        <v>0</v>
      </c>
      <c r="O406" s="25">
        <f t="shared" si="116"/>
        <v>0</v>
      </c>
      <c r="P406" s="5">
        <f t="shared" si="128"/>
        <v>0</v>
      </c>
      <c r="Q406" s="5">
        <v>0</v>
      </c>
      <c r="R406" s="25">
        <f t="shared" si="117"/>
        <v>0</v>
      </c>
      <c r="S406" s="5">
        <f t="shared" si="129"/>
        <v>0</v>
      </c>
      <c r="T406" s="5">
        <v>0</v>
      </c>
      <c r="U406" s="25">
        <f t="shared" si="118"/>
        <v>0</v>
      </c>
      <c r="V406" s="5">
        <f t="shared" si="130"/>
        <v>3558.43</v>
      </c>
      <c r="W406" s="5">
        <f t="shared" si="131"/>
        <v>1</v>
      </c>
      <c r="X406" s="25">
        <f t="shared" si="119"/>
        <v>1</v>
      </c>
      <c r="Y406" s="5">
        <f t="shared" si="120"/>
        <v>3558.43</v>
      </c>
      <c r="Z406" s="25">
        <f t="shared" si="121"/>
        <v>1</v>
      </c>
      <c r="AA406" s="25">
        <f t="shared" si="122"/>
        <v>2.2076212704774394E-3</v>
      </c>
    </row>
    <row r="407" spans="1:27" ht="43.2" x14ac:dyDescent="0.3">
      <c r="A407" s="23" t="s">
        <v>452</v>
      </c>
      <c r="B407" s="23" t="str">
        <f>VLOOKUP(A407,MEMORIA!$A:$N,2,FALSE)</f>
        <v>COMP197</v>
      </c>
      <c r="C407" s="23" t="str">
        <f>VLOOKUP(A407,MEMORIA!$A:$N,3,FALSE)</f>
        <v>PRÓPRIA</v>
      </c>
      <c r="D407" s="24" t="str">
        <f>VLOOKUP(A407,MEMORIA!$A:$N,4,FALSE)</f>
        <v>PERFURAÇÃO EM ROCHA SEDIMENTAR DN 10" (REF: 06230/ORSE-ORSE-04/2025)</v>
      </c>
      <c r="E407" s="23" t="str">
        <f>VLOOKUP(A407,MEMORIA!$A:$N,5,FALSE)</f>
        <v>M</v>
      </c>
      <c r="F407" s="5">
        <f>VLOOKUP(A407,MEMORIA!$A:$N,14,FALSE)</f>
        <v>20</v>
      </c>
      <c r="G407" s="5">
        <f>VLOOKUP(A407,ORCAMENTO!$A:$I,7,FALSE)</f>
        <v>202.21</v>
      </c>
      <c r="H407" s="5">
        <f>VLOOKUP(A407,ORCAMENTO!$A:$I,8,FALSE)</f>
        <v>247.36</v>
      </c>
      <c r="I407" s="5">
        <f t="shared" si="125"/>
        <v>4947.2</v>
      </c>
      <c r="J407" s="5">
        <f t="shared" si="126"/>
        <v>0</v>
      </c>
      <c r="K407" s="5">
        <v>0</v>
      </c>
      <c r="L407" s="25">
        <f t="shared" si="115"/>
        <v>0</v>
      </c>
      <c r="M407" s="5">
        <f t="shared" si="127"/>
        <v>0</v>
      </c>
      <c r="N407" s="5">
        <v>0</v>
      </c>
      <c r="O407" s="25">
        <f t="shared" si="116"/>
        <v>0</v>
      </c>
      <c r="P407" s="5">
        <f t="shared" si="128"/>
        <v>0</v>
      </c>
      <c r="Q407" s="5">
        <v>0</v>
      </c>
      <c r="R407" s="25">
        <f t="shared" si="117"/>
        <v>0</v>
      </c>
      <c r="S407" s="5">
        <f t="shared" si="129"/>
        <v>0</v>
      </c>
      <c r="T407" s="5">
        <v>0</v>
      </c>
      <c r="U407" s="25">
        <f t="shared" si="118"/>
        <v>0</v>
      </c>
      <c r="V407" s="5">
        <f t="shared" si="130"/>
        <v>4947.2</v>
      </c>
      <c r="W407" s="5">
        <f t="shared" si="131"/>
        <v>20</v>
      </c>
      <c r="X407" s="25">
        <f t="shared" si="119"/>
        <v>1</v>
      </c>
      <c r="Y407" s="5">
        <f t="shared" si="120"/>
        <v>4947.2</v>
      </c>
      <c r="Z407" s="25">
        <f t="shared" si="121"/>
        <v>1</v>
      </c>
      <c r="AA407" s="25">
        <f t="shared" si="122"/>
        <v>3.0692029769606223E-3</v>
      </c>
    </row>
    <row r="408" spans="1:27" ht="28.8" x14ac:dyDescent="0.3">
      <c r="A408" s="23" t="s">
        <v>453</v>
      </c>
      <c r="B408" s="23" t="str">
        <f>VLOOKUP(A408,MEMORIA!$A:$N,2,FALSE)</f>
        <v>COMP198</v>
      </c>
      <c r="C408" s="23" t="str">
        <f>VLOOKUP(A408,MEMORIA!$A:$N,3,FALSE)</f>
        <v>PRÓPRIA</v>
      </c>
      <c r="D408" s="24" t="str">
        <f>VLOOKUP(A408,MEMORIA!$A:$N,4,FALSE)</f>
        <v>PERFURAÇÃO EM ROCHA CRISTALINA DN 6" (REF: 06237/ORSE-ORSE-04/2025)</v>
      </c>
      <c r="E408" s="23" t="str">
        <f>VLOOKUP(A408,MEMORIA!$A:$N,5,FALSE)</f>
        <v>M</v>
      </c>
      <c r="F408" s="5">
        <f>VLOOKUP(A408,MEMORIA!$A:$N,14,FALSE)</f>
        <v>80</v>
      </c>
      <c r="G408" s="5">
        <f>VLOOKUP(A408,ORCAMENTO!$A:$I,7,FALSE)</f>
        <v>125.23</v>
      </c>
      <c r="H408" s="5">
        <f>VLOOKUP(A408,ORCAMENTO!$A:$I,8,FALSE)</f>
        <v>153.19</v>
      </c>
      <c r="I408" s="5">
        <f t="shared" si="125"/>
        <v>12255.2</v>
      </c>
      <c r="J408" s="5">
        <f t="shared" si="126"/>
        <v>0</v>
      </c>
      <c r="K408" s="5">
        <v>0</v>
      </c>
      <c r="L408" s="25">
        <f t="shared" si="115"/>
        <v>0</v>
      </c>
      <c r="M408" s="5">
        <f t="shared" si="127"/>
        <v>0</v>
      </c>
      <c r="N408" s="5">
        <v>0</v>
      </c>
      <c r="O408" s="25">
        <f t="shared" si="116"/>
        <v>0</v>
      </c>
      <c r="P408" s="5">
        <f t="shared" si="128"/>
        <v>0</v>
      </c>
      <c r="Q408" s="5">
        <v>0</v>
      </c>
      <c r="R408" s="25">
        <f t="shared" si="117"/>
        <v>0</v>
      </c>
      <c r="S408" s="5">
        <f t="shared" si="129"/>
        <v>0</v>
      </c>
      <c r="T408" s="5">
        <v>0</v>
      </c>
      <c r="U408" s="25">
        <f t="shared" si="118"/>
        <v>0</v>
      </c>
      <c r="V408" s="5">
        <f t="shared" si="130"/>
        <v>12255.2</v>
      </c>
      <c r="W408" s="5">
        <f t="shared" si="131"/>
        <v>80</v>
      </c>
      <c r="X408" s="25">
        <f t="shared" si="119"/>
        <v>1</v>
      </c>
      <c r="Y408" s="5">
        <f t="shared" si="120"/>
        <v>12255.2</v>
      </c>
      <c r="Z408" s="25">
        <f t="shared" si="121"/>
        <v>1</v>
      </c>
      <c r="AA408" s="25">
        <f t="shared" si="122"/>
        <v>7.6030272322218269E-3</v>
      </c>
    </row>
    <row r="409" spans="1:27" x14ac:dyDescent="0.3">
      <c r="A409" s="23" t="s">
        <v>454</v>
      </c>
      <c r="B409" s="23" t="str">
        <f>VLOOKUP(A409,MEMORIA!$A:$N,2,FALSE)</f>
        <v>COMPOS10</v>
      </c>
      <c r="C409" s="23" t="str">
        <f>VLOOKUP(A409,MEMORIA!$A:$N,3,FALSE)</f>
        <v>PRÓPRIA</v>
      </c>
      <c r="D409" s="24" t="str">
        <f>VLOOKUP(A409,MEMORIA!$A:$N,4,FALSE)</f>
        <v>CIMENTAÇÃO SANITÁRIA</v>
      </c>
      <c r="E409" s="23" t="str">
        <f>VLOOKUP(A409,MEMORIA!$A:$N,5,FALSE)</f>
        <v>M</v>
      </c>
      <c r="F409" s="5">
        <f>VLOOKUP(A409,MEMORIA!$A:$N,14,FALSE)</f>
        <v>10</v>
      </c>
      <c r="G409" s="5">
        <f>VLOOKUP(A409,ORCAMENTO!$A:$I,7,FALSE)</f>
        <v>98.79</v>
      </c>
      <c r="H409" s="5">
        <f>VLOOKUP(A409,ORCAMENTO!$A:$I,8,FALSE)</f>
        <v>120.85000000000001</v>
      </c>
      <c r="I409" s="5">
        <f t="shared" si="125"/>
        <v>1208.5</v>
      </c>
      <c r="J409" s="5">
        <f t="shared" si="126"/>
        <v>0</v>
      </c>
      <c r="K409" s="5">
        <v>0</v>
      </c>
      <c r="L409" s="25">
        <f t="shared" si="115"/>
        <v>0</v>
      </c>
      <c r="M409" s="5">
        <f t="shared" si="127"/>
        <v>0</v>
      </c>
      <c r="N409" s="5">
        <v>0</v>
      </c>
      <c r="O409" s="25">
        <f t="shared" si="116"/>
        <v>0</v>
      </c>
      <c r="P409" s="5">
        <f t="shared" si="128"/>
        <v>0</v>
      </c>
      <c r="Q409" s="5">
        <v>0</v>
      </c>
      <c r="R409" s="25">
        <f t="shared" si="117"/>
        <v>0</v>
      </c>
      <c r="S409" s="5">
        <f t="shared" si="129"/>
        <v>0</v>
      </c>
      <c r="T409" s="5">
        <v>0</v>
      </c>
      <c r="U409" s="25">
        <f t="shared" si="118"/>
        <v>0</v>
      </c>
      <c r="V409" s="5">
        <f t="shared" si="130"/>
        <v>1208.5</v>
      </c>
      <c r="W409" s="5">
        <f t="shared" si="131"/>
        <v>10</v>
      </c>
      <c r="X409" s="25">
        <f t="shared" si="119"/>
        <v>1</v>
      </c>
      <c r="Y409" s="5">
        <f t="shared" si="120"/>
        <v>1208.5</v>
      </c>
      <c r="Z409" s="25">
        <f t="shared" si="121"/>
        <v>1</v>
      </c>
      <c r="AA409" s="25">
        <f t="shared" si="122"/>
        <v>7.4974365250180149E-4</v>
      </c>
    </row>
    <row r="410" spans="1:27" ht="28.8" x14ac:dyDescent="0.3">
      <c r="A410" s="23" t="s">
        <v>455</v>
      </c>
      <c r="B410" s="23" t="str">
        <f>VLOOKUP(A410,MEMORIA!$A:$N,2,FALSE)</f>
        <v>COMPOS11</v>
      </c>
      <c r="C410" s="23" t="str">
        <f>VLOOKUP(A410,MEMORIA!$A:$N,3,FALSE)</f>
        <v>PRÓPRIA</v>
      </c>
      <c r="D410" s="24" t="str">
        <f>VLOOKUP(A410,MEMORIA!$A:$N,4,FALSE)</f>
        <v>LAJE DE PROTEÇÃO EM CONCRETO (1,0 M X 1,0 M X 0,15 M)</v>
      </c>
      <c r="E410" s="23" t="str">
        <f>VLOOKUP(A410,MEMORIA!$A:$N,5,FALSE)</f>
        <v>M³</v>
      </c>
      <c r="F410" s="5">
        <f>VLOOKUP(A410,MEMORIA!$A:$N,14,FALSE)</f>
        <v>0.15</v>
      </c>
      <c r="G410" s="5">
        <f>VLOOKUP(A410,ORCAMENTO!$A:$I,7,FALSE)</f>
        <v>1246.81</v>
      </c>
      <c r="H410" s="5">
        <f>VLOOKUP(A410,ORCAMENTO!$A:$I,8,FALSE)</f>
        <v>1525.22</v>
      </c>
      <c r="I410" s="5">
        <f t="shared" si="125"/>
        <v>228.78</v>
      </c>
      <c r="J410" s="5">
        <f t="shared" si="126"/>
        <v>0</v>
      </c>
      <c r="K410" s="5">
        <v>0</v>
      </c>
      <c r="L410" s="25">
        <f t="shared" si="115"/>
        <v>0</v>
      </c>
      <c r="M410" s="5">
        <f t="shared" si="127"/>
        <v>0</v>
      </c>
      <c r="N410" s="5">
        <v>0</v>
      </c>
      <c r="O410" s="25">
        <f t="shared" si="116"/>
        <v>0</v>
      </c>
      <c r="P410" s="5">
        <f t="shared" si="128"/>
        <v>0</v>
      </c>
      <c r="Q410" s="5">
        <v>0</v>
      </c>
      <c r="R410" s="25">
        <f t="shared" si="117"/>
        <v>0</v>
      </c>
      <c r="S410" s="5">
        <f t="shared" si="129"/>
        <v>0</v>
      </c>
      <c r="T410" s="5">
        <v>0</v>
      </c>
      <c r="U410" s="25">
        <f t="shared" si="118"/>
        <v>0</v>
      </c>
      <c r="V410" s="5">
        <f t="shared" si="130"/>
        <v>228.78</v>
      </c>
      <c r="W410" s="5">
        <f t="shared" si="131"/>
        <v>0.15</v>
      </c>
      <c r="X410" s="25">
        <f t="shared" si="119"/>
        <v>1</v>
      </c>
      <c r="Y410" s="5">
        <f t="shared" si="120"/>
        <v>228.78</v>
      </c>
      <c r="Z410" s="25">
        <f t="shared" si="121"/>
        <v>1</v>
      </c>
      <c r="AA410" s="25">
        <f t="shared" si="122"/>
        <v>1.4193326671027072E-4</v>
      </c>
    </row>
    <row r="411" spans="1:27" x14ac:dyDescent="0.3">
      <c r="A411" s="23" t="s">
        <v>456</v>
      </c>
      <c r="B411" s="23" t="str">
        <f>VLOOKUP(A411,MEMORIA!$A:$N,2,FALSE)</f>
        <v>COMPOS12</v>
      </c>
      <c r="C411" s="23" t="str">
        <f>VLOOKUP(A411,MEMORIA!$A:$N,3,FALSE)</f>
        <v>PRÓPRIA</v>
      </c>
      <c r="D411" s="24" t="str">
        <f>VLOOKUP(A411,MEMORIA!$A:$N,4,FALSE)</f>
        <v>DESENVOLVIMENTO COM BOMBA SUBMERSA</v>
      </c>
      <c r="E411" s="23" t="str">
        <f>VLOOKUP(A411,MEMORIA!$A:$N,5,FALSE)</f>
        <v>H</v>
      </c>
      <c r="F411" s="5">
        <f>VLOOKUP(A411,MEMORIA!$A:$N,14,FALSE)</f>
        <v>6</v>
      </c>
      <c r="G411" s="5">
        <f>VLOOKUP(A411,ORCAMENTO!$A:$I,7,FALSE)</f>
        <v>515.70000000000005</v>
      </c>
      <c r="H411" s="5">
        <f>VLOOKUP(A411,ORCAMENTO!$A:$I,8,FALSE)</f>
        <v>630.86</v>
      </c>
      <c r="I411" s="5">
        <f t="shared" si="125"/>
        <v>3785.16</v>
      </c>
      <c r="J411" s="5">
        <f t="shared" si="126"/>
        <v>0</v>
      </c>
      <c r="K411" s="5">
        <v>0</v>
      </c>
      <c r="L411" s="25">
        <f t="shared" si="115"/>
        <v>0</v>
      </c>
      <c r="M411" s="5">
        <f t="shared" si="127"/>
        <v>0</v>
      </c>
      <c r="N411" s="5">
        <v>0</v>
      </c>
      <c r="O411" s="25">
        <f t="shared" si="116"/>
        <v>0</v>
      </c>
      <c r="P411" s="5">
        <f t="shared" si="128"/>
        <v>0</v>
      </c>
      <c r="Q411" s="5">
        <v>0</v>
      </c>
      <c r="R411" s="25">
        <f t="shared" si="117"/>
        <v>0</v>
      </c>
      <c r="S411" s="5">
        <f t="shared" si="129"/>
        <v>0</v>
      </c>
      <c r="T411" s="5">
        <v>0</v>
      </c>
      <c r="U411" s="25">
        <f t="shared" si="118"/>
        <v>0</v>
      </c>
      <c r="V411" s="5">
        <f t="shared" si="130"/>
        <v>3785.16</v>
      </c>
      <c r="W411" s="5">
        <f t="shared" si="131"/>
        <v>6</v>
      </c>
      <c r="X411" s="25">
        <f t="shared" si="119"/>
        <v>1</v>
      </c>
      <c r="Y411" s="5">
        <f t="shared" si="120"/>
        <v>3785.16</v>
      </c>
      <c r="Z411" s="25">
        <f t="shared" si="121"/>
        <v>1</v>
      </c>
      <c r="AA411" s="25">
        <f t="shared" si="122"/>
        <v>2.3482827337225642E-3</v>
      </c>
    </row>
    <row r="412" spans="1:27" x14ac:dyDescent="0.3">
      <c r="A412" s="23" t="s">
        <v>457</v>
      </c>
      <c r="B412" s="23" t="str">
        <f>VLOOKUP(A412,MEMORIA!$A:$N,2,FALSE)</f>
        <v>COMPOS13</v>
      </c>
      <c r="C412" s="23" t="str">
        <f>VLOOKUP(A412,MEMORIA!$A:$N,3,FALSE)</f>
        <v>PRÓPRIA</v>
      </c>
      <c r="D412" s="24" t="str">
        <f>VLOOKUP(A412,MEMORIA!$A:$N,4,FALSE)</f>
        <v>TESTE VAZÃO COM BOMBA SUBMERSA</v>
      </c>
      <c r="E412" s="23" t="str">
        <f>VLOOKUP(A412,MEMORIA!$A:$N,5,FALSE)</f>
        <v>H</v>
      </c>
      <c r="F412" s="5">
        <f>VLOOKUP(A412,MEMORIA!$A:$N,14,FALSE)</f>
        <v>24</v>
      </c>
      <c r="G412" s="5">
        <f>VLOOKUP(A412,ORCAMENTO!$A:$I,7,FALSE)</f>
        <v>97.789999999999992</v>
      </c>
      <c r="H412" s="5">
        <f>VLOOKUP(A412,ORCAMENTO!$A:$I,8,FALSE)</f>
        <v>119.63</v>
      </c>
      <c r="I412" s="5">
        <f t="shared" si="125"/>
        <v>2871.12</v>
      </c>
      <c r="J412" s="5">
        <f t="shared" si="126"/>
        <v>0</v>
      </c>
      <c r="K412" s="5">
        <v>0</v>
      </c>
      <c r="L412" s="25">
        <f t="shared" si="115"/>
        <v>0</v>
      </c>
      <c r="M412" s="5">
        <f t="shared" si="127"/>
        <v>0</v>
      </c>
      <c r="N412" s="5">
        <v>0</v>
      </c>
      <c r="O412" s="25">
        <f t="shared" si="116"/>
        <v>0</v>
      </c>
      <c r="P412" s="5">
        <f t="shared" si="128"/>
        <v>0</v>
      </c>
      <c r="Q412" s="5">
        <v>0</v>
      </c>
      <c r="R412" s="25">
        <f t="shared" si="117"/>
        <v>0</v>
      </c>
      <c r="S412" s="5">
        <f t="shared" si="129"/>
        <v>0</v>
      </c>
      <c r="T412" s="5">
        <v>0</v>
      </c>
      <c r="U412" s="25">
        <f t="shared" si="118"/>
        <v>0</v>
      </c>
      <c r="V412" s="5">
        <f t="shared" si="130"/>
        <v>2871.12</v>
      </c>
      <c r="W412" s="5">
        <f t="shared" si="131"/>
        <v>24</v>
      </c>
      <c r="X412" s="25">
        <f t="shared" si="119"/>
        <v>1</v>
      </c>
      <c r="Y412" s="5">
        <f t="shared" si="120"/>
        <v>2871.12</v>
      </c>
      <c r="Z412" s="25">
        <f t="shared" si="121"/>
        <v>1</v>
      </c>
      <c r="AA412" s="25">
        <f t="shared" si="122"/>
        <v>1.7812196901704363E-3</v>
      </c>
    </row>
    <row r="413" spans="1:27" x14ac:dyDescent="0.3">
      <c r="A413" s="23" t="s">
        <v>458</v>
      </c>
      <c r="B413" s="23" t="str">
        <f>VLOOKUP(A413,MEMORIA!$A:$N,2,FALSE)</f>
        <v>COMPOS14</v>
      </c>
      <c r="C413" s="23" t="str">
        <f>VLOOKUP(A413,MEMORIA!$A:$N,3,FALSE)</f>
        <v>PRÓPRIA</v>
      </c>
      <c r="D413" s="24" t="str">
        <f>VLOOKUP(A413,MEMORIA!$A:$N,4,FALSE)</f>
        <v>DESINFECÇÃO</v>
      </c>
      <c r="E413" s="23" t="str">
        <f>VLOOKUP(A413,MEMORIA!$A:$N,5,FALSE)</f>
        <v>H</v>
      </c>
      <c r="F413" s="5">
        <f>VLOOKUP(A413,MEMORIA!$A:$N,14,FALSE)</f>
        <v>4</v>
      </c>
      <c r="G413" s="5">
        <f>VLOOKUP(A413,ORCAMENTO!$A:$I,7,FALSE)</f>
        <v>102.36000000000003</v>
      </c>
      <c r="H413" s="5">
        <f>VLOOKUP(A413,ORCAMENTO!$A:$I,8,FALSE)</f>
        <v>125.22000000000003</v>
      </c>
      <c r="I413" s="5">
        <f t="shared" si="125"/>
        <v>500.88</v>
      </c>
      <c r="J413" s="5">
        <f t="shared" si="126"/>
        <v>0</v>
      </c>
      <c r="K413" s="5">
        <v>0</v>
      </c>
      <c r="L413" s="25">
        <f t="shared" si="115"/>
        <v>0</v>
      </c>
      <c r="M413" s="5">
        <f t="shared" si="127"/>
        <v>0</v>
      </c>
      <c r="N413" s="5">
        <v>0</v>
      </c>
      <c r="O413" s="25">
        <f t="shared" si="116"/>
        <v>0</v>
      </c>
      <c r="P413" s="5">
        <f t="shared" si="128"/>
        <v>0</v>
      </c>
      <c r="Q413" s="5">
        <v>0</v>
      </c>
      <c r="R413" s="25">
        <f t="shared" si="117"/>
        <v>0</v>
      </c>
      <c r="S413" s="5">
        <f t="shared" si="129"/>
        <v>0</v>
      </c>
      <c r="T413" s="5">
        <v>0</v>
      </c>
      <c r="U413" s="25">
        <f t="shared" si="118"/>
        <v>0</v>
      </c>
      <c r="V413" s="5">
        <f t="shared" si="130"/>
        <v>500.88</v>
      </c>
      <c r="W413" s="5">
        <f t="shared" si="131"/>
        <v>4</v>
      </c>
      <c r="X413" s="25">
        <f t="shared" si="119"/>
        <v>1</v>
      </c>
      <c r="Y413" s="5">
        <f t="shared" si="120"/>
        <v>500.88</v>
      </c>
      <c r="Z413" s="25">
        <f t="shared" si="121"/>
        <v>1</v>
      </c>
      <c r="AA413" s="25">
        <f t="shared" si="122"/>
        <v>3.107419120108418E-4</v>
      </c>
    </row>
    <row r="414" spans="1:27" x14ac:dyDescent="0.3">
      <c r="A414" s="23" t="s">
        <v>459</v>
      </c>
      <c r="B414" s="23" t="str">
        <f>VLOOKUP(A414,MEMORIA!$A:$N,2,FALSE)</f>
        <v>COMPOS15</v>
      </c>
      <c r="C414" s="23" t="str">
        <f>VLOOKUP(A414,MEMORIA!$A:$N,3,FALSE)</f>
        <v>PRÓPRIA</v>
      </c>
      <c r="D414" s="24" t="str">
        <f>VLOOKUP(A414,MEMORIA!$A:$N,4,FALSE)</f>
        <v>RELATÓRIO TÉCNICO</v>
      </c>
      <c r="E414" s="23" t="str">
        <f>VLOOKUP(A414,MEMORIA!$A:$N,5,FALSE)</f>
        <v>UN</v>
      </c>
      <c r="F414" s="5">
        <f>VLOOKUP(A414,MEMORIA!$A:$N,14,FALSE)</f>
        <v>1</v>
      </c>
      <c r="G414" s="5">
        <f>VLOOKUP(A414,ORCAMENTO!$A:$I,7,FALSE)</f>
        <v>1110.2</v>
      </c>
      <c r="H414" s="5">
        <f>VLOOKUP(A414,ORCAMENTO!$A:$I,8,FALSE)</f>
        <v>1358.1100000000001</v>
      </c>
      <c r="I414" s="5">
        <f t="shared" si="125"/>
        <v>1358.11</v>
      </c>
      <c r="J414" s="5">
        <f t="shared" si="126"/>
        <v>0</v>
      </c>
      <c r="K414" s="5">
        <v>0</v>
      </c>
      <c r="L414" s="25">
        <f t="shared" si="115"/>
        <v>0</v>
      </c>
      <c r="M414" s="5">
        <f t="shared" si="127"/>
        <v>0</v>
      </c>
      <c r="N414" s="5">
        <v>0</v>
      </c>
      <c r="O414" s="25">
        <f t="shared" si="116"/>
        <v>0</v>
      </c>
      <c r="P414" s="5">
        <f t="shared" si="128"/>
        <v>0</v>
      </c>
      <c r="Q414" s="5">
        <v>0</v>
      </c>
      <c r="R414" s="25">
        <f t="shared" si="117"/>
        <v>0</v>
      </c>
      <c r="S414" s="5">
        <f t="shared" si="129"/>
        <v>0</v>
      </c>
      <c r="T414" s="5">
        <v>0</v>
      </c>
      <c r="U414" s="25">
        <f t="shared" si="118"/>
        <v>0</v>
      </c>
      <c r="V414" s="5">
        <f t="shared" si="130"/>
        <v>1358.11</v>
      </c>
      <c r="W414" s="5">
        <f t="shared" si="131"/>
        <v>1</v>
      </c>
      <c r="X414" s="25">
        <f t="shared" si="119"/>
        <v>1</v>
      </c>
      <c r="Y414" s="5">
        <f t="shared" si="120"/>
        <v>1358.11</v>
      </c>
      <c r="Z414" s="25">
        <f t="shared" si="121"/>
        <v>1</v>
      </c>
      <c r="AA414" s="25">
        <f t="shared" si="122"/>
        <v>8.4256048978007577E-4</v>
      </c>
    </row>
    <row r="415" spans="1:27" x14ac:dyDescent="0.3">
      <c r="A415" s="23" t="s">
        <v>460</v>
      </c>
      <c r="B415" s="23" t="str">
        <f>VLOOKUP(A415,MEMORIA!$A:$N,2,FALSE)</f>
        <v>COMPOS16</v>
      </c>
      <c r="C415" s="23" t="str">
        <f>VLOOKUP(A415,MEMORIA!$A:$N,3,FALSE)</f>
        <v>PRÓPRIA</v>
      </c>
      <c r="D415" s="24" t="str">
        <f>VLOOKUP(A415,MEMORIA!$A:$N,4,FALSE)</f>
        <v>ANÁLISE FÍSICO-QUÍMICA DA ÁGUA</v>
      </c>
      <c r="E415" s="23" t="str">
        <f>VLOOKUP(A415,MEMORIA!$A:$N,5,FALSE)</f>
        <v>UN</v>
      </c>
      <c r="F415" s="5">
        <f>VLOOKUP(A415,MEMORIA!$A:$N,14,FALSE)</f>
        <v>1</v>
      </c>
      <c r="G415" s="5">
        <f>VLOOKUP(A415,ORCAMENTO!$A:$I,7,FALSE)</f>
        <v>565.21</v>
      </c>
      <c r="H415" s="5">
        <f>VLOOKUP(A415,ORCAMENTO!$A:$I,8,FALSE)</f>
        <v>691.42000000000007</v>
      </c>
      <c r="I415" s="5">
        <f t="shared" si="125"/>
        <v>691.42</v>
      </c>
      <c r="J415" s="5">
        <f t="shared" si="126"/>
        <v>0</v>
      </c>
      <c r="K415" s="5">
        <v>0</v>
      </c>
      <c r="L415" s="25">
        <f t="shared" si="115"/>
        <v>0</v>
      </c>
      <c r="M415" s="5">
        <f t="shared" si="127"/>
        <v>0</v>
      </c>
      <c r="N415" s="5">
        <v>0</v>
      </c>
      <c r="O415" s="25">
        <f t="shared" si="116"/>
        <v>0</v>
      </c>
      <c r="P415" s="5">
        <f t="shared" si="128"/>
        <v>0</v>
      </c>
      <c r="Q415" s="5">
        <v>0</v>
      </c>
      <c r="R415" s="25">
        <f t="shared" si="117"/>
        <v>0</v>
      </c>
      <c r="S415" s="5">
        <f t="shared" si="129"/>
        <v>0</v>
      </c>
      <c r="T415" s="5">
        <v>0</v>
      </c>
      <c r="U415" s="25">
        <f t="shared" si="118"/>
        <v>0</v>
      </c>
      <c r="V415" s="5">
        <f t="shared" si="130"/>
        <v>691.42</v>
      </c>
      <c r="W415" s="5">
        <f t="shared" si="131"/>
        <v>1</v>
      </c>
      <c r="X415" s="25">
        <f t="shared" si="119"/>
        <v>1</v>
      </c>
      <c r="Y415" s="5">
        <f t="shared" si="120"/>
        <v>691.42</v>
      </c>
      <c r="Z415" s="25">
        <f t="shared" si="121"/>
        <v>1</v>
      </c>
      <c r="AA415" s="25">
        <f t="shared" si="122"/>
        <v>4.2895139115663682E-4</v>
      </c>
    </row>
    <row r="416" spans="1:27" ht="43.2" x14ac:dyDescent="0.3">
      <c r="A416" s="23" t="s">
        <v>461</v>
      </c>
      <c r="B416" s="23" t="str">
        <f>VLOOKUP(A416,MEMORIA!$A:$N,2,FALSE)</f>
        <v>COMPOS1</v>
      </c>
      <c r="C416" s="23" t="str">
        <f>VLOOKUP(A416,MEMORIA!$A:$N,3,FALSE)</f>
        <v>PRÓPRIA</v>
      </c>
      <c r="D416" s="24" t="str">
        <f>VLOOKUP(A416,MEMORIA!$A:$N,4,FALSE)</f>
        <v>FORNECIMENTO E INSTALAÇÃO DE REVESTIMENTO GEOMECÂNICO STANDART DN-154-S</v>
      </c>
      <c r="E416" s="23" t="str">
        <f>VLOOKUP(A416,MEMORIA!$A:$N,5,FALSE)</f>
        <v>M</v>
      </c>
      <c r="F416" s="5">
        <f>VLOOKUP(A416,MEMORIA!$A:$N,14,FALSE)</f>
        <v>21</v>
      </c>
      <c r="G416" s="5">
        <f>VLOOKUP(A416,ORCAMENTO!$A:$I,7,FALSE)</f>
        <v>170.76</v>
      </c>
      <c r="H416" s="5">
        <f>VLOOKUP(A416,ORCAMENTO!$A:$I,8,FALSE)</f>
        <v>208.89</v>
      </c>
      <c r="I416" s="5">
        <f t="shared" si="125"/>
        <v>4386.6899999999996</v>
      </c>
      <c r="J416" s="5">
        <f t="shared" si="126"/>
        <v>0</v>
      </c>
      <c r="K416" s="5">
        <v>0</v>
      </c>
      <c r="L416" s="25">
        <f t="shared" si="115"/>
        <v>0</v>
      </c>
      <c r="M416" s="5">
        <f t="shared" si="127"/>
        <v>0</v>
      </c>
      <c r="N416" s="5">
        <v>0</v>
      </c>
      <c r="O416" s="25">
        <f t="shared" si="116"/>
        <v>0</v>
      </c>
      <c r="P416" s="5">
        <f t="shared" si="128"/>
        <v>0</v>
      </c>
      <c r="Q416" s="5">
        <v>0</v>
      </c>
      <c r="R416" s="25">
        <f t="shared" si="117"/>
        <v>0</v>
      </c>
      <c r="S416" s="5">
        <f t="shared" si="129"/>
        <v>0</v>
      </c>
      <c r="T416" s="5">
        <v>0</v>
      </c>
      <c r="U416" s="25">
        <f t="shared" si="118"/>
        <v>0</v>
      </c>
      <c r="V416" s="5">
        <f t="shared" si="130"/>
        <v>4386.6899999999996</v>
      </c>
      <c r="W416" s="5">
        <f t="shared" si="131"/>
        <v>21</v>
      </c>
      <c r="X416" s="25">
        <f t="shared" si="119"/>
        <v>1</v>
      </c>
      <c r="Y416" s="5">
        <f t="shared" si="120"/>
        <v>4386.6899999999996</v>
      </c>
      <c r="Z416" s="25">
        <f t="shared" si="121"/>
        <v>1</v>
      </c>
      <c r="AA416" s="25">
        <f t="shared" si="122"/>
        <v>2.7214670939123935E-3</v>
      </c>
    </row>
    <row r="417" spans="1:27" ht="28.8" x14ac:dyDescent="0.3">
      <c r="A417" s="23" t="s">
        <v>462</v>
      </c>
      <c r="B417" s="23" t="str">
        <f>VLOOKUP(A417,MEMORIA!$A:$N,2,FALSE)</f>
        <v>COMPOS2</v>
      </c>
      <c r="C417" s="23" t="str">
        <f>VLOOKUP(A417,MEMORIA!$A:$N,3,FALSE)</f>
        <v>PRÓPRIA</v>
      </c>
      <c r="D417" s="24" t="str">
        <f>VLOOKUP(A417,MEMORIA!$A:$N,4,FALSE)</f>
        <v>FORNECIMENTO E INSTALAÇÃO DE TAMPA PARA POÇO</v>
      </c>
      <c r="E417" s="23" t="str">
        <f>VLOOKUP(A417,MEMORIA!$A:$N,5,FALSE)</f>
        <v>UN</v>
      </c>
      <c r="F417" s="5">
        <f>VLOOKUP(A417,MEMORIA!$A:$N,14,FALSE)</f>
        <v>1</v>
      </c>
      <c r="G417" s="5">
        <f>VLOOKUP(A417,ORCAMENTO!$A:$I,7,FALSE)</f>
        <v>109.94</v>
      </c>
      <c r="H417" s="5">
        <f>VLOOKUP(A417,ORCAMENTO!$A:$I,8,FALSE)</f>
        <v>134.49</v>
      </c>
      <c r="I417" s="5">
        <f t="shared" si="125"/>
        <v>134.49</v>
      </c>
      <c r="J417" s="5">
        <f t="shared" si="126"/>
        <v>0</v>
      </c>
      <c r="K417" s="5">
        <v>0</v>
      </c>
      <c r="L417" s="25">
        <f t="shared" si="115"/>
        <v>0</v>
      </c>
      <c r="M417" s="5">
        <f t="shared" si="127"/>
        <v>0</v>
      </c>
      <c r="N417" s="5">
        <v>0</v>
      </c>
      <c r="O417" s="25">
        <f t="shared" si="116"/>
        <v>0</v>
      </c>
      <c r="P417" s="5">
        <f t="shared" si="128"/>
        <v>0</v>
      </c>
      <c r="Q417" s="5">
        <v>0</v>
      </c>
      <c r="R417" s="25">
        <f t="shared" si="117"/>
        <v>0</v>
      </c>
      <c r="S417" s="5">
        <f t="shared" si="129"/>
        <v>0</v>
      </c>
      <c r="T417" s="5">
        <v>0</v>
      </c>
      <c r="U417" s="25">
        <f t="shared" si="118"/>
        <v>0</v>
      </c>
      <c r="V417" s="5">
        <f t="shared" si="130"/>
        <v>134.49</v>
      </c>
      <c r="W417" s="5">
        <f t="shared" si="131"/>
        <v>1</v>
      </c>
      <c r="X417" s="25">
        <f t="shared" si="119"/>
        <v>1</v>
      </c>
      <c r="Y417" s="5">
        <f t="shared" si="120"/>
        <v>134.49</v>
      </c>
      <c r="Z417" s="25">
        <f t="shared" si="121"/>
        <v>1</v>
      </c>
      <c r="AA417" s="25">
        <f t="shared" si="122"/>
        <v>8.3436511232906329E-5</v>
      </c>
    </row>
    <row r="418" spans="1:27" x14ac:dyDescent="0.3">
      <c r="A418" s="12" t="s">
        <v>136</v>
      </c>
      <c r="B418" s="51" t="str">
        <f>VLOOKUP(A418,MEMORIA!$A:$N,2,FALSE)</f>
        <v>AQUISIÇÃO E INSTALAÇÃO DE EQUIPAMENTOS DE BOMBEAMENTO, RECALQUE/BARRILETE E CONEXÕES PARA INTERLIGAÇÃO COM RESERVATÓRIO</v>
      </c>
      <c r="C418" s="52"/>
      <c r="D418" s="52"/>
      <c r="E418" s="52"/>
      <c r="F418" s="52"/>
      <c r="G418" s="52"/>
      <c r="H418" s="53"/>
      <c r="I418" s="13">
        <f>SUM(I$419:I$421)</f>
        <v>9017.39</v>
      </c>
      <c r="J418" s="13">
        <f>SUM(J$419:J$421)</f>
        <v>0</v>
      </c>
      <c r="K418" s="13"/>
      <c r="L418" s="14">
        <f t="shared" si="115"/>
        <v>0</v>
      </c>
      <c r="M418" s="13">
        <f>SUM(M$419:M$421)</f>
        <v>0</v>
      </c>
      <c r="N418" s="13"/>
      <c r="O418" s="14">
        <f t="shared" si="116"/>
        <v>0</v>
      </c>
      <c r="P418" s="13">
        <f>SUM(P$419:P$421)</f>
        <v>0</v>
      </c>
      <c r="Q418" s="13"/>
      <c r="R418" s="14">
        <f t="shared" si="117"/>
        <v>0</v>
      </c>
      <c r="S418" s="13">
        <f>SUM(S$419:S$421)</f>
        <v>0</v>
      </c>
      <c r="T418" s="13"/>
      <c r="U418" s="14">
        <f t="shared" si="118"/>
        <v>0</v>
      </c>
      <c r="V418" s="13">
        <f>SUM(V$419:V$421)</f>
        <v>9017.39</v>
      </c>
      <c r="W418" s="13"/>
      <c r="X418" s="14">
        <f t="shared" si="119"/>
        <v>1</v>
      </c>
      <c r="Y418" s="13">
        <f t="shared" si="120"/>
        <v>9017.39</v>
      </c>
      <c r="Z418" s="14">
        <f t="shared" si="121"/>
        <v>1</v>
      </c>
      <c r="AA418" s="14">
        <f t="shared" si="122"/>
        <v>5.5943160236931891E-3</v>
      </c>
    </row>
    <row r="419" spans="1:27" ht="43.2" x14ac:dyDescent="0.3">
      <c r="A419" s="23" t="s">
        <v>463</v>
      </c>
      <c r="B419" s="23" t="str">
        <f>VLOOKUP(A419,MEMORIA!$A:$N,2,FALSE)</f>
        <v>COMPOS19</v>
      </c>
      <c r="C419" s="23" t="str">
        <f>VLOOKUP(A419,MEMORIA!$A:$N,3,FALSE)</f>
        <v>PRÓPRIA</v>
      </c>
      <c r="D419" s="24" t="str">
        <f>VLOOKUP(A419,MEMORIA!$A:$N,4,FALSE)</f>
        <v>FORNECIMENTO E INSTALAÇÃO DE TUBO EDUTOR DE PVC DE 1.1/2'' COM LUVA</v>
      </c>
      <c r="E419" s="23" t="str">
        <f>VLOOKUP(A419,MEMORIA!$A:$N,5,FALSE)</f>
        <v>M</v>
      </c>
      <c r="F419" s="5">
        <f>VLOOKUP(A419,MEMORIA!$A:$N,14,FALSE)</f>
        <v>90</v>
      </c>
      <c r="G419" s="5">
        <f>VLOOKUP(A419,ORCAMENTO!$A:$I,7,FALSE)</f>
        <v>46.25</v>
      </c>
      <c r="H419" s="5">
        <f>VLOOKUP(A419,ORCAMENTO!$A:$I,8,FALSE)</f>
        <v>56.58</v>
      </c>
      <c r="I419" s="5">
        <f>ROUND(F419*H419,2)</f>
        <v>5092.2</v>
      </c>
      <c r="J419" s="5">
        <f>ROUND(K419*$H419,2)</f>
        <v>0</v>
      </c>
      <c r="K419" s="5">
        <v>0</v>
      </c>
      <c r="L419" s="25">
        <f t="shared" si="115"/>
        <v>0</v>
      </c>
      <c r="M419" s="5">
        <f>ROUND(N419*$H419,2)</f>
        <v>0</v>
      </c>
      <c r="N419" s="5">
        <v>0</v>
      </c>
      <c r="O419" s="25">
        <f t="shared" si="116"/>
        <v>0</v>
      </c>
      <c r="P419" s="5">
        <f>ROUND(Q419*$H419,2)</f>
        <v>0</v>
      </c>
      <c r="Q419" s="5">
        <v>0</v>
      </c>
      <c r="R419" s="25">
        <f t="shared" si="117"/>
        <v>0</v>
      </c>
      <c r="S419" s="5">
        <f>ROUND(T419*$H419,2)</f>
        <v>0</v>
      </c>
      <c r="T419" s="5">
        <v>0</v>
      </c>
      <c r="U419" s="25">
        <f t="shared" si="118"/>
        <v>0</v>
      </c>
      <c r="V419" s="5">
        <f>ROUND(W419*$H419,2)</f>
        <v>5092.2</v>
      </c>
      <c r="W419" s="5">
        <f t="shared" si="131"/>
        <v>90</v>
      </c>
      <c r="X419" s="25">
        <f t="shared" si="119"/>
        <v>1</v>
      </c>
      <c r="Y419" s="5">
        <f t="shared" si="120"/>
        <v>5092.2</v>
      </c>
      <c r="Z419" s="25">
        <f t="shared" si="121"/>
        <v>1</v>
      </c>
      <c r="AA419" s="25">
        <f t="shared" si="122"/>
        <v>3.1591598074221542E-3</v>
      </c>
    </row>
    <row r="420" spans="1:27" x14ac:dyDescent="0.3">
      <c r="A420" s="23" t="s">
        <v>464</v>
      </c>
      <c r="B420" s="23" t="str">
        <f>VLOOKUP(A420,MEMORIA!$A:$N,2,FALSE)</f>
        <v>COMPOS21</v>
      </c>
      <c r="C420" s="23" t="str">
        <f>VLOOKUP(A420,MEMORIA!$A:$N,3,FALSE)</f>
        <v>PRÓPRIA</v>
      </c>
      <c r="D420" s="24" t="str">
        <f>VLOOKUP(A420,MEMORIA!$A:$N,4,FALSE)</f>
        <v>BARRILETE (CURVAS E CONEXÕES)</v>
      </c>
      <c r="E420" s="23" t="str">
        <f>VLOOKUP(A420,MEMORIA!$A:$N,5,FALSE)</f>
        <v>UN</v>
      </c>
      <c r="F420" s="5">
        <f>VLOOKUP(A420,MEMORIA!$A:$N,14,FALSE)</f>
        <v>1</v>
      </c>
      <c r="G420" s="5">
        <f>VLOOKUP(A420,ORCAMENTO!$A:$I,7,FALSE)</f>
        <v>2147.0500000000002</v>
      </c>
      <c r="H420" s="5">
        <f>VLOOKUP(A420,ORCAMENTO!$A:$I,8,FALSE)</f>
        <v>2626.4900000000002</v>
      </c>
      <c r="I420" s="5">
        <f>ROUND(F420*H420,2)</f>
        <v>2626.49</v>
      </c>
      <c r="J420" s="5">
        <f>ROUND(K420*$H420,2)</f>
        <v>0</v>
      </c>
      <c r="K420" s="5">
        <v>0</v>
      </c>
      <c r="L420" s="25">
        <f t="shared" si="115"/>
        <v>0</v>
      </c>
      <c r="M420" s="5">
        <f>ROUND(N420*$H420,2)</f>
        <v>0</v>
      </c>
      <c r="N420" s="5">
        <v>0</v>
      </c>
      <c r="O420" s="25">
        <f t="shared" si="116"/>
        <v>0</v>
      </c>
      <c r="P420" s="5">
        <f>ROUND(Q420*$H420,2)</f>
        <v>0</v>
      </c>
      <c r="Q420" s="5">
        <v>0</v>
      </c>
      <c r="R420" s="25">
        <f t="shared" si="117"/>
        <v>0</v>
      </c>
      <c r="S420" s="5">
        <f>ROUND(T420*$H420,2)</f>
        <v>0</v>
      </c>
      <c r="T420" s="5">
        <v>0</v>
      </c>
      <c r="U420" s="25">
        <f t="shared" si="118"/>
        <v>0</v>
      </c>
      <c r="V420" s="5">
        <f>ROUND(W420*$H420,2)</f>
        <v>2626.49</v>
      </c>
      <c r="W420" s="5">
        <f t="shared" si="131"/>
        <v>1</v>
      </c>
      <c r="X420" s="25">
        <f t="shared" si="119"/>
        <v>1</v>
      </c>
      <c r="Y420" s="5">
        <f t="shared" si="120"/>
        <v>2626.49</v>
      </c>
      <c r="Z420" s="25">
        <f t="shared" si="121"/>
        <v>1</v>
      </c>
      <c r="AA420" s="25">
        <f t="shared" si="122"/>
        <v>1.6294532113028187E-3</v>
      </c>
    </row>
    <row r="421" spans="1:27" ht="28.8" x14ac:dyDescent="0.3">
      <c r="A421" s="23" t="s">
        <v>465</v>
      </c>
      <c r="B421" s="23" t="str">
        <f>VLOOKUP(A421,MEMORIA!$A:$N,2,FALSE)</f>
        <v>COMPOS26</v>
      </c>
      <c r="C421" s="23" t="str">
        <f>VLOOKUP(A421,MEMORIA!$A:$N,3,FALSE)</f>
        <v>PRÓPRIA</v>
      </c>
      <c r="D421" s="24" t="str">
        <f>VLOOKUP(A421,MEMORIA!$A:$N,4,FALSE)</f>
        <v>AQUISIÇÃO E INSTALAÇÃO DE DOSADOR DE CLORO</v>
      </c>
      <c r="E421" s="23" t="str">
        <f>VLOOKUP(A421,MEMORIA!$A:$N,5,FALSE)</f>
        <v>UND</v>
      </c>
      <c r="F421" s="5">
        <f>VLOOKUP(A421,MEMORIA!$A:$N,14,FALSE)</f>
        <v>1</v>
      </c>
      <c r="G421" s="5">
        <f>VLOOKUP(A421,ORCAMENTO!$A:$I,7,FALSE)</f>
        <v>1061.6399999999999</v>
      </c>
      <c r="H421" s="5">
        <f>VLOOKUP(A421,ORCAMENTO!$A:$I,8,FALSE)</f>
        <v>1298.6999999999998</v>
      </c>
      <c r="I421" s="5">
        <f>ROUND(F421*H421,2)</f>
        <v>1298.7</v>
      </c>
      <c r="J421" s="5">
        <f>ROUND(K421*$H421,2)</f>
        <v>0</v>
      </c>
      <c r="K421" s="5">
        <v>0</v>
      </c>
      <c r="L421" s="25">
        <f t="shared" si="115"/>
        <v>0</v>
      </c>
      <c r="M421" s="5">
        <f>ROUND(N421*$H421,2)</f>
        <v>0</v>
      </c>
      <c r="N421" s="5">
        <v>0</v>
      </c>
      <c r="O421" s="25">
        <f t="shared" si="116"/>
        <v>0</v>
      </c>
      <c r="P421" s="5">
        <f>ROUND(Q421*$H421,2)</f>
        <v>0</v>
      </c>
      <c r="Q421" s="5">
        <v>0</v>
      </c>
      <c r="R421" s="25">
        <f t="shared" si="117"/>
        <v>0</v>
      </c>
      <c r="S421" s="5">
        <f>ROUND(T421*$H421,2)</f>
        <v>0</v>
      </c>
      <c r="T421" s="5">
        <v>0</v>
      </c>
      <c r="U421" s="25">
        <f t="shared" si="118"/>
        <v>0</v>
      </c>
      <c r="V421" s="5">
        <f>ROUND(W421*$H421,2)</f>
        <v>1298.7</v>
      </c>
      <c r="W421" s="5">
        <f t="shared" si="131"/>
        <v>1</v>
      </c>
      <c r="X421" s="25">
        <f t="shared" si="119"/>
        <v>1</v>
      </c>
      <c r="Y421" s="5">
        <f t="shared" si="120"/>
        <v>1298.7</v>
      </c>
      <c r="Z421" s="25">
        <f t="shared" si="121"/>
        <v>1</v>
      </c>
      <c r="AA421" s="25">
        <f t="shared" si="122"/>
        <v>8.0570300496821655E-4</v>
      </c>
    </row>
    <row r="422" spans="1:27" x14ac:dyDescent="0.3">
      <c r="A422" s="12" t="s">
        <v>137</v>
      </c>
      <c r="B422" s="51" t="str">
        <f>VLOOKUP(A422,MEMORIA!$A:$N,2,FALSE)</f>
        <v>CONSTRUÇÃO DA CASA DE COMANDO</v>
      </c>
      <c r="C422" s="52"/>
      <c r="D422" s="52"/>
      <c r="E422" s="52"/>
      <c r="F422" s="52"/>
      <c r="G422" s="52"/>
      <c r="H422" s="53"/>
      <c r="I422" s="13">
        <f>SUM(I$423,I$426,I$428,I$432,I$435,I$438,I$441,I$445,I$448,I$451,I$454,)</f>
        <v>20274.329999999998</v>
      </c>
      <c r="J422" s="13">
        <f>SUM(J$423,J$426,J$428,J$432,J$435,J$438,J$441,J$445,J$448,J$451,J$454,)</f>
        <v>0</v>
      </c>
      <c r="K422" s="13"/>
      <c r="L422" s="14">
        <f t="shared" si="115"/>
        <v>0</v>
      </c>
      <c r="M422" s="13">
        <f>SUM(M$423,M$426,M$428,M$432,M$435,M$438,M$441,M$445,M$448,M$451,M$454,)</f>
        <v>0</v>
      </c>
      <c r="N422" s="13"/>
      <c r="O422" s="14">
        <f t="shared" si="116"/>
        <v>0</v>
      </c>
      <c r="P422" s="13">
        <f>SUM(P$423,P$426,P$428,P$432,P$435,P$438,P$441,P$445,P$448,P$451,P$454,)</f>
        <v>0</v>
      </c>
      <c r="Q422" s="13"/>
      <c r="R422" s="14">
        <f t="shared" si="117"/>
        <v>0</v>
      </c>
      <c r="S422" s="13">
        <f>SUM(S$423,S$426,S$428,S$432,S$435,S$438,S$441,S$445,S$448,S$451,S$454,)</f>
        <v>0</v>
      </c>
      <c r="T422" s="13"/>
      <c r="U422" s="14">
        <f t="shared" si="118"/>
        <v>0</v>
      </c>
      <c r="V422" s="13">
        <f>SUM(V$423,V$426,V$428,V$432,V$435,V$438,V$441,V$445,V$448,V$451,V$454,)</f>
        <v>20274.329999999998</v>
      </c>
      <c r="W422" s="13"/>
      <c r="X422" s="14">
        <f t="shared" si="119"/>
        <v>1</v>
      </c>
      <c r="Y422" s="13">
        <f t="shared" si="120"/>
        <v>20274.329999999998</v>
      </c>
      <c r="Z422" s="14">
        <f t="shared" si="121"/>
        <v>1</v>
      </c>
      <c r="AA422" s="14">
        <f t="shared" si="122"/>
        <v>1.2578030803663093E-2</v>
      </c>
    </row>
    <row r="423" spans="1:27" x14ac:dyDescent="0.3">
      <c r="A423" s="15" t="s">
        <v>138</v>
      </c>
      <c r="B423" s="48" t="str">
        <f>VLOOKUP(A423,MEMORIA!$A:$N,2,FALSE)</f>
        <v>SERVIÇOS PRELIMINARES</v>
      </c>
      <c r="C423" s="49"/>
      <c r="D423" s="49"/>
      <c r="E423" s="49"/>
      <c r="F423" s="49"/>
      <c r="G423" s="49"/>
      <c r="H423" s="50"/>
      <c r="I423" s="16">
        <f>SUM(I$424:I$425)</f>
        <v>1315.92</v>
      </c>
      <c r="J423" s="16">
        <f>SUM(J$424:J$425)</f>
        <v>0</v>
      </c>
      <c r="K423" s="16"/>
      <c r="L423" s="17">
        <f t="shared" si="115"/>
        <v>0</v>
      </c>
      <c r="M423" s="16">
        <f>SUM(M$424:M$425)</f>
        <v>0</v>
      </c>
      <c r="N423" s="16"/>
      <c r="O423" s="17">
        <f t="shared" si="116"/>
        <v>0</v>
      </c>
      <c r="P423" s="16">
        <f>SUM(P$424:P$425)</f>
        <v>0</v>
      </c>
      <c r="Q423" s="16"/>
      <c r="R423" s="17">
        <f t="shared" si="117"/>
        <v>0</v>
      </c>
      <c r="S423" s="16">
        <f>SUM(S$424:S$425)</f>
        <v>0</v>
      </c>
      <c r="T423" s="16"/>
      <c r="U423" s="17">
        <f t="shared" si="118"/>
        <v>0</v>
      </c>
      <c r="V423" s="16">
        <f>SUM(V$424:V$425)</f>
        <v>1315.92</v>
      </c>
      <c r="W423" s="16"/>
      <c r="X423" s="17">
        <f t="shared" si="119"/>
        <v>1</v>
      </c>
      <c r="Y423" s="16">
        <f t="shared" si="120"/>
        <v>1315.92</v>
      </c>
      <c r="Z423" s="17">
        <f t="shared" si="121"/>
        <v>1</v>
      </c>
      <c r="AA423" s="17">
        <f t="shared" si="122"/>
        <v>8.1638615407544121E-4</v>
      </c>
    </row>
    <row r="424" spans="1:27" ht="28.8" x14ac:dyDescent="0.3">
      <c r="A424" s="23" t="s">
        <v>466</v>
      </c>
      <c r="B424" s="23">
        <f>VLOOKUP(A424,MEMORIA!$A:$N,2,FALSE)</f>
        <v>98524</v>
      </c>
      <c r="C424" s="23" t="str">
        <f>VLOOKUP(A424,MEMORIA!$A:$N,3,FALSE)</f>
        <v>SINAPI</v>
      </c>
      <c r="D424" s="24" t="str">
        <f>VLOOKUP(A424,MEMORIA!$A:$N,4,FALSE)</f>
        <v>LIMPEZA MANUAL DE VEGETAÇÃO EM TERRENO COM ENXADA. AF_03/2024</v>
      </c>
      <c r="E424" s="23" t="str">
        <f>VLOOKUP(A424,MEMORIA!$A:$N,5,FALSE)</f>
        <v>M2</v>
      </c>
      <c r="F424" s="5">
        <f>VLOOKUP(A424,MEMORIA!$A:$N,14,FALSE)</f>
        <v>100</v>
      </c>
      <c r="G424" s="5">
        <f>VLOOKUP(A424,ORCAMENTO!$A:$I,7,FALSE)</f>
        <v>4.62</v>
      </c>
      <c r="H424" s="5">
        <f>VLOOKUP(A424,ORCAMENTO!$A:$I,8,FALSE)</f>
        <v>5.65</v>
      </c>
      <c r="I424" s="5">
        <f>ROUND(F424*H424,2)</f>
        <v>565</v>
      </c>
      <c r="J424" s="5">
        <f>ROUND(K424*$H424,2)</f>
        <v>0</v>
      </c>
      <c r="K424" s="5">
        <v>0</v>
      </c>
      <c r="L424" s="25">
        <f t="shared" si="115"/>
        <v>0</v>
      </c>
      <c r="M424" s="5">
        <f>ROUND(N424*$H424,2)</f>
        <v>0</v>
      </c>
      <c r="N424" s="5">
        <v>0</v>
      </c>
      <c r="O424" s="25">
        <f t="shared" si="116"/>
        <v>0</v>
      </c>
      <c r="P424" s="5">
        <f>ROUND(Q424*$H424,2)</f>
        <v>0</v>
      </c>
      <c r="Q424" s="5">
        <v>0</v>
      </c>
      <c r="R424" s="25">
        <f t="shared" si="117"/>
        <v>0</v>
      </c>
      <c r="S424" s="5">
        <f>ROUND(T424*$H424,2)</f>
        <v>0</v>
      </c>
      <c r="T424" s="5">
        <v>0</v>
      </c>
      <c r="U424" s="25">
        <f t="shared" si="118"/>
        <v>0</v>
      </c>
      <c r="V424" s="5">
        <f>ROUND(W424*$H424,2)</f>
        <v>565</v>
      </c>
      <c r="W424" s="5">
        <f t="shared" ref="W424:W425" si="132">F424</f>
        <v>100</v>
      </c>
      <c r="X424" s="25">
        <f t="shared" si="119"/>
        <v>1</v>
      </c>
      <c r="Y424" s="5">
        <f t="shared" si="120"/>
        <v>565</v>
      </c>
      <c r="Z424" s="25">
        <f t="shared" si="121"/>
        <v>1</v>
      </c>
      <c r="AA424" s="25">
        <f t="shared" si="122"/>
        <v>3.5052144283286539E-4</v>
      </c>
    </row>
    <row r="425" spans="1:27" ht="57.6" x14ac:dyDescent="0.3">
      <c r="A425" s="23" t="s">
        <v>467</v>
      </c>
      <c r="B425" s="23">
        <f>VLOOKUP(A425,MEMORIA!$A:$N,2,FALSE)</f>
        <v>99059</v>
      </c>
      <c r="C425" s="23" t="str">
        <f>VLOOKUP(A425,MEMORIA!$A:$N,3,FALSE)</f>
        <v>SINAPI</v>
      </c>
      <c r="D425" s="24" t="str">
        <f>VLOOKUP(A425,MEMORIA!$A:$N,4,FALSE)</f>
        <v>LOCAÇÃO CONVENCIONAL DE OBRA, UTILIZANDO GABARITO DE TÁBUAS CORRIDAS PONTALETADAS A CADA 2,00M - 2 UTILIZAÇÕES. AF_03/2024</v>
      </c>
      <c r="E425" s="23" t="str">
        <f>VLOOKUP(A425,MEMORIA!$A:$N,5,FALSE)</f>
        <v>M</v>
      </c>
      <c r="F425" s="5">
        <f>VLOOKUP(A425,MEMORIA!$A:$N,14,FALSE)</f>
        <v>10.199999999999999</v>
      </c>
      <c r="G425" s="5">
        <f>VLOOKUP(A425,ORCAMENTO!$A:$I,7,FALSE)</f>
        <v>60.18</v>
      </c>
      <c r="H425" s="5">
        <f>VLOOKUP(A425,ORCAMENTO!$A:$I,8,FALSE)</f>
        <v>73.62</v>
      </c>
      <c r="I425" s="5">
        <f>ROUND(F425*H425,2)</f>
        <v>750.92</v>
      </c>
      <c r="J425" s="5">
        <f>ROUND(K425*$H425,2)</f>
        <v>0</v>
      </c>
      <c r="K425" s="5">
        <v>0</v>
      </c>
      <c r="L425" s="25">
        <f t="shared" si="115"/>
        <v>0</v>
      </c>
      <c r="M425" s="5">
        <f>ROUND(N425*$H425,2)</f>
        <v>0</v>
      </c>
      <c r="N425" s="5">
        <v>0</v>
      </c>
      <c r="O425" s="25">
        <f t="shared" si="116"/>
        <v>0</v>
      </c>
      <c r="P425" s="5">
        <f>ROUND(Q425*$H425,2)</f>
        <v>0</v>
      </c>
      <c r="Q425" s="5">
        <v>0</v>
      </c>
      <c r="R425" s="25">
        <f t="shared" si="117"/>
        <v>0</v>
      </c>
      <c r="S425" s="5">
        <f>ROUND(T425*$H425,2)</f>
        <v>0</v>
      </c>
      <c r="T425" s="5">
        <v>0</v>
      </c>
      <c r="U425" s="25">
        <f t="shared" si="118"/>
        <v>0</v>
      </c>
      <c r="V425" s="5">
        <f>ROUND(W425*$H425,2)</f>
        <v>750.92</v>
      </c>
      <c r="W425" s="5">
        <f t="shared" si="132"/>
        <v>10.199999999999999</v>
      </c>
      <c r="X425" s="25">
        <f t="shared" si="119"/>
        <v>1</v>
      </c>
      <c r="Y425" s="5">
        <f t="shared" si="120"/>
        <v>750.92</v>
      </c>
      <c r="Z425" s="25">
        <f t="shared" si="121"/>
        <v>1</v>
      </c>
      <c r="AA425" s="25">
        <f t="shared" si="122"/>
        <v>4.6586471124257571E-4</v>
      </c>
    </row>
    <row r="426" spans="1:27" x14ac:dyDescent="0.3">
      <c r="A426" s="15" t="s">
        <v>139</v>
      </c>
      <c r="B426" s="48" t="str">
        <f>VLOOKUP(A426,MEMORIA!$A:$N,2,FALSE)</f>
        <v>MOVIMENTO DE TERRA</v>
      </c>
      <c r="C426" s="49"/>
      <c r="D426" s="49"/>
      <c r="E426" s="49"/>
      <c r="F426" s="49"/>
      <c r="G426" s="49"/>
      <c r="H426" s="50"/>
      <c r="I426" s="16">
        <f>SUM(I$427:I$427)</f>
        <v>161.76</v>
      </c>
      <c r="J426" s="16">
        <f>SUM(J$427:J$427)</f>
        <v>0</v>
      </c>
      <c r="K426" s="16"/>
      <c r="L426" s="17">
        <f t="shared" si="115"/>
        <v>0</v>
      </c>
      <c r="M426" s="16">
        <f>SUM(M$427:M$427)</f>
        <v>0</v>
      </c>
      <c r="N426" s="16"/>
      <c r="O426" s="17">
        <f t="shared" si="116"/>
        <v>0</v>
      </c>
      <c r="P426" s="16">
        <f>SUM(P$427:P$427)</f>
        <v>0</v>
      </c>
      <c r="Q426" s="16"/>
      <c r="R426" s="17">
        <f t="shared" si="117"/>
        <v>0</v>
      </c>
      <c r="S426" s="16">
        <f>SUM(S$427:S$427)</f>
        <v>0</v>
      </c>
      <c r="T426" s="16"/>
      <c r="U426" s="17">
        <f t="shared" si="118"/>
        <v>0</v>
      </c>
      <c r="V426" s="16">
        <f>SUM(V$427:V$427)</f>
        <v>161.76</v>
      </c>
      <c r="W426" s="16"/>
      <c r="X426" s="17">
        <f t="shared" si="119"/>
        <v>1</v>
      </c>
      <c r="Y426" s="16">
        <f t="shared" si="120"/>
        <v>161.76</v>
      </c>
      <c r="Z426" s="17">
        <f t="shared" si="121"/>
        <v>1</v>
      </c>
      <c r="AA426" s="17">
        <f t="shared" si="122"/>
        <v>1.0035459927901647E-4</v>
      </c>
    </row>
    <row r="427" spans="1:27" ht="28.8" x14ac:dyDescent="0.3">
      <c r="A427" s="23" t="s">
        <v>468</v>
      </c>
      <c r="B427" s="23">
        <f>VLOOKUP(A427,MEMORIA!$A:$N,2,FALSE)</f>
        <v>93358</v>
      </c>
      <c r="C427" s="23" t="str">
        <f>VLOOKUP(A427,MEMORIA!$A:$N,3,FALSE)</f>
        <v>SINAPI</v>
      </c>
      <c r="D427" s="24" t="str">
        <f>VLOOKUP(A427,MEMORIA!$A:$N,4,FALSE)</f>
        <v>ESCAVAÇÃO MANUAL DE VALA. AF_09/2024</v>
      </c>
      <c r="E427" s="23" t="str">
        <f>VLOOKUP(A427,MEMORIA!$A:$N,5,FALSE)</f>
        <v>M3</v>
      </c>
      <c r="F427" s="5">
        <f>VLOOKUP(A427,MEMORIA!$A:$N,14,FALSE)</f>
        <v>1.54</v>
      </c>
      <c r="G427" s="5">
        <f>VLOOKUP(A427,ORCAMENTO!$A:$I,7,FALSE)</f>
        <v>85.87</v>
      </c>
      <c r="H427" s="5">
        <f>VLOOKUP(A427,ORCAMENTO!$A:$I,8,FALSE)</f>
        <v>105.04</v>
      </c>
      <c r="I427" s="5">
        <f>ROUND(F427*H427,2)</f>
        <v>161.76</v>
      </c>
      <c r="J427" s="5">
        <f>ROUND(K427*$H427,2)</f>
        <v>0</v>
      </c>
      <c r="K427" s="5">
        <v>0</v>
      </c>
      <c r="L427" s="25">
        <f t="shared" si="115"/>
        <v>0</v>
      </c>
      <c r="M427" s="5">
        <f>ROUND(N427*$H427,2)</f>
        <v>0</v>
      </c>
      <c r="N427" s="5">
        <v>0</v>
      </c>
      <c r="O427" s="25">
        <f t="shared" si="116"/>
        <v>0</v>
      </c>
      <c r="P427" s="5">
        <f>ROUND(Q427*$H427,2)</f>
        <v>0</v>
      </c>
      <c r="Q427" s="5">
        <v>0</v>
      </c>
      <c r="R427" s="25">
        <f t="shared" si="117"/>
        <v>0</v>
      </c>
      <c r="S427" s="5">
        <f>ROUND(T427*$H427,2)</f>
        <v>0</v>
      </c>
      <c r="T427" s="5">
        <v>0</v>
      </c>
      <c r="U427" s="25">
        <f t="shared" si="118"/>
        <v>0</v>
      </c>
      <c r="V427" s="5">
        <f>ROUND(W427*$H427,2)</f>
        <v>161.76</v>
      </c>
      <c r="W427" s="5">
        <f t="shared" ref="W427" si="133">F427</f>
        <v>1.54</v>
      </c>
      <c r="X427" s="25">
        <f t="shared" si="119"/>
        <v>1</v>
      </c>
      <c r="Y427" s="5">
        <f t="shared" si="120"/>
        <v>161.76</v>
      </c>
      <c r="Z427" s="25">
        <f t="shared" si="121"/>
        <v>1</v>
      </c>
      <c r="AA427" s="25">
        <f t="shared" si="122"/>
        <v>1.0035459927901647E-4</v>
      </c>
    </row>
    <row r="428" spans="1:27" x14ac:dyDescent="0.3">
      <c r="A428" s="15" t="s">
        <v>140</v>
      </c>
      <c r="B428" s="48" t="str">
        <f>VLOOKUP(A428,MEMORIA!$A:$N,2,FALSE)</f>
        <v>INFRAESTRUTURA</v>
      </c>
      <c r="C428" s="49"/>
      <c r="D428" s="49"/>
      <c r="E428" s="49"/>
      <c r="F428" s="49"/>
      <c r="G428" s="49"/>
      <c r="H428" s="50"/>
      <c r="I428" s="16">
        <f>SUM(I$429:I$431)</f>
        <v>1229.81</v>
      </c>
      <c r="J428" s="16">
        <f>SUM(J$429:J$431)</f>
        <v>0</v>
      </c>
      <c r="K428" s="16"/>
      <c r="L428" s="17">
        <f t="shared" si="115"/>
        <v>0</v>
      </c>
      <c r="M428" s="16">
        <f>SUM(M$429:M$431)</f>
        <v>0</v>
      </c>
      <c r="N428" s="16"/>
      <c r="O428" s="17">
        <f t="shared" si="116"/>
        <v>0</v>
      </c>
      <c r="P428" s="16">
        <f>SUM(P$429:P$431)</f>
        <v>0</v>
      </c>
      <c r="Q428" s="16"/>
      <c r="R428" s="17">
        <f t="shared" si="117"/>
        <v>0</v>
      </c>
      <c r="S428" s="16">
        <f>SUM(S$429:S$431)</f>
        <v>0</v>
      </c>
      <c r="T428" s="16"/>
      <c r="U428" s="17">
        <f t="shared" si="118"/>
        <v>0</v>
      </c>
      <c r="V428" s="16">
        <f>SUM(V$429:V$431)</f>
        <v>1229.81</v>
      </c>
      <c r="W428" s="16"/>
      <c r="X428" s="17">
        <f t="shared" si="119"/>
        <v>1</v>
      </c>
      <c r="Y428" s="16">
        <f t="shared" si="120"/>
        <v>1229.81</v>
      </c>
      <c r="Z428" s="17">
        <f t="shared" si="121"/>
        <v>1</v>
      </c>
      <c r="AA428" s="17">
        <f t="shared" si="122"/>
        <v>7.6296420461997557E-4</v>
      </c>
    </row>
    <row r="429" spans="1:27" ht="28.8" x14ac:dyDescent="0.3">
      <c r="A429" s="23" t="s">
        <v>469</v>
      </c>
      <c r="B429" s="23">
        <f>VLOOKUP(A429,MEMORIA!$A:$N,2,FALSE)</f>
        <v>96617</v>
      </c>
      <c r="C429" s="23" t="str">
        <f>VLOOKUP(A429,MEMORIA!$A:$N,3,FALSE)</f>
        <v>SINAPI</v>
      </c>
      <c r="D429" s="24" t="str">
        <f>VLOOKUP(A429,MEMORIA!$A:$N,4,FALSE)</f>
        <v>LASTRO DE CONCRETO MAGRO, APLICADO EM BLOCOS DE COROAMENTO OU SAPATAS, ESPESSURA DE 3 CM. AF_01/2024</v>
      </c>
      <c r="E429" s="23" t="str">
        <f>VLOOKUP(A429,MEMORIA!$A:$N,5,FALSE)</f>
        <v>M2</v>
      </c>
      <c r="F429" s="5">
        <f>VLOOKUP(A429,MEMORIA!$A:$N,14,FALSE)</f>
        <v>2.58</v>
      </c>
      <c r="G429" s="5">
        <f>VLOOKUP(A429,ORCAMENTO!$A:$I,7,FALSE)</f>
        <v>23.57</v>
      </c>
      <c r="H429" s="5">
        <f>VLOOKUP(A429,ORCAMENTO!$A:$I,8,FALSE)</f>
        <v>28.83</v>
      </c>
      <c r="I429" s="5">
        <f>ROUND(F429*H429,2)</f>
        <v>74.38</v>
      </c>
      <c r="J429" s="5">
        <f>ROUND(K429*$H429,2)</f>
        <v>0</v>
      </c>
      <c r="K429" s="5">
        <v>0</v>
      </c>
      <c r="L429" s="25">
        <f t="shared" si="115"/>
        <v>0</v>
      </c>
      <c r="M429" s="5">
        <f>ROUND(N429*$H429,2)</f>
        <v>0</v>
      </c>
      <c r="N429" s="5">
        <v>0</v>
      </c>
      <c r="O429" s="25">
        <f t="shared" si="116"/>
        <v>0</v>
      </c>
      <c r="P429" s="5">
        <f>ROUND(Q429*$H429,2)</f>
        <v>0</v>
      </c>
      <c r="Q429" s="5">
        <v>0</v>
      </c>
      <c r="R429" s="25">
        <f t="shared" si="117"/>
        <v>0</v>
      </c>
      <c r="S429" s="5">
        <f>ROUND(T429*$H429,2)</f>
        <v>0</v>
      </c>
      <c r="T429" s="5">
        <v>0</v>
      </c>
      <c r="U429" s="25">
        <f t="shared" si="118"/>
        <v>0</v>
      </c>
      <c r="V429" s="5">
        <f>ROUND(W429*$H429,2)</f>
        <v>74.38</v>
      </c>
      <c r="W429" s="5">
        <f t="shared" ref="W429:W431" si="134">F429</f>
        <v>2.58</v>
      </c>
      <c r="X429" s="25">
        <f t="shared" si="119"/>
        <v>1</v>
      </c>
      <c r="Y429" s="5">
        <f t="shared" si="120"/>
        <v>74.38</v>
      </c>
      <c r="Z429" s="25">
        <f t="shared" si="121"/>
        <v>1</v>
      </c>
      <c r="AA429" s="25">
        <f t="shared" si="122"/>
        <v>4.6144752067094741E-5</v>
      </c>
    </row>
    <row r="430" spans="1:27" ht="72" x14ac:dyDescent="0.3">
      <c r="A430" s="23" t="s">
        <v>470</v>
      </c>
      <c r="B430" s="23">
        <f>VLOOKUP(A430,MEMORIA!$A:$N,2,FALSE)</f>
        <v>103800</v>
      </c>
      <c r="C430" s="23" t="str">
        <f>VLOOKUP(A430,MEMORIA!$A:$N,3,FALSE)</f>
        <v>SINAPI</v>
      </c>
      <c r="D430" s="24" t="str">
        <f>VLOOKUP(A430,MEMORIA!$A:$N,4,FALSE)</f>
        <v>PEDRA ARGAMASSADA COM CIMENTO E AREIA 1:3, 40% DE ARGAMASSA EM VOLUME - AREIA E PEDRA DE MÃO COMERCIAIS - FORNECIMENTO E ASSENTAMENTO. AF_08/2022</v>
      </c>
      <c r="E430" s="23" t="str">
        <f>VLOOKUP(A430,MEMORIA!$A:$N,5,FALSE)</f>
        <v>M3</v>
      </c>
      <c r="F430" s="5">
        <f>VLOOKUP(A430,MEMORIA!$A:$N,14,FALSE)</f>
        <v>1.04</v>
      </c>
      <c r="G430" s="5">
        <f>VLOOKUP(A430,ORCAMENTO!$A:$I,7,FALSE)</f>
        <v>666</v>
      </c>
      <c r="H430" s="5">
        <f>VLOOKUP(A430,ORCAMENTO!$A:$I,8,FALSE)</f>
        <v>814.72</v>
      </c>
      <c r="I430" s="5">
        <f>ROUND(F430*H430,2)</f>
        <v>847.31</v>
      </c>
      <c r="J430" s="5">
        <f>ROUND(K430*$H430,2)</f>
        <v>0</v>
      </c>
      <c r="K430" s="5">
        <v>0</v>
      </c>
      <c r="L430" s="25">
        <f t="shared" si="115"/>
        <v>0</v>
      </c>
      <c r="M430" s="5">
        <f>ROUND(N430*$H430,2)</f>
        <v>0</v>
      </c>
      <c r="N430" s="5">
        <v>0</v>
      </c>
      <c r="O430" s="25">
        <f t="shared" si="116"/>
        <v>0</v>
      </c>
      <c r="P430" s="5">
        <f>ROUND(Q430*$H430,2)</f>
        <v>0</v>
      </c>
      <c r="Q430" s="5">
        <v>0</v>
      </c>
      <c r="R430" s="25">
        <f t="shared" si="117"/>
        <v>0</v>
      </c>
      <c r="S430" s="5">
        <f>ROUND(T430*$H430,2)</f>
        <v>0</v>
      </c>
      <c r="T430" s="5">
        <v>0</v>
      </c>
      <c r="U430" s="25">
        <f t="shared" si="118"/>
        <v>0</v>
      </c>
      <c r="V430" s="5">
        <f>ROUND(W430*$H430,2)</f>
        <v>847.31</v>
      </c>
      <c r="W430" s="5">
        <f t="shared" si="134"/>
        <v>1.04</v>
      </c>
      <c r="X430" s="25">
        <f t="shared" si="119"/>
        <v>1</v>
      </c>
      <c r="Y430" s="5">
        <f t="shared" si="120"/>
        <v>847.31</v>
      </c>
      <c r="Z430" s="25">
        <f t="shared" si="121"/>
        <v>1</v>
      </c>
      <c r="AA430" s="25">
        <f t="shared" si="122"/>
        <v>5.2566428978179677E-4</v>
      </c>
    </row>
    <row r="431" spans="1:27" ht="86.4" x14ac:dyDescent="0.3">
      <c r="A431" s="23" t="s">
        <v>471</v>
      </c>
      <c r="B431" s="23">
        <f>VLOOKUP(A431,MEMORIA!$A:$N,2,FALSE)</f>
        <v>103335</v>
      </c>
      <c r="C431" s="23" t="str">
        <f>VLOOKUP(A431,MEMORIA!$A:$N,3,FALSE)</f>
        <v>SINAPI</v>
      </c>
      <c r="D431" s="24" t="str">
        <f>VLOOKUP(A431,MEMORIA!$A:$N,4,FALSE)</f>
        <v>ALVENARIA DE VEDAÇÃO DE BLOCOS CERÂMICOS FURADOS NA HORIZONTAL DE 14X9X19 CM (ESPESSURA 14 CM, BLOCO DEITADO) E ARGAMASSA DE ASSENTAMENTO COM PREPARO MANUAL. AF_12/2021</v>
      </c>
      <c r="E431" s="23" t="str">
        <f>VLOOKUP(A431,MEMORIA!$A:$N,5,FALSE)</f>
        <v>M2</v>
      </c>
      <c r="F431" s="5">
        <f>VLOOKUP(A431,MEMORIA!$A:$N,14,FALSE)</f>
        <v>1.7200000000000002</v>
      </c>
      <c r="G431" s="5">
        <f>VLOOKUP(A431,ORCAMENTO!$A:$I,7,FALSE)</f>
        <v>146.44</v>
      </c>
      <c r="H431" s="5">
        <f>VLOOKUP(A431,ORCAMENTO!$A:$I,8,FALSE)</f>
        <v>179.14</v>
      </c>
      <c r="I431" s="5">
        <f>ROUND(F431*H431,2)</f>
        <v>308.12</v>
      </c>
      <c r="J431" s="5">
        <f>ROUND(K431*$H431,2)</f>
        <v>0</v>
      </c>
      <c r="K431" s="5">
        <v>0</v>
      </c>
      <c r="L431" s="25">
        <f t="shared" si="115"/>
        <v>0</v>
      </c>
      <c r="M431" s="5">
        <f>ROUND(N431*$H431,2)</f>
        <v>0</v>
      </c>
      <c r="N431" s="5">
        <v>0</v>
      </c>
      <c r="O431" s="25">
        <f t="shared" si="116"/>
        <v>0</v>
      </c>
      <c r="P431" s="5">
        <f>ROUND(Q431*$H431,2)</f>
        <v>0</v>
      </c>
      <c r="Q431" s="5">
        <v>0</v>
      </c>
      <c r="R431" s="25">
        <f t="shared" si="117"/>
        <v>0</v>
      </c>
      <c r="S431" s="5">
        <f>ROUND(T431*$H431,2)</f>
        <v>0</v>
      </c>
      <c r="T431" s="5">
        <v>0</v>
      </c>
      <c r="U431" s="25">
        <f t="shared" si="118"/>
        <v>0</v>
      </c>
      <c r="V431" s="5">
        <f>ROUND(W431*$H431,2)</f>
        <v>308.12</v>
      </c>
      <c r="W431" s="5">
        <f t="shared" si="134"/>
        <v>1.7200000000000002</v>
      </c>
      <c r="X431" s="25">
        <f t="shared" si="119"/>
        <v>1</v>
      </c>
      <c r="Y431" s="5">
        <f t="shared" si="120"/>
        <v>308.12</v>
      </c>
      <c r="Z431" s="25">
        <f t="shared" si="121"/>
        <v>1</v>
      </c>
      <c r="AA431" s="25">
        <f t="shared" si="122"/>
        <v>1.9115516277108405E-4</v>
      </c>
    </row>
    <row r="432" spans="1:27" x14ac:dyDescent="0.3">
      <c r="A432" s="15" t="s">
        <v>141</v>
      </c>
      <c r="B432" s="48" t="str">
        <f>VLOOKUP(A432,MEMORIA!$A:$N,2,FALSE)</f>
        <v>SUPERESTRUTURA</v>
      </c>
      <c r="C432" s="49"/>
      <c r="D432" s="49"/>
      <c r="E432" s="49"/>
      <c r="F432" s="49"/>
      <c r="G432" s="49"/>
      <c r="H432" s="50"/>
      <c r="I432" s="16">
        <f>SUM(I$433:I$434)</f>
        <v>1323.3</v>
      </c>
      <c r="J432" s="16">
        <f>SUM(J$433:J$434)</f>
        <v>0</v>
      </c>
      <c r="K432" s="16"/>
      <c r="L432" s="17">
        <f t="shared" si="115"/>
        <v>0</v>
      </c>
      <c r="M432" s="16">
        <f>SUM(M$433:M$434)</f>
        <v>0</v>
      </c>
      <c r="N432" s="16"/>
      <c r="O432" s="17">
        <f t="shared" si="116"/>
        <v>0</v>
      </c>
      <c r="P432" s="16">
        <f>SUM(P$433:P$434)</f>
        <v>0</v>
      </c>
      <c r="Q432" s="16"/>
      <c r="R432" s="17">
        <f t="shared" si="117"/>
        <v>0</v>
      </c>
      <c r="S432" s="16">
        <f>SUM(S$433:S$434)</f>
        <v>0</v>
      </c>
      <c r="T432" s="16"/>
      <c r="U432" s="17">
        <f t="shared" si="118"/>
        <v>0</v>
      </c>
      <c r="V432" s="16">
        <f>SUM(V$433:V$434)</f>
        <v>1323.3</v>
      </c>
      <c r="W432" s="16"/>
      <c r="X432" s="17">
        <f t="shared" si="119"/>
        <v>1</v>
      </c>
      <c r="Y432" s="16">
        <f t="shared" si="120"/>
        <v>1323.3</v>
      </c>
      <c r="Z432" s="17">
        <f t="shared" si="121"/>
        <v>1</v>
      </c>
      <c r="AA432" s="17">
        <f t="shared" si="122"/>
        <v>8.20964646549966E-4</v>
      </c>
    </row>
    <row r="433" spans="1:27" ht="28.8" x14ac:dyDescent="0.3">
      <c r="A433" s="23" t="s">
        <v>472</v>
      </c>
      <c r="B433" s="23" t="str">
        <f>VLOOKUP(A433,MEMORIA!$A:$N,2,FALSE)</f>
        <v>COMPCOM01</v>
      </c>
      <c r="C433" s="23" t="str">
        <f>VLOOKUP(A433,MEMORIA!$A:$N,3,FALSE)</f>
        <v>PRÓPRIA</v>
      </c>
      <c r="D433" s="24" t="str">
        <f>VLOOKUP(A433,MEMORIA!$A:$N,4,FALSE)</f>
        <v>CINTA DE AMARRAÇÃO DE ALVENARIA MOLDADA IN LOCO EM CONCRETO</v>
      </c>
      <c r="E433" s="23" t="str">
        <f>VLOOKUP(A433,MEMORIA!$A:$N,5,FALSE)</f>
        <v>M</v>
      </c>
      <c r="F433" s="5">
        <f>VLOOKUP(A433,MEMORIA!$A:$N,14,FALSE)</f>
        <v>8.6</v>
      </c>
      <c r="G433" s="5">
        <f>VLOOKUP(A433,ORCAMENTO!$A:$I,7,FALSE)</f>
        <v>81.47999999999999</v>
      </c>
      <c r="H433" s="5">
        <f>VLOOKUP(A433,ORCAMENTO!$A:$I,8,FALSE)</f>
        <v>99.669999999999987</v>
      </c>
      <c r="I433" s="5">
        <f>ROUND(F433*H433,2)</f>
        <v>857.16</v>
      </c>
      <c r="J433" s="5">
        <f>ROUND(K433*$H433,2)</f>
        <v>0</v>
      </c>
      <c r="K433" s="5">
        <v>0</v>
      </c>
      <c r="L433" s="25">
        <f t="shared" si="115"/>
        <v>0</v>
      </c>
      <c r="M433" s="5">
        <f>ROUND(N433*$H433,2)</f>
        <v>0</v>
      </c>
      <c r="N433" s="5">
        <v>0</v>
      </c>
      <c r="O433" s="25">
        <f t="shared" si="116"/>
        <v>0</v>
      </c>
      <c r="P433" s="5">
        <f>ROUND(Q433*$H433,2)</f>
        <v>0</v>
      </c>
      <c r="Q433" s="5">
        <v>0</v>
      </c>
      <c r="R433" s="25">
        <f t="shared" si="117"/>
        <v>0</v>
      </c>
      <c r="S433" s="5">
        <f>ROUND(T433*$H433,2)</f>
        <v>0</v>
      </c>
      <c r="T433" s="5">
        <v>0</v>
      </c>
      <c r="U433" s="25">
        <f t="shared" si="118"/>
        <v>0</v>
      </c>
      <c r="V433" s="5">
        <f>ROUND(W433*$H433,2)</f>
        <v>857.16</v>
      </c>
      <c r="W433" s="5">
        <f t="shared" ref="W433:W434" si="135">F433</f>
        <v>8.6</v>
      </c>
      <c r="X433" s="25">
        <f t="shared" si="119"/>
        <v>1</v>
      </c>
      <c r="Y433" s="5">
        <f t="shared" si="120"/>
        <v>857.16</v>
      </c>
      <c r="Z433" s="25">
        <f t="shared" si="121"/>
        <v>1</v>
      </c>
      <c r="AA433" s="25">
        <f t="shared" si="122"/>
        <v>5.3177515033383876E-4</v>
      </c>
    </row>
    <row r="434" spans="1:27" ht="72" x14ac:dyDescent="0.3">
      <c r="A434" s="23" t="s">
        <v>473</v>
      </c>
      <c r="B434" s="23" t="str">
        <f>VLOOKUP(A434,MEMORIA!$A:$N,2,FALSE)</f>
        <v>COMPCOM02</v>
      </c>
      <c r="C434" s="23" t="str">
        <f>VLOOKUP(A434,MEMORIA!$A:$N,3,FALSE)</f>
        <v>PRÓPRIA</v>
      </c>
      <c r="D434" s="24" t="str">
        <f>VLOOKUP(A434,MEMORIA!$A:$N,4,FALSE)</f>
        <v>(COMPOSIÇÃO REPRESENTATIVA) EXECUÇÃO DE ESTRUTURAS DE CONCRETO ARMADO, PARA EDIFICAÇÃO INSTITUCIONAL TÉRREA, FCK = 25 MPA</v>
      </c>
      <c r="E434" s="23" t="str">
        <f>VLOOKUP(A434,MEMORIA!$A:$N,5,FALSE)</f>
        <v>M³</v>
      </c>
      <c r="F434" s="5">
        <f>VLOOKUP(A434,MEMORIA!$A:$N,14,FALSE)</f>
        <v>0.30000000000000004</v>
      </c>
      <c r="G434" s="5">
        <f>VLOOKUP(A434,ORCAMENTO!$A:$I,7,FALSE)</f>
        <v>1270.1599999999999</v>
      </c>
      <c r="H434" s="5">
        <f>VLOOKUP(A434,ORCAMENTO!$A:$I,8,FALSE)</f>
        <v>1553.79</v>
      </c>
      <c r="I434" s="5">
        <f>ROUND(F434*H434,2)</f>
        <v>466.14</v>
      </c>
      <c r="J434" s="5">
        <f>ROUND(K434*$H434,2)</f>
        <v>0</v>
      </c>
      <c r="K434" s="5">
        <v>0</v>
      </c>
      <c r="L434" s="25">
        <f t="shared" si="115"/>
        <v>0</v>
      </c>
      <c r="M434" s="5">
        <f>ROUND(N434*$H434,2)</f>
        <v>0</v>
      </c>
      <c r="N434" s="5">
        <v>0</v>
      </c>
      <c r="O434" s="25">
        <f t="shared" si="116"/>
        <v>0</v>
      </c>
      <c r="P434" s="5">
        <f>ROUND(Q434*$H434,2)</f>
        <v>0</v>
      </c>
      <c r="Q434" s="5">
        <v>0</v>
      </c>
      <c r="R434" s="25">
        <f t="shared" si="117"/>
        <v>0</v>
      </c>
      <c r="S434" s="5">
        <f>ROUND(T434*$H434,2)</f>
        <v>0</v>
      </c>
      <c r="T434" s="5">
        <v>0</v>
      </c>
      <c r="U434" s="25">
        <f t="shared" si="118"/>
        <v>0</v>
      </c>
      <c r="V434" s="5">
        <f>ROUND(W434*$H434,2)</f>
        <v>466.14</v>
      </c>
      <c r="W434" s="5">
        <f t="shared" si="135"/>
        <v>0.30000000000000004</v>
      </c>
      <c r="X434" s="25">
        <f t="shared" si="119"/>
        <v>1</v>
      </c>
      <c r="Y434" s="5">
        <f t="shared" si="120"/>
        <v>466.14</v>
      </c>
      <c r="Z434" s="25">
        <f t="shared" si="121"/>
        <v>1</v>
      </c>
      <c r="AA434" s="25">
        <f t="shared" si="122"/>
        <v>2.8918949621612724E-4</v>
      </c>
    </row>
    <row r="435" spans="1:27" x14ac:dyDescent="0.3">
      <c r="A435" s="15" t="s">
        <v>142</v>
      </c>
      <c r="B435" s="48" t="str">
        <f>VLOOKUP(A435,MEMORIA!$A:$N,2,FALSE)</f>
        <v>VEDAÇÃO VERTICAL</v>
      </c>
      <c r="C435" s="49"/>
      <c r="D435" s="49"/>
      <c r="E435" s="49"/>
      <c r="F435" s="49"/>
      <c r="G435" s="49"/>
      <c r="H435" s="50"/>
      <c r="I435" s="16">
        <f>SUM(I$436:I$437)</f>
        <v>2620</v>
      </c>
      <c r="J435" s="16">
        <f>SUM(J$436:J$437)</f>
        <v>0</v>
      </c>
      <c r="K435" s="16"/>
      <c r="L435" s="17">
        <f t="shared" si="115"/>
        <v>0</v>
      </c>
      <c r="M435" s="16">
        <f>SUM(M$436:M$437)</f>
        <v>0</v>
      </c>
      <c r="N435" s="16"/>
      <c r="O435" s="17">
        <f t="shared" si="116"/>
        <v>0</v>
      </c>
      <c r="P435" s="16">
        <f>SUM(P$436:P$437)</f>
        <v>0</v>
      </c>
      <c r="Q435" s="16"/>
      <c r="R435" s="17">
        <f t="shared" si="117"/>
        <v>0</v>
      </c>
      <c r="S435" s="16">
        <f>SUM(S$436:S$437)</f>
        <v>0</v>
      </c>
      <c r="T435" s="16"/>
      <c r="U435" s="17">
        <f t="shared" si="118"/>
        <v>0</v>
      </c>
      <c r="V435" s="16">
        <f>SUM(V$436:V$437)</f>
        <v>2620</v>
      </c>
      <c r="W435" s="16"/>
      <c r="X435" s="17">
        <f t="shared" si="119"/>
        <v>1</v>
      </c>
      <c r="Y435" s="16">
        <f t="shared" si="120"/>
        <v>2620</v>
      </c>
      <c r="Z435" s="17">
        <f t="shared" si="121"/>
        <v>1</v>
      </c>
      <c r="AA435" s="17">
        <f t="shared" si="122"/>
        <v>1.6254268676497475E-3</v>
      </c>
    </row>
    <row r="436" spans="1:27" ht="72" x14ac:dyDescent="0.3">
      <c r="A436" s="23" t="s">
        <v>474</v>
      </c>
      <c r="B436" s="23">
        <f>VLOOKUP(A436,MEMORIA!$A:$N,2,FALSE)</f>
        <v>103329</v>
      </c>
      <c r="C436" s="23" t="str">
        <f>VLOOKUP(A436,MEMORIA!$A:$N,3,FALSE)</f>
        <v>SINAPI</v>
      </c>
      <c r="D436" s="24" t="str">
        <f>VLOOKUP(A436,MEMORIA!$A:$N,4,FALSE)</f>
        <v>ALVENARIA DE VEDAÇÃO DE BLOCOS CERÂMICOS FURADOS NA HORIZONTAL DE 9X19X19 CM (ESPESSURA 9 CM) E ARGAMASSA DE ASSENTAMENTO COM PREPARO MANUAL. AF_12/2021</v>
      </c>
      <c r="E436" s="23" t="str">
        <f>VLOOKUP(A436,MEMORIA!$A:$N,5,FALSE)</f>
        <v>M2</v>
      </c>
      <c r="F436" s="5">
        <f>VLOOKUP(A436,MEMORIA!$A:$N,14,FALSE)</f>
        <v>19.310000000000002</v>
      </c>
      <c r="G436" s="5">
        <f>VLOOKUP(A436,ORCAMENTO!$A:$I,7,FALSE)</f>
        <v>95.039999999999992</v>
      </c>
      <c r="H436" s="5">
        <f>VLOOKUP(A436,ORCAMENTO!$A:$I,8,FALSE)</f>
        <v>116.25999999999999</v>
      </c>
      <c r="I436" s="5">
        <f>ROUND(F436*H436,2)</f>
        <v>2244.98</v>
      </c>
      <c r="J436" s="5">
        <f>ROUND(K436*$H436,2)</f>
        <v>0</v>
      </c>
      <c r="K436" s="5">
        <v>0</v>
      </c>
      <c r="L436" s="25">
        <f t="shared" si="115"/>
        <v>0</v>
      </c>
      <c r="M436" s="5">
        <f>ROUND(N436*$H436,2)</f>
        <v>0</v>
      </c>
      <c r="N436" s="5">
        <v>0</v>
      </c>
      <c r="O436" s="25">
        <f t="shared" si="116"/>
        <v>0</v>
      </c>
      <c r="P436" s="5">
        <f>ROUND(Q436*$H436,2)</f>
        <v>0</v>
      </c>
      <c r="Q436" s="5">
        <v>0</v>
      </c>
      <c r="R436" s="25">
        <f t="shared" si="117"/>
        <v>0</v>
      </c>
      <c r="S436" s="5">
        <f>ROUND(T436*$H436,2)</f>
        <v>0</v>
      </c>
      <c r="T436" s="5">
        <v>0</v>
      </c>
      <c r="U436" s="25">
        <f t="shared" si="118"/>
        <v>0</v>
      </c>
      <c r="V436" s="5">
        <f>ROUND(W436*$H436,2)</f>
        <v>2244.98</v>
      </c>
      <c r="W436" s="5">
        <f t="shared" ref="W436:W437" si="136">F436</f>
        <v>19.310000000000002</v>
      </c>
      <c r="X436" s="25">
        <f t="shared" si="119"/>
        <v>1</v>
      </c>
      <c r="Y436" s="5">
        <f t="shared" si="120"/>
        <v>2244.98</v>
      </c>
      <c r="Z436" s="25">
        <f t="shared" si="121"/>
        <v>1</v>
      </c>
      <c r="AA436" s="25">
        <f t="shared" si="122"/>
        <v>1.3927674844795154E-3</v>
      </c>
    </row>
    <row r="437" spans="1:27" ht="72" x14ac:dyDescent="0.3">
      <c r="A437" s="23" t="s">
        <v>475</v>
      </c>
      <c r="B437" s="23">
        <f>VLOOKUP(A437,MEMORIA!$A:$N,2,FALSE)</f>
        <v>101161</v>
      </c>
      <c r="C437" s="23" t="str">
        <f>VLOOKUP(A437,MEMORIA!$A:$N,3,FALSE)</f>
        <v>SINAPI</v>
      </c>
      <c r="D437" s="24" t="str">
        <f>VLOOKUP(A437,MEMORIA!$A:$N,4,FALSE)</f>
        <v>ALVENARIA DE VEDAÇÃO COM ELEMENTO VAZADO DE CONCRETO (COBOGÓ) DE 7X50X50CM E ARGAMASSA DE ASSENTAMENTO COM PREPARO EM BETONEIRA. AF_05/2020</v>
      </c>
      <c r="E437" s="23" t="str">
        <f>VLOOKUP(A437,MEMORIA!$A:$N,5,FALSE)</f>
        <v>M2</v>
      </c>
      <c r="F437" s="5">
        <f>VLOOKUP(A437,MEMORIA!$A:$N,14,FALSE)</f>
        <v>1.5</v>
      </c>
      <c r="G437" s="5">
        <f>VLOOKUP(A437,ORCAMENTO!$A:$I,7,FALSE)</f>
        <v>204.37</v>
      </c>
      <c r="H437" s="5">
        <f>VLOOKUP(A437,ORCAMENTO!$A:$I,8,FALSE)</f>
        <v>250.01</v>
      </c>
      <c r="I437" s="5">
        <f>ROUND(F437*H437,2)</f>
        <v>375.02</v>
      </c>
      <c r="J437" s="5">
        <f>ROUND(K437*$H437,2)</f>
        <v>0</v>
      </c>
      <c r="K437" s="5">
        <v>0</v>
      </c>
      <c r="L437" s="25">
        <f t="shared" si="115"/>
        <v>0</v>
      </c>
      <c r="M437" s="5">
        <f>ROUND(N437*$H437,2)</f>
        <v>0</v>
      </c>
      <c r="N437" s="5">
        <v>0</v>
      </c>
      <c r="O437" s="25">
        <f t="shared" si="116"/>
        <v>0</v>
      </c>
      <c r="P437" s="5">
        <f>ROUND(Q437*$H437,2)</f>
        <v>0</v>
      </c>
      <c r="Q437" s="5">
        <v>0</v>
      </c>
      <c r="R437" s="25">
        <f t="shared" si="117"/>
        <v>0</v>
      </c>
      <c r="S437" s="5">
        <f>ROUND(T437*$H437,2)</f>
        <v>0</v>
      </c>
      <c r="T437" s="5">
        <v>0</v>
      </c>
      <c r="U437" s="25">
        <f t="shared" si="118"/>
        <v>0</v>
      </c>
      <c r="V437" s="5">
        <f>ROUND(W437*$H437,2)</f>
        <v>375.02</v>
      </c>
      <c r="W437" s="5">
        <f t="shared" si="136"/>
        <v>1.5</v>
      </c>
      <c r="X437" s="25">
        <f t="shared" si="119"/>
        <v>1</v>
      </c>
      <c r="Y437" s="5">
        <f t="shared" si="120"/>
        <v>375.02</v>
      </c>
      <c r="Z437" s="25">
        <f t="shared" si="121"/>
        <v>1</v>
      </c>
      <c r="AA437" s="25">
        <f t="shared" si="122"/>
        <v>2.3265938317023217E-4</v>
      </c>
    </row>
    <row r="438" spans="1:27" x14ac:dyDescent="0.3">
      <c r="A438" s="15" t="s">
        <v>143</v>
      </c>
      <c r="B438" s="48" t="str">
        <f>VLOOKUP(A438,MEMORIA!$A:$N,2,FALSE)</f>
        <v>COBERTURA</v>
      </c>
      <c r="C438" s="49"/>
      <c r="D438" s="49"/>
      <c r="E438" s="49"/>
      <c r="F438" s="49"/>
      <c r="G438" s="49"/>
      <c r="H438" s="50"/>
      <c r="I438" s="16">
        <f>SUM(I$439:I$440)</f>
        <v>1305.45</v>
      </c>
      <c r="J438" s="16">
        <f>SUM(J$439:J$440)</f>
        <v>0</v>
      </c>
      <c r="K438" s="16"/>
      <c r="L438" s="17">
        <f t="shared" si="115"/>
        <v>0</v>
      </c>
      <c r="M438" s="16">
        <f>SUM(M$439:M$440)</f>
        <v>0</v>
      </c>
      <c r="N438" s="16"/>
      <c r="O438" s="17">
        <f t="shared" si="116"/>
        <v>0</v>
      </c>
      <c r="P438" s="16">
        <f>SUM(P$439:P$440)</f>
        <v>0</v>
      </c>
      <c r="Q438" s="16"/>
      <c r="R438" s="17">
        <f t="shared" si="117"/>
        <v>0</v>
      </c>
      <c r="S438" s="16">
        <f>SUM(S$439:S$440)</f>
        <v>0</v>
      </c>
      <c r="T438" s="16"/>
      <c r="U438" s="17">
        <f t="shared" si="118"/>
        <v>0</v>
      </c>
      <c r="V438" s="16">
        <f>SUM(V$439:V$440)</f>
        <v>1305.45</v>
      </c>
      <c r="W438" s="16"/>
      <c r="X438" s="17">
        <f t="shared" si="119"/>
        <v>1</v>
      </c>
      <c r="Y438" s="16">
        <f t="shared" si="120"/>
        <v>1305.45</v>
      </c>
      <c r="Z438" s="17">
        <f t="shared" si="121"/>
        <v>1</v>
      </c>
      <c r="AA438" s="17">
        <f t="shared" si="122"/>
        <v>8.0989065052418439E-4</v>
      </c>
    </row>
    <row r="439" spans="1:27" ht="57.6" x14ac:dyDescent="0.3">
      <c r="A439" s="23" t="s">
        <v>476</v>
      </c>
      <c r="B439" s="23" t="str">
        <f>VLOOKUP(A439,MEMORIA!$A:$N,2,FALSE)</f>
        <v>COMPCOM03</v>
      </c>
      <c r="C439" s="23" t="str">
        <f>VLOOKUP(A439,MEMORIA!$A:$N,3,FALSE)</f>
        <v>PRÓPRIA</v>
      </c>
      <c r="D439" s="24" t="str">
        <f>VLOOKUP(A439,MEMORIA!$A:$N,4,FALSE)</f>
        <v>TELHAMENTO COM TELHA CERÂMICA CAPA-CANAL, TIPO COLONIAL, COM ATÉ 2 ÁGUAS, INCLUSO TRANSPORTE VERTICAL</v>
      </c>
      <c r="E439" s="23" t="str">
        <f>VLOOKUP(A439,MEMORIA!$A:$N,5,FALSE)</f>
        <v>M²</v>
      </c>
      <c r="F439" s="5">
        <f>VLOOKUP(A439,MEMORIA!$A:$N,14,FALSE)</f>
        <v>10.23</v>
      </c>
      <c r="G439" s="5">
        <f>VLOOKUP(A439,ORCAMENTO!$A:$I,7,FALSE)</f>
        <v>37.64</v>
      </c>
      <c r="H439" s="5">
        <f>VLOOKUP(A439,ORCAMENTO!$A:$I,8,FALSE)</f>
        <v>46.05</v>
      </c>
      <c r="I439" s="5">
        <f>ROUND(F439*H439,2)</f>
        <v>471.09</v>
      </c>
      <c r="J439" s="5">
        <f>ROUND(K439*$H439,2)</f>
        <v>0</v>
      </c>
      <c r="K439" s="5">
        <v>0</v>
      </c>
      <c r="L439" s="25">
        <f t="shared" si="115"/>
        <v>0</v>
      </c>
      <c r="M439" s="5">
        <f>ROUND(N439*$H439,2)</f>
        <v>0</v>
      </c>
      <c r="N439" s="5">
        <v>0</v>
      </c>
      <c r="O439" s="25">
        <f t="shared" si="116"/>
        <v>0</v>
      </c>
      <c r="P439" s="5">
        <f>ROUND(Q439*$H439,2)</f>
        <v>0</v>
      </c>
      <c r="Q439" s="5">
        <v>0</v>
      </c>
      <c r="R439" s="25">
        <f t="shared" si="117"/>
        <v>0</v>
      </c>
      <c r="S439" s="5">
        <f>ROUND(T439*$H439,2)</f>
        <v>0</v>
      </c>
      <c r="T439" s="5">
        <v>0</v>
      </c>
      <c r="U439" s="25">
        <f t="shared" si="118"/>
        <v>0</v>
      </c>
      <c r="V439" s="5">
        <f>ROUND(W439*$H439,2)</f>
        <v>471.09</v>
      </c>
      <c r="W439" s="5">
        <f t="shared" ref="W439:W440" si="137">F439</f>
        <v>10.23</v>
      </c>
      <c r="X439" s="25">
        <f t="shared" si="119"/>
        <v>1</v>
      </c>
      <c r="Y439" s="5">
        <f t="shared" si="120"/>
        <v>471.09</v>
      </c>
      <c r="Z439" s="25">
        <f t="shared" si="121"/>
        <v>1</v>
      </c>
      <c r="AA439" s="25">
        <f t="shared" si="122"/>
        <v>2.9226043629050364E-4</v>
      </c>
    </row>
    <row r="440" spans="1:27" ht="72" x14ac:dyDescent="0.3">
      <c r="A440" s="23" t="s">
        <v>477</v>
      </c>
      <c r="B440" s="23" t="str">
        <f>VLOOKUP(A440,MEMORIA!$A:$N,2,FALSE)</f>
        <v>COMPCOM04</v>
      </c>
      <c r="C440" s="23" t="str">
        <f>VLOOKUP(A440,MEMORIA!$A:$N,3,FALSE)</f>
        <v>PRÓPRIA</v>
      </c>
      <c r="D440" s="24" t="str">
        <f>VLOOKUP(A440,MEMORIA!$A:$N,4,FALSE)</f>
        <v>TRAMA DE MADEIRA COMPOSTA POR RIPAS, CAIBROS E TERÇAS PARA TELHADOS DE ATÉ 2 ÁGUAS PARA TELHA CERÂMICA CAPA-CANAL, INCLUSO TRANSPORTE VERTICAL</v>
      </c>
      <c r="E440" s="23" t="str">
        <f>VLOOKUP(A440,MEMORIA!$A:$N,5,FALSE)</f>
        <v>M²</v>
      </c>
      <c r="F440" s="5">
        <f>VLOOKUP(A440,MEMORIA!$A:$N,14,FALSE)</f>
        <v>10.23</v>
      </c>
      <c r="G440" s="5">
        <f>VLOOKUP(A440,ORCAMENTO!$A:$I,7,FALSE)</f>
        <v>66.67</v>
      </c>
      <c r="H440" s="5">
        <f>VLOOKUP(A440,ORCAMENTO!$A:$I,8,FALSE)</f>
        <v>81.56</v>
      </c>
      <c r="I440" s="5">
        <f>ROUND(F440*H440,2)</f>
        <v>834.36</v>
      </c>
      <c r="J440" s="5">
        <f>ROUND(K440*$H440,2)</f>
        <v>0</v>
      </c>
      <c r="K440" s="5">
        <v>0</v>
      </c>
      <c r="L440" s="25">
        <f t="shared" si="115"/>
        <v>0</v>
      </c>
      <c r="M440" s="5">
        <f>ROUND(N440*$H440,2)</f>
        <v>0</v>
      </c>
      <c r="N440" s="5">
        <v>0</v>
      </c>
      <c r="O440" s="25">
        <f t="shared" si="116"/>
        <v>0</v>
      </c>
      <c r="P440" s="5">
        <f>ROUND(Q440*$H440,2)</f>
        <v>0</v>
      </c>
      <c r="Q440" s="5">
        <v>0</v>
      </c>
      <c r="R440" s="25">
        <f t="shared" si="117"/>
        <v>0</v>
      </c>
      <c r="S440" s="5">
        <f>ROUND(T440*$H440,2)</f>
        <v>0</v>
      </c>
      <c r="T440" s="5">
        <v>0</v>
      </c>
      <c r="U440" s="25">
        <f t="shared" si="118"/>
        <v>0</v>
      </c>
      <c r="V440" s="5">
        <f>ROUND(W440*$H440,2)</f>
        <v>834.36</v>
      </c>
      <c r="W440" s="5">
        <f t="shared" si="137"/>
        <v>10.23</v>
      </c>
      <c r="X440" s="25">
        <f t="shared" si="119"/>
        <v>1</v>
      </c>
      <c r="Y440" s="5">
        <f t="shared" si="120"/>
        <v>834.36</v>
      </c>
      <c r="Z440" s="25">
        <f t="shared" si="121"/>
        <v>1</v>
      </c>
      <c r="AA440" s="25">
        <f t="shared" si="122"/>
        <v>5.1763021423368064E-4</v>
      </c>
    </row>
    <row r="441" spans="1:27" x14ac:dyDescent="0.3">
      <c r="A441" s="15" t="s">
        <v>144</v>
      </c>
      <c r="B441" s="48" t="str">
        <f>VLOOKUP(A441,MEMORIA!$A:$N,2,FALSE)</f>
        <v>PISO</v>
      </c>
      <c r="C441" s="49"/>
      <c r="D441" s="49"/>
      <c r="E441" s="49"/>
      <c r="F441" s="49"/>
      <c r="G441" s="49"/>
      <c r="H441" s="50"/>
      <c r="I441" s="16">
        <f>SUM(I$442:I$444)</f>
        <v>1174.01</v>
      </c>
      <c r="J441" s="16">
        <f>SUM(J$442:J$444)</f>
        <v>0</v>
      </c>
      <c r="K441" s="16"/>
      <c r="L441" s="17">
        <f t="shared" si="115"/>
        <v>0</v>
      </c>
      <c r="M441" s="16">
        <f>SUM(M$442:M$444)</f>
        <v>0</v>
      </c>
      <c r="N441" s="16"/>
      <c r="O441" s="17">
        <f t="shared" si="116"/>
        <v>0</v>
      </c>
      <c r="P441" s="16">
        <f>SUM(P$442:P$444)</f>
        <v>0</v>
      </c>
      <c r="Q441" s="16"/>
      <c r="R441" s="17">
        <f t="shared" si="117"/>
        <v>0</v>
      </c>
      <c r="S441" s="16">
        <f>SUM(S$442:S$444)</f>
        <v>0</v>
      </c>
      <c r="T441" s="16"/>
      <c r="U441" s="17">
        <f t="shared" si="118"/>
        <v>0</v>
      </c>
      <c r="V441" s="16">
        <f>SUM(V$442:V$444)</f>
        <v>1174.01</v>
      </c>
      <c r="W441" s="16"/>
      <c r="X441" s="17">
        <f t="shared" si="119"/>
        <v>1</v>
      </c>
      <c r="Y441" s="16">
        <f t="shared" si="120"/>
        <v>1174.01</v>
      </c>
      <c r="Z441" s="17">
        <f t="shared" si="121"/>
        <v>1</v>
      </c>
      <c r="AA441" s="17">
        <f t="shared" si="122"/>
        <v>7.2834633469064125E-4</v>
      </c>
    </row>
    <row r="442" spans="1:27" ht="28.8" x14ac:dyDescent="0.3">
      <c r="A442" s="23" t="s">
        <v>478</v>
      </c>
      <c r="B442" s="23">
        <f>VLOOKUP(A442,MEMORIA!$A:$N,2,FALSE)</f>
        <v>96617</v>
      </c>
      <c r="C442" s="23" t="str">
        <f>VLOOKUP(A442,MEMORIA!$A:$N,3,FALSE)</f>
        <v>SINAPI</v>
      </c>
      <c r="D442" s="24" t="str">
        <f>VLOOKUP(A442,MEMORIA!$A:$N,4,FALSE)</f>
        <v>LASTRO DE CONCRETO MAGRO, APLICADO EM BLOCOS DE COROAMENTO OU SAPATAS, ESPESSURA DE 3 CM. AF_01/2024</v>
      </c>
      <c r="E442" s="23" t="str">
        <f>VLOOKUP(A442,MEMORIA!$A:$N,5,FALSE)</f>
        <v>M2</v>
      </c>
      <c r="F442" s="5">
        <f>VLOOKUP(A442,MEMORIA!$A:$N,14,FALSE)</f>
        <v>4</v>
      </c>
      <c r="G442" s="5">
        <f>VLOOKUP(A442,ORCAMENTO!$A:$I,7,FALSE)</f>
        <v>23.57</v>
      </c>
      <c r="H442" s="5">
        <f>VLOOKUP(A442,ORCAMENTO!$A:$I,8,FALSE)</f>
        <v>28.83</v>
      </c>
      <c r="I442" s="5">
        <f>ROUND(F442*H442,2)</f>
        <v>115.32</v>
      </c>
      <c r="J442" s="5">
        <f>ROUND(K442*$H442,2)</f>
        <v>0</v>
      </c>
      <c r="K442" s="5">
        <v>0</v>
      </c>
      <c r="L442" s="25">
        <f t="shared" si="115"/>
        <v>0</v>
      </c>
      <c r="M442" s="5">
        <f>ROUND(N442*$H442,2)</f>
        <v>0</v>
      </c>
      <c r="N442" s="5">
        <v>0</v>
      </c>
      <c r="O442" s="25">
        <f t="shared" si="116"/>
        <v>0</v>
      </c>
      <c r="P442" s="5">
        <f>ROUND(Q442*$H442,2)</f>
        <v>0</v>
      </c>
      <c r="Q442" s="5">
        <v>0</v>
      </c>
      <c r="R442" s="25">
        <f t="shared" si="117"/>
        <v>0</v>
      </c>
      <c r="S442" s="5">
        <f>ROUND(T442*$H442,2)</f>
        <v>0</v>
      </c>
      <c r="T442" s="5">
        <v>0</v>
      </c>
      <c r="U442" s="25">
        <f t="shared" si="118"/>
        <v>0</v>
      </c>
      <c r="V442" s="5">
        <f>ROUND(W442*$H442,2)</f>
        <v>115.32</v>
      </c>
      <c r="W442" s="5">
        <f t="shared" ref="W442:W444" si="138">F442</f>
        <v>4</v>
      </c>
      <c r="X442" s="25">
        <f t="shared" si="119"/>
        <v>1</v>
      </c>
      <c r="Y442" s="5">
        <f t="shared" si="120"/>
        <v>115.32</v>
      </c>
      <c r="Z442" s="25">
        <f t="shared" si="121"/>
        <v>1</v>
      </c>
      <c r="AA442" s="25">
        <f t="shared" si="122"/>
        <v>7.1543597853957586E-5</v>
      </c>
    </row>
    <row r="443" spans="1:27" ht="72" x14ac:dyDescent="0.3">
      <c r="A443" s="23" t="s">
        <v>479</v>
      </c>
      <c r="B443" s="23">
        <f>VLOOKUP(A443,MEMORIA!$A:$N,2,FALSE)</f>
        <v>101749</v>
      </c>
      <c r="C443" s="23" t="str">
        <f>VLOOKUP(A443,MEMORIA!$A:$N,3,FALSE)</f>
        <v>SINAPI</v>
      </c>
      <c r="D443" s="24" t="str">
        <f>VLOOKUP(A443,MEMORIA!$A:$N,4,FALSE)</f>
        <v>PISO CIMENTADO, TRAÇO 1:3 (CIMENTO E AREIA), ACABAMENTO LISO, ESPESSURA 4,0 CM, PREPARO MECÂNICO DA ARGAMASSA. AF_09/2020</v>
      </c>
      <c r="E443" s="23" t="str">
        <f>VLOOKUP(A443,MEMORIA!$A:$N,5,FALSE)</f>
        <v>M2</v>
      </c>
      <c r="F443" s="5">
        <f>VLOOKUP(A443,MEMORIA!$A:$N,14,FALSE)</f>
        <v>4</v>
      </c>
      <c r="G443" s="5">
        <f>VLOOKUP(A443,ORCAMENTO!$A:$I,7,FALSE)</f>
        <v>64.739999999999995</v>
      </c>
      <c r="H443" s="5">
        <f>VLOOKUP(A443,ORCAMENTO!$A:$I,8,FALSE)</f>
        <v>79.199999999999989</v>
      </c>
      <c r="I443" s="5">
        <f>ROUND(F443*H443,2)</f>
        <v>316.8</v>
      </c>
      <c r="J443" s="5">
        <f>ROUND(K443*$H443,2)</f>
        <v>0</v>
      </c>
      <c r="K443" s="5">
        <v>0</v>
      </c>
      <c r="L443" s="25">
        <f t="shared" si="115"/>
        <v>0</v>
      </c>
      <c r="M443" s="5">
        <f>ROUND(N443*$H443,2)</f>
        <v>0</v>
      </c>
      <c r="N443" s="5">
        <v>0</v>
      </c>
      <c r="O443" s="25">
        <f t="shared" si="116"/>
        <v>0</v>
      </c>
      <c r="P443" s="5">
        <f>ROUND(Q443*$H443,2)</f>
        <v>0</v>
      </c>
      <c r="Q443" s="5">
        <v>0</v>
      </c>
      <c r="R443" s="25">
        <f t="shared" si="117"/>
        <v>0</v>
      </c>
      <c r="S443" s="5">
        <f>ROUND(T443*$H443,2)</f>
        <v>0</v>
      </c>
      <c r="T443" s="5">
        <v>0</v>
      </c>
      <c r="U443" s="25">
        <f t="shared" si="118"/>
        <v>0</v>
      </c>
      <c r="V443" s="5">
        <f>ROUND(W443*$H443,2)</f>
        <v>316.8</v>
      </c>
      <c r="W443" s="5">
        <f t="shared" si="138"/>
        <v>4</v>
      </c>
      <c r="X443" s="25">
        <f t="shared" si="119"/>
        <v>1</v>
      </c>
      <c r="Y443" s="5">
        <f t="shared" si="120"/>
        <v>316.8</v>
      </c>
      <c r="Z443" s="25">
        <f t="shared" si="121"/>
        <v>1</v>
      </c>
      <c r="AA443" s="25">
        <f t="shared" si="122"/>
        <v>1.9654016476009162E-4</v>
      </c>
    </row>
    <row r="444" spans="1:27" ht="72" x14ac:dyDescent="0.3">
      <c r="A444" s="23" t="s">
        <v>480</v>
      </c>
      <c r="B444" s="23">
        <f>VLOOKUP(A444,MEMORIA!$A:$N,2,FALSE)</f>
        <v>94994</v>
      </c>
      <c r="C444" s="23" t="str">
        <f>VLOOKUP(A444,MEMORIA!$A:$N,3,FALSE)</f>
        <v>SINAPI</v>
      </c>
      <c r="D444" s="24" t="str">
        <f>VLOOKUP(A444,MEMORIA!$A:$N,4,FALSE)</f>
        <v>EXECUÇÃO DE PASSEIO (CALÇADA) OU PISO DE CONCRETO COM CONCRETO MOLDADO IN LOCO, FEITO EM OBRA, ACABAMENTO CONVENCIONAL, ESPESSURA 8 CM, ARMADO. AF_08/2022</v>
      </c>
      <c r="E444" s="23" t="str">
        <f>VLOOKUP(A444,MEMORIA!$A:$N,5,FALSE)</f>
        <v>M2</v>
      </c>
      <c r="F444" s="5">
        <f>VLOOKUP(A444,MEMORIA!$A:$N,14,FALSE)</f>
        <v>5.6</v>
      </c>
      <c r="G444" s="5">
        <f>VLOOKUP(A444,ORCAMENTO!$A:$I,7,FALSE)</f>
        <v>108.30000000000003</v>
      </c>
      <c r="H444" s="5">
        <f>VLOOKUP(A444,ORCAMENTO!$A:$I,8,FALSE)</f>
        <v>132.48000000000002</v>
      </c>
      <c r="I444" s="5">
        <f>ROUND(F444*H444,2)</f>
        <v>741.89</v>
      </c>
      <c r="J444" s="5">
        <f>ROUND(K444*$H444,2)</f>
        <v>0</v>
      </c>
      <c r="K444" s="5">
        <v>0</v>
      </c>
      <c r="L444" s="25">
        <f t="shared" si="115"/>
        <v>0</v>
      </c>
      <c r="M444" s="5">
        <f>ROUND(N444*$H444,2)</f>
        <v>0</v>
      </c>
      <c r="N444" s="5">
        <v>0</v>
      </c>
      <c r="O444" s="25">
        <f t="shared" si="116"/>
        <v>0</v>
      </c>
      <c r="P444" s="5">
        <f>ROUND(Q444*$H444,2)</f>
        <v>0</v>
      </c>
      <c r="Q444" s="5">
        <v>0</v>
      </c>
      <c r="R444" s="25">
        <f t="shared" si="117"/>
        <v>0</v>
      </c>
      <c r="S444" s="5">
        <f>ROUND(T444*$H444,2)</f>
        <v>0</v>
      </c>
      <c r="T444" s="5">
        <v>0</v>
      </c>
      <c r="U444" s="25">
        <f t="shared" si="118"/>
        <v>0</v>
      </c>
      <c r="V444" s="5">
        <f>ROUND(W444*$H444,2)</f>
        <v>741.89</v>
      </c>
      <c r="W444" s="5">
        <f t="shared" si="138"/>
        <v>5.6</v>
      </c>
      <c r="X444" s="25">
        <f t="shared" si="119"/>
        <v>1</v>
      </c>
      <c r="Y444" s="5">
        <f t="shared" si="120"/>
        <v>741.89</v>
      </c>
      <c r="Z444" s="25">
        <f t="shared" si="121"/>
        <v>1</v>
      </c>
      <c r="AA444" s="25">
        <f t="shared" si="122"/>
        <v>4.6026257207659206E-4</v>
      </c>
    </row>
    <row r="445" spans="1:27" x14ac:dyDescent="0.3">
      <c r="A445" s="15" t="s">
        <v>145</v>
      </c>
      <c r="B445" s="48" t="str">
        <f>VLOOKUP(A445,MEMORIA!$A:$N,2,FALSE)</f>
        <v>REVESTIMENTO</v>
      </c>
      <c r="C445" s="49"/>
      <c r="D445" s="49"/>
      <c r="E445" s="49"/>
      <c r="F445" s="49"/>
      <c r="G445" s="49"/>
      <c r="H445" s="50"/>
      <c r="I445" s="16">
        <f>SUM(I$446:I$447)</f>
        <v>2341.92</v>
      </c>
      <c r="J445" s="16">
        <f>SUM(J$446:J$447)</f>
        <v>0</v>
      </c>
      <c r="K445" s="16"/>
      <c r="L445" s="17">
        <f t="shared" si="115"/>
        <v>0</v>
      </c>
      <c r="M445" s="16">
        <f>SUM(M$446:M$447)</f>
        <v>0</v>
      </c>
      <c r="N445" s="16"/>
      <c r="O445" s="17">
        <f t="shared" si="116"/>
        <v>0</v>
      </c>
      <c r="P445" s="16">
        <f>SUM(P$446:P$447)</f>
        <v>0</v>
      </c>
      <c r="Q445" s="16"/>
      <c r="R445" s="17">
        <f t="shared" si="117"/>
        <v>0</v>
      </c>
      <c r="S445" s="16">
        <f>SUM(S$446:S$447)</f>
        <v>0</v>
      </c>
      <c r="T445" s="16"/>
      <c r="U445" s="17">
        <f t="shared" si="118"/>
        <v>0</v>
      </c>
      <c r="V445" s="16">
        <f>SUM(V$446:V$447)</f>
        <v>2341.92</v>
      </c>
      <c r="W445" s="16"/>
      <c r="X445" s="17">
        <f t="shared" si="119"/>
        <v>1</v>
      </c>
      <c r="Y445" s="16">
        <f t="shared" si="120"/>
        <v>2341.92</v>
      </c>
      <c r="Z445" s="17">
        <f t="shared" si="121"/>
        <v>1</v>
      </c>
      <c r="AA445" s="17">
        <f t="shared" si="122"/>
        <v>1.452908278582556E-3</v>
      </c>
    </row>
    <row r="446" spans="1:27" ht="86.4" x14ac:dyDescent="0.3">
      <c r="A446" s="23" t="s">
        <v>481</v>
      </c>
      <c r="B446" s="23">
        <f>VLOOKUP(A446,MEMORIA!$A:$N,2,FALSE)</f>
        <v>87904</v>
      </c>
      <c r="C446" s="23" t="str">
        <f>VLOOKUP(A446,MEMORIA!$A:$N,3,FALSE)</f>
        <v>SINAPI</v>
      </c>
      <c r="D446" s="24" t="str">
        <f>VLOOKUP(A446,MEMORIA!$A:$N,4,FALSE)</f>
        <v>CHAPISCO APLICADO EM ALVENARIA (COM PRESENÇA DE VÃOS) E ESTRUTURAS DE CONCRETO DE FACHADA, COM COLHER DE PEDREIRO. ARGAMASSA TRAÇO 1:3 COM PREPARO MANUAL. AF_10/2022</v>
      </c>
      <c r="E446" s="23" t="str">
        <f>VLOOKUP(A446,MEMORIA!$A:$N,5,FALSE)</f>
        <v>M2</v>
      </c>
      <c r="F446" s="5">
        <f>VLOOKUP(A446,MEMORIA!$A:$N,14,FALSE)</f>
        <v>38.619999999999997</v>
      </c>
      <c r="G446" s="5">
        <f>VLOOKUP(A446,ORCAMENTO!$A:$I,7,FALSE)</f>
        <v>8.7199999999999989</v>
      </c>
      <c r="H446" s="5">
        <f>VLOOKUP(A446,ORCAMENTO!$A:$I,8,FALSE)</f>
        <v>10.669999999999998</v>
      </c>
      <c r="I446" s="5">
        <f>ROUND(F446*H446,2)</f>
        <v>412.08</v>
      </c>
      <c r="J446" s="5">
        <f>ROUND(K446*$H446,2)</f>
        <v>0</v>
      </c>
      <c r="K446" s="5">
        <v>0</v>
      </c>
      <c r="L446" s="25">
        <f t="shared" si="115"/>
        <v>0</v>
      </c>
      <c r="M446" s="5">
        <f>ROUND(N446*$H446,2)</f>
        <v>0</v>
      </c>
      <c r="N446" s="5">
        <v>0</v>
      </c>
      <c r="O446" s="25">
        <f t="shared" si="116"/>
        <v>0</v>
      </c>
      <c r="P446" s="5">
        <f>ROUND(Q446*$H446,2)</f>
        <v>0</v>
      </c>
      <c r="Q446" s="5">
        <v>0</v>
      </c>
      <c r="R446" s="25">
        <f t="shared" si="117"/>
        <v>0</v>
      </c>
      <c r="S446" s="5">
        <f>ROUND(T446*$H446,2)</f>
        <v>0</v>
      </c>
      <c r="T446" s="5">
        <v>0</v>
      </c>
      <c r="U446" s="25">
        <f t="shared" si="118"/>
        <v>0</v>
      </c>
      <c r="V446" s="5">
        <f>ROUND(W446*$H446,2)</f>
        <v>412.08</v>
      </c>
      <c r="W446" s="5">
        <f t="shared" ref="W446:W447" si="139">F446</f>
        <v>38.619999999999997</v>
      </c>
      <c r="X446" s="25">
        <f t="shared" si="119"/>
        <v>1</v>
      </c>
      <c r="Y446" s="5">
        <f t="shared" si="120"/>
        <v>412.08</v>
      </c>
      <c r="Z446" s="25">
        <f t="shared" si="121"/>
        <v>1</v>
      </c>
      <c r="AA446" s="25">
        <f t="shared" si="122"/>
        <v>2.5565110825233128E-4</v>
      </c>
    </row>
    <row r="447" spans="1:27" ht="86.4" x14ac:dyDescent="0.3">
      <c r="A447" s="23" t="s">
        <v>482</v>
      </c>
      <c r="B447" s="23">
        <f>VLOOKUP(A447,MEMORIA!$A:$N,2,FALSE)</f>
        <v>87530</v>
      </c>
      <c r="C447" s="23" t="str">
        <f>VLOOKUP(A447,MEMORIA!$A:$N,3,FALSE)</f>
        <v>SINAPI</v>
      </c>
      <c r="D447" s="24" t="str">
        <f>VLOOKUP(A447,MEMORIA!$A:$N,4,FALSE)</f>
        <v>MASSA ÚNICA, EM ARGAMASSA TRAÇO 1:2:8, PREPARO MANUAL, APLICADA MANUALMENTE EM PAREDES INTERNAS DE AMBIENTES COM ÁREA ENTRE 5M² E 10M², E = 17,5MM, COM TALISCAS. AF_03/2024</v>
      </c>
      <c r="E447" s="23" t="str">
        <f>VLOOKUP(A447,MEMORIA!$A:$N,5,FALSE)</f>
        <v>M2</v>
      </c>
      <c r="F447" s="5">
        <f>VLOOKUP(A447,MEMORIA!$A:$N,14,FALSE)</f>
        <v>38.619999999999997</v>
      </c>
      <c r="G447" s="5">
        <f>VLOOKUP(A447,ORCAMENTO!$A:$I,7,FALSE)</f>
        <v>40.85</v>
      </c>
      <c r="H447" s="5">
        <f>VLOOKUP(A447,ORCAMENTO!$A:$I,8,FALSE)</f>
        <v>49.97</v>
      </c>
      <c r="I447" s="5">
        <f>ROUND(F447*H447,2)</f>
        <v>1929.84</v>
      </c>
      <c r="J447" s="5">
        <f>ROUND(K447*$H447,2)</f>
        <v>0</v>
      </c>
      <c r="K447" s="5">
        <v>0</v>
      </c>
      <c r="L447" s="25">
        <f t="shared" si="115"/>
        <v>0</v>
      </c>
      <c r="M447" s="5">
        <f>ROUND(N447*$H447,2)</f>
        <v>0</v>
      </c>
      <c r="N447" s="5">
        <v>0</v>
      </c>
      <c r="O447" s="25">
        <f t="shared" si="116"/>
        <v>0</v>
      </c>
      <c r="P447" s="5">
        <f>ROUND(Q447*$H447,2)</f>
        <v>0</v>
      </c>
      <c r="Q447" s="5">
        <v>0</v>
      </c>
      <c r="R447" s="25">
        <f t="shared" si="117"/>
        <v>0</v>
      </c>
      <c r="S447" s="5">
        <f>ROUND(T447*$H447,2)</f>
        <v>0</v>
      </c>
      <c r="T447" s="5">
        <v>0</v>
      </c>
      <c r="U447" s="25">
        <f t="shared" si="118"/>
        <v>0</v>
      </c>
      <c r="V447" s="5">
        <f>ROUND(W447*$H447,2)</f>
        <v>1929.84</v>
      </c>
      <c r="W447" s="5">
        <f t="shared" si="139"/>
        <v>38.619999999999997</v>
      </c>
      <c r="X447" s="25">
        <f t="shared" si="119"/>
        <v>1</v>
      </c>
      <c r="Y447" s="5">
        <f t="shared" si="120"/>
        <v>1929.84</v>
      </c>
      <c r="Z447" s="25">
        <f t="shared" si="121"/>
        <v>1</v>
      </c>
      <c r="AA447" s="25">
        <f t="shared" si="122"/>
        <v>1.1972571703302247E-3</v>
      </c>
    </row>
    <row r="448" spans="1:27" x14ac:dyDescent="0.3">
      <c r="A448" s="15" t="s">
        <v>146</v>
      </c>
      <c r="B448" s="48" t="str">
        <f>VLOOKUP(A448,MEMORIA!$A:$N,2,FALSE)</f>
        <v>ESQUADRIAS</v>
      </c>
      <c r="C448" s="49"/>
      <c r="D448" s="49"/>
      <c r="E448" s="49"/>
      <c r="F448" s="49"/>
      <c r="G448" s="49"/>
      <c r="H448" s="50"/>
      <c r="I448" s="16">
        <f>SUM(I$449:I$450)</f>
        <v>2243.75</v>
      </c>
      <c r="J448" s="16">
        <f>SUM(J$449:J$450)</f>
        <v>0</v>
      </c>
      <c r="K448" s="16"/>
      <c r="L448" s="17">
        <f t="shared" si="115"/>
        <v>0</v>
      </c>
      <c r="M448" s="16">
        <f>SUM(M$449:M$450)</f>
        <v>0</v>
      </c>
      <c r="N448" s="16"/>
      <c r="O448" s="17">
        <f t="shared" si="116"/>
        <v>0</v>
      </c>
      <c r="P448" s="16">
        <f>SUM(P$449:P$450)</f>
        <v>0</v>
      </c>
      <c r="Q448" s="16"/>
      <c r="R448" s="17">
        <f t="shared" si="117"/>
        <v>0</v>
      </c>
      <c r="S448" s="16">
        <f>SUM(S$449:S$450)</f>
        <v>0</v>
      </c>
      <c r="T448" s="16"/>
      <c r="U448" s="17">
        <f t="shared" si="118"/>
        <v>0</v>
      </c>
      <c r="V448" s="16">
        <f>SUM(V$449:V$450)</f>
        <v>2243.75</v>
      </c>
      <c r="W448" s="16"/>
      <c r="X448" s="17">
        <f t="shared" si="119"/>
        <v>1</v>
      </c>
      <c r="Y448" s="16">
        <f t="shared" si="120"/>
        <v>2243.75</v>
      </c>
      <c r="Z448" s="17">
        <f t="shared" si="121"/>
        <v>1</v>
      </c>
      <c r="AA448" s="17">
        <f t="shared" si="122"/>
        <v>1.3920044024004279E-3</v>
      </c>
    </row>
    <row r="449" spans="1:27" ht="43.2" x14ac:dyDescent="0.3">
      <c r="A449" s="23" t="s">
        <v>483</v>
      </c>
      <c r="B449" s="23">
        <f>VLOOKUP(A449,MEMORIA!$A:$N,2,FALSE)</f>
        <v>100701</v>
      </c>
      <c r="C449" s="23" t="str">
        <f>VLOOKUP(A449,MEMORIA!$A:$N,3,FALSE)</f>
        <v>SINAPI</v>
      </c>
      <c r="D449" s="24" t="str">
        <f>VLOOKUP(A449,MEMORIA!$A:$N,4,FALSE)</f>
        <v>PORTA DE FERRO, DE ABRIR, TIPO GRADE COM CHAPA, COM GUARNIÇÕES. AF_12/2019</v>
      </c>
      <c r="E449" s="23" t="str">
        <f>VLOOKUP(A449,MEMORIA!$A:$N,5,FALSE)</f>
        <v>M2</v>
      </c>
      <c r="F449" s="5">
        <f>VLOOKUP(A449,MEMORIA!$A:$N,14,FALSE)</f>
        <v>1.68</v>
      </c>
      <c r="G449" s="5">
        <f>VLOOKUP(A449,ORCAMENTO!$A:$I,7,FALSE)</f>
        <v>415.24</v>
      </c>
      <c r="H449" s="5">
        <f>VLOOKUP(A449,ORCAMENTO!$A:$I,8,FALSE)</f>
        <v>507.96000000000004</v>
      </c>
      <c r="I449" s="5">
        <f>ROUND(F449*H449,2)</f>
        <v>853.37</v>
      </c>
      <c r="J449" s="5">
        <f>ROUND(K449*$H449,2)</f>
        <v>0</v>
      </c>
      <c r="K449" s="5">
        <v>0</v>
      </c>
      <c r="L449" s="25">
        <f t="shared" si="115"/>
        <v>0</v>
      </c>
      <c r="M449" s="5">
        <f>ROUND(N449*$H449,2)</f>
        <v>0</v>
      </c>
      <c r="N449" s="5">
        <v>0</v>
      </c>
      <c r="O449" s="25">
        <f t="shared" si="116"/>
        <v>0</v>
      </c>
      <c r="P449" s="5">
        <f>ROUND(Q449*$H449,2)</f>
        <v>0</v>
      </c>
      <c r="Q449" s="5">
        <v>0</v>
      </c>
      <c r="R449" s="25">
        <f t="shared" si="117"/>
        <v>0</v>
      </c>
      <c r="S449" s="5">
        <f>ROUND(T449*$H449,2)</f>
        <v>0</v>
      </c>
      <c r="T449" s="5">
        <v>0</v>
      </c>
      <c r="U449" s="25">
        <f t="shared" si="118"/>
        <v>0</v>
      </c>
      <c r="V449" s="5">
        <f>ROUND(W449*$H449,2)</f>
        <v>853.37</v>
      </c>
      <c r="W449" s="5">
        <f t="shared" ref="W449:W450" si="140">F449</f>
        <v>1.68</v>
      </c>
      <c r="X449" s="25">
        <f t="shared" si="119"/>
        <v>1</v>
      </c>
      <c r="Y449" s="5">
        <f t="shared" si="120"/>
        <v>853.37</v>
      </c>
      <c r="Z449" s="25">
        <f t="shared" si="121"/>
        <v>1</v>
      </c>
      <c r="AA449" s="25">
        <f t="shared" si="122"/>
        <v>5.2942386490315463E-4</v>
      </c>
    </row>
    <row r="450" spans="1:27" ht="43.2" x14ac:dyDescent="0.3">
      <c r="A450" s="23" t="s">
        <v>484</v>
      </c>
      <c r="B450" s="23" t="str">
        <f>VLOOKUP(A450,MEMORIA!$A:$N,2,FALSE)</f>
        <v>COMP219</v>
      </c>
      <c r="C450" s="23" t="str">
        <f>VLOOKUP(A450,MEMORIA!$A:$N,3,FALSE)</f>
        <v>PRÓPRIA</v>
      </c>
      <c r="D450" s="24" t="str">
        <f>VLOOKUP(A450,MEMORIA!$A:$N,4,FALSE)</f>
        <v>PORTÃO DE FERRO EM BARRA CHATA TIPO TIJOLINHO (REF: C1999-SEINFRA 28)</v>
      </c>
      <c r="E450" s="23" t="str">
        <f>VLOOKUP(A450,MEMORIA!$A:$N,5,FALSE)</f>
        <v>M2</v>
      </c>
      <c r="F450" s="5">
        <f>VLOOKUP(A450,MEMORIA!$A:$N,14,FALSE)</f>
        <v>6</v>
      </c>
      <c r="G450" s="5">
        <f>VLOOKUP(A450,ORCAMENTO!$A:$I,7,FALSE)</f>
        <v>189.43</v>
      </c>
      <c r="H450" s="5">
        <f>VLOOKUP(A450,ORCAMENTO!$A:$I,8,FALSE)</f>
        <v>231.73000000000002</v>
      </c>
      <c r="I450" s="5">
        <f>ROUND(F450*H450,2)</f>
        <v>1390.38</v>
      </c>
      <c r="J450" s="5">
        <f>ROUND(K450*$H450,2)</f>
        <v>0</v>
      </c>
      <c r="K450" s="5">
        <v>0</v>
      </c>
      <c r="L450" s="25">
        <f t="shared" si="115"/>
        <v>0</v>
      </c>
      <c r="M450" s="5">
        <f>ROUND(N450*$H450,2)</f>
        <v>0</v>
      </c>
      <c r="N450" s="5">
        <v>0</v>
      </c>
      <c r="O450" s="25">
        <f t="shared" si="116"/>
        <v>0</v>
      </c>
      <c r="P450" s="5">
        <f>ROUND(Q450*$H450,2)</f>
        <v>0</v>
      </c>
      <c r="Q450" s="5">
        <v>0</v>
      </c>
      <c r="R450" s="25">
        <f t="shared" si="117"/>
        <v>0</v>
      </c>
      <c r="S450" s="5">
        <f>ROUND(T450*$H450,2)</f>
        <v>0</v>
      </c>
      <c r="T450" s="5">
        <v>0</v>
      </c>
      <c r="U450" s="25">
        <f t="shared" si="118"/>
        <v>0</v>
      </c>
      <c r="V450" s="5">
        <f>ROUND(W450*$H450,2)</f>
        <v>1390.38</v>
      </c>
      <c r="W450" s="5">
        <f t="shared" si="140"/>
        <v>6</v>
      </c>
      <c r="X450" s="25">
        <f t="shared" si="119"/>
        <v>1</v>
      </c>
      <c r="Y450" s="5">
        <f t="shared" si="120"/>
        <v>1390.38</v>
      </c>
      <c r="Z450" s="25">
        <f t="shared" si="121"/>
        <v>1</v>
      </c>
      <c r="AA450" s="25">
        <f t="shared" si="122"/>
        <v>8.625805374972733E-4</v>
      </c>
    </row>
    <row r="451" spans="1:27" x14ac:dyDescent="0.3">
      <c r="A451" s="15" t="s">
        <v>147</v>
      </c>
      <c r="B451" s="48" t="str">
        <f>VLOOKUP(A451,MEMORIA!$A:$N,2,FALSE)</f>
        <v>PINTURA</v>
      </c>
      <c r="C451" s="49"/>
      <c r="D451" s="49"/>
      <c r="E451" s="49"/>
      <c r="F451" s="49"/>
      <c r="G451" s="49"/>
      <c r="H451" s="50"/>
      <c r="I451" s="16">
        <f>SUM(I$452:I$453)</f>
        <v>649.88</v>
      </c>
      <c r="J451" s="16">
        <f>SUM(J$452:J$453)</f>
        <v>0</v>
      </c>
      <c r="K451" s="16"/>
      <c r="L451" s="17">
        <f t="shared" si="115"/>
        <v>0</v>
      </c>
      <c r="M451" s="16">
        <f>SUM(M$452:M$453)</f>
        <v>0</v>
      </c>
      <c r="N451" s="16"/>
      <c r="O451" s="17">
        <f t="shared" si="116"/>
        <v>0</v>
      </c>
      <c r="P451" s="16">
        <f>SUM(P$452:P$453)</f>
        <v>0</v>
      </c>
      <c r="Q451" s="16"/>
      <c r="R451" s="17">
        <f t="shared" si="117"/>
        <v>0</v>
      </c>
      <c r="S451" s="16">
        <f>SUM(S$452:S$453)</f>
        <v>0</v>
      </c>
      <c r="T451" s="16"/>
      <c r="U451" s="17">
        <f t="shared" si="118"/>
        <v>0</v>
      </c>
      <c r="V451" s="16">
        <f>SUM(V$452:V$453)</f>
        <v>649.88</v>
      </c>
      <c r="W451" s="16"/>
      <c r="X451" s="17">
        <f t="shared" si="119"/>
        <v>1</v>
      </c>
      <c r="Y451" s="16">
        <f t="shared" si="120"/>
        <v>649.88</v>
      </c>
      <c r="Z451" s="17">
        <f t="shared" si="121"/>
        <v>1</v>
      </c>
      <c r="AA451" s="17">
        <f t="shared" si="122"/>
        <v>4.0318031020924349E-4</v>
      </c>
    </row>
    <row r="452" spans="1:27" ht="28.8" x14ac:dyDescent="0.3">
      <c r="A452" s="23" t="s">
        <v>485</v>
      </c>
      <c r="B452" s="23" t="str">
        <f>VLOOKUP(A452,MEMORIA!$A:$N,2,FALSE)</f>
        <v>COMP205</v>
      </c>
      <c r="C452" s="23" t="str">
        <f>VLOOKUP(A452,MEMORIA!$A:$N,3,FALSE)</f>
        <v>PRÓPRIA</v>
      </c>
      <c r="D452" s="24" t="str">
        <f>VLOOKUP(A452,MEMORIA!$A:$N,4,FALSE)</f>
        <v>CAIAÇÃO EM TRES DEMÃOS EM PAREDES (REF: C0589-SEINFRA 28)</v>
      </c>
      <c r="E452" s="23" t="str">
        <f>VLOOKUP(A452,MEMORIA!$A:$N,5,FALSE)</f>
        <v>M2</v>
      </c>
      <c r="F452" s="5">
        <f>VLOOKUP(A452,MEMORIA!$A:$N,14,FALSE)</f>
        <v>38.619999999999997</v>
      </c>
      <c r="G452" s="5">
        <f>VLOOKUP(A452,ORCAMENTO!$A:$I,7,FALSE)</f>
        <v>9.3800000000000008</v>
      </c>
      <c r="H452" s="5">
        <f>VLOOKUP(A452,ORCAMENTO!$A:$I,8,FALSE)</f>
        <v>11.47</v>
      </c>
      <c r="I452" s="5">
        <f>ROUND(F452*H452,2)</f>
        <v>442.97</v>
      </c>
      <c r="J452" s="5">
        <f>ROUND(K452*$H452,2)</f>
        <v>0</v>
      </c>
      <c r="K452" s="5">
        <v>0</v>
      </c>
      <c r="L452" s="25">
        <f t="shared" si="115"/>
        <v>0</v>
      </c>
      <c r="M452" s="5">
        <f>ROUND(N452*$H452,2)</f>
        <v>0</v>
      </c>
      <c r="N452" s="5">
        <v>0</v>
      </c>
      <c r="O452" s="25">
        <f t="shared" si="116"/>
        <v>0</v>
      </c>
      <c r="P452" s="5">
        <f>ROUND(Q452*$H452,2)</f>
        <v>0</v>
      </c>
      <c r="Q452" s="5">
        <v>0</v>
      </c>
      <c r="R452" s="25">
        <f t="shared" si="117"/>
        <v>0</v>
      </c>
      <c r="S452" s="5">
        <f>ROUND(T452*$H452,2)</f>
        <v>0</v>
      </c>
      <c r="T452" s="5">
        <v>0</v>
      </c>
      <c r="U452" s="25">
        <f t="shared" si="118"/>
        <v>0</v>
      </c>
      <c r="V452" s="5">
        <f>ROUND(W452*$H452,2)</f>
        <v>442.97</v>
      </c>
      <c r="W452" s="5">
        <f t="shared" ref="W452:W453" si="141">F452</f>
        <v>38.619999999999997</v>
      </c>
      <c r="X452" s="25">
        <f t="shared" si="119"/>
        <v>1</v>
      </c>
      <c r="Y452" s="5">
        <f t="shared" si="120"/>
        <v>442.97</v>
      </c>
      <c r="Z452" s="25">
        <f t="shared" si="121"/>
        <v>1</v>
      </c>
      <c r="AA452" s="25">
        <f t="shared" si="122"/>
        <v>2.7481501510030868E-4</v>
      </c>
    </row>
    <row r="453" spans="1:27" ht="86.4" x14ac:dyDescent="0.3">
      <c r="A453" s="23" t="s">
        <v>486</v>
      </c>
      <c r="B453" s="23">
        <f>VLOOKUP(A453,MEMORIA!$A:$N,2,FALSE)</f>
        <v>100758</v>
      </c>
      <c r="C453" s="23" t="str">
        <f>VLOOKUP(A453,MEMORIA!$A:$N,3,FALSE)</f>
        <v>SINAPI</v>
      </c>
      <c r="D453" s="24" t="str">
        <f>VLOOKUP(A453,MEMORIA!$A:$N,4,FALSE)</f>
        <v>PINTURA COM TINTA ALQUÍDICA DE ACABAMENTO (ESMALTE SINTÉTICO ACETINADO) APLICADA A ROLO OU PINCEL SOBRE SUPERFÍCIES METÁLICAS (EXCETO PERFIL) EXECUTADO EM OBRA (02 DEMÃOS). AF_01/2020</v>
      </c>
      <c r="E453" s="23" t="str">
        <f>VLOOKUP(A453,MEMORIA!$A:$N,5,FALSE)</f>
        <v>M2</v>
      </c>
      <c r="F453" s="5">
        <f>VLOOKUP(A453,MEMORIA!$A:$N,14,FALSE)</f>
        <v>3.36</v>
      </c>
      <c r="G453" s="5">
        <f>VLOOKUP(A453,ORCAMENTO!$A:$I,7,FALSE)</f>
        <v>50.339999999999996</v>
      </c>
      <c r="H453" s="5">
        <f>VLOOKUP(A453,ORCAMENTO!$A:$I,8,FALSE)</f>
        <v>61.58</v>
      </c>
      <c r="I453" s="5">
        <f>ROUND(F453*H453,2)</f>
        <v>206.91</v>
      </c>
      <c r="J453" s="5">
        <f>ROUND(K453*$H453,2)</f>
        <v>0</v>
      </c>
      <c r="K453" s="5">
        <v>0</v>
      </c>
      <c r="L453" s="25">
        <f t="shared" si="115"/>
        <v>0</v>
      </c>
      <c r="M453" s="5">
        <f>ROUND(N453*$H453,2)</f>
        <v>0</v>
      </c>
      <c r="N453" s="5">
        <v>0</v>
      </c>
      <c r="O453" s="25">
        <f t="shared" si="116"/>
        <v>0</v>
      </c>
      <c r="P453" s="5">
        <f>ROUND(Q453*$H453,2)</f>
        <v>0</v>
      </c>
      <c r="Q453" s="5">
        <v>0</v>
      </c>
      <c r="R453" s="25">
        <f t="shared" si="117"/>
        <v>0</v>
      </c>
      <c r="S453" s="5">
        <f>ROUND(T453*$H453,2)</f>
        <v>0</v>
      </c>
      <c r="T453" s="5">
        <v>0</v>
      </c>
      <c r="U453" s="25">
        <f t="shared" si="118"/>
        <v>0</v>
      </c>
      <c r="V453" s="5">
        <f>ROUND(W453*$H453,2)</f>
        <v>206.91</v>
      </c>
      <c r="W453" s="5">
        <f t="shared" si="141"/>
        <v>3.36</v>
      </c>
      <c r="X453" s="25">
        <f t="shared" si="119"/>
        <v>1</v>
      </c>
      <c r="Y453" s="5">
        <f t="shared" si="120"/>
        <v>206.91</v>
      </c>
      <c r="Z453" s="25">
        <f t="shared" si="121"/>
        <v>1</v>
      </c>
      <c r="AA453" s="25">
        <f t="shared" si="122"/>
        <v>1.2836529510893484E-4</v>
      </c>
    </row>
    <row r="454" spans="1:27" x14ac:dyDescent="0.3">
      <c r="A454" s="15" t="s">
        <v>148</v>
      </c>
      <c r="B454" s="48" t="str">
        <f>VLOOKUP(A454,MEMORIA!$A:$N,2,FALSE)</f>
        <v>CERCAMENTO</v>
      </c>
      <c r="C454" s="49"/>
      <c r="D454" s="49"/>
      <c r="E454" s="49"/>
      <c r="F454" s="49"/>
      <c r="G454" s="49"/>
      <c r="H454" s="50"/>
      <c r="I454" s="16">
        <f>SUM(I$455:I$455)</f>
        <v>5908.53</v>
      </c>
      <c r="J454" s="16">
        <f>SUM(J$455:J$455)</f>
        <v>0</v>
      </c>
      <c r="K454" s="16"/>
      <c r="L454" s="17">
        <f t="shared" si="115"/>
        <v>0</v>
      </c>
      <c r="M454" s="16">
        <f>SUM(M$455:M$455)</f>
        <v>0</v>
      </c>
      <c r="N454" s="16"/>
      <c r="O454" s="17">
        <f t="shared" si="116"/>
        <v>0</v>
      </c>
      <c r="P454" s="16">
        <f>SUM(P$455:P$455)</f>
        <v>0</v>
      </c>
      <c r="Q454" s="16"/>
      <c r="R454" s="17">
        <f t="shared" si="117"/>
        <v>0</v>
      </c>
      <c r="S454" s="16">
        <f>SUM(S$455:S$455)</f>
        <v>0</v>
      </c>
      <c r="T454" s="16"/>
      <c r="U454" s="17">
        <f t="shared" si="118"/>
        <v>0</v>
      </c>
      <c r="V454" s="16">
        <f>SUM(V$455:V$455)</f>
        <v>5908.53</v>
      </c>
      <c r="W454" s="16"/>
      <c r="X454" s="17">
        <f t="shared" si="119"/>
        <v>1</v>
      </c>
      <c r="Y454" s="16">
        <f t="shared" si="120"/>
        <v>5908.53</v>
      </c>
      <c r="Z454" s="17">
        <f t="shared" si="121"/>
        <v>1</v>
      </c>
      <c r="AA454" s="17">
        <f t="shared" si="122"/>
        <v>3.6656043550818943E-3</v>
      </c>
    </row>
    <row r="455" spans="1:27" ht="100.8" x14ac:dyDescent="0.3">
      <c r="A455" s="23" t="s">
        <v>487</v>
      </c>
      <c r="B455" s="23">
        <f>VLOOKUP(A455,MEMORIA!$A:$N,2,FALSE)</f>
        <v>101197</v>
      </c>
      <c r="C455" s="23" t="str">
        <f>VLOOKUP(A455,MEMORIA!$A:$N,3,FALSE)</f>
        <v>SINAPI</v>
      </c>
      <c r="D455" s="24" t="str">
        <f>VLOOKUP(A455,MEMORIA!$A:$N,4,FALSE)</f>
        <v>CERCA COM MOURÕES DE CONCRETO, SEÇÃO "T" PONTA INCLINADA, 10X10 CM, ESPAÇAMENTO DE 2,5 M, CRAVADOS 0,5 M, COM 11 FIOS DE ARAME FARPADO Nº 14 - FORNECIMENTO E INSTALAÇÃO. AF_05/2020</v>
      </c>
      <c r="E455" s="23" t="str">
        <f>VLOOKUP(A455,MEMORIA!$A:$N,5,FALSE)</f>
        <v>M</v>
      </c>
      <c r="F455" s="5">
        <f>VLOOKUP(A455,MEMORIA!$A:$N,14,FALSE)</f>
        <v>37</v>
      </c>
      <c r="G455" s="5">
        <f>VLOOKUP(A455,ORCAMENTO!$A:$I,7,FALSE)</f>
        <v>130.54</v>
      </c>
      <c r="H455" s="5">
        <f>VLOOKUP(A455,ORCAMENTO!$A:$I,8,FALSE)</f>
        <v>159.69</v>
      </c>
      <c r="I455" s="5">
        <f>ROUND(F455*H455,2)</f>
        <v>5908.53</v>
      </c>
      <c r="J455" s="5">
        <f>ROUND(K455*$H455,2)</f>
        <v>0</v>
      </c>
      <c r="K455" s="5">
        <v>0</v>
      </c>
      <c r="L455" s="25">
        <f t="shared" si="115"/>
        <v>0</v>
      </c>
      <c r="M455" s="5">
        <f>ROUND(N455*$H455,2)</f>
        <v>0</v>
      </c>
      <c r="N455" s="5">
        <v>0</v>
      </c>
      <c r="O455" s="25">
        <f t="shared" si="116"/>
        <v>0</v>
      </c>
      <c r="P455" s="5">
        <f>ROUND(Q455*$H455,2)</f>
        <v>0</v>
      </c>
      <c r="Q455" s="5">
        <v>0</v>
      </c>
      <c r="R455" s="25">
        <f t="shared" si="117"/>
        <v>0</v>
      </c>
      <c r="S455" s="5">
        <f>ROUND(T455*$H455,2)</f>
        <v>0</v>
      </c>
      <c r="T455" s="5">
        <v>0</v>
      </c>
      <c r="U455" s="25">
        <f t="shared" si="118"/>
        <v>0</v>
      </c>
      <c r="V455" s="5">
        <f>ROUND(W455*$H455,2)</f>
        <v>5908.53</v>
      </c>
      <c r="W455" s="5">
        <f t="shared" ref="W455" si="142">F455</f>
        <v>37</v>
      </c>
      <c r="X455" s="25">
        <f t="shared" si="119"/>
        <v>1</v>
      </c>
      <c r="Y455" s="5">
        <f t="shared" si="120"/>
        <v>5908.53</v>
      </c>
      <c r="Z455" s="25">
        <f t="shared" si="121"/>
        <v>1</v>
      </c>
      <c r="AA455" s="25">
        <f t="shared" si="122"/>
        <v>3.6656043550818943E-3</v>
      </c>
    </row>
    <row r="456" spans="1:27" x14ac:dyDescent="0.3">
      <c r="A456" s="12" t="s">
        <v>149</v>
      </c>
      <c r="B456" s="51" t="str">
        <f>VLOOKUP(A456,MEMORIA!$A:$N,2,FALSE)</f>
        <v>INSTALAÇÕES ELÉTRICAS</v>
      </c>
      <c r="C456" s="52"/>
      <c r="D456" s="52"/>
      <c r="E456" s="52"/>
      <c r="F456" s="52"/>
      <c r="G456" s="52"/>
      <c r="H456" s="53"/>
      <c r="I456" s="13">
        <f>SUM(I$457:I$458)</f>
        <v>17909.879999999997</v>
      </c>
      <c r="J456" s="13">
        <f>SUM(J$457:J$458)</f>
        <v>0</v>
      </c>
      <c r="K456" s="13"/>
      <c r="L456" s="14">
        <f t="shared" ref="L456:L479" si="143">J456/$I456</f>
        <v>0</v>
      </c>
      <c r="M456" s="13">
        <f>SUM(M$457:M$458)</f>
        <v>0</v>
      </c>
      <c r="N456" s="13"/>
      <c r="O456" s="14">
        <f t="shared" ref="O456:O479" si="144">M456/$I456</f>
        <v>0</v>
      </c>
      <c r="P456" s="13">
        <f>SUM(P$457:P$458)</f>
        <v>0</v>
      </c>
      <c r="Q456" s="13"/>
      <c r="R456" s="14">
        <f t="shared" ref="R456:R479" si="145">P456/$I456</f>
        <v>0</v>
      </c>
      <c r="S456" s="13">
        <f>SUM(S$457:S$458)</f>
        <v>0</v>
      </c>
      <c r="T456" s="13"/>
      <c r="U456" s="14">
        <f t="shared" ref="U456:U479" si="146">S456/$I456</f>
        <v>0</v>
      </c>
      <c r="V456" s="13">
        <f>SUM(V$457:V$458)</f>
        <v>17909.879999999997</v>
      </c>
      <c r="W456" s="13"/>
      <c r="X456" s="14">
        <f t="shared" ref="X456:X479" si="147">V456/$I456</f>
        <v>1</v>
      </c>
      <c r="Y456" s="13">
        <f t="shared" ref="Y456:Y478" si="148">SUM(J456,M456,P456,S456,V456,)</f>
        <v>17909.879999999997</v>
      </c>
      <c r="Z456" s="14">
        <f t="shared" ref="Z456:Z479" si="149">SUM(L456,O456,R456,U456,X456,)</f>
        <v>1</v>
      </c>
      <c r="AA456" s="14">
        <f t="shared" ref="AA456:AA478" si="150">Y456/$I$479</f>
        <v>1.1111145094802617E-2</v>
      </c>
    </row>
    <row r="457" spans="1:27" ht="100.8" x14ac:dyDescent="0.3">
      <c r="A457" s="23" t="s">
        <v>488</v>
      </c>
      <c r="B457" s="23" t="str">
        <f>VLOOKUP(A457,MEMORIA!$A:$N,2,FALSE)</f>
        <v>COMP223</v>
      </c>
      <c r="C457" s="23" t="str">
        <f>VLOOKUP(A457,MEMORIA!$A:$N,3,FALSE)</f>
        <v>PRÓPRIA</v>
      </c>
      <c r="D457" s="24" t="str">
        <f>VLOOKUP(A457,MEMORIA!$A:$N,4,FALSE)</f>
        <v>FORNECIMENTO E INSTALAÇÃO DE KIT DE BOMBEAMENTO SOLAR P/ POÇO COM PROFUNDIDADE DE 100 A 120 M, INCLUSO BOMBA 3CV, INVERSOR, PAINÉIS, QUADRO DE COMANDO, DISJUNTORES, CABOS E CONEXÕES E ESTRUTURA TIPO SOLO</v>
      </c>
      <c r="E457" s="23" t="str">
        <f>VLOOKUP(A457,MEMORIA!$A:$N,5,FALSE)</f>
        <v>UND</v>
      </c>
      <c r="F457" s="5">
        <f>VLOOKUP(A457,MEMORIA!$A:$N,14,FALSE)</f>
        <v>1</v>
      </c>
      <c r="G457" s="5">
        <f>VLOOKUP(A457,ORCAMENTO!$A:$I,7,FALSE)</f>
        <v>12042.74</v>
      </c>
      <c r="H457" s="5">
        <f>VLOOKUP(A457,ORCAMENTO!$A:$I,8,FALSE)</f>
        <v>14731.88</v>
      </c>
      <c r="I457" s="5">
        <f>ROUND(F457*H457,2)</f>
        <v>14731.88</v>
      </c>
      <c r="J457" s="5">
        <f>ROUND(K457*$H457,2)</f>
        <v>0</v>
      </c>
      <c r="K457" s="5">
        <v>0</v>
      </c>
      <c r="L457" s="25">
        <f t="shared" si="143"/>
        <v>0</v>
      </c>
      <c r="M457" s="5">
        <f>ROUND(N457*$H457,2)</f>
        <v>0</v>
      </c>
      <c r="N457" s="5">
        <v>0</v>
      </c>
      <c r="O457" s="25">
        <f t="shared" si="144"/>
        <v>0</v>
      </c>
      <c r="P457" s="5">
        <f>ROUND(Q457*$H457,2)</f>
        <v>0</v>
      </c>
      <c r="Q457" s="5">
        <v>0</v>
      </c>
      <c r="R457" s="25">
        <f t="shared" si="145"/>
        <v>0</v>
      </c>
      <c r="S457" s="5">
        <f>ROUND(T457*$H457,2)</f>
        <v>0</v>
      </c>
      <c r="T457" s="5">
        <v>0</v>
      </c>
      <c r="U457" s="25">
        <f t="shared" si="146"/>
        <v>0</v>
      </c>
      <c r="V457" s="5">
        <f>ROUND(W457*$H457,2)</f>
        <v>14731.88</v>
      </c>
      <c r="W457" s="5">
        <f t="shared" ref="W457:W458" si="151">F457</f>
        <v>1</v>
      </c>
      <c r="X457" s="25">
        <f t="shared" si="147"/>
        <v>1</v>
      </c>
      <c r="Y457" s="5">
        <f t="shared" si="148"/>
        <v>14731.88</v>
      </c>
      <c r="Z457" s="25">
        <f t="shared" si="149"/>
        <v>1</v>
      </c>
      <c r="AA457" s="25">
        <f t="shared" si="150"/>
        <v>9.1395395278595273E-3</v>
      </c>
    </row>
    <row r="458" spans="1:27" ht="28.8" x14ac:dyDescent="0.3">
      <c r="A458" s="23" t="s">
        <v>489</v>
      </c>
      <c r="B458" s="23" t="str">
        <f>VLOOKUP(A458,MEMORIA!$A:$N,2,FALSE)</f>
        <v>COMPOS24</v>
      </c>
      <c r="C458" s="23" t="str">
        <f>VLOOKUP(A458,MEMORIA!$A:$N,3,FALSE)</f>
        <v>PRÓPRIA</v>
      </c>
      <c r="D458" s="24" t="str">
        <f>VLOOKUP(A458,MEMORIA!$A:$N,4,FALSE)</f>
        <v>FORNECIMENTO E INSTALAÇÃO DE CABO CHATO SUBMERSO DE 3 X 6 MM²</v>
      </c>
      <c r="E458" s="23" t="str">
        <f>VLOOKUP(A458,MEMORIA!$A:$N,5,FALSE)</f>
        <v>M</v>
      </c>
      <c r="F458" s="5">
        <f>VLOOKUP(A458,MEMORIA!$A:$N,14,FALSE)</f>
        <v>100</v>
      </c>
      <c r="G458" s="5">
        <f>VLOOKUP(A458,ORCAMENTO!$A:$I,7,FALSE)</f>
        <v>25.98</v>
      </c>
      <c r="H458" s="5">
        <f>VLOOKUP(A458,ORCAMENTO!$A:$I,8,FALSE)</f>
        <v>31.78</v>
      </c>
      <c r="I458" s="5">
        <f>ROUND(F458*H458,2)</f>
        <v>3178</v>
      </c>
      <c r="J458" s="5">
        <f>ROUND(K458*$H458,2)</f>
        <v>0</v>
      </c>
      <c r="K458" s="5">
        <v>0</v>
      </c>
      <c r="L458" s="25">
        <f t="shared" si="143"/>
        <v>0</v>
      </c>
      <c r="M458" s="5">
        <f>ROUND(N458*$H458,2)</f>
        <v>0</v>
      </c>
      <c r="N458" s="5">
        <v>0</v>
      </c>
      <c r="O458" s="25">
        <f t="shared" si="144"/>
        <v>0</v>
      </c>
      <c r="P458" s="5">
        <f>ROUND(Q458*$H458,2)</f>
        <v>0</v>
      </c>
      <c r="Q458" s="5">
        <v>0</v>
      </c>
      <c r="R458" s="25">
        <f t="shared" si="145"/>
        <v>0</v>
      </c>
      <c r="S458" s="5">
        <f>ROUND(T458*$H458,2)</f>
        <v>0</v>
      </c>
      <c r="T458" s="5">
        <v>0</v>
      </c>
      <c r="U458" s="25">
        <f t="shared" si="146"/>
        <v>0</v>
      </c>
      <c r="V458" s="5">
        <f>ROUND(W458*$H458,2)</f>
        <v>3178</v>
      </c>
      <c r="W458" s="5">
        <f t="shared" si="151"/>
        <v>100</v>
      </c>
      <c r="X458" s="25">
        <f t="shared" si="147"/>
        <v>1</v>
      </c>
      <c r="Y458" s="5">
        <f t="shared" si="148"/>
        <v>3178</v>
      </c>
      <c r="Z458" s="25">
        <f t="shared" si="149"/>
        <v>1</v>
      </c>
      <c r="AA458" s="25">
        <f t="shared" si="150"/>
        <v>1.9716055669430905E-3</v>
      </c>
    </row>
    <row r="459" spans="1:27" x14ac:dyDescent="0.3">
      <c r="A459" s="12" t="s">
        <v>150</v>
      </c>
      <c r="B459" s="51" t="str">
        <f>VLOOKUP(A459,MEMORIA!$A:$N,2,FALSE)</f>
        <v>ADUÇÃO</v>
      </c>
      <c r="C459" s="52"/>
      <c r="D459" s="52"/>
      <c r="E459" s="52"/>
      <c r="F459" s="52"/>
      <c r="G459" s="52"/>
      <c r="H459" s="53"/>
      <c r="I459" s="13">
        <f>SUM(I$460,I$463,I$465,)</f>
        <v>1455.29</v>
      </c>
      <c r="J459" s="13">
        <f>SUM(J$460,J$463,J$465,)</f>
        <v>0</v>
      </c>
      <c r="K459" s="13"/>
      <c r="L459" s="14">
        <f t="shared" si="143"/>
        <v>0</v>
      </c>
      <c r="M459" s="13">
        <f>SUM(M$460,M$463,M$465,)</f>
        <v>0</v>
      </c>
      <c r="N459" s="13"/>
      <c r="O459" s="14">
        <f t="shared" si="144"/>
        <v>0</v>
      </c>
      <c r="P459" s="13">
        <f>SUM(P$460,P$463,P$465,)</f>
        <v>0</v>
      </c>
      <c r="Q459" s="13"/>
      <c r="R459" s="14">
        <f t="shared" si="145"/>
        <v>0</v>
      </c>
      <c r="S459" s="13">
        <f>SUM(S$460,S$463,S$465,)</f>
        <v>0</v>
      </c>
      <c r="T459" s="13"/>
      <c r="U459" s="14">
        <f t="shared" si="146"/>
        <v>0</v>
      </c>
      <c r="V459" s="13">
        <f>SUM(V$460,V$463,V$465,)</f>
        <v>1455.29</v>
      </c>
      <c r="W459" s="13"/>
      <c r="X459" s="14">
        <f t="shared" si="147"/>
        <v>1</v>
      </c>
      <c r="Y459" s="13">
        <f t="shared" si="148"/>
        <v>1455.29</v>
      </c>
      <c r="Z459" s="14">
        <f t="shared" si="149"/>
        <v>1</v>
      </c>
      <c r="AA459" s="14">
        <f t="shared" si="150"/>
        <v>9.028501779473286E-4</v>
      </c>
    </row>
    <row r="460" spans="1:27" x14ac:dyDescent="0.3">
      <c r="A460" s="15" t="s">
        <v>151</v>
      </c>
      <c r="B460" s="48" t="str">
        <f>VLOOKUP(A460,MEMORIA!$A:$N,2,FALSE)</f>
        <v>MOVIMENTO DE TERRA</v>
      </c>
      <c r="C460" s="49"/>
      <c r="D460" s="49"/>
      <c r="E460" s="49"/>
      <c r="F460" s="49"/>
      <c r="G460" s="49"/>
      <c r="H460" s="50"/>
      <c r="I460" s="16">
        <f>SUM(I$461:I$462)</f>
        <v>485.08</v>
      </c>
      <c r="J460" s="16">
        <f>SUM(J$461:J$462)</f>
        <v>0</v>
      </c>
      <c r="K460" s="16"/>
      <c r="L460" s="17">
        <f t="shared" si="143"/>
        <v>0</v>
      </c>
      <c r="M460" s="16">
        <f>SUM(M$461:M$462)</f>
        <v>0</v>
      </c>
      <c r="N460" s="16"/>
      <c r="O460" s="17">
        <f t="shared" si="144"/>
        <v>0</v>
      </c>
      <c r="P460" s="16">
        <f>SUM(P$461:P$462)</f>
        <v>0</v>
      </c>
      <c r="Q460" s="16"/>
      <c r="R460" s="17">
        <f t="shared" si="145"/>
        <v>0</v>
      </c>
      <c r="S460" s="16">
        <f>SUM(S$461:S$462)</f>
        <v>0</v>
      </c>
      <c r="T460" s="16"/>
      <c r="U460" s="17">
        <f t="shared" si="146"/>
        <v>0</v>
      </c>
      <c r="V460" s="16">
        <f>SUM(V$461:V$462)</f>
        <v>485.08</v>
      </c>
      <c r="W460" s="16"/>
      <c r="X460" s="17">
        <f t="shared" si="147"/>
        <v>1</v>
      </c>
      <c r="Y460" s="16">
        <f t="shared" si="148"/>
        <v>485.08</v>
      </c>
      <c r="Z460" s="17">
        <f t="shared" si="149"/>
        <v>1</v>
      </c>
      <c r="AA460" s="17">
        <f t="shared" si="150"/>
        <v>3.0093971945020591E-4</v>
      </c>
    </row>
    <row r="461" spans="1:27" ht="28.8" x14ac:dyDescent="0.3">
      <c r="A461" s="23" t="s">
        <v>490</v>
      </c>
      <c r="B461" s="23">
        <f>VLOOKUP(A461,MEMORIA!$A:$N,2,FALSE)</f>
        <v>93358</v>
      </c>
      <c r="C461" s="23" t="str">
        <f>VLOOKUP(A461,MEMORIA!$A:$N,3,FALSE)</f>
        <v>SINAPI</v>
      </c>
      <c r="D461" s="24" t="str">
        <f>VLOOKUP(A461,MEMORIA!$A:$N,4,FALSE)</f>
        <v>ESCAVAÇÃO MANUAL DE VALA. AF_09/2024</v>
      </c>
      <c r="E461" s="23" t="str">
        <f>VLOOKUP(A461,MEMORIA!$A:$N,5,FALSE)</f>
        <v>M3</v>
      </c>
      <c r="F461" s="5">
        <f>VLOOKUP(A461,MEMORIA!$A:$N,14,FALSE)</f>
        <v>3.23</v>
      </c>
      <c r="G461" s="5">
        <f>VLOOKUP(A461,ORCAMENTO!$A:$I,7,FALSE)</f>
        <v>85.87</v>
      </c>
      <c r="H461" s="5">
        <f>VLOOKUP(A461,ORCAMENTO!$A:$I,8,FALSE)</f>
        <v>105.04</v>
      </c>
      <c r="I461" s="5">
        <f>ROUND(F461*H461,2)</f>
        <v>339.28</v>
      </c>
      <c r="J461" s="5">
        <f>ROUND(K461*$H461,2)</f>
        <v>0</v>
      </c>
      <c r="K461" s="5">
        <v>0</v>
      </c>
      <c r="L461" s="25">
        <f t="shared" si="143"/>
        <v>0</v>
      </c>
      <c r="M461" s="5">
        <f>ROUND(N461*$H461,2)</f>
        <v>0</v>
      </c>
      <c r="N461" s="5">
        <v>0</v>
      </c>
      <c r="O461" s="25">
        <f t="shared" si="144"/>
        <v>0</v>
      </c>
      <c r="P461" s="5">
        <f>ROUND(Q461*$H461,2)</f>
        <v>0</v>
      </c>
      <c r="Q461" s="5">
        <v>0</v>
      </c>
      <c r="R461" s="25">
        <f t="shared" si="145"/>
        <v>0</v>
      </c>
      <c r="S461" s="5">
        <f>ROUND(T461*$H461,2)</f>
        <v>0</v>
      </c>
      <c r="T461" s="5">
        <v>0</v>
      </c>
      <c r="U461" s="25">
        <f t="shared" si="146"/>
        <v>0</v>
      </c>
      <c r="V461" s="5">
        <f>ROUND(W461*$H461,2)</f>
        <v>339.28</v>
      </c>
      <c r="W461" s="5">
        <f t="shared" ref="W461:W462" si="152">F461</f>
        <v>3.23</v>
      </c>
      <c r="X461" s="25">
        <f t="shared" si="147"/>
        <v>1</v>
      </c>
      <c r="Y461" s="5">
        <f t="shared" si="148"/>
        <v>339.28</v>
      </c>
      <c r="Z461" s="25">
        <f t="shared" si="149"/>
        <v>1</v>
      </c>
      <c r="AA461" s="25">
        <f t="shared" si="150"/>
        <v>2.1048657544130012E-4</v>
      </c>
    </row>
    <row r="462" spans="1:27" ht="28.8" x14ac:dyDescent="0.3">
      <c r="A462" s="23" t="s">
        <v>491</v>
      </c>
      <c r="B462" s="23" t="str">
        <f>VLOOKUP(A462,MEMORIA!$A:$N,2,FALSE)</f>
        <v>COMPOS28</v>
      </c>
      <c r="C462" s="23" t="str">
        <f>VLOOKUP(A462,MEMORIA!$A:$N,3,FALSE)</f>
        <v>PRÓPRIA</v>
      </c>
      <c r="D462" s="24" t="str">
        <f>VLOOKUP(A462,MEMORIA!$A:$N,4,FALSE)</f>
        <v>REATERRO DE VALA COM COMPACTAÇÃO MANUAL</v>
      </c>
      <c r="E462" s="23" t="str">
        <f>VLOOKUP(A462,MEMORIA!$A:$N,5,FALSE)</f>
        <v>M³</v>
      </c>
      <c r="F462" s="5">
        <f>VLOOKUP(A462,MEMORIA!$A:$N,14,FALSE)</f>
        <v>3.23</v>
      </c>
      <c r="G462" s="5">
        <f>VLOOKUP(A462,ORCAMENTO!$A:$I,7,FALSE)</f>
        <v>36.9</v>
      </c>
      <c r="H462" s="5">
        <f>VLOOKUP(A462,ORCAMENTO!$A:$I,8,FALSE)</f>
        <v>45.14</v>
      </c>
      <c r="I462" s="5">
        <f>ROUND(F462*H462,2)</f>
        <v>145.80000000000001</v>
      </c>
      <c r="J462" s="5">
        <f>ROUND(K462*$H462,2)</f>
        <v>0</v>
      </c>
      <c r="K462" s="5">
        <v>0</v>
      </c>
      <c r="L462" s="25">
        <f t="shared" si="143"/>
        <v>0</v>
      </c>
      <c r="M462" s="5">
        <f>ROUND(N462*$H462,2)</f>
        <v>0</v>
      </c>
      <c r="N462" s="5">
        <v>0</v>
      </c>
      <c r="O462" s="25">
        <f t="shared" si="144"/>
        <v>0</v>
      </c>
      <c r="P462" s="5">
        <f>ROUND(Q462*$H462,2)</f>
        <v>0</v>
      </c>
      <c r="Q462" s="5">
        <v>0</v>
      </c>
      <c r="R462" s="25">
        <f t="shared" si="145"/>
        <v>0</v>
      </c>
      <c r="S462" s="5">
        <f>ROUND(T462*$H462,2)</f>
        <v>0</v>
      </c>
      <c r="T462" s="5">
        <v>0</v>
      </c>
      <c r="U462" s="25">
        <f t="shared" si="146"/>
        <v>0</v>
      </c>
      <c r="V462" s="5">
        <f>ROUND(W462*$H462,2)</f>
        <v>145.80000000000001</v>
      </c>
      <c r="W462" s="5">
        <f t="shared" si="152"/>
        <v>3.23</v>
      </c>
      <c r="X462" s="25">
        <f t="shared" si="147"/>
        <v>1</v>
      </c>
      <c r="Y462" s="5">
        <f t="shared" si="148"/>
        <v>145.80000000000001</v>
      </c>
      <c r="Z462" s="25">
        <f t="shared" si="149"/>
        <v>1</v>
      </c>
      <c r="AA462" s="25">
        <f t="shared" si="150"/>
        <v>9.0453144008905803E-5</v>
      </c>
    </row>
    <row r="463" spans="1:27" x14ac:dyDescent="0.3">
      <c r="A463" s="15" t="s">
        <v>152</v>
      </c>
      <c r="B463" s="48" t="str">
        <f>VLOOKUP(A463,MEMORIA!$A:$N,2,FALSE)</f>
        <v>INFRAESTRUTURA</v>
      </c>
      <c r="C463" s="49"/>
      <c r="D463" s="49"/>
      <c r="E463" s="49"/>
      <c r="F463" s="49"/>
      <c r="G463" s="49"/>
      <c r="H463" s="50"/>
      <c r="I463" s="16">
        <f>SUM(I$464:I$464)</f>
        <v>264.64</v>
      </c>
      <c r="J463" s="16">
        <f>SUM(J$464:J$464)</f>
        <v>0</v>
      </c>
      <c r="K463" s="16"/>
      <c r="L463" s="17">
        <f t="shared" si="143"/>
        <v>0</v>
      </c>
      <c r="M463" s="16">
        <f>SUM(M$464:M$464)</f>
        <v>0</v>
      </c>
      <c r="N463" s="16"/>
      <c r="O463" s="17">
        <f t="shared" si="144"/>
        <v>0</v>
      </c>
      <c r="P463" s="16">
        <f>SUM(P$464:P$464)</f>
        <v>0</v>
      </c>
      <c r="Q463" s="16"/>
      <c r="R463" s="17">
        <f t="shared" si="145"/>
        <v>0</v>
      </c>
      <c r="S463" s="16">
        <f>SUM(S$464:S$464)</f>
        <v>0</v>
      </c>
      <c r="T463" s="16"/>
      <c r="U463" s="17">
        <f t="shared" si="146"/>
        <v>0</v>
      </c>
      <c r="V463" s="16">
        <f>SUM(V$464:V$464)</f>
        <v>264.64</v>
      </c>
      <c r="W463" s="16"/>
      <c r="X463" s="17">
        <f t="shared" si="147"/>
        <v>1</v>
      </c>
      <c r="Y463" s="16">
        <f t="shared" si="148"/>
        <v>264.64</v>
      </c>
      <c r="Z463" s="17">
        <f t="shared" si="149"/>
        <v>1</v>
      </c>
      <c r="AA463" s="17">
        <f t="shared" si="150"/>
        <v>1.6418052147130883E-4</v>
      </c>
    </row>
    <row r="464" spans="1:27" x14ac:dyDescent="0.3">
      <c r="A464" s="23" t="s">
        <v>492</v>
      </c>
      <c r="B464" s="23" t="str">
        <f>VLOOKUP(A464,MEMORIA!$A:$N,2,FALSE)</f>
        <v>COMP216</v>
      </c>
      <c r="C464" s="23" t="str">
        <f>VLOOKUP(A464,MEMORIA!$A:$N,3,FALSE)</f>
        <v>PRÓPRIA</v>
      </c>
      <c r="D464" s="24" t="str">
        <f>VLOOKUP(A464,MEMORIA!$A:$N,4,FALSE)</f>
        <v>BLOCO DE ANCORAGEM EM CONCRETO SIMPLES FCK=10MPA (REF: C3403-SEINFRA 28)</v>
      </c>
      <c r="E464" s="23" t="str">
        <f>VLOOKUP(A464,MEMORIA!$A:$N,5,FALSE)</f>
        <v>M3</v>
      </c>
      <c r="F464" s="5">
        <f>VLOOKUP(A464,MEMORIA!$A:$N,14,FALSE)</f>
        <v>0.26</v>
      </c>
      <c r="G464" s="5">
        <f>VLOOKUP(A464,ORCAMENTO!$A:$I,7,FALSE)</f>
        <v>832.05</v>
      </c>
      <c r="H464" s="5">
        <f>VLOOKUP(A464,ORCAMENTO!$A:$I,8,FALSE)</f>
        <v>1017.8499999999999</v>
      </c>
      <c r="I464" s="5">
        <f>ROUND(F464*H464,2)</f>
        <v>264.64</v>
      </c>
      <c r="J464" s="5">
        <f>ROUND(K464*$H464,2)</f>
        <v>0</v>
      </c>
      <c r="K464" s="5">
        <v>0</v>
      </c>
      <c r="L464" s="25">
        <f t="shared" si="143"/>
        <v>0</v>
      </c>
      <c r="M464" s="5">
        <f>ROUND(N464*$H464,2)</f>
        <v>0</v>
      </c>
      <c r="N464" s="5">
        <v>0</v>
      </c>
      <c r="O464" s="25">
        <f t="shared" si="144"/>
        <v>0</v>
      </c>
      <c r="P464" s="5">
        <f>ROUND(Q464*$H464,2)</f>
        <v>0</v>
      </c>
      <c r="Q464" s="5">
        <v>0</v>
      </c>
      <c r="R464" s="25">
        <f t="shared" si="145"/>
        <v>0</v>
      </c>
      <c r="S464" s="5">
        <f>ROUND(T464*$H464,2)</f>
        <v>0</v>
      </c>
      <c r="T464" s="5">
        <v>0</v>
      </c>
      <c r="U464" s="25">
        <f t="shared" si="146"/>
        <v>0</v>
      </c>
      <c r="V464" s="5">
        <f>ROUND(W464*$H464,2)</f>
        <v>264.64</v>
      </c>
      <c r="W464" s="5">
        <f t="shared" ref="W464" si="153">F464</f>
        <v>0.26</v>
      </c>
      <c r="X464" s="25">
        <f t="shared" si="147"/>
        <v>1</v>
      </c>
      <c r="Y464" s="5">
        <f t="shared" si="148"/>
        <v>264.64</v>
      </c>
      <c r="Z464" s="25">
        <f t="shared" si="149"/>
        <v>1</v>
      </c>
      <c r="AA464" s="25">
        <f t="shared" si="150"/>
        <v>1.6418052147130883E-4</v>
      </c>
    </row>
    <row r="465" spans="1:27" x14ac:dyDescent="0.3">
      <c r="A465" s="15" t="s">
        <v>153</v>
      </c>
      <c r="B465" s="48" t="str">
        <f>VLOOKUP(A465,MEMORIA!$A:$N,2,FALSE)</f>
        <v>INSTALAÇÕES HIDRÁULICAS</v>
      </c>
      <c r="C465" s="49"/>
      <c r="D465" s="49"/>
      <c r="E465" s="49"/>
      <c r="F465" s="49"/>
      <c r="G465" s="49"/>
      <c r="H465" s="50"/>
      <c r="I465" s="16">
        <f>SUM(I$466:I$467)</f>
        <v>705.57</v>
      </c>
      <c r="J465" s="16">
        <f>SUM(J$466:J$467)</f>
        <v>0</v>
      </c>
      <c r="K465" s="16"/>
      <c r="L465" s="17">
        <f t="shared" si="143"/>
        <v>0</v>
      </c>
      <c r="M465" s="16">
        <f>SUM(M$466:M$467)</f>
        <v>0</v>
      </c>
      <c r="N465" s="16"/>
      <c r="O465" s="17">
        <f t="shared" si="144"/>
        <v>0</v>
      </c>
      <c r="P465" s="16">
        <f>SUM(P$466:P$467)</f>
        <v>0</v>
      </c>
      <c r="Q465" s="16"/>
      <c r="R465" s="17">
        <f t="shared" si="145"/>
        <v>0</v>
      </c>
      <c r="S465" s="16">
        <f>SUM(S$466:S$467)</f>
        <v>0</v>
      </c>
      <c r="T465" s="16"/>
      <c r="U465" s="17">
        <f t="shared" si="146"/>
        <v>0</v>
      </c>
      <c r="V465" s="16">
        <f>SUM(V$466:V$467)</f>
        <v>705.57</v>
      </c>
      <c r="W465" s="16"/>
      <c r="X465" s="17">
        <f t="shared" si="147"/>
        <v>1</v>
      </c>
      <c r="Y465" s="16">
        <f t="shared" si="148"/>
        <v>705.57</v>
      </c>
      <c r="Z465" s="17">
        <f t="shared" si="149"/>
        <v>1</v>
      </c>
      <c r="AA465" s="17">
        <f t="shared" si="150"/>
        <v>4.3772993702581391E-4</v>
      </c>
    </row>
    <row r="466" spans="1:27" ht="43.2" x14ac:dyDescent="0.3">
      <c r="A466" s="23" t="s">
        <v>493</v>
      </c>
      <c r="B466" s="23">
        <f>VLOOKUP(A466,MEMORIA!$A:$N,2,FALSE)</f>
        <v>94498</v>
      </c>
      <c r="C466" s="23" t="str">
        <f>VLOOKUP(A466,MEMORIA!$A:$N,3,FALSE)</f>
        <v>SINAPI</v>
      </c>
      <c r="D466" s="24" t="str">
        <f>VLOOKUP(A466,MEMORIA!$A:$N,4,FALSE)</f>
        <v>REGISTRO DE GAVETA BRUTO, LATÃO, ROSCÁVEL, 2" - FORNECIMENTO E INSTALAÇÃO. AF_08/2021</v>
      </c>
      <c r="E466" s="23" t="str">
        <f>VLOOKUP(A466,MEMORIA!$A:$N,5,FALSE)</f>
        <v>UN</v>
      </c>
      <c r="F466" s="5">
        <f>VLOOKUP(A466,MEMORIA!$A:$N,14,FALSE)</f>
        <v>1</v>
      </c>
      <c r="G466" s="5">
        <f>VLOOKUP(A466,ORCAMENTO!$A:$I,7,FALSE)</f>
        <v>164.12</v>
      </c>
      <c r="H466" s="5">
        <f>VLOOKUP(A466,ORCAMENTO!$A:$I,8,FALSE)</f>
        <v>200.77</v>
      </c>
      <c r="I466" s="5">
        <f>ROUND(F466*H466,2)</f>
        <v>200.77</v>
      </c>
      <c r="J466" s="5">
        <f>ROUND(K466*$H466,2)</f>
        <v>0</v>
      </c>
      <c r="K466" s="5">
        <v>0</v>
      </c>
      <c r="L466" s="25">
        <f t="shared" si="143"/>
        <v>0</v>
      </c>
      <c r="M466" s="5">
        <f>ROUND(N466*$H466,2)</f>
        <v>0</v>
      </c>
      <c r="N466" s="5">
        <v>0</v>
      </c>
      <c r="O466" s="25">
        <f t="shared" si="144"/>
        <v>0</v>
      </c>
      <c r="P466" s="5">
        <f>ROUND(Q466*$H466,2)</f>
        <v>0</v>
      </c>
      <c r="Q466" s="5">
        <v>0</v>
      </c>
      <c r="R466" s="25">
        <f t="shared" si="145"/>
        <v>0</v>
      </c>
      <c r="S466" s="5">
        <f>ROUND(T466*$H466,2)</f>
        <v>0</v>
      </c>
      <c r="T466" s="5">
        <v>0</v>
      </c>
      <c r="U466" s="25">
        <f t="shared" si="146"/>
        <v>0</v>
      </c>
      <c r="V466" s="5">
        <f>ROUND(W466*$H466,2)</f>
        <v>200.77</v>
      </c>
      <c r="W466" s="5">
        <f t="shared" ref="W466:W467" si="154">F466</f>
        <v>1</v>
      </c>
      <c r="X466" s="25">
        <f t="shared" si="147"/>
        <v>1</v>
      </c>
      <c r="Y466" s="5">
        <f t="shared" si="148"/>
        <v>200.77</v>
      </c>
      <c r="Z466" s="25">
        <f t="shared" si="149"/>
        <v>1</v>
      </c>
      <c r="AA466" s="25">
        <f t="shared" si="150"/>
        <v>1.2455608863283963E-4</v>
      </c>
    </row>
    <row r="467" spans="1:27" ht="43.2" x14ac:dyDescent="0.3">
      <c r="A467" s="23" t="s">
        <v>494</v>
      </c>
      <c r="B467" s="23" t="str">
        <f>VLOOKUP(A467,MEMORIA!$A:$N,2,FALSE)</f>
        <v>COMPOS27</v>
      </c>
      <c r="C467" s="23" t="str">
        <f>VLOOKUP(A467,MEMORIA!$A:$N,3,FALSE)</f>
        <v>PRÓPRIA</v>
      </c>
      <c r="D467" s="24" t="str">
        <f>VLOOKUP(A467,MEMORIA!$A:$N,4,FALSE)</f>
        <v>AQUISIÇÃO E ASSENTAMENTO DE TUBO RÍGIDO PVC, CLASSE 12, DN 50 MM, INCLUSO CONEXÕES</v>
      </c>
      <c r="E467" s="23" t="str">
        <f>VLOOKUP(A467,MEMORIA!$A:$N,5,FALSE)</f>
        <v>M</v>
      </c>
      <c r="F467" s="5">
        <f>VLOOKUP(A467,MEMORIA!$A:$N,14,FALSE)</f>
        <v>16</v>
      </c>
      <c r="G467" s="5">
        <f>VLOOKUP(A467,ORCAMENTO!$A:$I,7,FALSE)</f>
        <v>25.79</v>
      </c>
      <c r="H467" s="5">
        <f>VLOOKUP(A467,ORCAMENTO!$A:$I,8,FALSE)</f>
        <v>31.549999999999997</v>
      </c>
      <c r="I467" s="5">
        <f>ROUND(F467*H467,2)</f>
        <v>504.8</v>
      </c>
      <c r="J467" s="5">
        <f>ROUND(K467*$H467,2)</f>
        <v>0</v>
      </c>
      <c r="K467" s="5">
        <v>0</v>
      </c>
      <c r="L467" s="25">
        <f t="shared" si="143"/>
        <v>0</v>
      </c>
      <c r="M467" s="5">
        <f>ROUND(N467*$H467,2)</f>
        <v>0</v>
      </c>
      <c r="N467" s="5">
        <v>0</v>
      </c>
      <c r="O467" s="25">
        <f t="shared" si="144"/>
        <v>0</v>
      </c>
      <c r="P467" s="5">
        <f>ROUND(Q467*$H467,2)</f>
        <v>0</v>
      </c>
      <c r="Q467" s="5">
        <v>0</v>
      </c>
      <c r="R467" s="25">
        <f t="shared" si="145"/>
        <v>0</v>
      </c>
      <c r="S467" s="5">
        <f>ROUND(T467*$H467,2)</f>
        <v>0</v>
      </c>
      <c r="T467" s="5">
        <v>0</v>
      </c>
      <c r="U467" s="25">
        <f t="shared" si="146"/>
        <v>0</v>
      </c>
      <c r="V467" s="5">
        <f>ROUND(W467*$H467,2)</f>
        <v>504.8</v>
      </c>
      <c r="W467" s="5">
        <f t="shared" si="154"/>
        <v>16</v>
      </c>
      <c r="X467" s="25">
        <f t="shared" si="147"/>
        <v>1</v>
      </c>
      <c r="Y467" s="5">
        <f t="shared" si="148"/>
        <v>504.8</v>
      </c>
      <c r="Z467" s="25">
        <f t="shared" si="149"/>
        <v>1</v>
      </c>
      <c r="AA467" s="25">
        <f t="shared" si="150"/>
        <v>3.1317384839297429E-4</v>
      </c>
    </row>
    <row r="468" spans="1:27" x14ac:dyDescent="0.3">
      <c r="A468" s="12" t="s">
        <v>154</v>
      </c>
      <c r="B468" s="51" t="str">
        <f>VLOOKUP(A468,MEMORIA!$A:$N,2,FALSE)</f>
        <v>RESERVAÇÃO</v>
      </c>
      <c r="C468" s="52"/>
      <c r="D468" s="52"/>
      <c r="E468" s="52"/>
      <c r="F468" s="52"/>
      <c r="G468" s="52"/>
      <c r="H468" s="53"/>
      <c r="I468" s="13">
        <f>SUM(I$469:I$471)</f>
        <v>31488.33</v>
      </c>
      <c r="J468" s="13">
        <f>SUM(J$469:J$471)</f>
        <v>0</v>
      </c>
      <c r="K468" s="13"/>
      <c r="L468" s="14">
        <f t="shared" si="143"/>
        <v>0</v>
      </c>
      <c r="M468" s="13">
        <f>SUM(M$469:M$471)</f>
        <v>0</v>
      </c>
      <c r="N468" s="13"/>
      <c r="O468" s="14">
        <f t="shared" si="144"/>
        <v>0</v>
      </c>
      <c r="P468" s="13">
        <f>SUM(P$469:P$471)</f>
        <v>0</v>
      </c>
      <c r="Q468" s="13"/>
      <c r="R468" s="14">
        <f t="shared" si="145"/>
        <v>0</v>
      </c>
      <c r="S468" s="13">
        <f>SUM(S$469:S$471)</f>
        <v>0</v>
      </c>
      <c r="T468" s="13"/>
      <c r="U468" s="14">
        <f t="shared" si="146"/>
        <v>0</v>
      </c>
      <c r="V468" s="13">
        <f>SUM(V$469:V$471)</f>
        <v>31488.33</v>
      </c>
      <c r="W468" s="13"/>
      <c r="X468" s="14">
        <f t="shared" si="147"/>
        <v>1</v>
      </c>
      <c r="Y468" s="13">
        <f t="shared" si="148"/>
        <v>31488.33</v>
      </c>
      <c r="Z468" s="14">
        <f t="shared" si="149"/>
        <v>1</v>
      </c>
      <c r="AA468" s="14">
        <f t="shared" si="150"/>
        <v>1.9535105953977703E-2</v>
      </c>
    </row>
    <row r="469" spans="1:27" ht="158.4" x14ac:dyDescent="0.3">
      <c r="A469" s="23" t="s">
        <v>495</v>
      </c>
      <c r="B469" s="23" t="str">
        <f>VLOOKUP(A469,MEMORIA!$A:$N,2,FALSE)</f>
        <v>COMPOS34</v>
      </c>
      <c r="C469" s="23" t="str">
        <f>VLOOKUP(A469,MEMORIA!$A:$N,3,FALSE)</f>
        <v>PRÓPRIA</v>
      </c>
      <c r="D469" s="24" t="str">
        <f>VLOOKUP(A469,MEMORIA!$A:$N,4,FALSE)</f>
        <v>FORNECIMENTO E INSTALAÇÃO DE RESERVATÓRIO ELEVADO C/ CAIXA D'AGUA EM POLIESTER REFORCADO COM FIBRA DE VIDRO DE 10.000 LITROS, APOIADO EM ESTRUTURA PRÉ-MOLDADA EM CONCRETO, COMPOSTA DE CAPITEL P/APOIO DA CAIXA E PILAR C/ALTURA ÚTIL = 10,00M, INCLUSO FRETE E MONTAGEM NO LOCAL, COM FUNDAÇÃO EM CONCRETO SIMPLES FCK=20MPA</v>
      </c>
      <c r="E469" s="23" t="str">
        <f>VLOOKUP(A469,MEMORIA!$A:$N,5,FALSE)</f>
        <v>UND</v>
      </c>
      <c r="F469" s="5">
        <f>VLOOKUP(A469,MEMORIA!$A:$N,14,FALSE)</f>
        <v>1</v>
      </c>
      <c r="G469" s="5">
        <f>VLOOKUP(A469,ORCAMENTO!$A:$I,7,FALSE)</f>
        <v>24798.26</v>
      </c>
      <c r="H469" s="5">
        <f>VLOOKUP(A469,ORCAMENTO!$A:$I,8,FALSE)</f>
        <v>30335.71</v>
      </c>
      <c r="I469" s="5">
        <f>ROUND(F469*H469,2)</f>
        <v>30335.71</v>
      </c>
      <c r="J469" s="5">
        <f>ROUND(K469*$H469,2)</f>
        <v>0</v>
      </c>
      <c r="K469" s="5">
        <v>0</v>
      </c>
      <c r="L469" s="25">
        <f t="shared" si="143"/>
        <v>0</v>
      </c>
      <c r="M469" s="5">
        <f>ROUND(N469*$H469,2)</f>
        <v>0</v>
      </c>
      <c r="N469" s="5">
        <v>0</v>
      </c>
      <c r="O469" s="25">
        <f t="shared" si="144"/>
        <v>0</v>
      </c>
      <c r="P469" s="5">
        <f>ROUND(Q469*$H469,2)</f>
        <v>0</v>
      </c>
      <c r="Q469" s="5">
        <v>0</v>
      </c>
      <c r="R469" s="25">
        <f t="shared" si="145"/>
        <v>0</v>
      </c>
      <c r="S469" s="5">
        <f>ROUND(T469*$H469,2)</f>
        <v>0</v>
      </c>
      <c r="T469" s="5">
        <v>0</v>
      </c>
      <c r="U469" s="25">
        <f t="shared" si="146"/>
        <v>0</v>
      </c>
      <c r="V469" s="5">
        <f>ROUND(W469*$H469,2)</f>
        <v>30335.71</v>
      </c>
      <c r="W469" s="5">
        <f t="shared" ref="W469:W471" si="155">F469</f>
        <v>1</v>
      </c>
      <c r="X469" s="25">
        <f t="shared" si="147"/>
        <v>1</v>
      </c>
      <c r="Y469" s="5">
        <f t="shared" si="148"/>
        <v>30335.71</v>
      </c>
      <c r="Z469" s="25">
        <f t="shared" si="149"/>
        <v>1</v>
      </c>
      <c r="AA469" s="25">
        <f t="shared" si="150"/>
        <v>1.8820029802759972E-2</v>
      </c>
    </row>
    <row r="470" spans="1:27" ht="43.2" x14ac:dyDescent="0.3">
      <c r="A470" s="23" t="s">
        <v>496</v>
      </c>
      <c r="B470" s="23">
        <f>VLOOKUP(A470,MEMORIA!$A:$N,2,FALSE)</f>
        <v>94498</v>
      </c>
      <c r="C470" s="23" t="str">
        <f>VLOOKUP(A470,MEMORIA!$A:$N,3,FALSE)</f>
        <v>SINAPI</v>
      </c>
      <c r="D470" s="24" t="str">
        <f>VLOOKUP(A470,MEMORIA!$A:$N,4,FALSE)</f>
        <v>REGISTRO DE GAVETA BRUTO, LATÃO, ROSCÁVEL, 2" - FORNECIMENTO E INSTALAÇÃO. AF_08/2021</v>
      </c>
      <c r="E470" s="23" t="str">
        <f>VLOOKUP(A470,MEMORIA!$A:$N,5,FALSE)</f>
        <v>UN</v>
      </c>
      <c r="F470" s="5">
        <f>VLOOKUP(A470,MEMORIA!$A:$N,14,FALSE)</f>
        <v>2</v>
      </c>
      <c r="G470" s="5">
        <f>VLOOKUP(A470,ORCAMENTO!$A:$I,7,FALSE)</f>
        <v>164.12</v>
      </c>
      <c r="H470" s="5">
        <f>VLOOKUP(A470,ORCAMENTO!$A:$I,8,FALSE)</f>
        <v>200.77</v>
      </c>
      <c r="I470" s="5">
        <f>ROUND(F470*H470,2)</f>
        <v>401.54</v>
      </c>
      <c r="J470" s="5">
        <f>ROUND(K470*$H470,2)</f>
        <v>0</v>
      </c>
      <c r="K470" s="5">
        <v>0</v>
      </c>
      <c r="L470" s="25">
        <f t="shared" si="143"/>
        <v>0</v>
      </c>
      <c r="M470" s="5">
        <f>ROUND(N470*$H470,2)</f>
        <v>0</v>
      </c>
      <c r="N470" s="5">
        <v>0</v>
      </c>
      <c r="O470" s="25">
        <f t="shared" si="144"/>
        <v>0</v>
      </c>
      <c r="P470" s="5">
        <f>ROUND(Q470*$H470,2)</f>
        <v>0</v>
      </c>
      <c r="Q470" s="5">
        <v>0</v>
      </c>
      <c r="R470" s="25">
        <f t="shared" si="145"/>
        <v>0</v>
      </c>
      <c r="S470" s="5">
        <f>ROUND(T470*$H470,2)</f>
        <v>0</v>
      </c>
      <c r="T470" s="5">
        <v>0</v>
      </c>
      <c r="U470" s="25">
        <f t="shared" si="146"/>
        <v>0</v>
      </c>
      <c r="V470" s="5">
        <f>ROUND(W470*$H470,2)</f>
        <v>401.54</v>
      </c>
      <c r="W470" s="5">
        <f t="shared" si="155"/>
        <v>2</v>
      </c>
      <c r="X470" s="25">
        <f t="shared" si="147"/>
        <v>1</v>
      </c>
      <c r="Y470" s="5">
        <f t="shared" si="148"/>
        <v>401.54</v>
      </c>
      <c r="Z470" s="25">
        <f t="shared" si="149"/>
        <v>1</v>
      </c>
      <c r="AA470" s="25">
        <f t="shared" si="150"/>
        <v>2.4911217726567925E-4</v>
      </c>
    </row>
    <row r="471" spans="1:27" ht="43.2" x14ac:dyDescent="0.3">
      <c r="A471" s="23" t="s">
        <v>497</v>
      </c>
      <c r="B471" s="23" t="str">
        <f>VLOOKUP(A471,MEMORIA!$A:$N,2,FALSE)</f>
        <v>COMPOS35</v>
      </c>
      <c r="C471" s="23" t="str">
        <f>VLOOKUP(A471,MEMORIA!$A:$N,3,FALSE)</f>
        <v>PRÓPRIA</v>
      </c>
      <c r="D471" s="24" t="str">
        <f>VLOOKUP(A471,MEMORIA!$A:$N,4,FALSE)</f>
        <v>AQUISIÇÃO E ASSENTAMENTO DE TUBO RÍGIDO PVC, CLASSE 12, DN 60 MM, INCLUSO CONEXÕES</v>
      </c>
      <c r="E471" s="23" t="str">
        <f>VLOOKUP(A471,MEMORIA!$A:$N,5,FALSE)</f>
        <v>M</v>
      </c>
      <c r="F471" s="5">
        <f>VLOOKUP(A471,MEMORIA!$A:$N,14,FALSE)</f>
        <v>22</v>
      </c>
      <c r="G471" s="5">
        <f>VLOOKUP(A471,ORCAMENTO!$A:$I,7,FALSE)</f>
        <v>27.91</v>
      </c>
      <c r="H471" s="5">
        <f>VLOOKUP(A471,ORCAMENTO!$A:$I,8,FALSE)</f>
        <v>34.14</v>
      </c>
      <c r="I471" s="5">
        <f>ROUND(F471*H471,2)</f>
        <v>751.08</v>
      </c>
      <c r="J471" s="5">
        <f>ROUND(K471*$H471,2)</f>
        <v>0</v>
      </c>
      <c r="K471" s="5">
        <v>0</v>
      </c>
      <c r="L471" s="25">
        <f t="shared" si="143"/>
        <v>0</v>
      </c>
      <c r="M471" s="5">
        <f>ROUND(N471*$H471,2)</f>
        <v>0</v>
      </c>
      <c r="N471" s="5">
        <v>0</v>
      </c>
      <c r="O471" s="25">
        <f t="shared" si="144"/>
        <v>0</v>
      </c>
      <c r="P471" s="5">
        <f>ROUND(Q471*$H471,2)</f>
        <v>0</v>
      </c>
      <c r="Q471" s="5">
        <v>0</v>
      </c>
      <c r="R471" s="25">
        <f t="shared" si="145"/>
        <v>0</v>
      </c>
      <c r="S471" s="5">
        <f>ROUND(T471*$H471,2)</f>
        <v>0</v>
      </c>
      <c r="T471" s="5">
        <v>0</v>
      </c>
      <c r="U471" s="25">
        <f t="shared" si="146"/>
        <v>0</v>
      </c>
      <c r="V471" s="5">
        <f>ROUND(W471*$H471,2)</f>
        <v>751.08</v>
      </c>
      <c r="W471" s="5">
        <f t="shared" si="155"/>
        <v>22</v>
      </c>
      <c r="X471" s="25">
        <f t="shared" si="147"/>
        <v>1</v>
      </c>
      <c r="Y471" s="5">
        <f t="shared" si="148"/>
        <v>751.08</v>
      </c>
      <c r="Z471" s="25">
        <f t="shared" si="149"/>
        <v>1</v>
      </c>
      <c r="AA471" s="25">
        <f t="shared" si="150"/>
        <v>4.6596397395205058E-4</v>
      </c>
    </row>
    <row r="472" spans="1:27" x14ac:dyDescent="0.3">
      <c r="A472" s="12" t="s">
        <v>155</v>
      </c>
      <c r="B472" s="51" t="str">
        <f>VLOOKUP(A472,MEMORIA!$A:$N,2,FALSE)</f>
        <v>DISTRIBUIÇÃO</v>
      </c>
      <c r="C472" s="52"/>
      <c r="D472" s="52"/>
      <c r="E472" s="52"/>
      <c r="F472" s="52"/>
      <c r="G472" s="52"/>
      <c r="H472" s="53"/>
      <c r="I472" s="13">
        <f>SUM(I$473,I$476,)</f>
        <v>70819.959999999992</v>
      </c>
      <c r="J472" s="13">
        <f>SUM(J$473,J$476,)</f>
        <v>0</v>
      </c>
      <c r="K472" s="13"/>
      <c r="L472" s="14">
        <f t="shared" si="143"/>
        <v>0</v>
      </c>
      <c r="M472" s="13">
        <f>SUM(M$473,M$476,)</f>
        <v>0</v>
      </c>
      <c r="N472" s="13"/>
      <c r="O472" s="14">
        <f t="shared" si="144"/>
        <v>0</v>
      </c>
      <c r="P472" s="13">
        <f>SUM(P$473,P$476,)</f>
        <v>0</v>
      </c>
      <c r="Q472" s="13"/>
      <c r="R472" s="14">
        <f t="shared" si="145"/>
        <v>0</v>
      </c>
      <c r="S472" s="13">
        <f>SUM(S$473,S$476,)</f>
        <v>0</v>
      </c>
      <c r="T472" s="13"/>
      <c r="U472" s="14">
        <f t="shared" si="146"/>
        <v>0</v>
      </c>
      <c r="V472" s="13">
        <f>SUM(V$473,V$476,)</f>
        <v>70819.959999999992</v>
      </c>
      <c r="W472" s="13"/>
      <c r="X472" s="14">
        <f t="shared" si="147"/>
        <v>1</v>
      </c>
      <c r="Y472" s="13">
        <f t="shared" si="148"/>
        <v>70819.959999999992</v>
      </c>
      <c r="Z472" s="14">
        <f t="shared" si="149"/>
        <v>1</v>
      </c>
      <c r="AA472" s="14">
        <f t="shared" si="150"/>
        <v>4.3936131965603205E-2</v>
      </c>
    </row>
    <row r="473" spans="1:27" x14ac:dyDescent="0.3">
      <c r="A473" s="15" t="s">
        <v>156</v>
      </c>
      <c r="B473" s="48" t="str">
        <f>VLOOKUP(A473,MEMORIA!$A:$N,2,FALSE)</f>
        <v>MOVIMENTO DE TERRA</v>
      </c>
      <c r="C473" s="49"/>
      <c r="D473" s="49"/>
      <c r="E473" s="49"/>
      <c r="F473" s="49"/>
      <c r="G473" s="49"/>
      <c r="H473" s="50"/>
      <c r="I473" s="16">
        <f>SUM(I$474:I$475)</f>
        <v>14391.86</v>
      </c>
      <c r="J473" s="16">
        <f>SUM(J$474:J$475)</f>
        <v>0</v>
      </c>
      <c r="K473" s="16"/>
      <c r="L473" s="17">
        <f t="shared" si="143"/>
        <v>0</v>
      </c>
      <c r="M473" s="16">
        <f>SUM(M$474:M$475)</f>
        <v>0</v>
      </c>
      <c r="N473" s="16"/>
      <c r="O473" s="17">
        <f t="shared" si="144"/>
        <v>0</v>
      </c>
      <c r="P473" s="16">
        <f>SUM(P$474:P$475)</f>
        <v>0</v>
      </c>
      <c r="Q473" s="16"/>
      <c r="R473" s="17">
        <f t="shared" si="145"/>
        <v>0</v>
      </c>
      <c r="S473" s="16">
        <f>SUM(S$474:S$475)</f>
        <v>0</v>
      </c>
      <c r="T473" s="16"/>
      <c r="U473" s="17">
        <f t="shared" si="146"/>
        <v>0</v>
      </c>
      <c r="V473" s="16">
        <f>SUM(V$474:V$475)</f>
        <v>14391.86</v>
      </c>
      <c r="W473" s="16"/>
      <c r="X473" s="17">
        <f t="shared" si="147"/>
        <v>1</v>
      </c>
      <c r="Y473" s="16">
        <f t="shared" si="148"/>
        <v>14391.86</v>
      </c>
      <c r="Z473" s="17">
        <f t="shared" si="149"/>
        <v>1</v>
      </c>
      <c r="AA473" s="17">
        <f t="shared" si="150"/>
        <v>8.928593862386907E-3</v>
      </c>
    </row>
    <row r="474" spans="1:27" ht="115.2" x14ac:dyDescent="0.3">
      <c r="A474" s="23" t="s">
        <v>498</v>
      </c>
      <c r="B474" s="23">
        <f>VLOOKUP(A474,MEMORIA!$A:$N,2,FALSE)</f>
        <v>102314</v>
      </c>
      <c r="C474" s="23" t="str">
        <f>VLOOKUP(A474,MEMORIA!$A:$N,3,FALSE)</f>
        <v>SINAPI</v>
      </c>
      <c r="D474" s="24" t="str">
        <f>VLOOKUP(A474,MEMORIA!$A:$N,4,FALSE)</f>
        <v>ESCAVAÇÃO MECANIZADA DE VALA COM PROF. ATÉ 1,5 M (MÉDIA MONTANTE E JUSANTE/UMA COMPOSIÇÃO POR TRECHO),COM ESCAVADEIRA (0,8 M3), LARG. MENOR QUE 1,5 M, EM SOLO DE 2A CATEGORIA, LOCAIS COM BAIXO NÍVEL DE INTERFERÊNCIA. AF_09/2024</v>
      </c>
      <c r="E474" s="23" t="str">
        <f>VLOOKUP(A474,MEMORIA!$A:$N,5,FALSE)</f>
        <v>M3</v>
      </c>
      <c r="F474" s="5">
        <f>VLOOKUP(A474,MEMORIA!$A:$N,14,FALSE)</f>
        <v>553.32000000000005</v>
      </c>
      <c r="G474" s="5">
        <f>VLOOKUP(A474,ORCAMENTO!$A:$I,7,FALSE)</f>
        <v>8.5</v>
      </c>
      <c r="H474" s="5">
        <f>VLOOKUP(A474,ORCAMENTO!$A:$I,8,FALSE)</f>
        <v>10.4</v>
      </c>
      <c r="I474" s="5">
        <f>ROUND(F474*H474,2)</f>
        <v>5754.53</v>
      </c>
      <c r="J474" s="5">
        <f>ROUND(K474*$H474,2)</f>
        <v>0</v>
      </c>
      <c r="K474" s="5">
        <v>0</v>
      </c>
      <c r="L474" s="25">
        <f t="shared" si="143"/>
        <v>0</v>
      </c>
      <c r="M474" s="5">
        <f>ROUND(N474*$H474,2)</f>
        <v>0</v>
      </c>
      <c r="N474" s="5">
        <v>0</v>
      </c>
      <c r="O474" s="25">
        <f t="shared" si="144"/>
        <v>0</v>
      </c>
      <c r="P474" s="5">
        <f>ROUND(Q474*$H474,2)</f>
        <v>0</v>
      </c>
      <c r="Q474" s="5">
        <v>0</v>
      </c>
      <c r="R474" s="25">
        <f t="shared" si="145"/>
        <v>0</v>
      </c>
      <c r="S474" s="5">
        <f>ROUND(T474*$H474,2)</f>
        <v>0</v>
      </c>
      <c r="T474" s="5">
        <v>0</v>
      </c>
      <c r="U474" s="25">
        <f t="shared" si="146"/>
        <v>0</v>
      </c>
      <c r="V474" s="5">
        <f>ROUND(W474*$H474,2)</f>
        <v>5754.53</v>
      </c>
      <c r="W474" s="5">
        <f t="shared" ref="W474:W475" si="156">F474</f>
        <v>553.32000000000005</v>
      </c>
      <c r="X474" s="25">
        <f t="shared" si="147"/>
        <v>1</v>
      </c>
      <c r="Y474" s="5">
        <f t="shared" si="148"/>
        <v>5754.53</v>
      </c>
      <c r="Z474" s="25">
        <f t="shared" si="149"/>
        <v>1</v>
      </c>
      <c r="AA474" s="25">
        <f t="shared" si="150"/>
        <v>3.5700639972124052E-3</v>
      </c>
    </row>
    <row r="475" spans="1:27" ht="115.2" x14ac:dyDescent="0.3">
      <c r="A475" s="23" t="s">
        <v>499</v>
      </c>
      <c r="B475" s="23" t="str">
        <f>VLOOKUP(A475,MEMORIA!$A:$N,2,FALSE)</f>
        <v>COMP199</v>
      </c>
      <c r="C475" s="23" t="str">
        <f>VLOOKUP(A475,MEMORIA!$A:$N,3,FALSE)</f>
        <v>PRÓPRIA</v>
      </c>
      <c r="D475" s="24" t="str">
        <f>VLOOKUP(A475,MEMORIA!$A:$N,4,FALSE)</f>
        <v>REATERRO MECANIZADO DE VALA COM RETROESCAVADEIRA (CAPACIDADE DA CAÇAMBA DA RETRO: 0,26 M³/POTÊNCIA: 88 HP), LARGURA ATÉ 0,8 M, PROFUNDIDADE ATÉ 1,5 M, COM SOLO (SEM SUBSTITUIÇÃO) DE 1ª CATEGORIA. AF_08/2023 (REF: 104733-SINAPI-05/2025)</v>
      </c>
      <c r="E475" s="23" t="str">
        <f>VLOOKUP(A475,MEMORIA!$A:$N,5,FALSE)</f>
        <v>M3</v>
      </c>
      <c r="F475" s="5">
        <f>VLOOKUP(A475,MEMORIA!$A:$N,14,FALSE)</f>
        <v>553.32000000000005</v>
      </c>
      <c r="G475" s="5">
        <f>VLOOKUP(A475,ORCAMENTO!$A:$I,7,FALSE)</f>
        <v>12.76</v>
      </c>
      <c r="H475" s="5">
        <f>VLOOKUP(A475,ORCAMENTO!$A:$I,8,FALSE)</f>
        <v>15.61</v>
      </c>
      <c r="I475" s="5">
        <f>ROUND(F475*H475,2)</f>
        <v>8637.33</v>
      </c>
      <c r="J475" s="5">
        <f>ROUND(K475*$H475,2)</f>
        <v>0</v>
      </c>
      <c r="K475" s="5">
        <v>0</v>
      </c>
      <c r="L475" s="25">
        <f t="shared" si="143"/>
        <v>0</v>
      </c>
      <c r="M475" s="5">
        <f>ROUND(N475*$H475,2)</f>
        <v>0</v>
      </c>
      <c r="N475" s="5">
        <v>0</v>
      </c>
      <c r="O475" s="25">
        <f t="shared" si="144"/>
        <v>0</v>
      </c>
      <c r="P475" s="5">
        <f>ROUND(Q475*$H475,2)</f>
        <v>0</v>
      </c>
      <c r="Q475" s="5">
        <v>0</v>
      </c>
      <c r="R475" s="25">
        <f t="shared" si="145"/>
        <v>0</v>
      </c>
      <c r="S475" s="5">
        <f>ROUND(T475*$H475,2)</f>
        <v>0</v>
      </c>
      <c r="T475" s="5">
        <v>0</v>
      </c>
      <c r="U475" s="25">
        <f t="shared" si="146"/>
        <v>0</v>
      </c>
      <c r="V475" s="5">
        <f>ROUND(W475*$H475,2)</f>
        <v>8637.33</v>
      </c>
      <c r="W475" s="5">
        <f t="shared" si="156"/>
        <v>553.32000000000005</v>
      </c>
      <c r="X475" s="25">
        <f t="shared" si="147"/>
        <v>1</v>
      </c>
      <c r="Y475" s="5">
        <f t="shared" si="148"/>
        <v>8637.33</v>
      </c>
      <c r="Z475" s="25">
        <f t="shared" si="149"/>
        <v>1</v>
      </c>
      <c r="AA475" s="25">
        <f t="shared" si="150"/>
        <v>5.3585298651745014E-3</v>
      </c>
    </row>
    <row r="476" spans="1:27" x14ac:dyDescent="0.3">
      <c r="A476" s="15" t="s">
        <v>157</v>
      </c>
      <c r="B476" s="48" t="str">
        <f>VLOOKUP(A476,MEMORIA!$A:$N,2,FALSE)</f>
        <v>INSTALAÇÕES HIDRÁULICAS</v>
      </c>
      <c r="C476" s="49"/>
      <c r="D476" s="49"/>
      <c r="E476" s="49"/>
      <c r="F476" s="49"/>
      <c r="G476" s="49"/>
      <c r="H476" s="50"/>
      <c r="I476" s="16">
        <f>SUM(I$477:I$478)</f>
        <v>56428.1</v>
      </c>
      <c r="J476" s="16">
        <f>SUM(J$477:J$478)</f>
        <v>0</v>
      </c>
      <c r="K476" s="16"/>
      <c r="L476" s="17">
        <f t="shared" si="143"/>
        <v>0</v>
      </c>
      <c r="M476" s="16">
        <f>SUM(M$477:M$478)</f>
        <v>0</v>
      </c>
      <c r="N476" s="16"/>
      <c r="O476" s="17">
        <f t="shared" si="144"/>
        <v>0</v>
      </c>
      <c r="P476" s="16">
        <f>SUM(P$477:P$478)</f>
        <v>0</v>
      </c>
      <c r="Q476" s="16"/>
      <c r="R476" s="17">
        <f t="shared" si="145"/>
        <v>0</v>
      </c>
      <c r="S476" s="16">
        <f>SUM(S$477:S$478)</f>
        <v>0</v>
      </c>
      <c r="T476" s="16"/>
      <c r="U476" s="17">
        <f t="shared" si="146"/>
        <v>0</v>
      </c>
      <c r="V476" s="16">
        <f>SUM(V$477:V$478)</f>
        <v>56428.1</v>
      </c>
      <c r="W476" s="16"/>
      <c r="X476" s="17">
        <f t="shared" si="147"/>
        <v>1</v>
      </c>
      <c r="Y476" s="16">
        <f t="shared" si="148"/>
        <v>56428.1</v>
      </c>
      <c r="Z476" s="17">
        <f t="shared" si="149"/>
        <v>1</v>
      </c>
      <c r="AA476" s="17">
        <f t="shared" si="150"/>
        <v>3.5007538103216301E-2</v>
      </c>
    </row>
    <row r="477" spans="1:27" ht="43.2" x14ac:dyDescent="0.3">
      <c r="A477" s="23" t="s">
        <v>500</v>
      </c>
      <c r="B477" s="23" t="str">
        <f>VLOOKUP(A477,MEMORIA!$A:$N,2,FALSE)</f>
        <v>COMPOS35</v>
      </c>
      <c r="C477" s="23" t="str">
        <f>VLOOKUP(A477,MEMORIA!$A:$N,3,FALSE)</f>
        <v>PRÓPRIA</v>
      </c>
      <c r="D477" s="24" t="str">
        <f>VLOOKUP(A477,MEMORIA!$A:$N,4,FALSE)</f>
        <v>AQUISIÇÃO E ASSENTAMENTO DE TUBO RÍGIDO PVC, CLASSE 12, DN 60 MM, INCLUSO CONEXÕES</v>
      </c>
      <c r="E477" s="23" t="str">
        <f>VLOOKUP(A477,MEMORIA!$A:$N,5,FALSE)</f>
        <v>M</v>
      </c>
      <c r="F477" s="5">
        <f>VLOOKUP(A477,MEMORIA!$A:$N,14,FALSE)</f>
        <v>1276.2</v>
      </c>
      <c r="G477" s="5">
        <f>VLOOKUP(A477,ORCAMENTO!$A:$I,7,FALSE)</f>
        <v>27.91</v>
      </c>
      <c r="H477" s="5">
        <f>VLOOKUP(A477,ORCAMENTO!$A:$I,8,FALSE)</f>
        <v>34.14</v>
      </c>
      <c r="I477" s="5">
        <f>ROUND(F477*H477,2)</f>
        <v>43569.47</v>
      </c>
      <c r="J477" s="5">
        <f>ROUND(K477*$H477,2)</f>
        <v>0</v>
      </c>
      <c r="K477" s="5">
        <v>0</v>
      </c>
      <c r="L477" s="25">
        <f t="shared" si="143"/>
        <v>0</v>
      </c>
      <c r="M477" s="5">
        <f>ROUND(N477*$H477,2)</f>
        <v>0</v>
      </c>
      <c r="N477" s="5">
        <v>0</v>
      </c>
      <c r="O477" s="25">
        <f t="shared" si="144"/>
        <v>0</v>
      </c>
      <c r="P477" s="5">
        <f>ROUND(Q477*$H477,2)</f>
        <v>0</v>
      </c>
      <c r="Q477" s="5">
        <v>0</v>
      </c>
      <c r="R477" s="25">
        <f t="shared" si="145"/>
        <v>0</v>
      </c>
      <c r="S477" s="5">
        <f>ROUND(T477*$H477,2)</f>
        <v>0</v>
      </c>
      <c r="T477" s="5">
        <v>0</v>
      </c>
      <c r="U477" s="25">
        <f t="shared" si="146"/>
        <v>0</v>
      </c>
      <c r="V477" s="5">
        <f>ROUND(W477*$H477,2)</f>
        <v>43569.47</v>
      </c>
      <c r="W477" s="5">
        <f t="shared" ref="W477:W478" si="157">F477</f>
        <v>1276.2</v>
      </c>
      <c r="X477" s="25">
        <f t="shared" si="147"/>
        <v>1</v>
      </c>
      <c r="Y477" s="5">
        <f t="shared" si="148"/>
        <v>43569.47</v>
      </c>
      <c r="Z477" s="25">
        <f t="shared" si="149"/>
        <v>1</v>
      </c>
      <c r="AA477" s="25">
        <f t="shared" si="150"/>
        <v>2.7030147766129636E-2</v>
      </c>
    </row>
    <row r="478" spans="1:27" x14ac:dyDescent="0.3">
      <c r="A478" s="23" t="s">
        <v>501</v>
      </c>
      <c r="B478" s="23" t="str">
        <f>VLOOKUP(A478,MEMORIA!$A:$N,2,FALSE)</f>
        <v>COMPOS36</v>
      </c>
      <c r="C478" s="23" t="str">
        <f>VLOOKUP(A478,MEMORIA!$A:$N,3,FALSE)</f>
        <v>PRÓPRIA</v>
      </c>
      <c r="D478" s="24" t="str">
        <f>VLOOKUP(A478,MEMORIA!$A:$N,4,FALSE)</f>
        <v>LIGAÇÃO DOMICILIAR</v>
      </c>
      <c r="E478" s="23" t="str">
        <f>VLOOKUP(A478,MEMORIA!$A:$N,5,FALSE)</f>
        <v>UND</v>
      </c>
      <c r="F478" s="5">
        <f>VLOOKUP(A478,MEMORIA!$A:$N,14,FALSE)</f>
        <v>51</v>
      </c>
      <c r="G478" s="5">
        <f>VLOOKUP(A478,ORCAMENTO!$A:$I,7,FALSE)</f>
        <v>206.11</v>
      </c>
      <c r="H478" s="5">
        <f>VLOOKUP(A478,ORCAMENTO!$A:$I,8,FALSE)</f>
        <v>252.13000000000002</v>
      </c>
      <c r="I478" s="5">
        <f>ROUND(F478*H478,2)</f>
        <v>12858.63</v>
      </c>
      <c r="J478" s="5">
        <f>ROUND(K478*$H478,2)</f>
        <v>0</v>
      </c>
      <c r="K478" s="5">
        <v>0</v>
      </c>
      <c r="L478" s="25">
        <f t="shared" si="143"/>
        <v>0</v>
      </c>
      <c r="M478" s="5">
        <f>ROUND(N478*$H478,2)</f>
        <v>0</v>
      </c>
      <c r="N478" s="5">
        <v>0</v>
      </c>
      <c r="O478" s="25">
        <f t="shared" si="144"/>
        <v>0</v>
      </c>
      <c r="P478" s="5">
        <f>ROUND(Q478*$H478,2)</f>
        <v>0</v>
      </c>
      <c r="Q478" s="5">
        <v>0</v>
      </c>
      <c r="R478" s="25">
        <f t="shared" si="145"/>
        <v>0</v>
      </c>
      <c r="S478" s="5">
        <f>ROUND(T478*$H478,2)</f>
        <v>0</v>
      </c>
      <c r="T478" s="5">
        <v>0</v>
      </c>
      <c r="U478" s="25">
        <f t="shared" si="146"/>
        <v>0</v>
      </c>
      <c r="V478" s="5">
        <f>ROUND(W478*$H478,2)</f>
        <v>12858.63</v>
      </c>
      <c r="W478" s="5">
        <f t="shared" si="157"/>
        <v>51</v>
      </c>
      <c r="X478" s="25">
        <f t="shared" si="147"/>
        <v>1</v>
      </c>
      <c r="Y478" s="5">
        <f t="shared" si="148"/>
        <v>12858.63</v>
      </c>
      <c r="Z478" s="25">
        <f t="shared" si="149"/>
        <v>1</v>
      </c>
      <c r="AA478" s="25">
        <f t="shared" si="150"/>
        <v>7.9773903370866685E-3</v>
      </c>
    </row>
    <row r="479" spans="1:27" x14ac:dyDescent="0.3">
      <c r="A479" s="45" t="s">
        <v>504</v>
      </c>
      <c r="B479" s="47"/>
      <c r="C479" s="47"/>
      <c r="D479" s="47"/>
      <c r="E479" s="47"/>
      <c r="F479" s="47"/>
      <c r="G479" s="47"/>
      <c r="H479" s="46"/>
      <c r="I479" s="60">
        <f>SUM(I8,I11,I89,I167,I245,I323,I401,)</f>
        <v>1611884.27</v>
      </c>
      <c r="J479" s="18">
        <f>SUM(J8,J11,J89,J167,J245,J323,J401,)</f>
        <v>511370.87</v>
      </c>
      <c r="K479" s="18"/>
      <c r="L479" s="19">
        <f t="shared" si="143"/>
        <v>0.31725036314176575</v>
      </c>
      <c r="M479" s="18">
        <f>SUM(M8,M11,M89,M167,M245,M323,M401,)</f>
        <v>501941.66000000003</v>
      </c>
      <c r="N479" s="18"/>
      <c r="O479" s="19">
        <f t="shared" si="144"/>
        <v>0.31140055731172317</v>
      </c>
      <c r="P479" s="18">
        <f>SUM(P8,P11,P89,P167,P245,P323,P401,)</f>
        <v>221437.97</v>
      </c>
      <c r="Q479" s="18"/>
      <c r="R479" s="19">
        <f t="shared" si="145"/>
        <v>0.13737833051748807</v>
      </c>
      <c r="S479" s="18">
        <f>SUM(S8,S11,S89,S167,S245,S323,S401,)</f>
        <v>177915.58000000002</v>
      </c>
      <c r="T479" s="18"/>
      <c r="U479" s="19">
        <f t="shared" si="146"/>
        <v>0.11037739080362141</v>
      </c>
      <c r="V479" s="18">
        <f>SUM(V8,V11,V89,V167,V245,V323,V401,)</f>
        <v>199218.18999999997</v>
      </c>
      <c r="W479" s="18"/>
      <c r="X479" s="19">
        <f t="shared" si="147"/>
        <v>0.12359335822540161</v>
      </c>
      <c r="Y479" s="60">
        <f>SUM(Y8,Y11,Y89,Y167,Y245,Y323,Y401,)</f>
        <v>1611884.27</v>
      </c>
      <c r="Z479" s="62">
        <f t="shared" si="149"/>
        <v>1</v>
      </c>
      <c r="AA479" s="62">
        <f>SUM(AA8,AA11,AA89,AA167,AA245,AA323,AA401,)</f>
        <v>1</v>
      </c>
    </row>
    <row r="480" spans="1:27" x14ac:dyDescent="0.3">
      <c r="A480" s="45" t="s">
        <v>505</v>
      </c>
      <c r="B480" s="47"/>
      <c r="C480" s="47"/>
      <c r="D480" s="47"/>
      <c r="E480" s="47"/>
      <c r="F480" s="47"/>
      <c r="G480" s="47"/>
      <c r="H480" s="46"/>
      <c r="I480" s="61"/>
      <c r="J480" s="18">
        <f>J479</f>
        <v>511370.87</v>
      </c>
      <c r="K480" s="18"/>
      <c r="L480" s="19">
        <f>J480/$I479</f>
        <v>0.31725036314176575</v>
      </c>
      <c r="M480" s="18">
        <f>SUM(J480,M479)</f>
        <v>1013312.53</v>
      </c>
      <c r="N480" s="18"/>
      <c r="O480" s="19">
        <f>M480/$I479</f>
        <v>0.62865092045348892</v>
      </c>
      <c r="P480" s="18">
        <f>SUM(M480,P479)</f>
        <v>1234750.5</v>
      </c>
      <c r="Q480" s="18"/>
      <c r="R480" s="19">
        <f>P480/$I479</f>
        <v>0.76602925097097696</v>
      </c>
      <c r="S480" s="18">
        <f>SUM(P480,S479)</f>
        <v>1412666.08</v>
      </c>
      <c r="T480" s="18"/>
      <c r="U480" s="19">
        <f>S480/$I479</f>
        <v>0.87640664177459837</v>
      </c>
      <c r="V480" s="18">
        <f>SUM(S480,V479)</f>
        <v>1611884.27</v>
      </c>
      <c r="W480" s="18"/>
      <c r="X480" s="19">
        <f>V480/$I479</f>
        <v>1</v>
      </c>
      <c r="Y480" s="61"/>
      <c r="Z480" s="63"/>
      <c r="AA480" s="63"/>
    </row>
    <row r="482" spans="9:24" x14ac:dyDescent="0.3">
      <c r="L482" s="32">
        <f>J479/$I$483</f>
        <v>0.3343094583710251</v>
      </c>
      <c r="O482" s="32">
        <f>M479/$I$483</f>
        <v>0.32814509846533346</v>
      </c>
      <c r="R482" s="32">
        <f>P479/$I$483</f>
        <v>0.14476539857164586</v>
      </c>
      <c r="U482" s="32">
        <f>S479/$I$483</f>
        <v>0.11631257209775518</v>
      </c>
      <c r="X482" s="32">
        <f>V479/$I$483</f>
        <v>0.1302391847164778</v>
      </c>
    </row>
    <row r="483" spans="9:24" x14ac:dyDescent="0.3">
      <c r="I483" s="31">
        <f>I479-I9</f>
        <v>1529633.27</v>
      </c>
    </row>
    <row r="485" spans="9:24" x14ac:dyDescent="0.3">
      <c r="L485" s="33">
        <f>L482*$F$9</f>
        <v>1.6715472918551255</v>
      </c>
      <c r="M485" s="33"/>
      <c r="N485" s="33"/>
      <c r="O485" s="33">
        <f>O482*$F$9</f>
        <v>1.6407254923266672</v>
      </c>
      <c r="P485" s="33"/>
      <c r="R485" s="33">
        <f>R482*$F$9</f>
        <v>0.72382699285822927</v>
      </c>
      <c r="U485" s="33">
        <f>U482*$F$9</f>
        <v>0.58156286048877592</v>
      </c>
      <c r="X485" s="33">
        <f>X482*$F$9</f>
        <v>0.65119592358238898</v>
      </c>
    </row>
    <row r="488" spans="9:24" x14ac:dyDescent="0.3">
      <c r="L488" s="33">
        <v>1.5860502628842532</v>
      </c>
      <c r="O488" s="33">
        <v>1.5568416277974917</v>
      </c>
      <c r="R488" s="33">
        <v>0.68672450488737091</v>
      </c>
      <c r="U488" s="33">
        <v>0.55000000000000004</v>
      </c>
      <c r="X488" s="33">
        <v>0.61839518566433893</v>
      </c>
    </row>
  </sheetData>
  <mergeCells count="170">
    <mergeCell ref="A1:I1"/>
    <mergeCell ref="A2:I2"/>
    <mergeCell ref="A3:I3"/>
    <mergeCell ref="A6:A7"/>
    <mergeCell ref="B6:B7"/>
    <mergeCell ref="C6:C7"/>
    <mergeCell ref="D6:D7"/>
    <mergeCell ref="E6:E7"/>
    <mergeCell ref="F6:F7"/>
    <mergeCell ref="G6:G7"/>
    <mergeCell ref="B28:H28"/>
    <mergeCell ref="B32:H32"/>
    <mergeCell ref="B33:H33"/>
    <mergeCell ref="B36:H36"/>
    <mergeCell ref="B38:H38"/>
    <mergeCell ref="B42:H42"/>
    <mergeCell ref="V6:X6"/>
    <mergeCell ref="Y6:Y7"/>
    <mergeCell ref="Z6:AA6"/>
    <mergeCell ref="B8:H8"/>
    <mergeCell ref="B11:H11"/>
    <mergeCell ref="B12:H12"/>
    <mergeCell ref="H6:H7"/>
    <mergeCell ref="I6:I7"/>
    <mergeCell ref="J6:L6"/>
    <mergeCell ref="M6:O6"/>
    <mergeCell ref="P6:R6"/>
    <mergeCell ref="S6:U6"/>
    <mergeCell ref="B64:H64"/>
    <mergeCell ref="B66:H66"/>
    <mergeCell ref="B69:H69"/>
    <mergeCell ref="B70:H70"/>
    <mergeCell ref="B73:H73"/>
    <mergeCell ref="B75:H75"/>
    <mergeCell ref="B45:H45"/>
    <mergeCell ref="B48:H48"/>
    <mergeCell ref="B51:H51"/>
    <mergeCell ref="B55:H55"/>
    <mergeCell ref="B58:H58"/>
    <mergeCell ref="B61:H61"/>
    <mergeCell ref="B106:H106"/>
    <mergeCell ref="B110:H110"/>
    <mergeCell ref="B111:H111"/>
    <mergeCell ref="B114:H114"/>
    <mergeCell ref="B116:H116"/>
    <mergeCell ref="B120:H120"/>
    <mergeCell ref="B78:H78"/>
    <mergeCell ref="B82:H82"/>
    <mergeCell ref="B83:H83"/>
    <mergeCell ref="B86:H86"/>
    <mergeCell ref="B89:H89"/>
    <mergeCell ref="B90:H90"/>
    <mergeCell ref="B142:H142"/>
    <mergeCell ref="B144:H144"/>
    <mergeCell ref="B147:H147"/>
    <mergeCell ref="B148:H148"/>
    <mergeCell ref="B151:H151"/>
    <mergeCell ref="B153:H153"/>
    <mergeCell ref="B123:H123"/>
    <mergeCell ref="B126:H126"/>
    <mergeCell ref="B129:H129"/>
    <mergeCell ref="B133:H133"/>
    <mergeCell ref="B136:H136"/>
    <mergeCell ref="B139:H139"/>
    <mergeCell ref="B184:H184"/>
    <mergeCell ref="B188:H188"/>
    <mergeCell ref="B189:H189"/>
    <mergeCell ref="B192:H192"/>
    <mergeCell ref="B194:H194"/>
    <mergeCell ref="B198:H198"/>
    <mergeCell ref="B156:H156"/>
    <mergeCell ref="B160:H160"/>
    <mergeCell ref="B161:H161"/>
    <mergeCell ref="B164:H164"/>
    <mergeCell ref="B167:H167"/>
    <mergeCell ref="B168:H168"/>
    <mergeCell ref="B220:H220"/>
    <mergeCell ref="B222:H222"/>
    <mergeCell ref="B225:H225"/>
    <mergeCell ref="B226:H226"/>
    <mergeCell ref="B229:H229"/>
    <mergeCell ref="B231:H231"/>
    <mergeCell ref="B201:H201"/>
    <mergeCell ref="B204:H204"/>
    <mergeCell ref="B207:H207"/>
    <mergeCell ref="B211:H211"/>
    <mergeCell ref="B214:H214"/>
    <mergeCell ref="B217:H217"/>
    <mergeCell ref="B262:H262"/>
    <mergeCell ref="B266:H266"/>
    <mergeCell ref="B267:H267"/>
    <mergeCell ref="B270:H270"/>
    <mergeCell ref="B272:H272"/>
    <mergeCell ref="B276:H276"/>
    <mergeCell ref="B234:H234"/>
    <mergeCell ref="B238:H238"/>
    <mergeCell ref="B239:H239"/>
    <mergeCell ref="B242:H242"/>
    <mergeCell ref="B245:H245"/>
    <mergeCell ref="B246:H246"/>
    <mergeCell ref="B298:H298"/>
    <mergeCell ref="B300:H300"/>
    <mergeCell ref="B303:H303"/>
    <mergeCell ref="B304:H304"/>
    <mergeCell ref="B307:H307"/>
    <mergeCell ref="B309:H309"/>
    <mergeCell ref="B279:H279"/>
    <mergeCell ref="B282:H282"/>
    <mergeCell ref="B285:H285"/>
    <mergeCell ref="B289:H289"/>
    <mergeCell ref="B292:H292"/>
    <mergeCell ref="B295:H295"/>
    <mergeCell ref="B340:H340"/>
    <mergeCell ref="B344:H344"/>
    <mergeCell ref="B345:H345"/>
    <mergeCell ref="B348:H348"/>
    <mergeCell ref="B350:H350"/>
    <mergeCell ref="B354:H354"/>
    <mergeCell ref="B312:H312"/>
    <mergeCell ref="B316:H316"/>
    <mergeCell ref="B317:H317"/>
    <mergeCell ref="B320:H320"/>
    <mergeCell ref="B323:H323"/>
    <mergeCell ref="B324:H324"/>
    <mergeCell ref="B376:H376"/>
    <mergeCell ref="B378:H378"/>
    <mergeCell ref="B381:H381"/>
    <mergeCell ref="B382:H382"/>
    <mergeCell ref="B385:H385"/>
    <mergeCell ref="B387:H387"/>
    <mergeCell ref="B357:H357"/>
    <mergeCell ref="B360:H360"/>
    <mergeCell ref="B363:H363"/>
    <mergeCell ref="B367:H367"/>
    <mergeCell ref="B370:H370"/>
    <mergeCell ref="B373:H373"/>
    <mergeCell ref="B418:H418"/>
    <mergeCell ref="B422:H422"/>
    <mergeCell ref="B423:H423"/>
    <mergeCell ref="B426:H426"/>
    <mergeCell ref="B428:H428"/>
    <mergeCell ref="B432:H432"/>
    <mergeCell ref="B390:H390"/>
    <mergeCell ref="B394:H394"/>
    <mergeCell ref="B395:H395"/>
    <mergeCell ref="B398:H398"/>
    <mergeCell ref="B401:H401"/>
    <mergeCell ref="B402:H402"/>
    <mergeCell ref="B454:H454"/>
    <mergeCell ref="B456:H456"/>
    <mergeCell ref="B459:H459"/>
    <mergeCell ref="B460:H460"/>
    <mergeCell ref="B463:H463"/>
    <mergeCell ref="B465:H465"/>
    <mergeCell ref="B435:H435"/>
    <mergeCell ref="B438:H438"/>
    <mergeCell ref="B441:H441"/>
    <mergeCell ref="B445:H445"/>
    <mergeCell ref="B448:H448"/>
    <mergeCell ref="B451:H451"/>
    <mergeCell ref="Y479:Y480"/>
    <mergeCell ref="Z479:Z480"/>
    <mergeCell ref="AA479:AA480"/>
    <mergeCell ref="A480:H480"/>
    <mergeCell ref="B468:H468"/>
    <mergeCell ref="B472:H472"/>
    <mergeCell ref="B473:H473"/>
    <mergeCell ref="B476:H476"/>
    <mergeCell ref="A479:H479"/>
    <mergeCell ref="I479:I480"/>
  </mergeCells>
  <pageMargins left="0.78740157480314965" right="0.39370078740157483" top="1.1811023622047243" bottom="0.78740157480314965" header="0.31496062992125984" footer="0.31496062992125984"/>
  <pageSetup paperSize="9" scale="70"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77F24-AB7F-42C9-8610-481BA1904517}">
  <sheetPr>
    <pageSetUpPr fitToPage="1"/>
  </sheetPr>
  <dimension ref="A1:Q154"/>
  <sheetViews>
    <sheetView showGridLines="0" topLeftCell="A131" zoomScale="70" zoomScaleNormal="70" workbookViewId="0">
      <selection activeCell="P107" sqref="P107"/>
    </sheetView>
  </sheetViews>
  <sheetFormatPr defaultRowHeight="14.4" x14ac:dyDescent="0.3"/>
  <cols>
    <col min="1" max="1" width="12" bestFit="1" customWidth="1"/>
    <col min="2" max="2" width="58.33203125" bestFit="1" customWidth="1"/>
    <col min="3" max="18" width="15.77734375" bestFit="1" customWidth="1"/>
  </cols>
  <sheetData>
    <row r="1" spans="1:17" x14ac:dyDescent="0.3">
      <c r="A1" s="44" t="str">
        <f>CIDADE</f>
        <v>MUNICÍPIOS DE PARNAGUÁ - PI E ANÍSIO DE ABREU-PI</v>
      </c>
      <c r="B1" s="44"/>
      <c r="C1" s="44"/>
      <c r="D1" s="44"/>
      <c r="E1" s="44"/>
      <c r="F1" s="44"/>
      <c r="G1" s="44"/>
      <c r="H1" s="44"/>
      <c r="I1" s="44"/>
      <c r="J1" s="44"/>
      <c r="K1" s="44"/>
      <c r="L1" s="44"/>
      <c r="M1" s="44"/>
      <c r="N1" s="44"/>
      <c r="O1" s="44"/>
      <c r="P1" s="44"/>
      <c r="Q1" s="44"/>
    </row>
    <row r="2" spans="1:17" x14ac:dyDescent="0.3">
      <c r="A2" s="44" t="str">
        <f>OBRA</f>
        <v>IMPLANTAÇÃO DE 6 (SEIS) SISTEMAS DE ABASTECIMENTO DE ÁGUA EM COMUNIDADES RURAIS NOS MUNICÍPIOS DE PARNAGUÁ-PI E ANÍSIO DE ABREU-PI (TC 967175/2024)</v>
      </c>
      <c r="B2" s="44"/>
      <c r="C2" s="44"/>
      <c r="D2" s="44"/>
      <c r="E2" s="44"/>
      <c r="F2" s="44"/>
      <c r="G2" s="44"/>
      <c r="H2" s="44"/>
      <c r="I2" s="44"/>
      <c r="J2" s="44"/>
      <c r="K2" s="44"/>
      <c r="L2" s="44"/>
      <c r="M2" s="44"/>
      <c r="N2" s="44"/>
      <c r="O2" s="44"/>
      <c r="P2" s="44"/>
      <c r="Q2" s="44"/>
    </row>
    <row r="3" spans="1:17" x14ac:dyDescent="0.3">
      <c r="A3" s="44" t="s">
        <v>159</v>
      </c>
      <c r="B3" s="44"/>
      <c r="C3" s="44"/>
      <c r="D3" s="44"/>
      <c r="E3" s="44"/>
      <c r="F3" s="44"/>
      <c r="G3" s="44"/>
      <c r="H3" s="44"/>
      <c r="I3" s="44"/>
      <c r="J3" s="44"/>
      <c r="K3" s="44"/>
      <c r="L3" s="44"/>
      <c r="M3" s="44"/>
      <c r="N3" s="44"/>
      <c r="O3" s="44"/>
      <c r="P3" s="44"/>
      <c r="Q3" s="44"/>
    </row>
    <row r="5" spans="1:17" x14ac:dyDescent="0.3">
      <c r="A5" s="1" t="s">
        <v>1</v>
      </c>
      <c r="B5" s="7" t="str">
        <f>FONTE&amp;FOLHA</f>
        <v>SINAPI PI 07/2025, SEINFRA CE 28, ORSE SE 06/2025, CAESB 10/2024SEM DESONERAÇÃO</v>
      </c>
      <c r="C5" s="3"/>
      <c r="D5" s="3"/>
      <c r="E5" s="3"/>
      <c r="F5" s="3"/>
      <c r="G5" s="3"/>
      <c r="H5" s="3"/>
      <c r="I5" s="3"/>
      <c r="J5" s="3"/>
      <c r="K5" s="3"/>
      <c r="L5" s="3"/>
      <c r="M5" s="3"/>
      <c r="N5" s="1" t="s">
        <v>7</v>
      </c>
      <c r="O5" s="8">
        <f>LEI</f>
        <v>113.33</v>
      </c>
      <c r="P5" s="1" t="s">
        <v>16</v>
      </c>
      <c r="Q5" s="8">
        <f>BDI</f>
        <v>22.33</v>
      </c>
    </row>
    <row r="6" spans="1:17" x14ac:dyDescent="0.3">
      <c r="A6" s="64" t="s">
        <v>17</v>
      </c>
      <c r="B6" s="64" t="s">
        <v>18</v>
      </c>
      <c r="C6" s="64" t="s">
        <v>12</v>
      </c>
      <c r="D6" s="64" t="s">
        <v>19</v>
      </c>
      <c r="E6" s="66" t="s">
        <v>160</v>
      </c>
      <c r="F6" s="67"/>
      <c r="G6" s="66" t="s">
        <v>161</v>
      </c>
      <c r="H6" s="67"/>
      <c r="I6" s="66" t="s">
        <v>162</v>
      </c>
      <c r="J6" s="67"/>
      <c r="K6" s="66" t="s">
        <v>163</v>
      </c>
      <c r="L6" s="67"/>
      <c r="M6" s="66" t="s">
        <v>164</v>
      </c>
      <c r="N6" s="67"/>
      <c r="O6" s="64" t="s">
        <v>12</v>
      </c>
      <c r="P6" s="45" t="s">
        <v>19</v>
      </c>
      <c r="Q6" s="46"/>
    </row>
    <row r="7" spans="1:17" x14ac:dyDescent="0.3">
      <c r="A7" s="65"/>
      <c r="B7" s="65"/>
      <c r="C7" s="65"/>
      <c r="D7" s="65"/>
      <c r="E7" s="68"/>
      <c r="F7" s="69"/>
      <c r="G7" s="68"/>
      <c r="H7" s="69"/>
      <c r="I7" s="68"/>
      <c r="J7" s="69"/>
      <c r="K7" s="68"/>
      <c r="L7" s="69"/>
      <c r="M7" s="68"/>
      <c r="N7" s="69"/>
      <c r="O7" s="65"/>
      <c r="P7" s="4" t="s">
        <v>165</v>
      </c>
      <c r="Q7" s="4" t="s">
        <v>166</v>
      </c>
    </row>
    <row r="8" spans="1:17" x14ac:dyDescent="0.3">
      <c r="A8" s="9">
        <v>1</v>
      </c>
      <c r="B8" s="20" t="str">
        <f>VLOOKUP(A8,ORCAMENTO!$A:$I,2,FALSE)</f>
        <v>SERVIÇOS PRELIMINARES</v>
      </c>
      <c r="C8" s="10">
        <f>VLOOKUP(A8,ORCAMENTO!$A:$I,9,FALSE)</f>
        <v>85261.61</v>
      </c>
      <c r="D8" s="11">
        <f t="shared" ref="D8:D39" si="0">C8/$C$153</f>
        <v>5.2895615142394804E-2</v>
      </c>
      <c r="E8" s="10">
        <f>VLOOKUP(A8,CO!$A:$X,10,FALSE)</f>
        <v>29166.43</v>
      </c>
      <c r="F8" s="11">
        <f t="shared" ref="F8:F39" si="1">E8/C8</f>
        <v>0.34208162383985008</v>
      </c>
      <c r="G8" s="10">
        <f>VLOOKUP(A8,CO!$A:$X,13,FALSE)</f>
        <v>25662.31</v>
      </c>
      <c r="H8" s="11">
        <f t="shared" ref="H8:H39" si="2">G8/C8</f>
        <v>0.30098317402169628</v>
      </c>
      <c r="I8" s="10">
        <f>VLOOKUP(A8,CO!$A:$X,16,FALSE)</f>
        <v>11350.64</v>
      </c>
      <c r="J8" s="11">
        <f t="shared" ref="J8:J39" si="3">I8/C8</f>
        <v>0.13312720695750407</v>
      </c>
      <c r="K8" s="10">
        <f>VLOOKUP(A8,CO!$A:$X,19,FALSE)</f>
        <v>9047.61</v>
      </c>
      <c r="L8" s="11">
        <f t="shared" ref="L8:L39" si="4">K8/C8</f>
        <v>0.10611587090602677</v>
      </c>
      <c r="M8" s="10">
        <f>VLOOKUP(A8,CO!$A:$X,22,FALSE)</f>
        <v>10034.620000000001</v>
      </c>
      <c r="N8" s="11">
        <f t="shared" ref="N8:N39" si="5">M8/C8</f>
        <v>0.1176921242749228</v>
      </c>
      <c r="O8" s="10">
        <f t="shared" ref="O8:O39" si="6">SUM(E8,G8,I8,K8,M8,)</f>
        <v>85261.61</v>
      </c>
      <c r="P8" s="11">
        <f t="shared" ref="P8:P39" si="7">SUM(F8,H8,J8,L8,N8,)</f>
        <v>1</v>
      </c>
      <c r="Q8" s="11">
        <f t="shared" ref="Q8:Q39" si="8">O8/$C$153</f>
        <v>5.2895615142394804E-2</v>
      </c>
    </row>
    <row r="9" spans="1:17" x14ac:dyDescent="0.3">
      <c r="A9" s="9">
        <v>2</v>
      </c>
      <c r="B9" s="20" t="str">
        <f>VLOOKUP(A9,ORCAMENTO!$A:$I,2,FALSE)</f>
        <v>LOCALIDADE CAPIM GROSSO (PARNAGUÁ-PI)</v>
      </c>
      <c r="C9" s="10">
        <f>VLOOKUP(A9,ORCAMENTO!$A:$I,9,FALSE)</f>
        <v>553618.73</v>
      </c>
      <c r="D9" s="11">
        <f t="shared" si="0"/>
        <v>0.34346059472371426</v>
      </c>
      <c r="E9" s="10">
        <f>SUM(E$10,E$11,E$12,E$24,E$25,E$29,E$30,)</f>
        <v>358595.27</v>
      </c>
      <c r="F9" s="11">
        <f t="shared" si="1"/>
        <v>0.64772965683440664</v>
      </c>
      <c r="G9" s="10">
        <f>SUM(G$10,G$11,G$12,G$24,G$25,G$29,G$30,)</f>
        <v>195023.46000000002</v>
      </c>
      <c r="H9" s="11">
        <f t="shared" si="2"/>
        <v>0.35227034316559347</v>
      </c>
      <c r="I9" s="10">
        <f>SUM(I$10,I$11,I$12,I$24,I$25,I$29,I$30,)</f>
        <v>0</v>
      </c>
      <c r="J9" s="11">
        <f t="shared" si="3"/>
        <v>0</v>
      </c>
      <c r="K9" s="10">
        <f>SUM(K$10,K$11,K$12,K$24,K$25,K$29,K$30,)</f>
        <v>0</v>
      </c>
      <c r="L9" s="11">
        <f t="shared" si="4"/>
        <v>0</v>
      </c>
      <c r="M9" s="10">
        <f>SUM(M$10,M$11,M$12,M$24,M$25,M$29,M$30,)</f>
        <v>0</v>
      </c>
      <c r="N9" s="11">
        <f t="shared" si="5"/>
        <v>0</v>
      </c>
      <c r="O9" s="10">
        <f t="shared" si="6"/>
        <v>553618.73</v>
      </c>
      <c r="P9" s="11">
        <f t="shared" si="7"/>
        <v>1</v>
      </c>
      <c r="Q9" s="11">
        <f t="shared" si="8"/>
        <v>0.34346059472371426</v>
      </c>
    </row>
    <row r="10" spans="1:17" x14ac:dyDescent="0.3">
      <c r="A10" s="12" t="s">
        <v>20</v>
      </c>
      <c r="B10" s="21" t="str">
        <f>VLOOKUP(A10,ORCAMENTO!$A:$I,2,FALSE)</f>
        <v>PERFURAÇÃO DE POÇO TUBULAR</v>
      </c>
      <c r="C10" s="13">
        <f>VLOOKUP(A10,ORCAMENTO!$A:$I,9,FALSE)</f>
        <v>51020.49</v>
      </c>
      <c r="D10" s="14">
        <f t="shared" si="0"/>
        <v>3.1652700475822623E-2</v>
      </c>
      <c r="E10" s="13">
        <f>VLOOKUP(A10,CO!$A:$X,10,FALSE)</f>
        <v>51020.49</v>
      </c>
      <c r="F10" s="14">
        <f t="shared" si="1"/>
        <v>1</v>
      </c>
      <c r="G10" s="13">
        <f>VLOOKUP(A10,CO!$A:$X,13,FALSE)</f>
        <v>0</v>
      </c>
      <c r="H10" s="14">
        <f t="shared" si="2"/>
        <v>0</v>
      </c>
      <c r="I10" s="13">
        <f>VLOOKUP(A10,CO!$A:$X,16,FALSE)</f>
        <v>0</v>
      </c>
      <c r="J10" s="14">
        <f t="shared" si="3"/>
        <v>0</v>
      </c>
      <c r="K10" s="13">
        <f>VLOOKUP(A10,CO!$A:$X,19,FALSE)</f>
        <v>0</v>
      </c>
      <c r="L10" s="14">
        <f t="shared" si="4"/>
        <v>0</v>
      </c>
      <c r="M10" s="13">
        <f>VLOOKUP(A10,CO!$A:$X,22,FALSE)</f>
        <v>0</v>
      </c>
      <c r="N10" s="14">
        <f t="shared" si="5"/>
        <v>0</v>
      </c>
      <c r="O10" s="13">
        <f t="shared" si="6"/>
        <v>51020.49</v>
      </c>
      <c r="P10" s="14">
        <f t="shared" si="7"/>
        <v>1</v>
      </c>
      <c r="Q10" s="14">
        <f t="shared" si="8"/>
        <v>3.1652700475822623E-2</v>
      </c>
    </row>
    <row r="11" spans="1:17" ht="43.2" x14ac:dyDescent="0.3">
      <c r="A11" s="12" t="s">
        <v>21</v>
      </c>
      <c r="B11" s="21" t="str">
        <f>VLOOKUP(A11,ORCAMENTO!$A:$I,2,FALSE)</f>
        <v>AQUISIÇÃO E INSTALAÇÃO DE EQUIPAMENTOS DE BOMBEAMENTO, RECALQUE/BARRILETE E CONEXÕES PARA INTERLIGAÇÃO COM RESERVATÓRIO</v>
      </c>
      <c r="C11" s="13">
        <f>VLOOKUP(A11,ORCAMENTO!$A:$I,9,FALSE)</f>
        <v>10148.990000000002</v>
      </c>
      <c r="D11" s="14">
        <f t="shared" si="0"/>
        <v>6.2963515364536692E-3</v>
      </c>
      <c r="E11" s="13">
        <f>VLOOKUP(A11,CO!$A:$X,10,FALSE)</f>
        <v>10148.990000000002</v>
      </c>
      <c r="F11" s="14">
        <f t="shared" si="1"/>
        <v>1</v>
      </c>
      <c r="G11" s="13">
        <f>VLOOKUP(A11,CO!$A:$X,13,FALSE)</f>
        <v>0</v>
      </c>
      <c r="H11" s="14">
        <f t="shared" si="2"/>
        <v>0</v>
      </c>
      <c r="I11" s="13">
        <f>VLOOKUP(A11,CO!$A:$X,16,FALSE)</f>
        <v>0</v>
      </c>
      <c r="J11" s="14">
        <f t="shared" si="3"/>
        <v>0</v>
      </c>
      <c r="K11" s="13">
        <f>VLOOKUP(A11,CO!$A:$X,19,FALSE)</f>
        <v>0</v>
      </c>
      <c r="L11" s="14">
        <f t="shared" si="4"/>
        <v>0</v>
      </c>
      <c r="M11" s="13">
        <f>VLOOKUP(A11,CO!$A:$X,22,FALSE)</f>
        <v>0</v>
      </c>
      <c r="N11" s="14">
        <f t="shared" si="5"/>
        <v>0</v>
      </c>
      <c r="O11" s="13">
        <f t="shared" si="6"/>
        <v>10148.990000000002</v>
      </c>
      <c r="P11" s="14">
        <f t="shared" si="7"/>
        <v>1</v>
      </c>
      <c r="Q11" s="14">
        <f t="shared" si="8"/>
        <v>6.2963515364536692E-3</v>
      </c>
    </row>
    <row r="12" spans="1:17" x14ac:dyDescent="0.3">
      <c r="A12" s="12" t="s">
        <v>22</v>
      </c>
      <c r="B12" s="21" t="str">
        <f>VLOOKUP(A12,ORCAMENTO!$A:$I,2,FALSE)</f>
        <v>CONSTRUÇÃO DA CASA DE COMANDO</v>
      </c>
      <c r="C12" s="13">
        <f>VLOOKUP(A12,ORCAMENTO!$A:$I,9,FALSE)</f>
        <v>20274.329999999998</v>
      </c>
      <c r="D12" s="14">
        <f t="shared" si="0"/>
        <v>1.2578030803663093E-2</v>
      </c>
      <c r="E12" s="13">
        <f>SUM(E$13,E$14,E$15,E$16,E$17,E$18,E$19,E$20,E$21,E$22,E$23,)</f>
        <v>20274.329999999998</v>
      </c>
      <c r="F12" s="14">
        <f t="shared" si="1"/>
        <v>1</v>
      </c>
      <c r="G12" s="13">
        <f>SUM(G$13,G$14,G$15,G$16,G$17,G$18,G$19,G$20,G$21,G$22,G$23,)</f>
        <v>0</v>
      </c>
      <c r="H12" s="14">
        <f t="shared" si="2"/>
        <v>0</v>
      </c>
      <c r="I12" s="13">
        <f>SUM(I$13,I$14,I$15,I$16,I$17,I$18,I$19,I$20,I$21,I$22,I$23,)</f>
        <v>0</v>
      </c>
      <c r="J12" s="14">
        <f t="shared" si="3"/>
        <v>0</v>
      </c>
      <c r="K12" s="13">
        <f>SUM(K$13,K$14,K$15,K$16,K$17,K$18,K$19,K$20,K$21,K$22,K$23,)</f>
        <v>0</v>
      </c>
      <c r="L12" s="14">
        <f t="shared" si="4"/>
        <v>0</v>
      </c>
      <c r="M12" s="13">
        <f>SUM(M$13,M$14,M$15,M$16,M$17,M$18,M$19,M$20,M$21,M$22,M$23,)</f>
        <v>0</v>
      </c>
      <c r="N12" s="14">
        <f t="shared" si="5"/>
        <v>0</v>
      </c>
      <c r="O12" s="13">
        <f t="shared" si="6"/>
        <v>20274.329999999998</v>
      </c>
      <c r="P12" s="14">
        <f t="shared" si="7"/>
        <v>1</v>
      </c>
      <c r="Q12" s="14">
        <f t="shared" si="8"/>
        <v>1.2578030803663093E-2</v>
      </c>
    </row>
    <row r="13" spans="1:17" x14ac:dyDescent="0.3">
      <c r="A13" s="15" t="s">
        <v>23</v>
      </c>
      <c r="B13" s="22" t="str">
        <f>VLOOKUP(A13,ORCAMENTO!$A:$I,2,FALSE)</f>
        <v>SERVIÇOS PRELIMINARES</v>
      </c>
      <c r="C13" s="16">
        <f>VLOOKUP(A13,ORCAMENTO!$A:$I,9,FALSE)</f>
        <v>1315.92</v>
      </c>
      <c r="D13" s="17">
        <f t="shared" si="0"/>
        <v>8.1638615407544121E-4</v>
      </c>
      <c r="E13" s="16">
        <f>VLOOKUP(A13,CO!$A:$X,10,FALSE)</f>
        <v>1315.92</v>
      </c>
      <c r="F13" s="17">
        <f t="shared" si="1"/>
        <v>1</v>
      </c>
      <c r="G13" s="16">
        <f>VLOOKUP(A13,CO!$A:$X,13,FALSE)</f>
        <v>0</v>
      </c>
      <c r="H13" s="17">
        <f t="shared" si="2"/>
        <v>0</v>
      </c>
      <c r="I13" s="16">
        <f>VLOOKUP(A13,CO!$A:$X,16,FALSE)</f>
        <v>0</v>
      </c>
      <c r="J13" s="17">
        <f t="shared" si="3"/>
        <v>0</v>
      </c>
      <c r="K13" s="16">
        <f>VLOOKUP(A13,CO!$A:$X,19,FALSE)</f>
        <v>0</v>
      </c>
      <c r="L13" s="17">
        <f t="shared" si="4"/>
        <v>0</v>
      </c>
      <c r="M13" s="16">
        <f>VLOOKUP(A13,CO!$A:$X,22,FALSE)</f>
        <v>0</v>
      </c>
      <c r="N13" s="17">
        <f t="shared" si="5"/>
        <v>0</v>
      </c>
      <c r="O13" s="16">
        <f t="shared" si="6"/>
        <v>1315.92</v>
      </c>
      <c r="P13" s="17">
        <f t="shared" si="7"/>
        <v>1</v>
      </c>
      <c r="Q13" s="17">
        <f t="shared" si="8"/>
        <v>8.1638615407544121E-4</v>
      </c>
    </row>
    <row r="14" spans="1:17" x14ac:dyDescent="0.3">
      <c r="A14" s="15" t="s">
        <v>24</v>
      </c>
      <c r="B14" s="22" t="str">
        <f>VLOOKUP(A14,ORCAMENTO!$A:$I,2,FALSE)</f>
        <v>MOVIMENTO DE TERRA</v>
      </c>
      <c r="C14" s="16">
        <f>VLOOKUP(A14,ORCAMENTO!$A:$I,9,FALSE)</f>
        <v>161.76</v>
      </c>
      <c r="D14" s="17">
        <f t="shared" si="0"/>
        <v>1.0035459927901647E-4</v>
      </c>
      <c r="E14" s="16">
        <f>VLOOKUP(A14,CO!$A:$X,10,FALSE)</f>
        <v>161.76</v>
      </c>
      <c r="F14" s="17">
        <f t="shared" si="1"/>
        <v>1</v>
      </c>
      <c r="G14" s="16">
        <f>VLOOKUP(A14,CO!$A:$X,13,FALSE)</f>
        <v>0</v>
      </c>
      <c r="H14" s="17">
        <f t="shared" si="2"/>
        <v>0</v>
      </c>
      <c r="I14" s="16">
        <f>VLOOKUP(A14,CO!$A:$X,16,FALSE)</f>
        <v>0</v>
      </c>
      <c r="J14" s="17">
        <f t="shared" si="3"/>
        <v>0</v>
      </c>
      <c r="K14" s="16">
        <f>VLOOKUP(A14,CO!$A:$X,19,FALSE)</f>
        <v>0</v>
      </c>
      <c r="L14" s="17">
        <f t="shared" si="4"/>
        <v>0</v>
      </c>
      <c r="M14" s="16">
        <f>VLOOKUP(A14,CO!$A:$X,22,FALSE)</f>
        <v>0</v>
      </c>
      <c r="N14" s="17">
        <f t="shared" si="5"/>
        <v>0</v>
      </c>
      <c r="O14" s="16">
        <f t="shared" si="6"/>
        <v>161.76</v>
      </c>
      <c r="P14" s="17">
        <f t="shared" si="7"/>
        <v>1</v>
      </c>
      <c r="Q14" s="17">
        <f t="shared" si="8"/>
        <v>1.0035459927901647E-4</v>
      </c>
    </row>
    <row r="15" spans="1:17" x14ac:dyDescent="0.3">
      <c r="A15" s="15" t="s">
        <v>25</v>
      </c>
      <c r="B15" s="22" t="str">
        <f>VLOOKUP(A15,ORCAMENTO!$A:$I,2,FALSE)</f>
        <v>INFRAESTRUTURA</v>
      </c>
      <c r="C15" s="16">
        <f>VLOOKUP(A15,ORCAMENTO!$A:$I,9,FALSE)</f>
        <v>1229.81</v>
      </c>
      <c r="D15" s="17">
        <f t="shared" si="0"/>
        <v>7.6296420461997557E-4</v>
      </c>
      <c r="E15" s="16">
        <f>VLOOKUP(A15,CO!$A:$X,10,FALSE)</f>
        <v>1229.81</v>
      </c>
      <c r="F15" s="17">
        <f t="shared" si="1"/>
        <v>1</v>
      </c>
      <c r="G15" s="16">
        <f>VLOOKUP(A15,CO!$A:$X,13,FALSE)</f>
        <v>0</v>
      </c>
      <c r="H15" s="17">
        <f t="shared" si="2"/>
        <v>0</v>
      </c>
      <c r="I15" s="16">
        <f>VLOOKUP(A15,CO!$A:$X,16,FALSE)</f>
        <v>0</v>
      </c>
      <c r="J15" s="17">
        <f t="shared" si="3"/>
        <v>0</v>
      </c>
      <c r="K15" s="16">
        <f>VLOOKUP(A15,CO!$A:$X,19,FALSE)</f>
        <v>0</v>
      </c>
      <c r="L15" s="17">
        <f t="shared" si="4"/>
        <v>0</v>
      </c>
      <c r="M15" s="16">
        <f>VLOOKUP(A15,CO!$A:$X,22,FALSE)</f>
        <v>0</v>
      </c>
      <c r="N15" s="17">
        <f t="shared" si="5"/>
        <v>0</v>
      </c>
      <c r="O15" s="16">
        <f t="shared" si="6"/>
        <v>1229.81</v>
      </c>
      <c r="P15" s="17">
        <f t="shared" si="7"/>
        <v>1</v>
      </c>
      <c r="Q15" s="17">
        <f t="shared" si="8"/>
        <v>7.6296420461997557E-4</v>
      </c>
    </row>
    <row r="16" spans="1:17" x14ac:dyDescent="0.3">
      <c r="A16" s="15" t="s">
        <v>26</v>
      </c>
      <c r="B16" s="22" t="str">
        <f>VLOOKUP(A16,ORCAMENTO!$A:$I,2,FALSE)</f>
        <v>SUPERESTRUTURA</v>
      </c>
      <c r="C16" s="16">
        <f>VLOOKUP(A16,ORCAMENTO!$A:$I,9,FALSE)</f>
        <v>1323.3</v>
      </c>
      <c r="D16" s="17">
        <f t="shared" si="0"/>
        <v>8.20964646549966E-4</v>
      </c>
      <c r="E16" s="16">
        <f>VLOOKUP(A16,CO!$A:$X,10,FALSE)</f>
        <v>1323.3</v>
      </c>
      <c r="F16" s="17">
        <f t="shared" si="1"/>
        <v>1</v>
      </c>
      <c r="G16" s="16">
        <f>VLOOKUP(A16,CO!$A:$X,13,FALSE)</f>
        <v>0</v>
      </c>
      <c r="H16" s="17">
        <f t="shared" si="2"/>
        <v>0</v>
      </c>
      <c r="I16" s="16">
        <f>VLOOKUP(A16,CO!$A:$X,16,FALSE)</f>
        <v>0</v>
      </c>
      <c r="J16" s="17">
        <f t="shared" si="3"/>
        <v>0</v>
      </c>
      <c r="K16" s="16">
        <f>VLOOKUP(A16,CO!$A:$X,19,FALSE)</f>
        <v>0</v>
      </c>
      <c r="L16" s="17">
        <f t="shared" si="4"/>
        <v>0</v>
      </c>
      <c r="M16" s="16">
        <f>VLOOKUP(A16,CO!$A:$X,22,FALSE)</f>
        <v>0</v>
      </c>
      <c r="N16" s="17">
        <f t="shared" si="5"/>
        <v>0</v>
      </c>
      <c r="O16" s="16">
        <f t="shared" si="6"/>
        <v>1323.3</v>
      </c>
      <c r="P16" s="17">
        <f t="shared" si="7"/>
        <v>1</v>
      </c>
      <c r="Q16" s="17">
        <f t="shared" si="8"/>
        <v>8.20964646549966E-4</v>
      </c>
    </row>
    <row r="17" spans="1:17" x14ac:dyDescent="0.3">
      <c r="A17" s="15" t="s">
        <v>27</v>
      </c>
      <c r="B17" s="22" t="str">
        <f>VLOOKUP(A17,ORCAMENTO!$A:$I,2,FALSE)</f>
        <v>VEDAÇÃO VERTICAL</v>
      </c>
      <c r="C17" s="16">
        <f>VLOOKUP(A17,ORCAMENTO!$A:$I,9,FALSE)</f>
        <v>2620</v>
      </c>
      <c r="D17" s="17">
        <f t="shared" si="0"/>
        <v>1.6254268676497475E-3</v>
      </c>
      <c r="E17" s="16">
        <f>VLOOKUP(A17,CO!$A:$X,10,FALSE)</f>
        <v>2620</v>
      </c>
      <c r="F17" s="17">
        <f t="shared" si="1"/>
        <v>1</v>
      </c>
      <c r="G17" s="16">
        <f>VLOOKUP(A17,CO!$A:$X,13,FALSE)</f>
        <v>0</v>
      </c>
      <c r="H17" s="17">
        <f t="shared" si="2"/>
        <v>0</v>
      </c>
      <c r="I17" s="16">
        <f>VLOOKUP(A17,CO!$A:$X,16,FALSE)</f>
        <v>0</v>
      </c>
      <c r="J17" s="17">
        <f t="shared" si="3"/>
        <v>0</v>
      </c>
      <c r="K17" s="16">
        <f>VLOOKUP(A17,CO!$A:$X,19,FALSE)</f>
        <v>0</v>
      </c>
      <c r="L17" s="17">
        <f t="shared" si="4"/>
        <v>0</v>
      </c>
      <c r="M17" s="16">
        <f>VLOOKUP(A17,CO!$A:$X,22,FALSE)</f>
        <v>0</v>
      </c>
      <c r="N17" s="17">
        <f t="shared" si="5"/>
        <v>0</v>
      </c>
      <c r="O17" s="16">
        <f t="shared" si="6"/>
        <v>2620</v>
      </c>
      <c r="P17" s="17">
        <f t="shared" si="7"/>
        <v>1</v>
      </c>
      <c r="Q17" s="17">
        <f t="shared" si="8"/>
        <v>1.6254268676497475E-3</v>
      </c>
    </row>
    <row r="18" spans="1:17" x14ac:dyDescent="0.3">
      <c r="A18" s="15" t="s">
        <v>28</v>
      </c>
      <c r="B18" s="22" t="str">
        <f>VLOOKUP(A18,ORCAMENTO!$A:$I,2,FALSE)</f>
        <v>COBERTURA</v>
      </c>
      <c r="C18" s="16">
        <f>VLOOKUP(A18,ORCAMENTO!$A:$I,9,FALSE)</f>
        <v>1305.45</v>
      </c>
      <c r="D18" s="17">
        <f t="shared" si="0"/>
        <v>8.0989065052418439E-4</v>
      </c>
      <c r="E18" s="16">
        <f>VLOOKUP(A18,CO!$A:$X,10,FALSE)</f>
        <v>1305.45</v>
      </c>
      <c r="F18" s="17">
        <f t="shared" si="1"/>
        <v>1</v>
      </c>
      <c r="G18" s="16">
        <f>VLOOKUP(A18,CO!$A:$X,13,FALSE)</f>
        <v>0</v>
      </c>
      <c r="H18" s="17">
        <f t="shared" si="2"/>
        <v>0</v>
      </c>
      <c r="I18" s="16">
        <f>VLOOKUP(A18,CO!$A:$X,16,FALSE)</f>
        <v>0</v>
      </c>
      <c r="J18" s="17">
        <f t="shared" si="3"/>
        <v>0</v>
      </c>
      <c r="K18" s="16">
        <f>VLOOKUP(A18,CO!$A:$X,19,FALSE)</f>
        <v>0</v>
      </c>
      <c r="L18" s="17">
        <f t="shared" si="4"/>
        <v>0</v>
      </c>
      <c r="M18" s="16">
        <f>VLOOKUP(A18,CO!$A:$X,22,FALSE)</f>
        <v>0</v>
      </c>
      <c r="N18" s="17">
        <f t="shared" si="5"/>
        <v>0</v>
      </c>
      <c r="O18" s="16">
        <f t="shared" si="6"/>
        <v>1305.45</v>
      </c>
      <c r="P18" s="17">
        <f t="shared" si="7"/>
        <v>1</v>
      </c>
      <c r="Q18" s="17">
        <f t="shared" si="8"/>
        <v>8.0989065052418439E-4</v>
      </c>
    </row>
    <row r="19" spans="1:17" x14ac:dyDescent="0.3">
      <c r="A19" s="15" t="s">
        <v>29</v>
      </c>
      <c r="B19" s="22" t="str">
        <f>VLOOKUP(A19,ORCAMENTO!$A:$I,2,FALSE)</f>
        <v>PISO</v>
      </c>
      <c r="C19" s="16">
        <f>VLOOKUP(A19,ORCAMENTO!$A:$I,9,FALSE)</f>
        <v>1174.01</v>
      </c>
      <c r="D19" s="17">
        <f t="shared" si="0"/>
        <v>7.2834633469064125E-4</v>
      </c>
      <c r="E19" s="16">
        <f>VLOOKUP(A19,CO!$A:$X,10,FALSE)</f>
        <v>1174.01</v>
      </c>
      <c r="F19" s="17">
        <f t="shared" si="1"/>
        <v>1</v>
      </c>
      <c r="G19" s="16">
        <f>VLOOKUP(A19,CO!$A:$X,13,FALSE)</f>
        <v>0</v>
      </c>
      <c r="H19" s="17">
        <f t="shared" si="2"/>
        <v>0</v>
      </c>
      <c r="I19" s="16">
        <f>VLOOKUP(A19,CO!$A:$X,16,FALSE)</f>
        <v>0</v>
      </c>
      <c r="J19" s="17">
        <f t="shared" si="3"/>
        <v>0</v>
      </c>
      <c r="K19" s="16">
        <f>VLOOKUP(A19,CO!$A:$X,19,FALSE)</f>
        <v>0</v>
      </c>
      <c r="L19" s="17">
        <f t="shared" si="4"/>
        <v>0</v>
      </c>
      <c r="M19" s="16">
        <f>VLOOKUP(A19,CO!$A:$X,22,FALSE)</f>
        <v>0</v>
      </c>
      <c r="N19" s="17">
        <f t="shared" si="5"/>
        <v>0</v>
      </c>
      <c r="O19" s="16">
        <f t="shared" si="6"/>
        <v>1174.01</v>
      </c>
      <c r="P19" s="17">
        <f t="shared" si="7"/>
        <v>1</v>
      </c>
      <c r="Q19" s="17">
        <f t="shared" si="8"/>
        <v>7.2834633469064125E-4</v>
      </c>
    </row>
    <row r="20" spans="1:17" x14ac:dyDescent="0.3">
      <c r="A20" s="15" t="s">
        <v>30</v>
      </c>
      <c r="B20" s="22" t="str">
        <f>VLOOKUP(A20,ORCAMENTO!$A:$I,2,FALSE)</f>
        <v>REVESTIMENTO</v>
      </c>
      <c r="C20" s="16">
        <f>VLOOKUP(A20,ORCAMENTO!$A:$I,9,FALSE)</f>
        <v>2341.92</v>
      </c>
      <c r="D20" s="17">
        <f t="shared" si="0"/>
        <v>1.452908278582556E-3</v>
      </c>
      <c r="E20" s="16">
        <f>VLOOKUP(A20,CO!$A:$X,10,FALSE)</f>
        <v>2341.92</v>
      </c>
      <c r="F20" s="17">
        <f t="shared" si="1"/>
        <v>1</v>
      </c>
      <c r="G20" s="16">
        <f>VLOOKUP(A20,CO!$A:$X,13,FALSE)</f>
        <v>0</v>
      </c>
      <c r="H20" s="17">
        <f t="shared" si="2"/>
        <v>0</v>
      </c>
      <c r="I20" s="16">
        <f>VLOOKUP(A20,CO!$A:$X,16,FALSE)</f>
        <v>0</v>
      </c>
      <c r="J20" s="17">
        <f t="shared" si="3"/>
        <v>0</v>
      </c>
      <c r="K20" s="16">
        <f>VLOOKUP(A20,CO!$A:$X,19,FALSE)</f>
        <v>0</v>
      </c>
      <c r="L20" s="17">
        <f t="shared" si="4"/>
        <v>0</v>
      </c>
      <c r="M20" s="16">
        <f>VLOOKUP(A20,CO!$A:$X,22,FALSE)</f>
        <v>0</v>
      </c>
      <c r="N20" s="17">
        <f t="shared" si="5"/>
        <v>0</v>
      </c>
      <c r="O20" s="16">
        <f t="shared" si="6"/>
        <v>2341.92</v>
      </c>
      <c r="P20" s="17">
        <f t="shared" si="7"/>
        <v>1</v>
      </c>
      <c r="Q20" s="17">
        <f t="shared" si="8"/>
        <v>1.452908278582556E-3</v>
      </c>
    </row>
    <row r="21" spans="1:17" x14ac:dyDescent="0.3">
      <c r="A21" s="15" t="s">
        <v>31</v>
      </c>
      <c r="B21" s="22" t="str">
        <f>VLOOKUP(A21,ORCAMENTO!$A:$I,2,FALSE)</f>
        <v>ESQUADRIAS</v>
      </c>
      <c r="C21" s="16">
        <f>VLOOKUP(A21,ORCAMENTO!$A:$I,9,FALSE)</f>
        <v>2243.75</v>
      </c>
      <c r="D21" s="17">
        <f t="shared" si="0"/>
        <v>1.3920044024004279E-3</v>
      </c>
      <c r="E21" s="16">
        <f>VLOOKUP(A21,CO!$A:$X,10,FALSE)</f>
        <v>2243.75</v>
      </c>
      <c r="F21" s="17">
        <f t="shared" si="1"/>
        <v>1</v>
      </c>
      <c r="G21" s="16">
        <f>VLOOKUP(A21,CO!$A:$X,13,FALSE)</f>
        <v>0</v>
      </c>
      <c r="H21" s="17">
        <f t="shared" si="2"/>
        <v>0</v>
      </c>
      <c r="I21" s="16">
        <f>VLOOKUP(A21,CO!$A:$X,16,FALSE)</f>
        <v>0</v>
      </c>
      <c r="J21" s="17">
        <f t="shared" si="3"/>
        <v>0</v>
      </c>
      <c r="K21" s="16">
        <f>VLOOKUP(A21,CO!$A:$X,19,FALSE)</f>
        <v>0</v>
      </c>
      <c r="L21" s="17">
        <f t="shared" si="4"/>
        <v>0</v>
      </c>
      <c r="M21" s="16">
        <f>VLOOKUP(A21,CO!$A:$X,22,FALSE)</f>
        <v>0</v>
      </c>
      <c r="N21" s="17">
        <f t="shared" si="5"/>
        <v>0</v>
      </c>
      <c r="O21" s="16">
        <f t="shared" si="6"/>
        <v>2243.75</v>
      </c>
      <c r="P21" s="17">
        <f t="shared" si="7"/>
        <v>1</v>
      </c>
      <c r="Q21" s="17">
        <f t="shared" si="8"/>
        <v>1.3920044024004279E-3</v>
      </c>
    </row>
    <row r="22" spans="1:17" x14ac:dyDescent="0.3">
      <c r="A22" s="15" t="s">
        <v>32</v>
      </c>
      <c r="B22" s="22" t="str">
        <f>VLOOKUP(A22,ORCAMENTO!$A:$I,2,FALSE)</f>
        <v>PINTURA</v>
      </c>
      <c r="C22" s="16">
        <f>VLOOKUP(A22,ORCAMENTO!$A:$I,9,FALSE)</f>
        <v>649.88</v>
      </c>
      <c r="D22" s="17">
        <f t="shared" si="0"/>
        <v>4.0318031020924349E-4</v>
      </c>
      <c r="E22" s="16">
        <f>VLOOKUP(A22,CO!$A:$X,10,FALSE)</f>
        <v>649.88</v>
      </c>
      <c r="F22" s="17">
        <f t="shared" si="1"/>
        <v>1</v>
      </c>
      <c r="G22" s="16">
        <f>VLOOKUP(A22,CO!$A:$X,13,FALSE)</f>
        <v>0</v>
      </c>
      <c r="H22" s="17">
        <f t="shared" si="2"/>
        <v>0</v>
      </c>
      <c r="I22" s="16">
        <f>VLOOKUP(A22,CO!$A:$X,16,FALSE)</f>
        <v>0</v>
      </c>
      <c r="J22" s="17">
        <f t="shared" si="3"/>
        <v>0</v>
      </c>
      <c r="K22" s="16">
        <f>VLOOKUP(A22,CO!$A:$X,19,FALSE)</f>
        <v>0</v>
      </c>
      <c r="L22" s="17">
        <f t="shared" si="4"/>
        <v>0</v>
      </c>
      <c r="M22" s="16">
        <f>VLOOKUP(A22,CO!$A:$X,22,FALSE)</f>
        <v>0</v>
      </c>
      <c r="N22" s="17">
        <f t="shared" si="5"/>
        <v>0</v>
      </c>
      <c r="O22" s="16">
        <f t="shared" si="6"/>
        <v>649.88</v>
      </c>
      <c r="P22" s="17">
        <f t="shared" si="7"/>
        <v>1</v>
      </c>
      <c r="Q22" s="17">
        <f t="shared" si="8"/>
        <v>4.0318031020924349E-4</v>
      </c>
    </row>
    <row r="23" spans="1:17" x14ac:dyDescent="0.3">
      <c r="A23" s="15" t="s">
        <v>33</v>
      </c>
      <c r="B23" s="22" t="str">
        <f>VLOOKUP(A23,ORCAMENTO!$A:$I,2,FALSE)</f>
        <v>CERCAMENTO</v>
      </c>
      <c r="C23" s="16">
        <f>VLOOKUP(A23,ORCAMENTO!$A:$I,9,FALSE)</f>
        <v>5908.53</v>
      </c>
      <c r="D23" s="17">
        <f t="shared" si="0"/>
        <v>3.6656043550818943E-3</v>
      </c>
      <c r="E23" s="16">
        <f>VLOOKUP(A23,CO!$A:$X,10,FALSE)</f>
        <v>5908.53</v>
      </c>
      <c r="F23" s="17">
        <f t="shared" si="1"/>
        <v>1</v>
      </c>
      <c r="G23" s="16">
        <f>VLOOKUP(A23,CO!$A:$X,13,FALSE)</f>
        <v>0</v>
      </c>
      <c r="H23" s="17">
        <f t="shared" si="2"/>
        <v>0</v>
      </c>
      <c r="I23" s="16">
        <f>VLOOKUP(A23,CO!$A:$X,16,FALSE)</f>
        <v>0</v>
      </c>
      <c r="J23" s="17">
        <f t="shared" si="3"/>
        <v>0</v>
      </c>
      <c r="K23" s="16">
        <f>VLOOKUP(A23,CO!$A:$X,19,FALSE)</f>
        <v>0</v>
      </c>
      <c r="L23" s="17">
        <f t="shared" si="4"/>
        <v>0</v>
      </c>
      <c r="M23" s="16">
        <f>VLOOKUP(A23,CO!$A:$X,22,FALSE)</f>
        <v>0</v>
      </c>
      <c r="N23" s="17">
        <f t="shared" si="5"/>
        <v>0</v>
      </c>
      <c r="O23" s="16">
        <f t="shared" si="6"/>
        <v>5908.53</v>
      </c>
      <c r="P23" s="17">
        <f t="shared" si="7"/>
        <v>1</v>
      </c>
      <c r="Q23" s="17">
        <f t="shared" si="8"/>
        <v>3.6656043550818943E-3</v>
      </c>
    </row>
    <row r="24" spans="1:17" x14ac:dyDescent="0.3">
      <c r="A24" s="12" t="s">
        <v>34</v>
      </c>
      <c r="B24" s="21" t="str">
        <f>VLOOKUP(A24,ORCAMENTO!$A:$I,2,FALSE)</f>
        <v>INSTALAÇÕES ELÉTRICAS</v>
      </c>
      <c r="C24" s="13">
        <f>VLOOKUP(A24,ORCAMENTO!$A:$I,9,FALSE)</f>
        <v>18545.48</v>
      </c>
      <c r="D24" s="14">
        <f t="shared" si="0"/>
        <v>1.1505466208191236E-2</v>
      </c>
      <c r="E24" s="13">
        <f>VLOOKUP(A24,CO!$A:$X,10,FALSE)</f>
        <v>18545.48</v>
      </c>
      <c r="F24" s="14">
        <f t="shared" si="1"/>
        <v>1</v>
      </c>
      <c r="G24" s="13">
        <f>VLOOKUP(A24,CO!$A:$X,13,FALSE)</f>
        <v>0</v>
      </c>
      <c r="H24" s="14">
        <f t="shared" si="2"/>
        <v>0</v>
      </c>
      <c r="I24" s="13">
        <f>VLOOKUP(A24,CO!$A:$X,16,FALSE)</f>
        <v>0</v>
      </c>
      <c r="J24" s="14">
        <f t="shared" si="3"/>
        <v>0</v>
      </c>
      <c r="K24" s="13">
        <f>VLOOKUP(A24,CO!$A:$X,19,FALSE)</f>
        <v>0</v>
      </c>
      <c r="L24" s="14">
        <f t="shared" si="4"/>
        <v>0</v>
      </c>
      <c r="M24" s="13">
        <f>VLOOKUP(A24,CO!$A:$X,22,FALSE)</f>
        <v>0</v>
      </c>
      <c r="N24" s="14">
        <f t="shared" si="5"/>
        <v>0</v>
      </c>
      <c r="O24" s="13">
        <f t="shared" si="6"/>
        <v>18545.48</v>
      </c>
      <c r="P24" s="14">
        <f t="shared" si="7"/>
        <v>1</v>
      </c>
      <c r="Q24" s="14">
        <f t="shared" si="8"/>
        <v>1.1505466208191236E-2</v>
      </c>
    </row>
    <row r="25" spans="1:17" x14ac:dyDescent="0.3">
      <c r="A25" s="12" t="s">
        <v>35</v>
      </c>
      <c r="B25" s="21" t="str">
        <f>VLOOKUP(A25,ORCAMENTO!$A:$I,2,FALSE)</f>
        <v>ADUÇÃO</v>
      </c>
      <c r="C25" s="13">
        <f>VLOOKUP(A25,ORCAMENTO!$A:$I,9,FALSE)</f>
        <v>1455.29</v>
      </c>
      <c r="D25" s="14">
        <f t="shared" si="0"/>
        <v>9.028501779473286E-4</v>
      </c>
      <c r="E25" s="13">
        <f>SUM(E$26,E$27,E$28,)</f>
        <v>1455.29</v>
      </c>
      <c r="F25" s="14">
        <f t="shared" si="1"/>
        <v>1</v>
      </c>
      <c r="G25" s="13">
        <f>SUM(G$26,G$27,G$28,)</f>
        <v>0</v>
      </c>
      <c r="H25" s="14">
        <f t="shared" si="2"/>
        <v>0</v>
      </c>
      <c r="I25" s="13">
        <f>SUM(I$26,I$27,I$28,)</f>
        <v>0</v>
      </c>
      <c r="J25" s="14">
        <f t="shared" si="3"/>
        <v>0</v>
      </c>
      <c r="K25" s="13">
        <f>SUM(K$26,K$27,K$28,)</f>
        <v>0</v>
      </c>
      <c r="L25" s="14">
        <f t="shared" si="4"/>
        <v>0</v>
      </c>
      <c r="M25" s="13">
        <f>SUM(M$26,M$27,M$28,)</f>
        <v>0</v>
      </c>
      <c r="N25" s="14">
        <f t="shared" si="5"/>
        <v>0</v>
      </c>
      <c r="O25" s="13">
        <f t="shared" si="6"/>
        <v>1455.29</v>
      </c>
      <c r="P25" s="14">
        <f t="shared" si="7"/>
        <v>1</v>
      </c>
      <c r="Q25" s="14">
        <f t="shared" si="8"/>
        <v>9.028501779473286E-4</v>
      </c>
    </row>
    <row r="26" spans="1:17" x14ac:dyDescent="0.3">
      <c r="A26" s="15" t="s">
        <v>36</v>
      </c>
      <c r="B26" s="22" t="str">
        <f>VLOOKUP(A26,ORCAMENTO!$A:$I,2,FALSE)</f>
        <v>MOVIMENTO DE TERRA</v>
      </c>
      <c r="C26" s="16">
        <f>VLOOKUP(A26,ORCAMENTO!$A:$I,9,FALSE)</f>
        <v>485.08</v>
      </c>
      <c r="D26" s="17">
        <f t="shared" si="0"/>
        <v>3.0093971945020591E-4</v>
      </c>
      <c r="E26" s="16">
        <f>VLOOKUP(A26,CO!$A:$X,10,FALSE)</f>
        <v>485.08</v>
      </c>
      <c r="F26" s="17">
        <f t="shared" si="1"/>
        <v>1</v>
      </c>
      <c r="G26" s="16">
        <f>VLOOKUP(A26,CO!$A:$X,13,FALSE)</f>
        <v>0</v>
      </c>
      <c r="H26" s="17">
        <f t="shared" si="2"/>
        <v>0</v>
      </c>
      <c r="I26" s="16">
        <f>VLOOKUP(A26,CO!$A:$X,16,FALSE)</f>
        <v>0</v>
      </c>
      <c r="J26" s="17">
        <f t="shared" si="3"/>
        <v>0</v>
      </c>
      <c r="K26" s="16">
        <f>VLOOKUP(A26,CO!$A:$X,19,FALSE)</f>
        <v>0</v>
      </c>
      <c r="L26" s="17">
        <f t="shared" si="4"/>
        <v>0</v>
      </c>
      <c r="M26" s="16">
        <f>VLOOKUP(A26,CO!$A:$X,22,FALSE)</f>
        <v>0</v>
      </c>
      <c r="N26" s="17">
        <f t="shared" si="5"/>
        <v>0</v>
      </c>
      <c r="O26" s="16">
        <f t="shared" si="6"/>
        <v>485.08</v>
      </c>
      <c r="P26" s="17">
        <f t="shared" si="7"/>
        <v>1</v>
      </c>
      <c r="Q26" s="17">
        <f t="shared" si="8"/>
        <v>3.0093971945020591E-4</v>
      </c>
    </row>
    <row r="27" spans="1:17" x14ac:dyDescent="0.3">
      <c r="A27" s="15" t="s">
        <v>37</v>
      </c>
      <c r="B27" s="22" t="str">
        <f>VLOOKUP(A27,ORCAMENTO!$A:$I,2,FALSE)</f>
        <v>INFRAESTRUTURA</v>
      </c>
      <c r="C27" s="16">
        <f>VLOOKUP(A27,ORCAMENTO!$A:$I,9,FALSE)</f>
        <v>264.64</v>
      </c>
      <c r="D27" s="17">
        <f t="shared" si="0"/>
        <v>1.6418052147130883E-4</v>
      </c>
      <c r="E27" s="16">
        <f>VLOOKUP(A27,CO!$A:$X,10,FALSE)</f>
        <v>264.64</v>
      </c>
      <c r="F27" s="17">
        <f t="shared" si="1"/>
        <v>1</v>
      </c>
      <c r="G27" s="16">
        <f>VLOOKUP(A27,CO!$A:$X,13,FALSE)</f>
        <v>0</v>
      </c>
      <c r="H27" s="17">
        <f t="shared" si="2"/>
        <v>0</v>
      </c>
      <c r="I27" s="16">
        <f>VLOOKUP(A27,CO!$A:$X,16,FALSE)</f>
        <v>0</v>
      </c>
      <c r="J27" s="17">
        <f t="shared" si="3"/>
        <v>0</v>
      </c>
      <c r="K27" s="16">
        <f>VLOOKUP(A27,CO!$A:$X,19,FALSE)</f>
        <v>0</v>
      </c>
      <c r="L27" s="17">
        <f t="shared" si="4"/>
        <v>0</v>
      </c>
      <c r="M27" s="16">
        <f>VLOOKUP(A27,CO!$A:$X,22,FALSE)</f>
        <v>0</v>
      </c>
      <c r="N27" s="17">
        <f t="shared" si="5"/>
        <v>0</v>
      </c>
      <c r="O27" s="16">
        <f t="shared" si="6"/>
        <v>264.64</v>
      </c>
      <c r="P27" s="17">
        <f t="shared" si="7"/>
        <v>1</v>
      </c>
      <c r="Q27" s="17">
        <f t="shared" si="8"/>
        <v>1.6418052147130883E-4</v>
      </c>
    </row>
    <row r="28" spans="1:17" x14ac:dyDescent="0.3">
      <c r="A28" s="15" t="s">
        <v>38</v>
      </c>
      <c r="B28" s="22" t="str">
        <f>VLOOKUP(A28,ORCAMENTO!$A:$I,2,FALSE)</f>
        <v>INSTALAÇÕES HIDRÁULICAS</v>
      </c>
      <c r="C28" s="16">
        <f>VLOOKUP(A28,ORCAMENTO!$A:$I,9,FALSE)</f>
        <v>705.57</v>
      </c>
      <c r="D28" s="17">
        <f t="shared" si="0"/>
        <v>4.3772993702581391E-4</v>
      </c>
      <c r="E28" s="16">
        <f>VLOOKUP(A28,CO!$A:$X,10,FALSE)</f>
        <v>705.57</v>
      </c>
      <c r="F28" s="17">
        <f t="shared" si="1"/>
        <v>1</v>
      </c>
      <c r="G28" s="16">
        <f>VLOOKUP(A28,CO!$A:$X,13,FALSE)</f>
        <v>0</v>
      </c>
      <c r="H28" s="17">
        <f t="shared" si="2"/>
        <v>0</v>
      </c>
      <c r="I28" s="16">
        <f>VLOOKUP(A28,CO!$A:$X,16,FALSE)</f>
        <v>0</v>
      </c>
      <c r="J28" s="17">
        <f t="shared" si="3"/>
        <v>0</v>
      </c>
      <c r="K28" s="16">
        <f>VLOOKUP(A28,CO!$A:$X,19,FALSE)</f>
        <v>0</v>
      </c>
      <c r="L28" s="17">
        <f t="shared" si="4"/>
        <v>0</v>
      </c>
      <c r="M28" s="16">
        <f>VLOOKUP(A28,CO!$A:$X,22,FALSE)</f>
        <v>0</v>
      </c>
      <c r="N28" s="17">
        <f t="shared" si="5"/>
        <v>0</v>
      </c>
      <c r="O28" s="16">
        <f t="shared" si="6"/>
        <v>705.57</v>
      </c>
      <c r="P28" s="17">
        <f t="shared" si="7"/>
        <v>1</v>
      </c>
      <c r="Q28" s="17">
        <f t="shared" si="8"/>
        <v>4.3772993702581391E-4</v>
      </c>
    </row>
    <row r="29" spans="1:17" x14ac:dyDescent="0.3">
      <c r="A29" s="12" t="s">
        <v>39</v>
      </c>
      <c r="B29" s="21" t="str">
        <f>VLOOKUP(A29,ORCAMENTO!$A:$I,2,FALSE)</f>
        <v>RESERVAÇÃO</v>
      </c>
      <c r="C29" s="13">
        <f>VLOOKUP(A29,ORCAMENTO!$A:$I,9,FALSE)</f>
        <v>62127.229999999996</v>
      </c>
      <c r="D29" s="14">
        <f t="shared" si="0"/>
        <v>3.8543232387273058E-2</v>
      </c>
      <c r="E29" s="13">
        <f>VLOOKUP(A29,CO!$A:$X,10,FALSE)</f>
        <v>62127.229999999996</v>
      </c>
      <c r="F29" s="14">
        <f t="shared" si="1"/>
        <v>1</v>
      </c>
      <c r="G29" s="13">
        <f>VLOOKUP(A29,CO!$A:$X,13,FALSE)</f>
        <v>0</v>
      </c>
      <c r="H29" s="14">
        <f t="shared" si="2"/>
        <v>0</v>
      </c>
      <c r="I29" s="13">
        <f>VLOOKUP(A29,CO!$A:$X,16,FALSE)</f>
        <v>0</v>
      </c>
      <c r="J29" s="14">
        <f t="shared" si="3"/>
        <v>0</v>
      </c>
      <c r="K29" s="13">
        <f>VLOOKUP(A29,CO!$A:$X,19,FALSE)</f>
        <v>0</v>
      </c>
      <c r="L29" s="14">
        <f t="shared" si="4"/>
        <v>0</v>
      </c>
      <c r="M29" s="13">
        <f>VLOOKUP(A29,CO!$A:$X,22,FALSE)</f>
        <v>0</v>
      </c>
      <c r="N29" s="14">
        <f t="shared" si="5"/>
        <v>0</v>
      </c>
      <c r="O29" s="13">
        <f t="shared" si="6"/>
        <v>62127.229999999996</v>
      </c>
      <c r="P29" s="14">
        <f t="shared" si="7"/>
        <v>1</v>
      </c>
      <c r="Q29" s="14">
        <f t="shared" si="8"/>
        <v>3.8543232387273058E-2</v>
      </c>
    </row>
    <row r="30" spans="1:17" x14ac:dyDescent="0.3">
      <c r="A30" s="12" t="s">
        <v>40</v>
      </c>
      <c r="B30" s="21" t="str">
        <f>VLOOKUP(A30,ORCAMENTO!$A:$I,2,FALSE)</f>
        <v>DISTRIBUIÇÃO</v>
      </c>
      <c r="C30" s="13">
        <f>VLOOKUP(A30,ORCAMENTO!$A:$I,9,FALSE)</f>
        <v>390046.92000000004</v>
      </c>
      <c r="D30" s="14">
        <f t="shared" si="0"/>
        <v>0.24198196313436326</v>
      </c>
      <c r="E30" s="13">
        <f>SUM(E$31,E$32,)</f>
        <v>195023.46000000002</v>
      </c>
      <c r="F30" s="14">
        <f t="shared" si="1"/>
        <v>0.5</v>
      </c>
      <c r="G30" s="13">
        <f>SUM(G$31,G$32,)</f>
        <v>195023.46000000002</v>
      </c>
      <c r="H30" s="14">
        <f t="shared" si="2"/>
        <v>0.5</v>
      </c>
      <c r="I30" s="13">
        <f>SUM(I$31,I$32,)</f>
        <v>0</v>
      </c>
      <c r="J30" s="14">
        <f t="shared" si="3"/>
        <v>0</v>
      </c>
      <c r="K30" s="13">
        <f>SUM(K$31,K$32,)</f>
        <v>0</v>
      </c>
      <c r="L30" s="14">
        <f t="shared" si="4"/>
        <v>0</v>
      </c>
      <c r="M30" s="13">
        <f>SUM(M$31,M$32,)</f>
        <v>0</v>
      </c>
      <c r="N30" s="14">
        <f t="shared" si="5"/>
        <v>0</v>
      </c>
      <c r="O30" s="13">
        <f t="shared" si="6"/>
        <v>390046.92000000004</v>
      </c>
      <c r="P30" s="14">
        <f t="shared" si="7"/>
        <v>1</v>
      </c>
      <c r="Q30" s="14">
        <f t="shared" si="8"/>
        <v>0.24198196313436326</v>
      </c>
    </row>
    <row r="31" spans="1:17" x14ac:dyDescent="0.3">
      <c r="A31" s="15" t="s">
        <v>41</v>
      </c>
      <c r="B31" s="22" t="str">
        <f>VLOOKUP(A31,ORCAMENTO!$A:$I,2,FALSE)</f>
        <v>MOVIMENTO DE TERRA</v>
      </c>
      <c r="C31" s="16">
        <f>VLOOKUP(A31,ORCAMENTO!$A:$I,9,FALSE)</f>
        <v>88741.959999999992</v>
      </c>
      <c r="D31" s="17">
        <f t="shared" si="0"/>
        <v>5.5054796210648543E-2</v>
      </c>
      <c r="E31" s="16">
        <f>VLOOKUP(A31,CO!$A:$X,10,FALSE)</f>
        <v>44370.979999999996</v>
      </c>
      <c r="F31" s="17">
        <f t="shared" si="1"/>
        <v>0.5</v>
      </c>
      <c r="G31" s="16">
        <f>VLOOKUP(A31,CO!$A:$X,13,FALSE)</f>
        <v>44370.979999999996</v>
      </c>
      <c r="H31" s="17">
        <f t="shared" si="2"/>
        <v>0.5</v>
      </c>
      <c r="I31" s="16">
        <f>VLOOKUP(A31,CO!$A:$X,16,FALSE)</f>
        <v>0</v>
      </c>
      <c r="J31" s="17">
        <f t="shared" si="3"/>
        <v>0</v>
      </c>
      <c r="K31" s="16">
        <f>VLOOKUP(A31,CO!$A:$X,19,FALSE)</f>
        <v>0</v>
      </c>
      <c r="L31" s="17">
        <f t="shared" si="4"/>
        <v>0</v>
      </c>
      <c r="M31" s="16">
        <f>VLOOKUP(A31,CO!$A:$X,22,FALSE)</f>
        <v>0</v>
      </c>
      <c r="N31" s="17">
        <f t="shared" si="5"/>
        <v>0</v>
      </c>
      <c r="O31" s="16">
        <f t="shared" si="6"/>
        <v>88741.959999999992</v>
      </c>
      <c r="P31" s="17">
        <f t="shared" si="7"/>
        <v>1</v>
      </c>
      <c r="Q31" s="17">
        <f t="shared" si="8"/>
        <v>5.5054796210648543E-2</v>
      </c>
    </row>
    <row r="32" spans="1:17" x14ac:dyDescent="0.3">
      <c r="A32" s="15" t="s">
        <v>42</v>
      </c>
      <c r="B32" s="22" t="str">
        <f>VLOOKUP(A32,ORCAMENTO!$A:$I,2,FALSE)</f>
        <v>INSTALAÇÕES HIDRÁULICAS</v>
      </c>
      <c r="C32" s="16">
        <f>VLOOKUP(A32,ORCAMENTO!$A:$I,9,FALSE)</f>
        <v>301304.96000000002</v>
      </c>
      <c r="D32" s="17">
        <f t="shared" si="0"/>
        <v>0.18692716692371469</v>
      </c>
      <c r="E32" s="16">
        <f>VLOOKUP(A32,CO!$A:$X,10,FALSE)</f>
        <v>150652.48000000001</v>
      </c>
      <c r="F32" s="17">
        <f t="shared" si="1"/>
        <v>0.5</v>
      </c>
      <c r="G32" s="16">
        <f>VLOOKUP(A32,CO!$A:$X,13,FALSE)</f>
        <v>150652.48000000001</v>
      </c>
      <c r="H32" s="17">
        <f t="shared" si="2"/>
        <v>0.5</v>
      </c>
      <c r="I32" s="16">
        <f>VLOOKUP(A32,CO!$A:$X,16,FALSE)</f>
        <v>0</v>
      </c>
      <c r="J32" s="17">
        <f t="shared" si="3"/>
        <v>0</v>
      </c>
      <c r="K32" s="16">
        <f>VLOOKUP(A32,CO!$A:$X,19,FALSE)</f>
        <v>0</v>
      </c>
      <c r="L32" s="17">
        <f t="shared" si="4"/>
        <v>0</v>
      </c>
      <c r="M32" s="16">
        <f>VLOOKUP(A32,CO!$A:$X,22,FALSE)</f>
        <v>0</v>
      </c>
      <c r="N32" s="17">
        <f t="shared" si="5"/>
        <v>0</v>
      </c>
      <c r="O32" s="16">
        <f t="shared" si="6"/>
        <v>301304.96000000002</v>
      </c>
      <c r="P32" s="17">
        <f t="shared" si="7"/>
        <v>1</v>
      </c>
      <c r="Q32" s="17">
        <f t="shared" si="8"/>
        <v>0.18692716692371469</v>
      </c>
    </row>
    <row r="33" spans="1:17" x14ac:dyDescent="0.3">
      <c r="A33" s="9">
        <v>3</v>
      </c>
      <c r="B33" s="20" t="str">
        <f>VLOOKUP(A33,ORCAMENTO!$A:$I,2,FALSE)</f>
        <v>LOCALIDADE NAZARÉ (PARNAGUÁ-PI)</v>
      </c>
      <c r="C33" s="10">
        <f>VLOOKUP(A33,ORCAMENTO!$A:$I,9,FALSE)</f>
        <v>282954.75</v>
      </c>
      <c r="D33" s="11">
        <f t="shared" si="0"/>
        <v>0.1755428446485181</v>
      </c>
      <c r="E33" s="10">
        <f>SUM(E$34,E$35,E$36,E$48,E$49,E$53,E$54,)</f>
        <v>123609.16999999998</v>
      </c>
      <c r="F33" s="11">
        <f t="shared" si="1"/>
        <v>0.43685136934439156</v>
      </c>
      <c r="G33" s="10">
        <f>SUM(G$34,G$35,G$36,G$48,G$49,G$53,G$54,)</f>
        <v>159345.58000000002</v>
      </c>
      <c r="H33" s="11">
        <f t="shared" si="2"/>
        <v>0.56314863065560838</v>
      </c>
      <c r="I33" s="10">
        <f>SUM(I$34,I$35,I$36,I$48,I$49,I$53,I$54,)</f>
        <v>0</v>
      </c>
      <c r="J33" s="11">
        <f t="shared" si="3"/>
        <v>0</v>
      </c>
      <c r="K33" s="10">
        <f>SUM(K$34,K$35,K$36,K$48,K$49,K$53,K$54,)</f>
        <v>0</v>
      </c>
      <c r="L33" s="11">
        <f t="shared" si="4"/>
        <v>0</v>
      </c>
      <c r="M33" s="10">
        <f>SUM(M$34,M$35,M$36,M$48,M$49,M$53,M$54,)</f>
        <v>0</v>
      </c>
      <c r="N33" s="11">
        <f t="shared" si="5"/>
        <v>0</v>
      </c>
      <c r="O33" s="10">
        <f t="shared" si="6"/>
        <v>282954.75</v>
      </c>
      <c r="P33" s="11">
        <f t="shared" si="7"/>
        <v>1</v>
      </c>
      <c r="Q33" s="11">
        <f t="shared" si="8"/>
        <v>0.1755428446485181</v>
      </c>
    </row>
    <row r="34" spans="1:17" x14ac:dyDescent="0.3">
      <c r="A34" s="12" t="s">
        <v>43</v>
      </c>
      <c r="B34" s="21" t="str">
        <f>VLOOKUP(A34,ORCAMENTO!$A:$I,2,FALSE)</f>
        <v>PERFURAÇÃO DE POÇO TUBULAR</v>
      </c>
      <c r="C34" s="13">
        <f>VLOOKUP(A34,ORCAMENTO!$A:$I,9,FALSE)</f>
        <v>41696.749999999993</v>
      </c>
      <c r="D34" s="14">
        <f t="shared" si="0"/>
        <v>2.586832738308191E-2</v>
      </c>
      <c r="E34" s="13">
        <f>VLOOKUP(A34,CO!$A:$X,10,FALSE)</f>
        <v>41696.749999999993</v>
      </c>
      <c r="F34" s="14">
        <f t="shared" si="1"/>
        <v>1</v>
      </c>
      <c r="G34" s="13">
        <f>VLOOKUP(A34,CO!$A:$X,13,FALSE)</f>
        <v>0</v>
      </c>
      <c r="H34" s="14">
        <f t="shared" si="2"/>
        <v>0</v>
      </c>
      <c r="I34" s="13">
        <f>VLOOKUP(A34,CO!$A:$X,16,FALSE)</f>
        <v>0</v>
      </c>
      <c r="J34" s="14">
        <f t="shared" si="3"/>
        <v>0</v>
      </c>
      <c r="K34" s="13">
        <f>VLOOKUP(A34,CO!$A:$X,19,FALSE)</f>
        <v>0</v>
      </c>
      <c r="L34" s="14">
        <f t="shared" si="4"/>
        <v>0</v>
      </c>
      <c r="M34" s="13">
        <f>VLOOKUP(A34,CO!$A:$X,22,FALSE)</f>
        <v>0</v>
      </c>
      <c r="N34" s="14">
        <f t="shared" si="5"/>
        <v>0</v>
      </c>
      <c r="O34" s="13">
        <f t="shared" si="6"/>
        <v>41696.749999999993</v>
      </c>
      <c r="P34" s="14">
        <f t="shared" si="7"/>
        <v>1</v>
      </c>
      <c r="Q34" s="14">
        <f t="shared" si="8"/>
        <v>2.586832738308191E-2</v>
      </c>
    </row>
    <row r="35" spans="1:17" ht="43.2" x14ac:dyDescent="0.3">
      <c r="A35" s="12" t="s">
        <v>44</v>
      </c>
      <c r="B35" s="21" t="str">
        <f>VLOOKUP(A35,ORCAMENTO!$A:$I,2,FALSE)</f>
        <v>AQUISIÇÃO E INSTALAÇÃO DE EQUIPAMENTOS DE BOMBEAMENTO, RECALQUE/BARRILETE E CONEXÕES PARA INTERLIGAÇÃO COM RESERVATÓRIO</v>
      </c>
      <c r="C35" s="13">
        <f>VLOOKUP(A35,ORCAMENTO!$A:$I,9,FALSE)</f>
        <v>10148.990000000002</v>
      </c>
      <c r="D35" s="14">
        <f t="shared" si="0"/>
        <v>6.2963515364536692E-3</v>
      </c>
      <c r="E35" s="13">
        <f>VLOOKUP(A35,CO!$A:$X,10,FALSE)</f>
        <v>10148.990000000002</v>
      </c>
      <c r="F35" s="14">
        <f t="shared" si="1"/>
        <v>1</v>
      </c>
      <c r="G35" s="13">
        <f>VLOOKUP(A35,CO!$A:$X,13,FALSE)</f>
        <v>0</v>
      </c>
      <c r="H35" s="14">
        <f t="shared" si="2"/>
        <v>0</v>
      </c>
      <c r="I35" s="13">
        <f>VLOOKUP(A35,CO!$A:$X,16,FALSE)</f>
        <v>0</v>
      </c>
      <c r="J35" s="14">
        <f t="shared" si="3"/>
        <v>0</v>
      </c>
      <c r="K35" s="13">
        <f>VLOOKUP(A35,CO!$A:$X,19,FALSE)</f>
        <v>0</v>
      </c>
      <c r="L35" s="14">
        <f t="shared" si="4"/>
        <v>0</v>
      </c>
      <c r="M35" s="13">
        <f>VLOOKUP(A35,CO!$A:$X,22,FALSE)</f>
        <v>0</v>
      </c>
      <c r="N35" s="14">
        <f t="shared" si="5"/>
        <v>0</v>
      </c>
      <c r="O35" s="13">
        <f t="shared" si="6"/>
        <v>10148.990000000002</v>
      </c>
      <c r="P35" s="14">
        <f t="shared" si="7"/>
        <v>1</v>
      </c>
      <c r="Q35" s="14">
        <f t="shared" si="8"/>
        <v>6.2963515364536692E-3</v>
      </c>
    </row>
    <row r="36" spans="1:17" x14ac:dyDescent="0.3">
      <c r="A36" s="12" t="s">
        <v>45</v>
      </c>
      <c r="B36" s="21" t="str">
        <f>VLOOKUP(A36,ORCAMENTO!$A:$I,2,FALSE)</f>
        <v>CONSTRUÇÃO DA CASA DE COMANDO</v>
      </c>
      <c r="C36" s="13">
        <f>VLOOKUP(A36,ORCAMENTO!$A:$I,9,FALSE)</f>
        <v>20274.329999999998</v>
      </c>
      <c r="D36" s="14">
        <f t="shared" si="0"/>
        <v>1.2578030803663093E-2</v>
      </c>
      <c r="E36" s="13">
        <f>SUM(E$37,E$38,E$39,E$40,E$41,E$42,E$43,E$44,E$45,E$46,E$47,)</f>
        <v>20274.329999999998</v>
      </c>
      <c r="F36" s="14">
        <f t="shared" si="1"/>
        <v>1</v>
      </c>
      <c r="G36" s="13">
        <f>SUM(G$37,G$38,G$39,G$40,G$41,G$42,G$43,G$44,G$45,G$46,G$47,)</f>
        <v>0</v>
      </c>
      <c r="H36" s="14">
        <f t="shared" si="2"/>
        <v>0</v>
      </c>
      <c r="I36" s="13">
        <f>SUM(I$37,I$38,I$39,I$40,I$41,I$42,I$43,I$44,I$45,I$46,I$47,)</f>
        <v>0</v>
      </c>
      <c r="J36" s="14">
        <f t="shared" si="3"/>
        <v>0</v>
      </c>
      <c r="K36" s="13">
        <f>SUM(K$37,K$38,K$39,K$40,K$41,K$42,K$43,K$44,K$45,K$46,K$47,)</f>
        <v>0</v>
      </c>
      <c r="L36" s="14">
        <f t="shared" si="4"/>
        <v>0</v>
      </c>
      <c r="M36" s="13">
        <f>SUM(M$37,M$38,M$39,M$40,M$41,M$42,M$43,M$44,M$45,M$46,M$47,)</f>
        <v>0</v>
      </c>
      <c r="N36" s="14">
        <f t="shared" si="5"/>
        <v>0</v>
      </c>
      <c r="O36" s="13">
        <f t="shared" si="6"/>
        <v>20274.329999999998</v>
      </c>
      <c r="P36" s="14">
        <f t="shared" si="7"/>
        <v>1</v>
      </c>
      <c r="Q36" s="14">
        <f t="shared" si="8"/>
        <v>1.2578030803663093E-2</v>
      </c>
    </row>
    <row r="37" spans="1:17" x14ac:dyDescent="0.3">
      <c r="A37" s="15" t="s">
        <v>46</v>
      </c>
      <c r="B37" s="22" t="str">
        <f>VLOOKUP(A37,ORCAMENTO!$A:$I,2,FALSE)</f>
        <v>SERVIÇOS PRELIMINARES</v>
      </c>
      <c r="C37" s="16">
        <f>VLOOKUP(A37,ORCAMENTO!$A:$I,9,FALSE)</f>
        <v>1315.92</v>
      </c>
      <c r="D37" s="17">
        <f t="shared" si="0"/>
        <v>8.1638615407544121E-4</v>
      </c>
      <c r="E37" s="16">
        <f>VLOOKUP(A37,CO!$A:$X,10,FALSE)</f>
        <v>1315.92</v>
      </c>
      <c r="F37" s="17">
        <f t="shared" si="1"/>
        <v>1</v>
      </c>
      <c r="G37" s="16">
        <f>VLOOKUP(A37,CO!$A:$X,13,FALSE)</f>
        <v>0</v>
      </c>
      <c r="H37" s="17">
        <f t="shared" si="2"/>
        <v>0</v>
      </c>
      <c r="I37" s="16">
        <f>VLOOKUP(A37,CO!$A:$X,16,FALSE)</f>
        <v>0</v>
      </c>
      <c r="J37" s="17">
        <f t="shared" si="3"/>
        <v>0</v>
      </c>
      <c r="K37" s="16">
        <f>VLOOKUP(A37,CO!$A:$X,19,FALSE)</f>
        <v>0</v>
      </c>
      <c r="L37" s="17">
        <f t="shared" si="4"/>
        <v>0</v>
      </c>
      <c r="M37" s="16">
        <f>VLOOKUP(A37,CO!$A:$X,22,FALSE)</f>
        <v>0</v>
      </c>
      <c r="N37" s="17">
        <f t="shared" si="5"/>
        <v>0</v>
      </c>
      <c r="O37" s="16">
        <f t="shared" si="6"/>
        <v>1315.92</v>
      </c>
      <c r="P37" s="17">
        <f t="shared" si="7"/>
        <v>1</v>
      </c>
      <c r="Q37" s="17">
        <f t="shared" si="8"/>
        <v>8.1638615407544121E-4</v>
      </c>
    </row>
    <row r="38" spans="1:17" x14ac:dyDescent="0.3">
      <c r="A38" s="15" t="s">
        <v>47</v>
      </c>
      <c r="B38" s="22" t="str">
        <f>VLOOKUP(A38,ORCAMENTO!$A:$I,2,FALSE)</f>
        <v>MOVIMENTO DE TERRA</v>
      </c>
      <c r="C38" s="16">
        <f>VLOOKUP(A38,ORCAMENTO!$A:$I,9,FALSE)</f>
        <v>161.76</v>
      </c>
      <c r="D38" s="17">
        <f t="shared" si="0"/>
        <v>1.0035459927901647E-4</v>
      </c>
      <c r="E38" s="16">
        <f>VLOOKUP(A38,CO!$A:$X,10,FALSE)</f>
        <v>161.76</v>
      </c>
      <c r="F38" s="17">
        <f t="shared" si="1"/>
        <v>1</v>
      </c>
      <c r="G38" s="16">
        <f>VLOOKUP(A38,CO!$A:$X,13,FALSE)</f>
        <v>0</v>
      </c>
      <c r="H38" s="17">
        <f t="shared" si="2"/>
        <v>0</v>
      </c>
      <c r="I38" s="16">
        <f>VLOOKUP(A38,CO!$A:$X,16,FALSE)</f>
        <v>0</v>
      </c>
      <c r="J38" s="17">
        <f t="shared" si="3"/>
        <v>0</v>
      </c>
      <c r="K38" s="16">
        <f>VLOOKUP(A38,CO!$A:$X,19,FALSE)</f>
        <v>0</v>
      </c>
      <c r="L38" s="17">
        <f t="shared" si="4"/>
        <v>0</v>
      </c>
      <c r="M38" s="16">
        <f>VLOOKUP(A38,CO!$A:$X,22,FALSE)</f>
        <v>0</v>
      </c>
      <c r="N38" s="17">
        <f t="shared" si="5"/>
        <v>0</v>
      </c>
      <c r="O38" s="16">
        <f t="shared" si="6"/>
        <v>161.76</v>
      </c>
      <c r="P38" s="17">
        <f t="shared" si="7"/>
        <v>1</v>
      </c>
      <c r="Q38" s="17">
        <f t="shared" si="8"/>
        <v>1.0035459927901647E-4</v>
      </c>
    </row>
    <row r="39" spans="1:17" x14ac:dyDescent="0.3">
      <c r="A39" s="15" t="s">
        <v>48</v>
      </c>
      <c r="B39" s="22" t="str">
        <f>VLOOKUP(A39,ORCAMENTO!$A:$I,2,FALSE)</f>
        <v>INFRAESTRUTURA</v>
      </c>
      <c r="C39" s="16">
        <f>VLOOKUP(A39,ORCAMENTO!$A:$I,9,FALSE)</f>
        <v>1229.81</v>
      </c>
      <c r="D39" s="17">
        <f t="shared" si="0"/>
        <v>7.6296420461997557E-4</v>
      </c>
      <c r="E39" s="16">
        <f>VLOOKUP(A39,CO!$A:$X,10,FALSE)</f>
        <v>1229.81</v>
      </c>
      <c r="F39" s="17">
        <f t="shared" si="1"/>
        <v>1</v>
      </c>
      <c r="G39" s="16">
        <f>VLOOKUP(A39,CO!$A:$X,13,FALSE)</f>
        <v>0</v>
      </c>
      <c r="H39" s="17">
        <f t="shared" si="2"/>
        <v>0</v>
      </c>
      <c r="I39" s="16">
        <f>VLOOKUP(A39,CO!$A:$X,16,FALSE)</f>
        <v>0</v>
      </c>
      <c r="J39" s="17">
        <f t="shared" si="3"/>
        <v>0</v>
      </c>
      <c r="K39" s="16">
        <f>VLOOKUP(A39,CO!$A:$X,19,FALSE)</f>
        <v>0</v>
      </c>
      <c r="L39" s="17">
        <f t="shared" si="4"/>
        <v>0</v>
      </c>
      <c r="M39" s="16">
        <f>VLOOKUP(A39,CO!$A:$X,22,FALSE)</f>
        <v>0</v>
      </c>
      <c r="N39" s="17">
        <f t="shared" si="5"/>
        <v>0</v>
      </c>
      <c r="O39" s="16">
        <f t="shared" si="6"/>
        <v>1229.81</v>
      </c>
      <c r="P39" s="17">
        <f t="shared" si="7"/>
        <v>1</v>
      </c>
      <c r="Q39" s="17">
        <f t="shared" si="8"/>
        <v>7.6296420461997557E-4</v>
      </c>
    </row>
    <row r="40" spans="1:17" x14ac:dyDescent="0.3">
      <c r="A40" s="15" t="s">
        <v>49</v>
      </c>
      <c r="B40" s="22" t="str">
        <f>VLOOKUP(A40,ORCAMENTO!$A:$I,2,FALSE)</f>
        <v>SUPERESTRUTURA</v>
      </c>
      <c r="C40" s="16">
        <f>VLOOKUP(A40,ORCAMENTO!$A:$I,9,FALSE)</f>
        <v>1323.3</v>
      </c>
      <c r="D40" s="17">
        <f t="shared" ref="D40:D71" si="9">C40/$C$153</f>
        <v>8.20964646549966E-4</v>
      </c>
      <c r="E40" s="16">
        <f>VLOOKUP(A40,CO!$A:$X,10,FALSE)</f>
        <v>1323.3</v>
      </c>
      <c r="F40" s="17">
        <f t="shared" ref="F40:F71" si="10">E40/C40</f>
        <v>1</v>
      </c>
      <c r="G40" s="16">
        <f>VLOOKUP(A40,CO!$A:$X,13,FALSE)</f>
        <v>0</v>
      </c>
      <c r="H40" s="17">
        <f t="shared" ref="H40:H71" si="11">G40/C40</f>
        <v>0</v>
      </c>
      <c r="I40" s="16">
        <f>VLOOKUP(A40,CO!$A:$X,16,FALSE)</f>
        <v>0</v>
      </c>
      <c r="J40" s="17">
        <f t="shared" ref="J40:J71" si="12">I40/C40</f>
        <v>0</v>
      </c>
      <c r="K40" s="16">
        <f>VLOOKUP(A40,CO!$A:$X,19,FALSE)</f>
        <v>0</v>
      </c>
      <c r="L40" s="17">
        <f t="shared" ref="L40:L71" si="13">K40/C40</f>
        <v>0</v>
      </c>
      <c r="M40" s="16">
        <f>VLOOKUP(A40,CO!$A:$X,22,FALSE)</f>
        <v>0</v>
      </c>
      <c r="N40" s="17">
        <f t="shared" ref="N40:N71" si="14">M40/C40</f>
        <v>0</v>
      </c>
      <c r="O40" s="16">
        <f t="shared" ref="O40:O71" si="15">SUM(E40,G40,I40,K40,M40,)</f>
        <v>1323.3</v>
      </c>
      <c r="P40" s="17">
        <f t="shared" ref="P40:P71" si="16">SUM(F40,H40,J40,L40,N40,)</f>
        <v>1</v>
      </c>
      <c r="Q40" s="17">
        <f t="shared" ref="Q40:Q71" si="17">O40/$C$153</f>
        <v>8.20964646549966E-4</v>
      </c>
    </row>
    <row r="41" spans="1:17" x14ac:dyDescent="0.3">
      <c r="A41" s="15" t="s">
        <v>50</v>
      </c>
      <c r="B41" s="22" t="str">
        <f>VLOOKUP(A41,ORCAMENTO!$A:$I,2,FALSE)</f>
        <v>VEDAÇÃO VERTICAL</v>
      </c>
      <c r="C41" s="16">
        <f>VLOOKUP(A41,ORCAMENTO!$A:$I,9,FALSE)</f>
        <v>2620</v>
      </c>
      <c r="D41" s="17">
        <f t="shared" si="9"/>
        <v>1.6254268676497475E-3</v>
      </c>
      <c r="E41" s="16">
        <f>VLOOKUP(A41,CO!$A:$X,10,FALSE)</f>
        <v>2620</v>
      </c>
      <c r="F41" s="17">
        <f t="shared" si="10"/>
        <v>1</v>
      </c>
      <c r="G41" s="16">
        <f>VLOOKUP(A41,CO!$A:$X,13,FALSE)</f>
        <v>0</v>
      </c>
      <c r="H41" s="17">
        <f t="shared" si="11"/>
        <v>0</v>
      </c>
      <c r="I41" s="16">
        <f>VLOOKUP(A41,CO!$A:$X,16,FALSE)</f>
        <v>0</v>
      </c>
      <c r="J41" s="17">
        <f t="shared" si="12"/>
        <v>0</v>
      </c>
      <c r="K41" s="16">
        <f>VLOOKUP(A41,CO!$A:$X,19,FALSE)</f>
        <v>0</v>
      </c>
      <c r="L41" s="17">
        <f t="shared" si="13"/>
        <v>0</v>
      </c>
      <c r="M41" s="16">
        <f>VLOOKUP(A41,CO!$A:$X,22,FALSE)</f>
        <v>0</v>
      </c>
      <c r="N41" s="17">
        <f t="shared" si="14"/>
        <v>0</v>
      </c>
      <c r="O41" s="16">
        <f t="shared" si="15"/>
        <v>2620</v>
      </c>
      <c r="P41" s="17">
        <f t="shared" si="16"/>
        <v>1</v>
      </c>
      <c r="Q41" s="17">
        <f t="shared" si="17"/>
        <v>1.6254268676497475E-3</v>
      </c>
    </row>
    <row r="42" spans="1:17" x14ac:dyDescent="0.3">
      <c r="A42" s="15" t="s">
        <v>51</v>
      </c>
      <c r="B42" s="22" t="str">
        <f>VLOOKUP(A42,ORCAMENTO!$A:$I,2,FALSE)</f>
        <v>COBERTURA</v>
      </c>
      <c r="C42" s="16">
        <f>VLOOKUP(A42,ORCAMENTO!$A:$I,9,FALSE)</f>
        <v>1305.45</v>
      </c>
      <c r="D42" s="17">
        <f t="shared" si="9"/>
        <v>8.0989065052418439E-4</v>
      </c>
      <c r="E42" s="16">
        <f>VLOOKUP(A42,CO!$A:$X,10,FALSE)</f>
        <v>1305.45</v>
      </c>
      <c r="F42" s="17">
        <f t="shared" si="10"/>
        <v>1</v>
      </c>
      <c r="G42" s="16">
        <f>VLOOKUP(A42,CO!$A:$X,13,FALSE)</f>
        <v>0</v>
      </c>
      <c r="H42" s="17">
        <f t="shared" si="11"/>
        <v>0</v>
      </c>
      <c r="I42" s="16">
        <f>VLOOKUP(A42,CO!$A:$X,16,FALSE)</f>
        <v>0</v>
      </c>
      <c r="J42" s="17">
        <f t="shared" si="12"/>
        <v>0</v>
      </c>
      <c r="K42" s="16">
        <f>VLOOKUP(A42,CO!$A:$X,19,FALSE)</f>
        <v>0</v>
      </c>
      <c r="L42" s="17">
        <f t="shared" si="13"/>
        <v>0</v>
      </c>
      <c r="M42" s="16">
        <f>VLOOKUP(A42,CO!$A:$X,22,FALSE)</f>
        <v>0</v>
      </c>
      <c r="N42" s="17">
        <f t="shared" si="14"/>
        <v>0</v>
      </c>
      <c r="O42" s="16">
        <f t="shared" si="15"/>
        <v>1305.45</v>
      </c>
      <c r="P42" s="17">
        <f t="shared" si="16"/>
        <v>1</v>
      </c>
      <c r="Q42" s="17">
        <f t="shared" si="17"/>
        <v>8.0989065052418439E-4</v>
      </c>
    </row>
    <row r="43" spans="1:17" x14ac:dyDescent="0.3">
      <c r="A43" s="15" t="s">
        <v>52</v>
      </c>
      <c r="B43" s="22" t="str">
        <f>VLOOKUP(A43,ORCAMENTO!$A:$I,2,FALSE)</f>
        <v>PISO</v>
      </c>
      <c r="C43" s="16">
        <f>VLOOKUP(A43,ORCAMENTO!$A:$I,9,FALSE)</f>
        <v>1174.01</v>
      </c>
      <c r="D43" s="17">
        <f t="shared" si="9"/>
        <v>7.2834633469064125E-4</v>
      </c>
      <c r="E43" s="16">
        <f>VLOOKUP(A43,CO!$A:$X,10,FALSE)</f>
        <v>1174.01</v>
      </c>
      <c r="F43" s="17">
        <f t="shared" si="10"/>
        <v>1</v>
      </c>
      <c r="G43" s="16">
        <f>VLOOKUP(A43,CO!$A:$X,13,FALSE)</f>
        <v>0</v>
      </c>
      <c r="H43" s="17">
        <f t="shared" si="11"/>
        <v>0</v>
      </c>
      <c r="I43" s="16">
        <f>VLOOKUP(A43,CO!$A:$X,16,FALSE)</f>
        <v>0</v>
      </c>
      <c r="J43" s="17">
        <f t="shared" si="12"/>
        <v>0</v>
      </c>
      <c r="K43" s="16">
        <f>VLOOKUP(A43,CO!$A:$X,19,FALSE)</f>
        <v>0</v>
      </c>
      <c r="L43" s="17">
        <f t="shared" si="13"/>
        <v>0</v>
      </c>
      <c r="M43" s="16">
        <f>VLOOKUP(A43,CO!$A:$X,22,FALSE)</f>
        <v>0</v>
      </c>
      <c r="N43" s="17">
        <f t="shared" si="14"/>
        <v>0</v>
      </c>
      <c r="O43" s="16">
        <f t="shared" si="15"/>
        <v>1174.01</v>
      </c>
      <c r="P43" s="17">
        <f t="shared" si="16"/>
        <v>1</v>
      </c>
      <c r="Q43" s="17">
        <f t="shared" si="17"/>
        <v>7.2834633469064125E-4</v>
      </c>
    </row>
    <row r="44" spans="1:17" x14ac:dyDescent="0.3">
      <c r="A44" s="15" t="s">
        <v>53</v>
      </c>
      <c r="B44" s="22" t="str">
        <f>VLOOKUP(A44,ORCAMENTO!$A:$I,2,FALSE)</f>
        <v>REVESTIMENTO</v>
      </c>
      <c r="C44" s="16">
        <f>VLOOKUP(A44,ORCAMENTO!$A:$I,9,FALSE)</f>
        <v>2341.92</v>
      </c>
      <c r="D44" s="17">
        <f t="shared" si="9"/>
        <v>1.452908278582556E-3</v>
      </c>
      <c r="E44" s="16">
        <f>VLOOKUP(A44,CO!$A:$X,10,FALSE)</f>
        <v>2341.92</v>
      </c>
      <c r="F44" s="17">
        <f t="shared" si="10"/>
        <v>1</v>
      </c>
      <c r="G44" s="16">
        <f>VLOOKUP(A44,CO!$A:$X,13,FALSE)</f>
        <v>0</v>
      </c>
      <c r="H44" s="17">
        <f t="shared" si="11"/>
        <v>0</v>
      </c>
      <c r="I44" s="16">
        <f>VLOOKUP(A44,CO!$A:$X,16,FALSE)</f>
        <v>0</v>
      </c>
      <c r="J44" s="17">
        <f t="shared" si="12"/>
        <v>0</v>
      </c>
      <c r="K44" s="16">
        <f>VLOOKUP(A44,CO!$A:$X,19,FALSE)</f>
        <v>0</v>
      </c>
      <c r="L44" s="17">
        <f t="shared" si="13"/>
        <v>0</v>
      </c>
      <c r="M44" s="16">
        <f>VLOOKUP(A44,CO!$A:$X,22,FALSE)</f>
        <v>0</v>
      </c>
      <c r="N44" s="17">
        <f t="shared" si="14"/>
        <v>0</v>
      </c>
      <c r="O44" s="16">
        <f t="shared" si="15"/>
        <v>2341.92</v>
      </c>
      <c r="P44" s="17">
        <f t="shared" si="16"/>
        <v>1</v>
      </c>
      <c r="Q44" s="17">
        <f t="shared" si="17"/>
        <v>1.452908278582556E-3</v>
      </c>
    </row>
    <row r="45" spans="1:17" x14ac:dyDescent="0.3">
      <c r="A45" s="15" t="s">
        <v>54</v>
      </c>
      <c r="B45" s="22" t="str">
        <f>VLOOKUP(A45,ORCAMENTO!$A:$I,2,FALSE)</f>
        <v>ESQUADRIAS</v>
      </c>
      <c r="C45" s="16">
        <f>VLOOKUP(A45,ORCAMENTO!$A:$I,9,FALSE)</f>
        <v>2243.75</v>
      </c>
      <c r="D45" s="17">
        <f t="shared" si="9"/>
        <v>1.3920044024004279E-3</v>
      </c>
      <c r="E45" s="16">
        <f>VLOOKUP(A45,CO!$A:$X,10,FALSE)</f>
        <v>2243.75</v>
      </c>
      <c r="F45" s="17">
        <f t="shared" si="10"/>
        <v>1</v>
      </c>
      <c r="G45" s="16">
        <f>VLOOKUP(A45,CO!$A:$X,13,FALSE)</f>
        <v>0</v>
      </c>
      <c r="H45" s="17">
        <f t="shared" si="11"/>
        <v>0</v>
      </c>
      <c r="I45" s="16">
        <f>VLOOKUP(A45,CO!$A:$X,16,FALSE)</f>
        <v>0</v>
      </c>
      <c r="J45" s="17">
        <f t="shared" si="12"/>
        <v>0</v>
      </c>
      <c r="K45" s="16">
        <f>VLOOKUP(A45,CO!$A:$X,19,FALSE)</f>
        <v>0</v>
      </c>
      <c r="L45" s="17">
        <f t="shared" si="13"/>
        <v>0</v>
      </c>
      <c r="M45" s="16">
        <f>VLOOKUP(A45,CO!$A:$X,22,FALSE)</f>
        <v>0</v>
      </c>
      <c r="N45" s="17">
        <f t="shared" si="14"/>
        <v>0</v>
      </c>
      <c r="O45" s="16">
        <f t="shared" si="15"/>
        <v>2243.75</v>
      </c>
      <c r="P45" s="17">
        <f t="shared" si="16"/>
        <v>1</v>
      </c>
      <c r="Q45" s="17">
        <f t="shared" si="17"/>
        <v>1.3920044024004279E-3</v>
      </c>
    </row>
    <row r="46" spans="1:17" x14ac:dyDescent="0.3">
      <c r="A46" s="15" t="s">
        <v>55</v>
      </c>
      <c r="B46" s="22" t="str">
        <f>VLOOKUP(A46,ORCAMENTO!$A:$I,2,FALSE)</f>
        <v>PINTURA</v>
      </c>
      <c r="C46" s="16">
        <f>VLOOKUP(A46,ORCAMENTO!$A:$I,9,FALSE)</f>
        <v>649.88</v>
      </c>
      <c r="D46" s="17">
        <f t="shared" si="9"/>
        <v>4.0318031020924349E-4</v>
      </c>
      <c r="E46" s="16">
        <f>VLOOKUP(A46,CO!$A:$X,10,FALSE)</f>
        <v>649.88</v>
      </c>
      <c r="F46" s="17">
        <f t="shared" si="10"/>
        <v>1</v>
      </c>
      <c r="G46" s="16">
        <f>VLOOKUP(A46,CO!$A:$X,13,FALSE)</f>
        <v>0</v>
      </c>
      <c r="H46" s="17">
        <f t="shared" si="11"/>
        <v>0</v>
      </c>
      <c r="I46" s="16">
        <f>VLOOKUP(A46,CO!$A:$X,16,FALSE)</f>
        <v>0</v>
      </c>
      <c r="J46" s="17">
        <f t="shared" si="12"/>
        <v>0</v>
      </c>
      <c r="K46" s="16">
        <f>VLOOKUP(A46,CO!$A:$X,19,FALSE)</f>
        <v>0</v>
      </c>
      <c r="L46" s="17">
        <f t="shared" si="13"/>
        <v>0</v>
      </c>
      <c r="M46" s="16">
        <f>VLOOKUP(A46,CO!$A:$X,22,FALSE)</f>
        <v>0</v>
      </c>
      <c r="N46" s="17">
        <f t="shared" si="14"/>
        <v>0</v>
      </c>
      <c r="O46" s="16">
        <f t="shared" si="15"/>
        <v>649.88</v>
      </c>
      <c r="P46" s="17">
        <f t="shared" si="16"/>
        <v>1</v>
      </c>
      <c r="Q46" s="17">
        <f t="shared" si="17"/>
        <v>4.0318031020924349E-4</v>
      </c>
    </row>
    <row r="47" spans="1:17" x14ac:dyDescent="0.3">
      <c r="A47" s="15" t="s">
        <v>56</v>
      </c>
      <c r="B47" s="22" t="str">
        <f>VLOOKUP(A47,ORCAMENTO!$A:$I,2,FALSE)</f>
        <v>CERCAMENTO</v>
      </c>
      <c r="C47" s="16">
        <f>VLOOKUP(A47,ORCAMENTO!$A:$I,9,FALSE)</f>
        <v>5908.53</v>
      </c>
      <c r="D47" s="17">
        <f t="shared" si="9"/>
        <v>3.6656043550818943E-3</v>
      </c>
      <c r="E47" s="16">
        <f>VLOOKUP(A47,CO!$A:$X,10,FALSE)</f>
        <v>5908.53</v>
      </c>
      <c r="F47" s="17">
        <f t="shared" si="10"/>
        <v>1</v>
      </c>
      <c r="G47" s="16">
        <f>VLOOKUP(A47,CO!$A:$X,13,FALSE)</f>
        <v>0</v>
      </c>
      <c r="H47" s="17">
        <f t="shared" si="11"/>
        <v>0</v>
      </c>
      <c r="I47" s="16">
        <f>VLOOKUP(A47,CO!$A:$X,16,FALSE)</f>
        <v>0</v>
      </c>
      <c r="J47" s="17">
        <f t="shared" si="12"/>
        <v>0</v>
      </c>
      <c r="K47" s="16">
        <f>VLOOKUP(A47,CO!$A:$X,19,FALSE)</f>
        <v>0</v>
      </c>
      <c r="L47" s="17">
        <f t="shared" si="13"/>
        <v>0</v>
      </c>
      <c r="M47" s="16">
        <f>VLOOKUP(A47,CO!$A:$X,22,FALSE)</f>
        <v>0</v>
      </c>
      <c r="N47" s="17">
        <f t="shared" si="14"/>
        <v>0</v>
      </c>
      <c r="O47" s="16">
        <f t="shared" si="15"/>
        <v>5908.53</v>
      </c>
      <c r="P47" s="17">
        <f t="shared" si="16"/>
        <v>1</v>
      </c>
      <c r="Q47" s="17">
        <f t="shared" si="17"/>
        <v>3.6656043550818943E-3</v>
      </c>
    </row>
    <row r="48" spans="1:17" x14ac:dyDescent="0.3">
      <c r="A48" s="12" t="s">
        <v>57</v>
      </c>
      <c r="B48" s="21" t="str">
        <f>VLOOKUP(A48,ORCAMENTO!$A:$I,2,FALSE)</f>
        <v>INSTALAÇÕES ELÉTRICAS</v>
      </c>
      <c r="C48" s="13">
        <f>VLOOKUP(A48,ORCAMENTO!$A:$I,9,FALSE)</f>
        <v>18545.48</v>
      </c>
      <c r="D48" s="14">
        <f t="shared" si="9"/>
        <v>1.1505466208191236E-2</v>
      </c>
      <c r="E48" s="13">
        <f>VLOOKUP(A48,CO!$A:$X,10,FALSE)</f>
        <v>18545.48</v>
      </c>
      <c r="F48" s="14">
        <f t="shared" si="10"/>
        <v>1</v>
      </c>
      <c r="G48" s="13">
        <f>VLOOKUP(A48,CO!$A:$X,13,FALSE)</f>
        <v>0</v>
      </c>
      <c r="H48" s="14">
        <f t="shared" si="11"/>
        <v>0</v>
      </c>
      <c r="I48" s="13">
        <f>VLOOKUP(A48,CO!$A:$X,16,FALSE)</f>
        <v>0</v>
      </c>
      <c r="J48" s="14">
        <f t="shared" si="12"/>
        <v>0</v>
      </c>
      <c r="K48" s="13">
        <f>VLOOKUP(A48,CO!$A:$X,19,FALSE)</f>
        <v>0</v>
      </c>
      <c r="L48" s="14">
        <f t="shared" si="13"/>
        <v>0</v>
      </c>
      <c r="M48" s="13">
        <f>VLOOKUP(A48,CO!$A:$X,22,FALSE)</f>
        <v>0</v>
      </c>
      <c r="N48" s="14">
        <f t="shared" si="14"/>
        <v>0</v>
      </c>
      <c r="O48" s="13">
        <f t="shared" si="15"/>
        <v>18545.48</v>
      </c>
      <c r="P48" s="14">
        <f t="shared" si="16"/>
        <v>1</v>
      </c>
      <c r="Q48" s="14">
        <f t="shared" si="17"/>
        <v>1.1505466208191236E-2</v>
      </c>
    </row>
    <row r="49" spans="1:17" x14ac:dyDescent="0.3">
      <c r="A49" s="12" t="s">
        <v>58</v>
      </c>
      <c r="B49" s="21" t="str">
        <f>VLOOKUP(A49,ORCAMENTO!$A:$I,2,FALSE)</f>
        <v>ADUÇÃO</v>
      </c>
      <c r="C49" s="13">
        <f>VLOOKUP(A49,ORCAMENTO!$A:$I,9,FALSE)</f>
        <v>1455.29</v>
      </c>
      <c r="D49" s="14">
        <f t="shared" si="9"/>
        <v>9.028501779473286E-4</v>
      </c>
      <c r="E49" s="13">
        <f>SUM(E$50,E$51,E$52,)</f>
        <v>1455.29</v>
      </c>
      <c r="F49" s="14">
        <f t="shared" si="10"/>
        <v>1</v>
      </c>
      <c r="G49" s="13">
        <f>SUM(G$50,G$51,G$52,)</f>
        <v>0</v>
      </c>
      <c r="H49" s="14">
        <f t="shared" si="11"/>
        <v>0</v>
      </c>
      <c r="I49" s="13">
        <f>SUM(I$50,I$51,I$52,)</f>
        <v>0</v>
      </c>
      <c r="J49" s="14">
        <f t="shared" si="12"/>
        <v>0</v>
      </c>
      <c r="K49" s="13">
        <f>SUM(K$50,K$51,K$52,)</f>
        <v>0</v>
      </c>
      <c r="L49" s="14">
        <f t="shared" si="13"/>
        <v>0</v>
      </c>
      <c r="M49" s="13">
        <f>SUM(M$50,M$51,M$52,)</f>
        <v>0</v>
      </c>
      <c r="N49" s="14">
        <f t="shared" si="14"/>
        <v>0</v>
      </c>
      <c r="O49" s="13">
        <f t="shared" si="15"/>
        <v>1455.29</v>
      </c>
      <c r="P49" s="14">
        <f t="shared" si="16"/>
        <v>1</v>
      </c>
      <c r="Q49" s="14">
        <f t="shared" si="17"/>
        <v>9.028501779473286E-4</v>
      </c>
    </row>
    <row r="50" spans="1:17" x14ac:dyDescent="0.3">
      <c r="A50" s="15" t="s">
        <v>59</v>
      </c>
      <c r="B50" s="22" t="str">
        <f>VLOOKUP(A50,ORCAMENTO!$A:$I,2,FALSE)</f>
        <v>MOVIMENTO DE TERRA</v>
      </c>
      <c r="C50" s="16">
        <f>VLOOKUP(A50,ORCAMENTO!$A:$I,9,FALSE)</f>
        <v>485.08</v>
      </c>
      <c r="D50" s="17">
        <f t="shared" si="9"/>
        <v>3.0093971945020591E-4</v>
      </c>
      <c r="E50" s="16">
        <f>VLOOKUP(A50,CO!$A:$X,10,FALSE)</f>
        <v>485.08</v>
      </c>
      <c r="F50" s="17">
        <f t="shared" si="10"/>
        <v>1</v>
      </c>
      <c r="G50" s="16">
        <f>VLOOKUP(A50,CO!$A:$X,13,FALSE)</f>
        <v>0</v>
      </c>
      <c r="H50" s="17">
        <f t="shared" si="11"/>
        <v>0</v>
      </c>
      <c r="I50" s="16">
        <f>VLOOKUP(A50,CO!$A:$X,16,FALSE)</f>
        <v>0</v>
      </c>
      <c r="J50" s="17">
        <f t="shared" si="12"/>
        <v>0</v>
      </c>
      <c r="K50" s="16">
        <f>VLOOKUP(A50,CO!$A:$X,19,FALSE)</f>
        <v>0</v>
      </c>
      <c r="L50" s="17">
        <f t="shared" si="13"/>
        <v>0</v>
      </c>
      <c r="M50" s="16">
        <f>VLOOKUP(A50,CO!$A:$X,22,FALSE)</f>
        <v>0</v>
      </c>
      <c r="N50" s="17">
        <f t="shared" si="14"/>
        <v>0</v>
      </c>
      <c r="O50" s="16">
        <f t="shared" si="15"/>
        <v>485.08</v>
      </c>
      <c r="P50" s="17">
        <f t="shared" si="16"/>
        <v>1</v>
      </c>
      <c r="Q50" s="17">
        <f t="shared" si="17"/>
        <v>3.0093971945020591E-4</v>
      </c>
    </row>
    <row r="51" spans="1:17" x14ac:dyDescent="0.3">
      <c r="A51" s="15" t="s">
        <v>60</v>
      </c>
      <c r="B51" s="22" t="str">
        <f>VLOOKUP(A51,ORCAMENTO!$A:$I,2,FALSE)</f>
        <v>INFRAESTRUTURA</v>
      </c>
      <c r="C51" s="16">
        <f>VLOOKUP(A51,ORCAMENTO!$A:$I,9,FALSE)</f>
        <v>264.64</v>
      </c>
      <c r="D51" s="17">
        <f t="shared" si="9"/>
        <v>1.6418052147130883E-4</v>
      </c>
      <c r="E51" s="16">
        <f>VLOOKUP(A51,CO!$A:$X,10,FALSE)</f>
        <v>264.64</v>
      </c>
      <c r="F51" s="17">
        <f t="shared" si="10"/>
        <v>1</v>
      </c>
      <c r="G51" s="16">
        <f>VLOOKUP(A51,CO!$A:$X,13,FALSE)</f>
        <v>0</v>
      </c>
      <c r="H51" s="17">
        <f t="shared" si="11"/>
        <v>0</v>
      </c>
      <c r="I51" s="16">
        <f>VLOOKUP(A51,CO!$A:$X,16,FALSE)</f>
        <v>0</v>
      </c>
      <c r="J51" s="17">
        <f t="shared" si="12"/>
        <v>0</v>
      </c>
      <c r="K51" s="16">
        <f>VLOOKUP(A51,CO!$A:$X,19,FALSE)</f>
        <v>0</v>
      </c>
      <c r="L51" s="17">
        <f t="shared" si="13"/>
        <v>0</v>
      </c>
      <c r="M51" s="16">
        <f>VLOOKUP(A51,CO!$A:$X,22,FALSE)</f>
        <v>0</v>
      </c>
      <c r="N51" s="17">
        <f t="shared" si="14"/>
        <v>0</v>
      </c>
      <c r="O51" s="16">
        <f t="shared" si="15"/>
        <v>264.64</v>
      </c>
      <c r="P51" s="17">
        <f t="shared" si="16"/>
        <v>1</v>
      </c>
      <c r="Q51" s="17">
        <f t="shared" si="17"/>
        <v>1.6418052147130883E-4</v>
      </c>
    </row>
    <row r="52" spans="1:17" x14ac:dyDescent="0.3">
      <c r="A52" s="15" t="s">
        <v>61</v>
      </c>
      <c r="B52" s="22" t="str">
        <f>VLOOKUP(A52,ORCAMENTO!$A:$I,2,FALSE)</f>
        <v>INSTALAÇÕES HIDRÁULICAS</v>
      </c>
      <c r="C52" s="16">
        <f>VLOOKUP(A52,ORCAMENTO!$A:$I,9,FALSE)</f>
        <v>705.57</v>
      </c>
      <c r="D52" s="17">
        <f t="shared" si="9"/>
        <v>4.3772993702581391E-4</v>
      </c>
      <c r="E52" s="16">
        <f>VLOOKUP(A52,CO!$A:$X,10,FALSE)</f>
        <v>705.57</v>
      </c>
      <c r="F52" s="17">
        <f t="shared" si="10"/>
        <v>1</v>
      </c>
      <c r="G52" s="16">
        <f>VLOOKUP(A52,CO!$A:$X,13,FALSE)</f>
        <v>0</v>
      </c>
      <c r="H52" s="17">
        <f t="shared" si="11"/>
        <v>0</v>
      </c>
      <c r="I52" s="16">
        <f>VLOOKUP(A52,CO!$A:$X,16,FALSE)</f>
        <v>0</v>
      </c>
      <c r="J52" s="17">
        <f t="shared" si="12"/>
        <v>0</v>
      </c>
      <c r="K52" s="16">
        <f>VLOOKUP(A52,CO!$A:$X,19,FALSE)</f>
        <v>0</v>
      </c>
      <c r="L52" s="17">
        <f t="shared" si="13"/>
        <v>0</v>
      </c>
      <c r="M52" s="16">
        <f>VLOOKUP(A52,CO!$A:$X,22,FALSE)</f>
        <v>0</v>
      </c>
      <c r="N52" s="17">
        <f t="shared" si="14"/>
        <v>0</v>
      </c>
      <c r="O52" s="16">
        <f t="shared" si="15"/>
        <v>705.57</v>
      </c>
      <c r="P52" s="17">
        <f t="shared" si="16"/>
        <v>1</v>
      </c>
      <c r="Q52" s="17">
        <f t="shared" si="17"/>
        <v>4.3772993702581391E-4</v>
      </c>
    </row>
    <row r="53" spans="1:17" x14ac:dyDescent="0.3">
      <c r="A53" s="12" t="s">
        <v>62</v>
      </c>
      <c r="B53" s="21" t="str">
        <f>VLOOKUP(A53,ORCAMENTO!$A:$I,2,FALSE)</f>
        <v>RESERVAÇÃO</v>
      </c>
      <c r="C53" s="13">
        <f>VLOOKUP(A53,ORCAMENTO!$A:$I,9,FALSE)</f>
        <v>31488.33</v>
      </c>
      <c r="D53" s="14">
        <f t="shared" si="9"/>
        <v>1.9535105953977703E-2</v>
      </c>
      <c r="E53" s="13">
        <f>VLOOKUP(A53,CO!$A:$X,10,FALSE)</f>
        <v>31488.33</v>
      </c>
      <c r="F53" s="14">
        <f t="shared" si="10"/>
        <v>1</v>
      </c>
      <c r="G53" s="13">
        <f>VLOOKUP(A53,CO!$A:$X,13,FALSE)</f>
        <v>0</v>
      </c>
      <c r="H53" s="14">
        <f t="shared" si="11"/>
        <v>0</v>
      </c>
      <c r="I53" s="13">
        <f>VLOOKUP(A53,CO!$A:$X,16,FALSE)</f>
        <v>0</v>
      </c>
      <c r="J53" s="14">
        <f t="shared" si="12"/>
        <v>0</v>
      </c>
      <c r="K53" s="13">
        <f>VLOOKUP(A53,CO!$A:$X,19,FALSE)</f>
        <v>0</v>
      </c>
      <c r="L53" s="14">
        <f t="shared" si="13"/>
        <v>0</v>
      </c>
      <c r="M53" s="13">
        <f>VLOOKUP(A53,CO!$A:$X,22,FALSE)</f>
        <v>0</v>
      </c>
      <c r="N53" s="14">
        <f t="shared" si="14"/>
        <v>0</v>
      </c>
      <c r="O53" s="13">
        <f t="shared" si="15"/>
        <v>31488.33</v>
      </c>
      <c r="P53" s="14">
        <f t="shared" si="16"/>
        <v>1</v>
      </c>
      <c r="Q53" s="14">
        <f t="shared" si="17"/>
        <v>1.9535105953977703E-2</v>
      </c>
    </row>
    <row r="54" spans="1:17" x14ac:dyDescent="0.3">
      <c r="A54" s="12" t="s">
        <v>63</v>
      </c>
      <c r="B54" s="21" t="str">
        <f>VLOOKUP(A54,ORCAMENTO!$A:$I,2,FALSE)</f>
        <v>DISTRIBUIÇÃO</v>
      </c>
      <c r="C54" s="13">
        <f>VLOOKUP(A54,ORCAMENTO!$A:$I,9,FALSE)</f>
        <v>159345.58000000002</v>
      </c>
      <c r="D54" s="14">
        <f t="shared" si="9"/>
        <v>9.8856712585203163E-2</v>
      </c>
      <c r="E54" s="13">
        <f>SUM(E$55,E$56,)</f>
        <v>0</v>
      </c>
      <c r="F54" s="14">
        <f t="shared" si="10"/>
        <v>0</v>
      </c>
      <c r="G54" s="13">
        <f>SUM(G$55,G$56,)</f>
        <v>159345.58000000002</v>
      </c>
      <c r="H54" s="14">
        <f t="shared" si="11"/>
        <v>1</v>
      </c>
      <c r="I54" s="13">
        <f>SUM(I$55,I$56,)</f>
        <v>0</v>
      </c>
      <c r="J54" s="14">
        <f t="shared" si="12"/>
        <v>0</v>
      </c>
      <c r="K54" s="13">
        <f>SUM(K$55,K$56,)</f>
        <v>0</v>
      </c>
      <c r="L54" s="14">
        <f t="shared" si="13"/>
        <v>0</v>
      </c>
      <c r="M54" s="13">
        <f>SUM(M$55,M$56,)</f>
        <v>0</v>
      </c>
      <c r="N54" s="14">
        <f t="shared" si="14"/>
        <v>0</v>
      </c>
      <c r="O54" s="13">
        <f t="shared" si="15"/>
        <v>159345.58000000002</v>
      </c>
      <c r="P54" s="14">
        <f t="shared" si="16"/>
        <v>1</v>
      </c>
      <c r="Q54" s="14">
        <f t="shared" si="17"/>
        <v>9.8856712585203163E-2</v>
      </c>
    </row>
    <row r="55" spans="1:17" x14ac:dyDescent="0.3">
      <c r="A55" s="15" t="s">
        <v>64</v>
      </c>
      <c r="B55" s="22" t="str">
        <f>VLOOKUP(A55,ORCAMENTO!$A:$I,2,FALSE)</f>
        <v>MOVIMENTO DE TERRA</v>
      </c>
      <c r="C55" s="16">
        <f>VLOOKUP(A55,ORCAMENTO!$A:$I,9,FALSE)</f>
        <v>36501.39</v>
      </c>
      <c r="D55" s="17">
        <f t="shared" si="9"/>
        <v>2.2645167943725886E-2</v>
      </c>
      <c r="E55" s="16">
        <f>VLOOKUP(A55,CO!$A:$X,10,FALSE)</f>
        <v>0</v>
      </c>
      <c r="F55" s="17">
        <f t="shared" si="10"/>
        <v>0</v>
      </c>
      <c r="G55" s="16">
        <f>VLOOKUP(A55,CO!$A:$X,13,FALSE)</f>
        <v>36501.39</v>
      </c>
      <c r="H55" s="17">
        <f t="shared" si="11"/>
        <v>1</v>
      </c>
      <c r="I55" s="16">
        <f>VLOOKUP(A55,CO!$A:$X,16,FALSE)</f>
        <v>0</v>
      </c>
      <c r="J55" s="17">
        <f t="shared" si="12"/>
        <v>0</v>
      </c>
      <c r="K55" s="16">
        <f>VLOOKUP(A55,CO!$A:$X,19,FALSE)</f>
        <v>0</v>
      </c>
      <c r="L55" s="17">
        <f t="shared" si="13"/>
        <v>0</v>
      </c>
      <c r="M55" s="16">
        <f>VLOOKUP(A55,CO!$A:$X,22,FALSE)</f>
        <v>0</v>
      </c>
      <c r="N55" s="17">
        <f t="shared" si="14"/>
        <v>0</v>
      </c>
      <c r="O55" s="16">
        <f t="shared" si="15"/>
        <v>36501.39</v>
      </c>
      <c r="P55" s="17">
        <f t="shared" si="16"/>
        <v>1</v>
      </c>
      <c r="Q55" s="17">
        <f t="shared" si="17"/>
        <v>2.2645167943725886E-2</v>
      </c>
    </row>
    <row r="56" spans="1:17" x14ac:dyDescent="0.3">
      <c r="A56" s="15" t="s">
        <v>65</v>
      </c>
      <c r="B56" s="22" t="str">
        <f>VLOOKUP(A56,ORCAMENTO!$A:$I,2,FALSE)</f>
        <v>INSTALAÇÕES HIDRÁULICAS</v>
      </c>
      <c r="C56" s="16">
        <f>VLOOKUP(A56,ORCAMENTO!$A:$I,9,FALSE)</f>
        <v>122844.19</v>
      </c>
      <c r="D56" s="17">
        <f t="shared" si="9"/>
        <v>7.6211544641477266E-2</v>
      </c>
      <c r="E56" s="16">
        <f>VLOOKUP(A56,CO!$A:$X,10,FALSE)</f>
        <v>0</v>
      </c>
      <c r="F56" s="17">
        <f t="shared" si="10"/>
        <v>0</v>
      </c>
      <c r="G56" s="16">
        <f>VLOOKUP(A56,CO!$A:$X,13,FALSE)</f>
        <v>122844.19</v>
      </c>
      <c r="H56" s="17">
        <f t="shared" si="11"/>
        <v>1</v>
      </c>
      <c r="I56" s="16">
        <f>VLOOKUP(A56,CO!$A:$X,16,FALSE)</f>
        <v>0</v>
      </c>
      <c r="J56" s="17">
        <f t="shared" si="12"/>
        <v>0</v>
      </c>
      <c r="K56" s="16">
        <f>VLOOKUP(A56,CO!$A:$X,19,FALSE)</f>
        <v>0</v>
      </c>
      <c r="L56" s="17">
        <f t="shared" si="13"/>
        <v>0</v>
      </c>
      <c r="M56" s="16">
        <f>VLOOKUP(A56,CO!$A:$X,22,FALSE)</f>
        <v>0</v>
      </c>
      <c r="N56" s="17">
        <f t="shared" si="14"/>
        <v>0</v>
      </c>
      <c r="O56" s="16">
        <f t="shared" si="15"/>
        <v>122844.19</v>
      </c>
      <c r="P56" s="17">
        <f t="shared" si="16"/>
        <v>1</v>
      </c>
      <c r="Q56" s="17">
        <f t="shared" si="17"/>
        <v>7.6211544641477266E-2</v>
      </c>
    </row>
    <row r="57" spans="1:17" x14ac:dyDescent="0.3">
      <c r="A57" s="9">
        <v>4</v>
      </c>
      <c r="B57" s="20" t="str">
        <f>VLOOKUP(A57,ORCAMENTO!$A:$I,2,FALSE)</f>
        <v>LOCALIDADE BAIXÃO DA GAMELEIRA II (ANÍSIO DE ABREU-PI)</v>
      </c>
      <c r="C57" s="10">
        <f>VLOOKUP(A57,ORCAMENTO!$A:$I,9,FALSE)</f>
        <v>194268.83000000002</v>
      </c>
      <c r="D57" s="11">
        <f t="shared" si="9"/>
        <v>0.1205228152018631</v>
      </c>
      <c r="E57" s="10">
        <f>SUM(E$58,E$59,E$60,E$72,E$73,E$77,E$78,)</f>
        <v>0</v>
      </c>
      <c r="F57" s="11">
        <f t="shared" si="10"/>
        <v>0</v>
      </c>
      <c r="G57" s="10">
        <f>SUM(G$58,G$59,G$60,G$72,G$73,G$77,G$78,)</f>
        <v>121910.31</v>
      </c>
      <c r="H57" s="11">
        <f t="shared" si="11"/>
        <v>0.6275340722441165</v>
      </c>
      <c r="I57" s="10">
        <f>SUM(I$58,I$59,I$60,I$72,I$73,I$77,I$78,)</f>
        <v>72358.52</v>
      </c>
      <c r="J57" s="11">
        <f t="shared" si="12"/>
        <v>0.37246592775588344</v>
      </c>
      <c r="K57" s="10">
        <f>SUM(K$58,K$59,K$60,K$72,K$73,K$77,K$78,)</f>
        <v>0</v>
      </c>
      <c r="L57" s="11">
        <f t="shared" si="13"/>
        <v>0</v>
      </c>
      <c r="M57" s="10">
        <f>SUM(M$58,M$59,M$60,M$72,M$73,M$77,M$78,)</f>
        <v>0</v>
      </c>
      <c r="N57" s="11">
        <f t="shared" si="14"/>
        <v>0</v>
      </c>
      <c r="O57" s="10">
        <f t="shared" si="15"/>
        <v>194268.83000000002</v>
      </c>
      <c r="P57" s="11">
        <f t="shared" si="16"/>
        <v>1</v>
      </c>
      <c r="Q57" s="11">
        <f t="shared" si="17"/>
        <v>0.1205228152018631</v>
      </c>
    </row>
    <row r="58" spans="1:17" x14ac:dyDescent="0.3">
      <c r="A58" s="12" t="s">
        <v>66</v>
      </c>
      <c r="B58" s="21" t="str">
        <f>VLOOKUP(A58,ORCAMENTO!$A:$I,2,FALSE)</f>
        <v>PERFURAÇÃO DE POÇO TUBULAR</v>
      </c>
      <c r="C58" s="13">
        <f>VLOOKUP(A58,ORCAMENTO!$A:$I,9,FALSE)</f>
        <v>41765.089999999997</v>
      </c>
      <c r="D58" s="14">
        <f t="shared" si="9"/>
        <v>2.5910724967866332E-2</v>
      </c>
      <c r="E58" s="13">
        <f>VLOOKUP(A58,CO!$A:$X,10,FALSE)</f>
        <v>0</v>
      </c>
      <c r="F58" s="14">
        <f t="shared" si="10"/>
        <v>0</v>
      </c>
      <c r="G58" s="13">
        <f>VLOOKUP(A58,CO!$A:$X,13,FALSE)</f>
        <v>41765.089999999997</v>
      </c>
      <c r="H58" s="14">
        <f t="shared" si="11"/>
        <v>1</v>
      </c>
      <c r="I58" s="13">
        <f>VLOOKUP(A58,CO!$A:$X,16,FALSE)</f>
        <v>0</v>
      </c>
      <c r="J58" s="14">
        <f t="shared" si="12"/>
        <v>0</v>
      </c>
      <c r="K58" s="13">
        <f>VLOOKUP(A58,CO!$A:$X,19,FALSE)</f>
        <v>0</v>
      </c>
      <c r="L58" s="14">
        <f t="shared" si="13"/>
        <v>0</v>
      </c>
      <c r="M58" s="13">
        <f>VLOOKUP(A58,CO!$A:$X,22,FALSE)</f>
        <v>0</v>
      </c>
      <c r="N58" s="14">
        <f t="shared" si="14"/>
        <v>0</v>
      </c>
      <c r="O58" s="13">
        <f t="shared" si="15"/>
        <v>41765.089999999997</v>
      </c>
      <c r="P58" s="14">
        <f t="shared" si="16"/>
        <v>1</v>
      </c>
      <c r="Q58" s="14">
        <f t="shared" si="17"/>
        <v>2.5910724967866332E-2</v>
      </c>
    </row>
    <row r="59" spans="1:17" ht="43.2" x14ac:dyDescent="0.3">
      <c r="A59" s="12" t="s">
        <v>67</v>
      </c>
      <c r="B59" s="21" t="str">
        <f>VLOOKUP(A59,ORCAMENTO!$A:$I,2,FALSE)</f>
        <v>AQUISIÇÃO E INSTALAÇÃO DE EQUIPAMENTOS DE BOMBEAMENTO, RECALQUE/BARRILETE E CONEXÕES PARA INTERLIGAÇÃO COM RESERVATÓRIO</v>
      </c>
      <c r="C59" s="13">
        <f>VLOOKUP(A59,ORCAMENTO!$A:$I,9,FALSE)</f>
        <v>9017.39</v>
      </c>
      <c r="D59" s="14">
        <f t="shared" si="9"/>
        <v>5.5943160236931891E-3</v>
      </c>
      <c r="E59" s="13">
        <f>VLOOKUP(A59,CO!$A:$X,10,FALSE)</f>
        <v>0</v>
      </c>
      <c r="F59" s="14">
        <f t="shared" si="10"/>
        <v>0</v>
      </c>
      <c r="G59" s="13">
        <f>VLOOKUP(A59,CO!$A:$X,13,FALSE)</f>
        <v>9017.39</v>
      </c>
      <c r="H59" s="14">
        <f t="shared" si="11"/>
        <v>1</v>
      </c>
      <c r="I59" s="13">
        <f>VLOOKUP(A59,CO!$A:$X,16,FALSE)</f>
        <v>0</v>
      </c>
      <c r="J59" s="14">
        <f t="shared" si="12"/>
        <v>0</v>
      </c>
      <c r="K59" s="13">
        <f>VLOOKUP(A59,CO!$A:$X,19,FALSE)</f>
        <v>0</v>
      </c>
      <c r="L59" s="14">
        <f t="shared" si="13"/>
        <v>0</v>
      </c>
      <c r="M59" s="13">
        <f>VLOOKUP(A59,CO!$A:$X,22,FALSE)</f>
        <v>0</v>
      </c>
      <c r="N59" s="14">
        <f t="shared" si="14"/>
        <v>0</v>
      </c>
      <c r="O59" s="13">
        <f t="shared" si="15"/>
        <v>9017.39</v>
      </c>
      <c r="P59" s="14">
        <f t="shared" si="16"/>
        <v>1</v>
      </c>
      <c r="Q59" s="14">
        <f t="shared" si="17"/>
        <v>5.5943160236931891E-3</v>
      </c>
    </row>
    <row r="60" spans="1:17" x14ac:dyDescent="0.3">
      <c r="A60" s="12" t="s">
        <v>68</v>
      </c>
      <c r="B60" s="21" t="str">
        <f>VLOOKUP(A60,ORCAMENTO!$A:$I,2,FALSE)</f>
        <v>CONSTRUÇÃO DA CASA DE COMANDO</v>
      </c>
      <c r="C60" s="13">
        <f>VLOOKUP(A60,ORCAMENTO!$A:$I,9,FALSE)</f>
        <v>20274.329999999998</v>
      </c>
      <c r="D60" s="14">
        <f t="shared" si="9"/>
        <v>1.2578030803663093E-2</v>
      </c>
      <c r="E60" s="13">
        <f>SUM(E$61,E$62,E$63,E$64,E$65,E$66,E$67,E$68,E$69,E$70,E$71,)</f>
        <v>0</v>
      </c>
      <c r="F60" s="14">
        <f t="shared" si="10"/>
        <v>0</v>
      </c>
      <c r="G60" s="13">
        <f>SUM(G$61,G$62,G$63,G$64,G$65,G$66,G$67,G$68,G$69,G$70,G$71,)</f>
        <v>20274.329999999998</v>
      </c>
      <c r="H60" s="14">
        <f t="shared" si="11"/>
        <v>1</v>
      </c>
      <c r="I60" s="13">
        <f>SUM(I$61,I$62,I$63,I$64,I$65,I$66,I$67,I$68,I$69,I$70,I$71,)</f>
        <v>0</v>
      </c>
      <c r="J60" s="14">
        <f t="shared" si="12"/>
        <v>0</v>
      </c>
      <c r="K60" s="13">
        <f>SUM(K$61,K$62,K$63,K$64,K$65,K$66,K$67,K$68,K$69,K$70,K$71,)</f>
        <v>0</v>
      </c>
      <c r="L60" s="14">
        <f t="shared" si="13"/>
        <v>0</v>
      </c>
      <c r="M60" s="13">
        <f>SUM(M$61,M$62,M$63,M$64,M$65,M$66,M$67,M$68,M$69,M$70,M$71,)</f>
        <v>0</v>
      </c>
      <c r="N60" s="14">
        <f t="shared" si="14"/>
        <v>0</v>
      </c>
      <c r="O60" s="13">
        <f t="shared" si="15"/>
        <v>20274.329999999998</v>
      </c>
      <c r="P60" s="14">
        <f t="shared" si="16"/>
        <v>1</v>
      </c>
      <c r="Q60" s="14">
        <f t="shared" si="17"/>
        <v>1.2578030803663093E-2</v>
      </c>
    </row>
    <row r="61" spans="1:17" x14ac:dyDescent="0.3">
      <c r="A61" s="15" t="s">
        <v>69</v>
      </c>
      <c r="B61" s="22" t="str">
        <f>VLOOKUP(A61,ORCAMENTO!$A:$I,2,FALSE)</f>
        <v>SERVIÇOS PRELIMINARES</v>
      </c>
      <c r="C61" s="16">
        <f>VLOOKUP(A61,ORCAMENTO!$A:$I,9,FALSE)</f>
        <v>1315.92</v>
      </c>
      <c r="D61" s="17">
        <f t="shared" si="9"/>
        <v>8.1638615407544121E-4</v>
      </c>
      <c r="E61" s="16">
        <f>VLOOKUP(A61,CO!$A:$X,10,FALSE)</f>
        <v>0</v>
      </c>
      <c r="F61" s="17">
        <f t="shared" si="10"/>
        <v>0</v>
      </c>
      <c r="G61" s="16">
        <f>VLOOKUP(A61,CO!$A:$X,13,FALSE)</f>
        <v>1315.92</v>
      </c>
      <c r="H61" s="17">
        <f t="shared" si="11"/>
        <v>1</v>
      </c>
      <c r="I61" s="16">
        <f>VLOOKUP(A61,CO!$A:$X,16,FALSE)</f>
        <v>0</v>
      </c>
      <c r="J61" s="17">
        <f t="shared" si="12"/>
        <v>0</v>
      </c>
      <c r="K61" s="16">
        <f>VLOOKUP(A61,CO!$A:$X,19,FALSE)</f>
        <v>0</v>
      </c>
      <c r="L61" s="17">
        <f t="shared" si="13"/>
        <v>0</v>
      </c>
      <c r="M61" s="16">
        <f>VLOOKUP(A61,CO!$A:$X,22,FALSE)</f>
        <v>0</v>
      </c>
      <c r="N61" s="17">
        <f t="shared" si="14"/>
        <v>0</v>
      </c>
      <c r="O61" s="16">
        <f t="shared" si="15"/>
        <v>1315.92</v>
      </c>
      <c r="P61" s="17">
        <f t="shared" si="16"/>
        <v>1</v>
      </c>
      <c r="Q61" s="17">
        <f t="shared" si="17"/>
        <v>8.1638615407544121E-4</v>
      </c>
    </row>
    <row r="62" spans="1:17" x14ac:dyDescent="0.3">
      <c r="A62" s="15" t="s">
        <v>70</v>
      </c>
      <c r="B62" s="22" t="str">
        <f>VLOOKUP(A62,ORCAMENTO!$A:$I,2,FALSE)</f>
        <v>MOVIMENTO DE TERRA</v>
      </c>
      <c r="C62" s="16">
        <f>VLOOKUP(A62,ORCAMENTO!$A:$I,9,FALSE)</f>
        <v>161.76</v>
      </c>
      <c r="D62" s="17">
        <f t="shared" si="9"/>
        <v>1.0035459927901647E-4</v>
      </c>
      <c r="E62" s="16">
        <f>VLOOKUP(A62,CO!$A:$X,10,FALSE)</f>
        <v>0</v>
      </c>
      <c r="F62" s="17">
        <f t="shared" si="10"/>
        <v>0</v>
      </c>
      <c r="G62" s="16">
        <f>VLOOKUP(A62,CO!$A:$X,13,FALSE)</f>
        <v>161.76</v>
      </c>
      <c r="H62" s="17">
        <f t="shared" si="11"/>
        <v>1</v>
      </c>
      <c r="I62" s="16">
        <f>VLOOKUP(A62,CO!$A:$X,16,FALSE)</f>
        <v>0</v>
      </c>
      <c r="J62" s="17">
        <f t="shared" si="12"/>
        <v>0</v>
      </c>
      <c r="K62" s="16">
        <f>VLOOKUP(A62,CO!$A:$X,19,FALSE)</f>
        <v>0</v>
      </c>
      <c r="L62" s="17">
        <f t="shared" si="13"/>
        <v>0</v>
      </c>
      <c r="M62" s="16">
        <f>VLOOKUP(A62,CO!$A:$X,22,FALSE)</f>
        <v>0</v>
      </c>
      <c r="N62" s="17">
        <f t="shared" si="14"/>
        <v>0</v>
      </c>
      <c r="O62" s="16">
        <f t="shared" si="15"/>
        <v>161.76</v>
      </c>
      <c r="P62" s="17">
        <f t="shared" si="16"/>
        <v>1</v>
      </c>
      <c r="Q62" s="17">
        <f t="shared" si="17"/>
        <v>1.0035459927901647E-4</v>
      </c>
    </row>
    <row r="63" spans="1:17" x14ac:dyDescent="0.3">
      <c r="A63" s="15" t="s">
        <v>71</v>
      </c>
      <c r="B63" s="22" t="str">
        <f>VLOOKUP(A63,ORCAMENTO!$A:$I,2,FALSE)</f>
        <v>INFRAESTRUTURA</v>
      </c>
      <c r="C63" s="16">
        <f>VLOOKUP(A63,ORCAMENTO!$A:$I,9,FALSE)</f>
        <v>1229.81</v>
      </c>
      <c r="D63" s="17">
        <f t="shared" si="9"/>
        <v>7.6296420461997557E-4</v>
      </c>
      <c r="E63" s="16">
        <f>VLOOKUP(A63,CO!$A:$X,10,FALSE)</f>
        <v>0</v>
      </c>
      <c r="F63" s="17">
        <f t="shared" si="10"/>
        <v>0</v>
      </c>
      <c r="G63" s="16">
        <f>VLOOKUP(A63,CO!$A:$X,13,FALSE)</f>
        <v>1229.81</v>
      </c>
      <c r="H63" s="17">
        <f t="shared" si="11"/>
        <v>1</v>
      </c>
      <c r="I63" s="16">
        <f>VLOOKUP(A63,CO!$A:$X,16,FALSE)</f>
        <v>0</v>
      </c>
      <c r="J63" s="17">
        <f t="shared" si="12"/>
        <v>0</v>
      </c>
      <c r="K63" s="16">
        <f>VLOOKUP(A63,CO!$A:$X,19,FALSE)</f>
        <v>0</v>
      </c>
      <c r="L63" s="17">
        <f t="shared" si="13"/>
        <v>0</v>
      </c>
      <c r="M63" s="16">
        <f>VLOOKUP(A63,CO!$A:$X,22,FALSE)</f>
        <v>0</v>
      </c>
      <c r="N63" s="17">
        <f t="shared" si="14"/>
        <v>0</v>
      </c>
      <c r="O63" s="16">
        <f t="shared" si="15"/>
        <v>1229.81</v>
      </c>
      <c r="P63" s="17">
        <f t="shared" si="16"/>
        <v>1</v>
      </c>
      <c r="Q63" s="17">
        <f t="shared" si="17"/>
        <v>7.6296420461997557E-4</v>
      </c>
    </row>
    <row r="64" spans="1:17" x14ac:dyDescent="0.3">
      <c r="A64" s="15" t="s">
        <v>72</v>
      </c>
      <c r="B64" s="22" t="str">
        <f>VLOOKUP(A64,ORCAMENTO!$A:$I,2,FALSE)</f>
        <v>SUPERESTRUTURA</v>
      </c>
      <c r="C64" s="16">
        <f>VLOOKUP(A64,ORCAMENTO!$A:$I,9,FALSE)</f>
        <v>1323.3</v>
      </c>
      <c r="D64" s="17">
        <f t="shared" si="9"/>
        <v>8.20964646549966E-4</v>
      </c>
      <c r="E64" s="16">
        <f>VLOOKUP(A64,CO!$A:$X,10,FALSE)</f>
        <v>0</v>
      </c>
      <c r="F64" s="17">
        <f t="shared" si="10"/>
        <v>0</v>
      </c>
      <c r="G64" s="16">
        <f>VLOOKUP(A64,CO!$A:$X,13,FALSE)</f>
        <v>1323.3</v>
      </c>
      <c r="H64" s="17">
        <f t="shared" si="11"/>
        <v>1</v>
      </c>
      <c r="I64" s="16">
        <f>VLOOKUP(A64,CO!$A:$X,16,FALSE)</f>
        <v>0</v>
      </c>
      <c r="J64" s="17">
        <f t="shared" si="12"/>
        <v>0</v>
      </c>
      <c r="K64" s="16">
        <f>VLOOKUP(A64,CO!$A:$X,19,FALSE)</f>
        <v>0</v>
      </c>
      <c r="L64" s="17">
        <f t="shared" si="13"/>
        <v>0</v>
      </c>
      <c r="M64" s="16">
        <f>VLOOKUP(A64,CO!$A:$X,22,FALSE)</f>
        <v>0</v>
      </c>
      <c r="N64" s="17">
        <f t="shared" si="14"/>
        <v>0</v>
      </c>
      <c r="O64" s="16">
        <f t="shared" si="15"/>
        <v>1323.3</v>
      </c>
      <c r="P64" s="17">
        <f t="shared" si="16"/>
        <v>1</v>
      </c>
      <c r="Q64" s="17">
        <f t="shared" si="17"/>
        <v>8.20964646549966E-4</v>
      </c>
    </row>
    <row r="65" spans="1:17" x14ac:dyDescent="0.3">
      <c r="A65" s="15" t="s">
        <v>73</v>
      </c>
      <c r="B65" s="22" t="str">
        <f>VLOOKUP(A65,ORCAMENTO!$A:$I,2,FALSE)</f>
        <v>VEDAÇÃO VERTICAL</v>
      </c>
      <c r="C65" s="16">
        <f>VLOOKUP(A65,ORCAMENTO!$A:$I,9,FALSE)</f>
        <v>2620</v>
      </c>
      <c r="D65" s="17">
        <f t="shared" si="9"/>
        <v>1.6254268676497475E-3</v>
      </c>
      <c r="E65" s="16">
        <f>VLOOKUP(A65,CO!$A:$X,10,FALSE)</f>
        <v>0</v>
      </c>
      <c r="F65" s="17">
        <f t="shared" si="10"/>
        <v>0</v>
      </c>
      <c r="G65" s="16">
        <f>VLOOKUP(A65,CO!$A:$X,13,FALSE)</f>
        <v>2620</v>
      </c>
      <c r="H65" s="17">
        <f t="shared" si="11"/>
        <v>1</v>
      </c>
      <c r="I65" s="16">
        <f>VLOOKUP(A65,CO!$A:$X,16,FALSE)</f>
        <v>0</v>
      </c>
      <c r="J65" s="17">
        <f t="shared" si="12"/>
        <v>0</v>
      </c>
      <c r="K65" s="16">
        <f>VLOOKUP(A65,CO!$A:$X,19,FALSE)</f>
        <v>0</v>
      </c>
      <c r="L65" s="17">
        <f t="shared" si="13"/>
        <v>0</v>
      </c>
      <c r="M65" s="16">
        <f>VLOOKUP(A65,CO!$A:$X,22,FALSE)</f>
        <v>0</v>
      </c>
      <c r="N65" s="17">
        <f t="shared" si="14"/>
        <v>0</v>
      </c>
      <c r="O65" s="16">
        <f t="shared" si="15"/>
        <v>2620</v>
      </c>
      <c r="P65" s="17">
        <f t="shared" si="16"/>
        <v>1</v>
      </c>
      <c r="Q65" s="17">
        <f t="shared" si="17"/>
        <v>1.6254268676497475E-3</v>
      </c>
    </row>
    <row r="66" spans="1:17" x14ac:dyDescent="0.3">
      <c r="A66" s="15" t="s">
        <v>74</v>
      </c>
      <c r="B66" s="22" t="str">
        <f>VLOOKUP(A66,ORCAMENTO!$A:$I,2,FALSE)</f>
        <v>COBERTURA</v>
      </c>
      <c r="C66" s="16">
        <f>VLOOKUP(A66,ORCAMENTO!$A:$I,9,FALSE)</f>
        <v>1305.45</v>
      </c>
      <c r="D66" s="17">
        <f t="shared" si="9"/>
        <v>8.0989065052418439E-4</v>
      </c>
      <c r="E66" s="16">
        <f>VLOOKUP(A66,CO!$A:$X,10,FALSE)</f>
        <v>0</v>
      </c>
      <c r="F66" s="17">
        <f t="shared" si="10"/>
        <v>0</v>
      </c>
      <c r="G66" s="16">
        <f>VLOOKUP(A66,CO!$A:$X,13,FALSE)</f>
        <v>1305.45</v>
      </c>
      <c r="H66" s="17">
        <f t="shared" si="11"/>
        <v>1</v>
      </c>
      <c r="I66" s="16">
        <f>VLOOKUP(A66,CO!$A:$X,16,FALSE)</f>
        <v>0</v>
      </c>
      <c r="J66" s="17">
        <f t="shared" si="12"/>
        <v>0</v>
      </c>
      <c r="K66" s="16">
        <f>VLOOKUP(A66,CO!$A:$X,19,FALSE)</f>
        <v>0</v>
      </c>
      <c r="L66" s="17">
        <f t="shared" si="13"/>
        <v>0</v>
      </c>
      <c r="M66" s="16">
        <f>VLOOKUP(A66,CO!$A:$X,22,FALSE)</f>
        <v>0</v>
      </c>
      <c r="N66" s="17">
        <f t="shared" si="14"/>
        <v>0</v>
      </c>
      <c r="O66" s="16">
        <f t="shared" si="15"/>
        <v>1305.45</v>
      </c>
      <c r="P66" s="17">
        <f t="shared" si="16"/>
        <v>1</v>
      </c>
      <c r="Q66" s="17">
        <f t="shared" si="17"/>
        <v>8.0989065052418439E-4</v>
      </c>
    </row>
    <row r="67" spans="1:17" x14ac:dyDescent="0.3">
      <c r="A67" s="15" t="s">
        <v>75</v>
      </c>
      <c r="B67" s="22" t="str">
        <f>VLOOKUP(A67,ORCAMENTO!$A:$I,2,FALSE)</f>
        <v>PISO</v>
      </c>
      <c r="C67" s="16">
        <f>VLOOKUP(A67,ORCAMENTO!$A:$I,9,FALSE)</f>
        <v>1174.01</v>
      </c>
      <c r="D67" s="17">
        <f t="shared" si="9"/>
        <v>7.2834633469064125E-4</v>
      </c>
      <c r="E67" s="16">
        <f>VLOOKUP(A67,CO!$A:$X,10,FALSE)</f>
        <v>0</v>
      </c>
      <c r="F67" s="17">
        <f t="shared" si="10"/>
        <v>0</v>
      </c>
      <c r="G67" s="16">
        <f>VLOOKUP(A67,CO!$A:$X,13,FALSE)</f>
        <v>1174.01</v>
      </c>
      <c r="H67" s="17">
        <f t="shared" si="11"/>
        <v>1</v>
      </c>
      <c r="I67" s="16">
        <f>VLOOKUP(A67,CO!$A:$X,16,FALSE)</f>
        <v>0</v>
      </c>
      <c r="J67" s="17">
        <f t="shared" si="12"/>
        <v>0</v>
      </c>
      <c r="K67" s="16">
        <f>VLOOKUP(A67,CO!$A:$X,19,FALSE)</f>
        <v>0</v>
      </c>
      <c r="L67" s="17">
        <f t="shared" si="13"/>
        <v>0</v>
      </c>
      <c r="M67" s="16">
        <f>VLOOKUP(A67,CO!$A:$X,22,FALSE)</f>
        <v>0</v>
      </c>
      <c r="N67" s="17">
        <f t="shared" si="14"/>
        <v>0</v>
      </c>
      <c r="O67" s="16">
        <f t="shared" si="15"/>
        <v>1174.01</v>
      </c>
      <c r="P67" s="17">
        <f t="shared" si="16"/>
        <v>1</v>
      </c>
      <c r="Q67" s="17">
        <f t="shared" si="17"/>
        <v>7.2834633469064125E-4</v>
      </c>
    </row>
    <row r="68" spans="1:17" x14ac:dyDescent="0.3">
      <c r="A68" s="15" t="s">
        <v>76</v>
      </c>
      <c r="B68" s="22" t="str">
        <f>VLOOKUP(A68,ORCAMENTO!$A:$I,2,FALSE)</f>
        <v>REVESTIMENTO</v>
      </c>
      <c r="C68" s="16">
        <f>VLOOKUP(A68,ORCAMENTO!$A:$I,9,FALSE)</f>
        <v>2341.92</v>
      </c>
      <c r="D68" s="17">
        <f t="shared" si="9"/>
        <v>1.452908278582556E-3</v>
      </c>
      <c r="E68" s="16">
        <f>VLOOKUP(A68,CO!$A:$X,10,FALSE)</f>
        <v>0</v>
      </c>
      <c r="F68" s="17">
        <f t="shared" si="10"/>
        <v>0</v>
      </c>
      <c r="G68" s="16">
        <f>VLOOKUP(A68,CO!$A:$X,13,FALSE)</f>
        <v>2341.92</v>
      </c>
      <c r="H68" s="17">
        <f t="shared" si="11"/>
        <v>1</v>
      </c>
      <c r="I68" s="16">
        <f>VLOOKUP(A68,CO!$A:$X,16,FALSE)</f>
        <v>0</v>
      </c>
      <c r="J68" s="17">
        <f t="shared" si="12"/>
        <v>0</v>
      </c>
      <c r="K68" s="16">
        <f>VLOOKUP(A68,CO!$A:$X,19,FALSE)</f>
        <v>0</v>
      </c>
      <c r="L68" s="17">
        <f t="shared" si="13"/>
        <v>0</v>
      </c>
      <c r="M68" s="16">
        <f>VLOOKUP(A68,CO!$A:$X,22,FALSE)</f>
        <v>0</v>
      </c>
      <c r="N68" s="17">
        <f t="shared" si="14"/>
        <v>0</v>
      </c>
      <c r="O68" s="16">
        <f t="shared" si="15"/>
        <v>2341.92</v>
      </c>
      <c r="P68" s="17">
        <f t="shared" si="16"/>
        <v>1</v>
      </c>
      <c r="Q68" s="17">
        <f t="shared" si="17"/>
        <v>1.452908278582556E-3</v>
      </c>
    </row>
    <row r="69" spans="1:17" x14ac:dyDescent="0.3">
      <c r="A69" s="15" t="s">
        <v>77</v>
      </c>
      <c r="B69" s="22" t="str">
        <f>VLOOKUP(A69,ORCAMENTO!$A:$I,2,FALSE)</f>
        <v>ESQUADRIAS</v>
      </c>
      <c r="C69" s="16">
        <f>VLOOKUP(A69,ORCAMENTO!$A:$I,9,FALSE)</f>
        <v>2243.75</v>
      </c>
      <c r="D69" s="17">
        <f t="shared" si="9"/>
        <v>1.3920044024004279E-3</v>
      </c>
      <c r="E69" s="16">
        <f>VLOOKUP(A69,CO!$A:$X,10,FALSE)</f>
        <v>0</v>
      </c>
      <c r="F69" s="17">
        <f t="shared" si="10"/>
        <v>0</v>
      </c>
      <c r="G69" s="16">
        <f>VLOOKUP(A69,CO!$A:$X,13,FALSE)</f>
        <v>2243.75</v>
      </c>
      <c r="H69" s="17">
        <f t="shared" si="11"/>
        <v>1</v>
      </c>
      <c r="I69" s="16">
        <f>VLOOKUP(A69,CO!$A:$X,16,FALSE)</f>
        <v>0</v>
      </c>
      <c r="J69" s="17">
        <f t="shared" si="12"/>
        <v>0</v>
      </c>
      <c r="K69" s="16">
        <f>VLOOKUP(A69,CO!$A:$X,19,FALSE)</f>
        <v>0</v>
      </c>
      <c r="L69" s="17">
        <f t="shared" si="13"/>
        <v>0</v>
      </c>
      <c r="M69" s="16">
        <f>VLOOKUP(A69,CO!$A:$X,22,FALSE)</f>
        <v>0</v>
      </c>
      <c r="N69" s="17">
        <f t="shared" si="14"/>
        <v>0</v>
      </c>
      <c r="O69" s="16">
        <f t="shared" si="15"/>
        <v>2243.75</v>
      </c>
      <c r="P69" s="17">
        <f t="shared" si="16"/>
        <v>1</v>
      </c>
      <c r="Q69" s="17">
        <f t="shared" si="17"/>
        <v>1.3920044024004279E-3</v>
      </c>
    </row>
    <row r="70" spans="1:17" x14ac:dyDescent="0.3">
      <c r="A70" s="15" t="s">
        <v>78</v>
      </c>
      <c r="B70" s="22" t="str">
        <f>VLOOKUP(A70,ORCAMENTO!$A:$I,2,FALSE)</f>
        <v>PINTURA</v>
      </c>
      <c r="C70" s="16">
        <f>VLOOKUP(A70,ORCAMENTO!$A:$I,9,FALSE)</f>
        <v>649.88</v>
      </c>
      <c r="D70" s="17">
        <f t="shared" si="9"/>
        <v>4.0318031020924349E-4</v>
      </c>
      <c r="E70" s="16">
        <f>VLOOKUP(A70,CO!$A:$X,10,FALSE)</f>
        <v>0</v>
      </c>
      <c r="F70" s="17">
        <f t="shared" si="10"/>
        <v>0</v>
      </c>
      <c r="G70" s="16">
        <f>VLOOKUP(A70,CO!$A:$X,13,FALSE)</f>
        <v>649.88</v>
      </c>
      <c r="H70" s="17">
        <f t="shared" si="11"/>
        <v>1</v>
      </c>
      <c r="I70" s="16">
        <f>VLOOKUP(A70,CO!$A:$X,16,FALSE)</f>
        <v>0</v>
      </c>
      <c r="J70" s="17">
        <f t="shared" si="12"/>
        <v>0</v>
      </c>
      <c r="K70" s="16">
        <f>VLOOKUP(A70,CO!$A:$X,19,FALSE)</f>
        <v>0</v>
      </c>
      <c r="L70" s="17">
        <f t="shared" si="13"/>
        <v>0</v>
      </c>
      <c r="M70" s="16">
        <f>VLOOKUP(A70,CO!$A:$X,22,FALSE)</f>
        <v>0</v>
      </c>
      <c r="N70" s="17">
        <f t="shared" si="14"/>
        <v>0</v>
      </c>
      <c r="O70" s="16">
        <f t="shared" si="15"/>
        <v>649.88</v>
      </c>
      <c r="P70" s="17">
        <f t="shared" si="16"/>
        <v>1</v>
      </c>
      <c r="Q70" s="17">
        <f t="shared" si="17"/>
        <v>4.0318031020924349E-4</v>
      </c>
    </row>
    <row r="71" spans="1:17" x14ac:dyDescent="0.3">
      <c r="A71" s="15" t="s">
        <v>79</v>
      </c>
      <c r="B71" s="22" t="str">
        <f>VLOOKUP(A71,ORCAMENTO!$A:$I,2,FALSE)</f>
        <v>CERCAMENTO</v>
      </c>
      <c r="C71" s="16">
        <f>VLOOKUP(A71,ORCAMENTO!$A:$I,9,FALSE)</f>
        <v>5908.53</v>
      </c>
      <c r="D71" s="17">
        <f t="shared" si="9"/>
        <v>3.6656043550818943E-3</v>
      </c>
      <c r="E71" s="16">
        <f>VLOOKUP(A71,CO!$A:$X,10,FALSE)</f>
        <v>0</v>
      </c>
      <c r="F71" s="17">
        <f t="shared" si="10"/>
        <v>0</v>
      </c>
      <c r="G71" s="16">
        <f>VLOOKUP(A71,CO!$A:$X,13,FALSE)</f>
        <v>5908.53</v>
      </c>
      <c r="H71" s="17">
        <f t="shared" si="11"/>
        <v>1</v>
      </c>
      <c r="I71" s="16">
        <f>VLOOKUP(A71,CO!$A:$X,16,FALSE)</f>
        <v>0</v>
      </c>
      <c r="J71" s="17">
        <f t="shared" si="12"/>
        <v>0</v>
      </c>
      <c r="K71" s="16">
        <f>VLOOKUP(A71,CO!$A:$X,19,FALSE)</f>
        <v>0</v>
      </c>
      <c r="L71" s="17">
        <f t="shared" si="13"/>
        <v>0</v>
      </c>
      <c r="M71" s="16">
        <f>VLOOKUP(A71,CO!$A:$X,22,FALSE)</f>
        <v>0</v>
      </c>
      <c r="N71" s="17">
        <f t="shared" si="14"/>
        <v>0</v>
      </c>
      <c r="O71" s="16">
        <f t="shared" si="15"/>
        <v>5908.53</v>
      </c>
      <c r="P71" s="17">
        <f t="shared" si="16"/>
        <v>1</v>
      </c>
      <c r="Q71" s="17">
        <f t="shared" si="17"/>
        <v>3.6656043550818943E-3</v>
      </c>
    </row>
    <row r="72" spans="1:17" x14ac:dyDescent="0.3">
      <c r="A72" s="12" t="s">
        <v>80</v>
      </c>
      <c r="B72" s="21" t="str">
        <f>VLOOKUP(A72,ORCAMENTO!$A:$I,2,FALSE)</f>
        <v>INSTALAÇÕES ELÉTRICAS</v>
      </c>
      <c r="C72" s="13">
        <f>VLOOKUP(A72,ORCAMENTO!$A:$I,9,FALSE)</f>
        <v>17909.879999999997</v>
      </c>
      <c r="D72" s="14">
        <f t="shared" ref="D72:D103" si="18">C72/$C$153</f>
        <v>1.1111145094802617E-2</v>
      </c>
      <c r="E72" s="13">
        <f>VLOOKUP(A72,CO!$A:$X,10,FALSE)</f>
        <v>0</v>
      </c>
      <c r="F72" s="14">
        <f t="shared" ref="F72:F103" si="19">E72/C72</f>
        <v>0</v>
      </c>
      <c r="G72" s="13">
        <f>VLOOKUP(A72,CO!$A:$X,13,FALSE)</f>
        <v>17909.879999999997</v>
      </c>
      <c r="H72" s="14">
        <f t="shared" ref="H72:H103" si="20">G72/C72</f>
        <v>1</v>
      </c>
      <c r="I72" s="13">
        <f>VLOOKUP(A72,CO!$A:$X,16,FALSE)</f>
        <v>0</v>
      </c>
      <c r="J72" s="14">
        <f t="shared" ref="J72:J103" si="21">I72/C72</f>
        <v>0</v>
      </c>
      <c r="K72" s="13">
        <f>VLOOKUP(A72,CO!$A:$X,19,FALSE)</f>
        <v>0</v>
      </c>
      <c r="L72" s="14">
        <f t="shared" ref="L72:L103" si="22">K72/C72</f>
        <v>0</v>
      </c>
      <c r="M72" s="13">
        <f>VLOOKUP(A72,CO!$A:$X,22,FALSE)</f>
        <v>0</v>
      </c>
      <c r="N72" s="14">
        <f t="shared" ref="N72:N103" si="23">M72/C72</f>
        <v>0</v>
      </c>
      <c r="O72" s="13">
        <f t="shared" ref="O72:O103" si="24">SUM(E72,G72,I72,K72,M72,)</f>
        <v>17909.879999999997</v>
      </c>
      <c r="P72" s="14">
        <f t="shared" ref="P72:P103" si="25">SUM(F72,H72,J72,L72,N72,)</f>
        <v>1</v>
      </c>
      <c r="Q72" s="14">
        <f t="shared" ref="Q72:Q103" si="26">O72/$C$153</f>
        <v>1.1111145094802617E-2</v>
      </c>
    </row>
    <row r="73" spans="1:17" x14ac:dyDescent="0.3">
      <c r="A73" s="12" t="s">
        <v>81</v>
      </c>
      <c r="B73" s="21" t="str">
        <f>VLOOKUP(A73,ORCAMENTO!$A:$I,2,FALSE)</f>
        <v>ADUÇÃO</v>
      </c>
      <c r="C73" s="13">
        <f>VLOOKUP(A73,ORCAMENTO!$A:$I,9,FALSE)</f>
        <v>1455.29</v>
      </c>
      <c r="D73" s="14">
        <f t="shared" si="18"/>
        <v>9.028501779473286E-4</v>
      </c>
      <c r="E73" s="13">
        <f>SUM(E$74,E$75,E$76,)</f>
        <v>0</v>
      </c>
      <c r="F73" s="14">
        <f t="shared" si="19"/>
        <v>0</v>
      </c>
      <c r="G73" s="13">
        <f>SUM(G$74,G$75,G$76,)</f>
        <v>1455.29</v>
      </c>
      <c r="H73" s="14">
        <f t="shared" si="20"/>
        <v>1</v>
      </c>
      <c r="I73" s="13">
        <f>SUM(I$74,I$75,I$76,)</f>
        <v>0</v>
      </c>
      <c r="J73" s="14">
        <f t="shared" si="21"/>
        <v>0</v>
      </c>
      <c r="K73" s="13">
        <f>SUM(K$74,K$75,K$76,)</f>
        <v>0</v>
      </c>
      <c r="L73" s="14">
        <f t="shared" si="22"/>
        <v>0</v>
      </c>
      <c r="M73" s="13">
        <f>SUM(M$74,M$75,M$76,)</f>
        <v>0</v>
      </c>
      <c r="N73" s="14">
        <f t="shared" si="23"/>
        <v>0</v>
      </c>
      <c r="O73" s="13">
        <f t="shared" si="24"/>
        <v>1455.29</v>
      </c>
      <c r="P73" s="14">
        <f t="shared" si="25"/>
        <v>1</v>
      </c>
      <c r="Q73" s="14">
        <f t="shared" si="26"/>
        <v>9.028501779473286E-4</v>
      </c>
    </row>
    <row r="74" spans="1:17" x14ac:dyDescent="0.3">
      <c r="A74" s="15" t="s">
        <v>82</v>
      </c>
      <c r="B74" s="22" t="str">
        <f>VLOOKUP(A74,ORCAMENTO!$A:$I,2,FALSE)</f>
        <v>MOVIMENTO DE TERRA</v>
      </c>
      <c r="C74" s="16">
        <f>VLOOKUP(A74,ORCAMENTO!$A:$I,9,FALSE)</f>
        <v>485.08</v>
      </c>
      <c r="D74" s="17">
        <f t="shared" si="18"/>
        <v>3.0093971945020591E-4</v>
      </c>
      <c r="E74" s="16">
        <f>VLOOKUP(A74,CO!$A:$X,10,FALSE)</f>
        <v>0</v>
      </c>
      <c r="F74" s="17">
        <f t="shared" si="19"/>
        <v>0</v>
      </c>
      <c r="G74" s="16">
        <f>VLOOKUP(A74,CO!$A:$X,13,FALSE)</f>
        <v>485.08</v>
      </c>
      <c r="H74" s="17">
        <f t="shared" si="20"/>
        <v>1</v>
      </c>
      <c r="I74" s="16">
        <f>VLOOKUP(A74,CO!$A:$X,16,FALSE)</f>
        <v>0</v>
      </c>
      <c r="J74" s="17">
        <f t="shared" si="21"/>
        <v>0</v>
      </c>
      <c r="K74" s="16">
        <f>VLOOKUP(A74,CO!$A:$X,19,FALSE)</f>
        <v>0</v>
      </c>
      <c r="L74" s="17">
        <f t="shared" si="22"/>
        <v>0</v>
      </c>
      <c r="M74" s="16">
        <f>VLOOKUP(A74,CO!$A:$X,22,FALSE)</f>
        <v>0</v>
      </c>
      <c r="N74" s="17">
        <f t="shared" si="23"/>
        <v>0</v>
      </c>
      <c r="O74" s="16">
        <f t="shared" si="24"/>
        <v>485.08</v>
      </c>
      <c r="P74" s="17">
        <f t="shared" si="25"/>
        <v>1</v>
      </c>
      <c r="Q74" s="17">
        <f t="shared" si="26"/>
        <v>3.0093971945020591E-4</v>
      </c>
    </row>
    <row r="75" spans="1:17" x14ac:dyDescent="0.3">
      <c r="A75" s="15" t="s">
        <v>83</v>
      </c>
      <c r="B75" s="22" t="str">
        <f>VLOOKUP(A75,ORCAMENTO!$A:$I,2,FALSE)</f>
        <v>INFRAESTRUTURA</v>
      </c>
      <c r="C75" s="16">
        <f>VLOOKUP(A75,ORCAMENTO!$A:$I,9,FALSE)</f>
        <v>264.64</v>
      </c>
      <c r="D75" s="17">
        <f t="shared" si="18"/>
        <v>1.6418052147130883E-4</v>
      </c>
      <c r="E75" s="16">
        <f>VLOOKUP(A75,CO!$A:$X,10,FALSE)</f>
        <v>0</v>
      </c>
      <c r="F75" s="17">
        <f t="shared" si="19"/>
        <v>0</v>
      </c>
      <c r="G75" s="16">
        <f>VLOOKUP(A75,CO!$A:$X,13,FALSE)</f>
        <v>264.64</v>
      </c>
      <c r="H75" s="17">
        <f t="shared" si="20"/>
        <v>1</v>
      </c>
      <c r="I75" s="16">
        <f>VLOOKUP(A75,CO!$A:$X,16,FALSE)</f>
        <v>0</v>
      </c>
      <c r="J75" s="17">
        <f t="shared" si="21"/>
        <v>0</v>
      </c>
      <c r="K75" s="16">
        <f>VLOOKUP(A75,CO!$A:$X,19,FALSE)</f>
        <v>0</v>
      </c>
      <c r="L75" s="17">
        <f t="shared" si="22"/>
        <v>0</v>
      </c>
      <c r="M75" s="16">
        <f>VLOOKUP(A75,CO!$A:$X,22,FALSE)</f>
        <v>0</v>
      </c>
      <c r="N75" s="17">
        <f t="shared" si="23"/>
        <v>0</v>
      </c>
      <c r="O75" s="16">
        <f t="shared" si="24"/>
        <v>264.64</v>
      </c>
      <c r="P75" s="17">
        <f t="shared" si="25"/>
        <v>1</v>
      </c>
      <c r="Q75" s="17">
        <f t="shared" si="26"/>
        <v>1.6418052147130883E-4</v>
      </c>
    </row>
    <row r="76" spans="1:17" x14ac:dyDescent="0.3">
      <c r="A76" s="15" t="s">
        <v>84</v>
      </c>
      <c r="B76" s="22" t="str">
        <f>VLOOKUP(A76,ORCAMENTO!$A:$I,2,FALSE)</f>
        <v>INSTALAÇÕES HIDRÁULICAS</v>
      </c>
      <c r="C76" s="16">
        <f>VLOOKUP(A76,ORCAMENTO!$A:$I,9,FALSE)</f>
        <v>705.57</v>
      </c>
      <c r="D76" s="17">
        <f t="shared" si="18"/>
        <v>4.3772993702581391E-4</v>
      </c>
      <c r="E76" s="16">
        <f>VLOOKUP(A76,CO!$A:$X,10,FALSE)</f>
        <v>0</v>
      </c>
      <c r="F76" s="17">
        <f t="shared" si="19"/>
        <v>0</v>
      </c>
      <c r="G76" s="16">
        <f>VLOOKUP(A76,CO!$A:$X,13,FALSE)</f>
        <v>705.57</v>
      </c>
      <c r="H76" s="17">
        <f t="shared" si="20"/>
        <v>1</v>
      </c>
      <c r="I76" s="16">
        <f>VLOOKUP(A76,CO!$A:$X,16,FALSE)</f>
        <v>0</v>
      </c>
      <c r="J76" s="17">
        <f t="shared" si="21"/>
        <v>0</v>
      </c>
      <c r="K76" s="16">
        <f>VLOOKUP(A76,CO!$A:$X,19,FALSE)</f>
        <v>0</v>
      </c>
      <c r="L76" s="17">
        <f t="shared" si="22"/>
        <v>0</v>
      </c>
      <c r="M76" s="16">
        <f>VLOOKUP(A76,CO!$A:$X,22,FALSE)</f>
        <v>0</v>
      </c>
      <c r="N76" s="17">
        <f t="shared" si="23"/>
        <v>0</v>
      </c>
      <c r="O76" s="16">
        <f t="shared" si="24"/>
        <v>705.57</v>
      </c>
      <c r="P76" s="17">
        <f t="shared" si="25"/>
        <v>1</v>
      </c>
      <c r="Q76" s="17">
        <f t="shared" si="26"/>
        <v>4.3772993702581391E-4</v>
      </c>
    </row>
    <row r="77" spans="1:17" x14ac:dyDescent="0.3">
      <c r="A77" s="12" t="s">
        <v>85</v>
      </c>
      <c r="B77" s="21" t="str">
        <f>VLOOKUP(A77,ORCAMENTO!$A:$I,2,FALSE)</f>
        <v>RESERVAÇÃO</v>
      </c>
      <c r="C77" s="13">
        <f>VLOOKUP(A77,ORCAMENTO!$A:$I,9,FALSE)</f>
        <v>31488.33</v>
      </c>
      <c r="D77" s="14">
        <f t="shared" si="18"/>
        <v>1.9535105953977703E-2</v>
      </c>
      <c r="E77" s="13">
        <f>VLOOKUP(A77,CO!$A:$X,10,FALSE)</f>
        <v>0</v>
      </c>
      <c r="F77" s="14">
        <f t="shared" si="19"/>
        <v>0</v>
      </c>
      <c r="G77" s="13">
        <f>VLOOKUP(A77,CO!$A:$X,13,FALSE)</f>
        <v>31488.33</v>
      </c>
      <c r="H77" s="14">
        <f t="shared" si="20"/>
        <v>1</v>
      </c>
      <c r="I77" s="13">
        <f>VLOOKUP(A77,CO!$A:$X,16,FALSE)</f>
        <v>0</v>
      </c>
      <c r="J77" s="14">
        <f t="shared" si="21"/>
        <v>0</v>
      </c>
      <c r="K77" s="13">
        <f>VLOOKUP(A77,CO!$A:$X,19,FALSE)</f>
        <v>0</v>
      </c>
      <c r="L77" s="14">
        <f t="shared" si="22"/>
        <v>0</v>
      </c>
      <c r="M77" s="13">
        <f>VLOOKUP(A77,CO!$A:$X,22,FALSE)</f>
        <v>0</v>
      </c>
      <c r="N77" s="14">
        <f t="shared" si="23"/>
        <v>0</v>
      </c>
      <c r="O77" s="13">
        <f t="shared" si="24"/>
        <v>31488.33</v>
      </c>
      <c r="P77" s="14">
        <f t="shared" si="25"/>
        <v>1</v>
      </c>
      <c r="Q77" s="14">
        <f t="shared" si="26"/>
        <v>1.9535105953977703E-2</v>
      </c>
    </row>
    <row r="78" spans="1:17" x14ac:dyDescent="0.3">
      <c r="A78" s="12" t="s">
        <v>86</v>
      </c>
      <c r="B78" s="21" t="str">
        <f>VLOOKUP(A78,ORCAMENTO!$A:$I,2,FALSE)</f>
        <v>DISTRIBUIÇÃO</v>
      </c>
      <c r="C78" s="13">
        <f>VLOOKUP(A78,ORCAMENTO!$A:$I,9,FALSE)</f>
        <v>72358.52</v>
      </c>
      <c r="D78" s="14">
        <f t="shared" si="18"/>
        <v>4.4890642179912829E-2</v>
      </c>
      <c r="E78" s="13">
        <f>SUM(E$79,E$80,)</f>
        <v>0</v>
      </c>
      <c r="F78" s="14">
        <f t="shared" si="19"/>
        <v>0</v>
      </c>
      <c r="G78" s="13">
        <f>SUM(G$79,G$80,)</f>
        <v>0</v>
      </c>
      <c r="H78" s="14">
        <f t="shared" si="20"/>
        <v>0</v>
      </c>
      <c r="I78" s="13">
        <f>SUM(I$79,I$80,)</f>
        <v>72358.52</v>
      </c>
      <c r="J78" s="14">
        <f t="shared" si="21"/>
        <v>1</v>
      </c>
      <c r="K78" s="13">
        <f>SUM(K$79,K$80,)</f>
        <v>0</v>
      </c>
      <c r="L78" s="14">
        <f t="shared" si="22"/>
        <v>0</v>
      </c>
      <c r="M78" s="13">
        <f>SUM(M$79,M$80,)</f>
        <v>0</v>
      </c>
      <c r="N78" s="14">
        <f t="shared" si="23"/>
        <v>0</v>
      </c>
      <c r="O78" s="13">
        <f t="shared" si="24"/>
        <v>72358.52</v>
      </c>
      <c r="P78" s="14">
        <f t="shared" si="25"/>
        <v>1</v>
      </c>
      <c r="Q78" s="14">
        <f t="shared" si="26"/>
        <v>4.4890642179912829E-2</v>
      </c>
    </row>
    <row r="79" spans="1:17" x14ac:dyDescent="0.3">
      <c r="A79" s="15" t="s">
        <v>87</v>
      </c>
      <c r="B79" s="22" t="str">
        <f>VLOOKUP(A79,ORCAMENTO!$A:$I,2,FALSE)</f>
        <v>MOVIMENTO DE TERRA</v>
      </c>
      <c r="C79" s="16">
        <f>VLOOKUP(A79,ORCAMENTO!$A:$I,9,FALSE)</f>
        <v>15299.079999999998</v>
      </c>
      <c r="D79" s="17">
        <f t="shared" si="18"/>
        <v>9.4914258329476704E-3</v>
      </c>
      <c r="E79" s="16">
        <f>VLOOKUP(A79,CO!$A:$X,10,FALSE)</f>
        <v>0</v>
      </c>
      <c r="F79" s="17">
        <f t="shared" si="19"/>
        <v>0</v>
      </c>
      <c r="G79" s="16">
        <f>VLOOKUP(A79,CO!$A:$X,13,FALSE)</f>
        <v>0</v>
      </c>
      <c r="H79" s="17">
        <f t="shared" si="20"/>
        <v>0</v>
      </c>
      <c r="I79" s="16">
        <f>VLOOKUP(A79,CO!$A:$X,16,FALSE)</f>
        <v>15299.079999999998</v>
      </c>
      <c r="J79" s="17">
        <f t="shared" si="21"/>
        <v>1</v>
      </c>
      <c r="K79" s="16">
        <f>VLOOKUP(A79,CO!$A:$X,19,FALSE)</f>
        <v>0</v>
      </c>
      <c r="L79" s="17">
        <f t="shared" si="22"/>
        <v>0</v>
      </c>
      <c r="M79" s="16">
        <f>VLOOKUP(A79,CO!$A:$X,22,FALSE)</f>
        <v>0</v>
      </c>
      <c r="N79" s="17">
        <f t="shared" si="23"/>
        <v>0</v>
      </c>
      <c r="O79" s="16">
        <f t="shared" si="24"/>
        <v>15299.079999999998</v>
      </c>
      <c r="P79" s="17">
        <f t="shared" si="25"/>
        <v>1</v>
      </c>
      <c r="Q79" s="17">
        <f t="shared" si="26"/>
        <v>9.4914258329476704E-3</v>
      </c>
    </row>
    <row r="80" spans="1:17" x14ac:dyDescent="0.3">
      <c r="A80" s="15" t="s">
        <v>88</v>
      </c>
      <c r="B80" s="22" t="str">
        <f>VLOOKUP(A80,ORCAMENTO!$A:$I,2,FALSE)</f>
        <v>INSTALAÇÕES HIDRÁULICAS</v>
      </c>
      <c r="C80" s="16">
        <f>VLOOKUP(A80,ORCAMENTO!$A:$I,9,FALSE)</f>
        <v>57059.44</v>
      </c>
      <c r="D80" s="17">
        <f t="shared" si="18"/>
        <v>3.5399216346965162E-2</v>
      </c>
      <c r="E80" s="16">
        <f>VLOOKUP(A80,CO!$A:$X,10,FALSE)</f>
        <v>0</v>
      </c>
      <c r="F80" s="17">
        <f t="shared" si="19"/>
        <v>0</v>
      </c>
      <c r="G80" s="16">
        <f>VLOOKUP(A80,CO!$A:$X,13,FALSE)</f>
        <v>0</v>
      </c>
      <c r="H80" s="17">
        <f t="shared" si="20"/>
        <v>0</v>
      </c>
      <c r="I80" s="16">
        <f>VLOOKUP(A80,CO!$A:$X,16,FALSE)</f>
        <v>57059.44</v>
      </c>
      <c r="J80" s="17">
        <f t="shared" si="21"/>
        <v>1</v>
      </c>
      <c r="K80" s="16">
        <f>VLOOKUP(A80,CO!$A:$X,19,FALSE)</f>
        <v>0</v>
      </c>
      <c r="L80" s="17">
        <f t="shared" si="22"/>
        <v>0</v>
      </c>
      <c r="M80" s="16">
        <f>VLOOKUP(A80,CO!$A:$X,22,FALSE)</f>
        <v>0</v>
      </c>
      <c r="N80" s="17">
        <f t="shared" si="23"/>
        <v>0</v>
      </c>
      <c r="O80" s="16">
        <f t="shared" si="24"/>
        <v>57059.44</v>
      </c>
      <c r="P80" s="17">
        <f t="shared" si="25"/>
        <v>1</v>
      </c>
      <c r="Q80" s="17">
        <f t="shared" si="26"/>
        <v>3.5399216346965162E-2</v>
      </c>
    </row>
    <row r="81" spans="1:17" x14ac:dyDescent="0.3">
      <c r="A81" s="9">
        <v>5</v>
      </c>
      <c r="B81" s="20" t="str">
        <f>VLOOKUP(A81,ORCAMENTO!$A:$I,2,FALSE)</f>
        <v>LOCALIDADE BARREIRINHO (ANÍSIO DE ABREU-PI)</v>
      </c>
      <c r="C81" s="10">
        <f>VLOOKUP(A81,ORCAMENTO!$A:$I,9,FALSE)</f>
        <v>137728.81</v>
      </c>
      <c r="D81" s="11">
        <f t="shared" si="18"/>
        <v>8.5445842833369173E-2</v>
      </c>
      <c r="E81" s="10">
        <f>SUM(E$82,E$83,E$84,E$96,E$97,E$101,E$102,)</f>
        <v>0</v>
      </c>
      <c r="F81" s="11">
        <f t="shared" si="19"/>
        <v>0</v>
      </c>
      <c r="G81" s="10">
        <f>SUM(G$82,G$83,G$84,G$96,G$97,G$101,G$102,)</f>
        <v>0</v>
      </c>
      <c r="H81" s="11">
        <f t="shared" si="20"/>
        <v>0</v>
      </c>
      <c r="I81" s="10">
        <f>SUM(I$82,I$83,I$84,I$96,I$97,I$101,I$102,)</f>
        <v>137728.81</v>
      </c>
      <c r="J81" s="11">
        <f t="shared" si="21"/>
        <v>1</v>
      </c>
      <c r="K81" s="10">
        <f>SUM(K$82,K$83,K$84,K$96,K$97,K$101,K$102,)</f>
        <v>0</v>
      </c>
      <c r="L81" s="11">
        <f t="shared" si="22"/>
        <v>0</v>
      </c>
      <c r="M81" s="10">
        <f>SUM(M$82,M$83,M$84,M$96,M$97,M$101,M$102,)</f>
        <v>0</v>
      </c>
      <c r="N81" s="11">
        <f t="shared" si="23"/>
        <v>0</v>
      </c>
      <c r="O81" s="10">
        <f t="shared" si="24"/>
        <v>137728.81</v>
      </c>
      <c r="P81" s="11">
        <f t="shared" si="25"/>
        <v>1</v>
      </c>
      <c r="Q81" s="11">
        <f t="shared" si="26"/>
        <v>8.5445842833369173E-2</v>
      </c>
    </row>
    <row r="82" spans="1:17" x14ac:dyDescent="0.3">
      <c r="A82" s="12" t="s">
        <v>89</v>
      </c>
      <c r="B82" s="21" t="str">
        <f>VLOOKUP(A82,ORCAMENTO!$A:$I,2,FALSE)</f>
        <v>PERFURAÇÃO DE POÇO TUBULAR</v>
      </c>
      <c r="C82" s="13">
        <f>VLOOKUP(A82,ORCAMENTO!$A:$I,9,FALSE)</f>
        <v>45567.549999999996</v>
      </c>
      <c r="D82" s="14">
        <f t="shared" si="18"/>
        <v>2.8269740482050859E-2</v>
      </c>
      <c r="E82" s="13">
        <f>VLOOKUP(A82,CO!$A:$X,10,FALSE)</f>
        <v>0</v>
      </c>
      <c r="F82" s="14">
        <f t="shared" si="19"/>
        <v>0</v>
      </c>
      <c r="G82" s="13">
        <f>VLOOKUP(A82,CO!$A:$X,13,FALSE)</f>
        <v>0</v>
      </c>
      <c r="H82" s="14">
        <f t="shared" si="20"/>
        <v>0</v>
      </c>
      <c r="I82" s="13">
        <f>VLOOKUP(A82,CO!$A:$X,16,FALSE)</f>
        <v>45567.549999999996</v>
      </c>
      <c r="J82" s="14">
        <f t="shared" si="21"/>
        <v>1</v>
      </c>
      <c r="K82" s="13">
        <f>VLOOKUP(A82,CO!$A:$X,19,FALSE)</f>
        <v>0</v>
      </c>
      <c r="L82" s="14">
        <f t="shared" si="22"/>
        <v>0</v>
      </c>
      <c r="M82" s="13">
        <f>VLOOKUP(A82,CO!$A:$X,22,FALSE)</f>
        <v>0</v>
      </c>
      <c r="N82" s="14">
        <f t="shared" si="23"/>
        <v>0</v>
      </c>
      <c r="O82" s="13">
        <f t="shared" si="24"/>
        <v>45567.549999999996</v>
      </c>
      <c r="P82" s="14">
        <f t="shared" si="25"/>
        <v>1</v>
      </c>
      <c r="Q82" s="14">
        <f t="shared" si="26"/>
        <v>2.8269740482050859E-2</v>
      </c>
    </row>
    <row r="83" spans="1:17" ht="43.2" x14ac:dyDescent="0.3">
      <c r="A83" s="12" t="s">
        <v>90</v>
      </c>
      <c r="B83" s="21" t="str">
        <f>VLOOKUP(A83,ORCAMENTO!$A:$I,2,FALSE)</f>
        <v>AQUISIÇÃO E INSTALAÇÃO DE EQUIPAMENTOS DE BOMBEAMENTO, RECALQUE/BARRILETE E CONEXÕES PARA INTERLIGAÇÃO COM RESERVATÓRIO</v>
      </c>
      <c r="C83" s="13">
        <f>VLOOKUP(A83,ORCAMENTO!$A:$I,9,FALSE)</f>
        <v>9017.39</v>
      </c>
      <c r="D83" s="14">
        <f t="shared" si="18"/>
        <v>5.5943160236931891E-3</v>
      </c>
      <c r="E83" s="13">
        <f>VLOOKUP(A83,CO!$A:$X,10,FALSE)</f>
        <v>0</v>
      </c>
      <c r="F83" s="14">
        <f t="shared" si="19"/>
        <v>0</v>
      </c>
      <c r="G83" s="13">
        <f>VLOOKUP(A83,CO!$A:$X,13,FALSE)</f>
        <v>0</v>
      </c>
      <c r="H83" s="14">
        <f t="shared" si="20"/>
        <v>0</v>
      </c>
      <c r="I83" s="13">
        <f>VLOOKUP(A83,CO!$A:$X,16,FALSE)</f>
        <v>9017.39</v>
      </c>
      <c r="J83" s="14">
        <f t="shared" si="21"/>
        <v>1</v>
      </c>
      <c r="K83" s="13">
        <f>VLOOKUP(A83,CO!$A:$X,19,FALSE)</f>
        <v>0</v>
      </c>
      <c r="L83" s="14">
        <f t="shared" si="22"/>
        <v>0</v>
      </c>
      <c r="M83" s="13">
        <f>VLOOKUP(A83,CO!$A:$X,22,FALSE)</f>
        <v>0</v>
      </c>
      <c r="N83" s="14">
        <f t="shared" si="23"/>
        <v>0</v>
      </c>
      <c r="O83" s="13">
        <f t="shared" si="24"/>
        <v>9017.39</v>
      </c>
      <c r="P83" s="14">
        <f t="shared" si="25"/>
        <v>1</v>
      </c>
      <c r="Q83" s="14">
        <f t="shared" si="26"/>
        <v>5.5943160236931891E-3</v>
      </c>
    </row>
    <row r="84" spans="1:17" x14ac:dyDescent="0.3">
      <c r="A84" s="12" t="s">
        <v>91</v>
      </c>
      <c r="B84" s="21" t="str">
        <f>VLOOKUP(A84,ORCAMENTO!$A:$I,2,FALSE)</f>
        <v>CONSTRUÇÃO DA CASA DE COMANDO</v>
      </c>
      <c r="C84" s="13">
        <f>VLOOKUP(A84,ORCAMENTO!$A:$I,9,FALSE)</f>
        <v>20274.329999999998</v>
      </c>
      <c r="D84" s="14">
        <f t="shared" si="18"/>
        <v>1.2578030803663093E-2</v>
      </c>
      <c r="E84" s="13">
        <f>SUM(E$85,E$86,E$87,E$88,E$89,E$90,E$91,E$92,E$93,E$94,E$95,)</f>
        <v>0</v>
      </c>
      <c r="F84" s="14">
        <f t="shared" si="19"/>
        <v>0</v>
      </c>
      <c r="G84" s="13">
        <f>SUM(G$85,G$86,G$87,G$88,G$89,G$90,G$91,G$92,G$93,G$94,G$95,)</f>
        <v>0</v>
      </c>
      <c r="H84" s="14">
        <f t="shared" si="20"/>
        <v>0</v>
      </c>
      <c r="I84" s="13">
        <f>SUM(I$85,I$86,I$87,I$88,I$89,I$90,I$91,I$92,I$93,I$94,I$95,)</f>
        <v>20274.329999999998</v>
      </c>
      <c r="J84" s="14">
        <f t="shared" si="21"/>
        <v>1</v>
      </c>
      <c r="K84" s="13">
        <f>SUM(K$85,K$86,K$87,K$88,K$89,K$90,K$91,K$92,K$93,K$94,K$95,)</f>
        <v>0</v>
      </c>
      <c r="L84" s="14">
        <f t="shared" si="22"/>
        <v>0</v>
      </c>
      <c r="M84" s="13">
        <f>SUM(M$85,M$86,M$87,M$88,M$89,M$90,M$91,M$92,M$93,M$94,M$95,)</f>
        <v>0</v>
      </c>
      <c r="N84" s="14">
        <f t="shared" si="23"/>
        <v>0</v>
      </c>
      <c r="O84" s="13">
        <f t="shared" si="24"/>
        <v>20274.329999999998</v>
      </c>
      <c r="P84" s="14">
        <f t="shared" si="25"/>
        <v>1</v>
      </c>
      <c r="Q84" s="14">
        <f t="shared" si="26"/>
        <v>1.2578030803663093E-2</v>
      </c>
    </row>
    <row r="85" spans="1:17" x14ac:dyDescent="0.3">
      <c r="A85" s="15" t="s">
        <v>92</v>
      </c>
      <c r="B85" s="22" t="str">
        <f>VLOOKUP(A85,ORCAMENTO!$A:$I,2,FALSE)</f>
        <v>SERVIÇOS PRELIMINARES</v>
      </c>
      <c r="C85" s="16">
        <f>VLOOKUP(A85,ORCAMENTO!$A:$I,9,FALSE)</f>
        <v>1315.92</v>
      </c>
      <c r="D85" s="17">
        <f t="shared" si="18"/>
        <v>8.1638615407544121E-4</v>
      </c>
      <c r="E85" s="16">
        <f>VLOOKUP(A85,CO!$A:$X,10,FALSE)</f>
        <v>0</v>
      </c>
      <c r="F85" s="17">
        <f t="shared" si="19"/>
        <v>0</v>
      </c>
      <c r="G85" s="16">
        <f>VLOOKUP(A85,CO!$A:$X,13,FALSE)</f>
        <v>0</v>
      </c>
      <c r="H85" s="17">
        <f t="shared" si="20"/>
        <v>0</v>
      </c>
      <c r="I85" s="16">
        <f>VLOOKUP(A85,CO!$A:$X,16,FALSE)</f>
        <v>1315.92</v>
      </c>
      <c r="J85" s="17">
        <f t="shared" si="21"/>
        <v>1</v>
      </c>
      <c r="K85" s="16">
        <f>VLOOKUP(A85,CO!$A:$X,19,FALSE)</f>
        <v>0</v>
      </c>
      <c r="L85" s="17">
        <f t="shared" si="22"/>
        <v>0</v>
      </c>
      <c r="M85" s="16">
        <f>VLOOKUP(A85,CO!$A:$X,22,FALSE)</f>
        <v>0</v>
      </c>
      <c r="N85" s="17">
        <f t="shared" si="23"/>
        <v>0</v>
      </c>
      <c r="O85" s="16">
        <f t="shared" si="24"/>
        <v>1315.92</v>
      </c>
      <c r="P85" s="17">
        <f t="shared" si="25"/>
        <v>1</v>
      </c>
      <c r="Q85" s="17">
        <f t="shared" si="26"/>
        <v>8.1638615407544121E-4</v>
      </c>
    </row>
    <row r="86" spans="1:17" x14ac:dyDescent="0.3">
      <c r="A86" s="15" t="s">
        <v>93</v>
      </c>
      <c r="B86" s="22" t="str">
        <f>VLOOKUP(A86,ORCAMENTO!$A:$I,2,FALSE)</f>
        <v>MOVIMENTO DE TERRA</v>
      </c>
      <c r="C86" s="16">
        <f>VLOOKUP(A86,ORCAMENTO!$A:$I,9,FALSE)</f>
        <v>161.76</v>
      </c>
      <c r="D86" s="17">
        <f t="shared" si="18"/>
        <v>1.0035459927901647E-4</v>
      </c>
      <c r="E86" s="16">
        <f>VLOOKUP(A86,CO!$A:$X,10,FALSE)</f>
        <v>0</v>
      </c>
      <c r="F86" s="17">
        <f t="shared" si="19"/>
        <v>0</v>
      </c>
      <c r="G86" s="16">
        <f>VLOOKUP(A86,CO!$A:$X,13,FALSE)</f>
        <v>0</v>
      </c>
      <c r="H86" s="17">
        <f t="shared" si="20"/>
        <v>0</v>
      </c>
      <c r="I86" s="16">
        <f>VLOOKUP(A86,CO!$A:$X,16,FALSE)</f>
        <v>161.76</v>
      </c>
      <c r="J86" s="17">
        <f t="shared" si="21"/>
        <v>1</v>
      </c>
      <c r="K86" s="16">
        <f>VLOOKUP(A86,CO!$A:$X,19,FALSE)</f>
        <v>0</v>
      </c>
      <c r="L86" s="17">
        <f t="shared" si="22"/>
        <v>0</v>
      </c>
      <c r="M86" s="16">
        <f>VLOOKUP(A86,CO!$A:$X,22,FALSE)</f>
        <v>0</v>
      </c>
      <c r="N86" s="17">
        <f t="shared" si="23"/>
        <v>0</v>
      </c>
      <c r="O86" s="16">
        <f t="shared" si="24"/>
        <v>161.76</v>
      </c>
      <c r="P86" s="17">
        <f t="shared" si="25"/>
        <v>1</v>
      </c>
      <c r="Q86" s="17">
        <f t="shared" si="26"/>
        <v>1.0035459927901647E-4</v>
      </c>
    </row>
    <row r="87" spans="1:17" x14ac:dyDescent="0.3">
      <c r="A87" s="15" t="s">
        <v>94</v>
      </c>
      <c r="B87" s="22" t="str">
        <f>VLOOKUP(A87,ORCAMENTO!$A:$I,2,FALSE)</f>
        <v>INFRAESTRUTURA</v>
      </c>
      <c r="C87" s="16">
        <f>VLOOKUP(A87,ORCAMENTO!$A:$I,9,FALSE)</f>
        <v>1229.81</v>
      </c>
      <c r="D87" s="17">
        <f t="shared" si="18"/>
        <v>7.6296420461997557E-4</v>
      </c>
      <c r="E87" s="16">
        <f>VLOOKUP(A87,CO!$A:$X,10,FALSE)</f>
        <v>0</v>
      </c>
      <c r="F87" s="17">
        <f t="shared" si="19"/>
        <v>0</v>
      </c>
      <c r="G87" s="16">
        <f>VLOOKUP(A87,CO!$A:$X,13,FALSE)</f>
        <v>0</v>
      </c>
      <c r="H87" s="17">
        <f t="shared" si="20"/>
        <v>0</v>
      </c>
      <c r="I87" s="16">
        <f>VLOOKUP(A87,CO!$A:$X,16,FALSE)</f>
        <v>1229.81</v>
      </c>
      <c r="J87" s="17">
        <f t="shared" si="21"/>
        <v>1</v>
      </c>
      <c r="K87" s="16">
        <f>VLOOKUP(A87,CO!$A:$X,19,FALSE)</f>
        <v>0</v>
      </c>
      <c r="L87" s="17">
        <f t="shared" si="22"/>
        <v>0</v>
      </c>
      <c r="M87" s="16">
        <f>VLOOKUP(A87,CO!$A:$X,22,FALSE)</f>
        <v>0</v>
      </c>
      <c r="N87" s="17">
        <f t="shared" si="23"/>
        <v>0</v>
      </c>
      <c r="O87" s="16">
        <f t="shared" si="24"/>
        <v>1229.81</v>
      </c>
      <c r="P87" s="17">
        <f t="shared" si="25"/>
        <v>1</v>
      </c>
      <c r="Q87" s="17">
        <f t="shared" si="26"/>
        <v>7.6296420461997557E-4</v>
      </c>
    </row>
    <row r="88" spans="1:17" x14ac:dyDescent="0.3">
      <c r="A88" s="15" t="s">
        <v>95</v>
      </c>
      <c r="B88" s="22" t="str">
        <f>VLOOKUP(A88,ORCAMENTO!$A:$I,2,FALSE)</f>
        <v>SUPERESTRUTURA</v>
      </c>
      <c r="C88" s="16">
        <f>VLOOKUP(A88,ORCAMENTO!$A:$I,9,FALSE)</f>
        <v>1323.3</v>
      </c>
      <c r="D88" s="17">
        <f t="shared" si="18"/>
        <v>8.20964646549966E-4</v>
      </c>
      <c r="E88" s="16">
        <f>VLOOKUP(A88,CO!$A:$X,10,FALSE)</f>
        <v>0</v>
      </c>
      <c r="F88" s="17">
        <f t="shared" si="19"/>
        <v>0</v>
      </c>
      <c r="G88" s="16">
        <f>VLOOKUP(A88,CO!$A:$X,13,FALSE)</f>
        <v>0</v>
      </c>
      <c r="H88" s="17">
        <f t="shared" si="20"/>
        <v>0</v>
      </c>
      <c r="I88" s="16">
        <f>VLOOKUP(A88,CO!$A:$X,16,FALSE)</f>
        <v>1323.3</v>
      </c>
      <c r="J88" s="17">
        <f t="shared" si="21"/>
        <v>1</v>
      </c>
      <c r="K88" s="16">
        <f>VLOOKUP(A88,CO!$A:$X,19,FALSE)</f>
        <v>0</v>
      </c>
      <c r="L88" s="17">
        <f t="shared" si="22"/>
        <v>0</v>
      </c>
      <c r="M88" s="16">
        <f>VLOOKUP(A88,CO!$A:$X,22,FALSE)</f>
        <v>0</v>
      </c>
      <c r="N88" s="17">
        <f t="shared" si="23"/>
        <v>0</v>
      </c>
      <c r="O88" s="16">
        <f t="shared" si="24"/>
        <v>1323.3</v>
      </c>
      <c r="P88" s="17">
        <f t="shared" si="25"/>
        <v>1</v>
      </c>
      <c r="Q88" s="17">
        <f t="shared" si="26"/>
        <v>8.20964646549966E-4</v>
      </c>
    </row>
    <row r="89" spans="1:17" x14ac:dyDescent="0.3">
      <c r="A89" s="15" t="s">
        <v>96</v>
      </c>
      <c r="B89" s="22" t="str">
        <f>VLOOKUP(A89,ORCAMENTO!$A:$I,2,FALSE)</f>
        <v>VEDAÇÃO VERTICAL</v>
      </c>
      <c r="C89" s="16">
        <f>VLOOKUP(A89,ORCAMENTO!$A:$I,9,FALSE)</f>
        <v>2620</v>
      </c>
      <c r="D89" s="17">
        <f t="shared" si="18"/>
        <v>1.6254268676497475E-3</v>
      </c>
      <c r="E89" s="16">
        <f>VLOOKUP(A89,CO!$A:$X,10,FALSE)</f>
        <v>0</v>
      </c>
      <c r="F89" s="17">
        <f t="shared" si="19"/>
        <v>0</v>
      </c>
      <c r="G89" s="16">
        <f>VLOOKUP(A89,CO!$A:$X,13,FALSE)</f>
        <v>0</v>
      </c>
      <c r="H89" s="17">
        <f t="shared" si="20"/>
        <v>0</v>
      </c>
      <c r="I89" s="16">
        <f>VLOOKUP(A89,CO!$A:$X,16,FALSE)</f>
        <v>2620</v>
      </c>
      <c r="J89" s="17">
        <f t="shared" si="21"/>
        <v>1</v>
      </c>
      <c r="K89" s="16">
        <f>VLOOKUP(A89,CO!$A:$X,19,FALSE)</f>
        <v>0</v>
      </c>
      <c r="L89" s="17">
        <f t="shared" si="22"/>
        <v>0</v>
      </c>
      <c r="M89" s="16">
        <f>VLOOKUP(A89,CO!$A:$X,22,FALSE)</f>
        <v>0</v>
      </c>
      <c r="N89" s="17">
        <f t="shared" si="23"/>
        <v>0</v>
      </c>
      <c r="O89" s="16">
        <f t="shared" si="24"/>
        <v>2620</v>
      </c>
      <c r="P89" s="17">
        <f t="shared" si="25"/>
        <v>1</v>
      </c>
      <c r="Q89" s="17">
        <f t="shared" si="26"/>
        <v>1.6254268676497475E-3</v>
      </c>
    </row>
    <row r="90" spans="1:17" x14ac:dyDescent="0.3">
      <c r="A90" s="15" t="s">
        <v>97</v>
      </c>
      <c r="B90" s="22" t="str">
        <f>VLOOKUP(A90,ORCAMENTO!$A:$I,2,FALSE)</f>
        <v>COBERTURA</v>
      </c>
      <c r="C90" s="16">
        <f>VLOOKUP(A90,ORCAMENTO!$A:$I,9,FALSE)</f>
        <v>1305.45</v>
      </c>
      <c r="D90" s="17">
        <f t="shared" si="18"/>
        <v>8.0989065052418439E-4</v>
      </c>
      <c r="E90" s="16">
        <f>VLOOKUP(A90,CO!$A:$X,10,FALSE)</f>
        <v>0</v>
      </c>
      <c r="F90" s="17">
        <f t="shared" si="19"/>
        <v>0</v>
      </c>
      <c r="G90" s="16">
        <f>VLOOKUP(A90,CO!$A:$X,13,FALSE)</f>
        <v>0</v>
      </c>
      <c r="H90" s="17">
        <f t="shared" si="20"/>
        <v>0</v>
      </c>
      <c r="I90" s="16">
        <f>VLOOKUP(A90,CO!$A:$X,16,FALSE)</f>
        <v>1305.45</v>
      </c>
      <c r="J90" s="17">
        <f t="shared" si="21"/>
        <v>1</v>
      </c>
      <c r="K90" s="16">
        <f>VLOOKUP(A90,CO!$A:$X,19,FALSE)</f>
        <v>0</v>
      </c>
      <c r="L90" s="17">
        <f t="shared" si="22"/>
        <v>0</v>
      </c>
      <c r="M90" s="16">
        <f>VLOOKUP(A90,CO!$A:$X,22,FALSE)</f>
        <v>0</v>
      </c>
      <c r="N90" s="17">
        <f t="shared" si="23"/>
        <v>0</v>
      </c>
      <c r="O90" s="16">
        <f t="shared" si="24"/>
        <v>1305.45</v>
      </c>
      <c r="P90" s="17">
        <f t="shared" si="25"/>
        <v>1</v>
      </c>
      <c r="Q90" s="17">
        <f t="shared" si="26"/>
        <v>8.0989065052418439E-4</v>
      </c>
    </row>
    <row r="91" spans="1:17" x14ac:dyDescent="0.3">
      <c r="A91" s="15" t="s">
        <v>98</v>
      </c>
      <c r="B91" s="22" t="str">
        <f>VLOOKUP(A91,ORCAMENTO!$A:$I,2,FALSE)</f>
        <v>PISO</v>
      </c>
      <c r="C91" s="16">
        <f>VLOOKUP(A91,ORCAMENTO!$A:$I,9,FALSE)</f>
        <v>1174.01</v>
      </c>
      <c r="D91" s="17">
        <f t="shared" si="18"/>
        <v>7.2834633469064125E-4</v>
      </c>
      <c r="E91" s="16">
        <f>VLOOKUP(A91,CO!$A:$X,10,FALSE)</f>
        <v>0</v>
      </c>
      <c r="F91" s="17">
        <f t="shared" si="19"/>
        <v>0</v>
      </c>
      <c r="G91" s="16">
        <f>VLOOKUP(A91,CO!$A:$X,13,FALSE)</f>
        <v>0</v>
      </c>
      <c r="H91" s="17">
        <f t="shared" si="20"/>
        <v>0</v>
      </c>
      <c r="I91" s="16">
        <f>VLOOKUP(A91,CO!$A:$X,16,FALSE)</f>
        <v>1174.01</v>
      </c>
      <c r="J91" s="17">
        <f t="shared" si="21"/>
        <v>1</v>
      </c>
      <c r="K91" s="16">
        <f>VLOOKUP(A91,CO!$A:$X,19,FALSE)</f>
        <v>0</v>
      </c>
      <c r="L91" s="17">
        <f t="shared" si="22"/>
        <v>0</v>
      </c>
      <c r="M91" s="16">
        <f>VLOOKUP(A91,CO!$A:$X,22,FALSE)</f>
        <v>0</v>
      </c>
      <c r="N91" s="17">
        <f t="shared" si="23"/>
        <v>0</v>
      </c>
      <c r="O91" s="16">
        <f t="shared" si="24"/>
        <v>1174.01</v>
      </c>
      <c r="P91" s="17">
        <f t="shared" si="25"/>
        <v>1</v>
      </c>
      <c r="Q91" s="17">
        <f t="shared" si="26"/>
        <v>7.2834633469064125E-4</v>
      </c>
    </row>
    <row r="92" spans="1:17" x14ac:dyDescent="0.3">
      <c r="A92" s="15" t="s">
        <v>99</v>
      </c>
      <c r="B92" s="22" t="str">
        <f>VLOOKUP(A92,ORCAMENTO!$A:$I,2,FALSE)</f>
        <v>REVESTIMENTO</v>
      </c>
      <c r="C92" s="16">
        <f>VLOOKUP(A92,ORCAMENTO!$A:$I,9,FALSE)</f>
        <v>2341.92</v>
      </c>
      <c r="D92" s="17">
        <f t="shared" si="18"/>
        <v>1.452908278582556E-3</v>
      </c>
      <c r="E92" s="16">
        <f>VLOOKUP(A92,CO!$A:$X,10,FALSE)</f>
        <v>0</v>
      </c>
      <c r="F92" s="17">
        <f t="shared" si="19"/>
        <v>0</v>
      </c>
      <c r="G92" s="16">
        <f>VLOOKUP(A92,CO!$A:$X,13,FALSE)</f>
        <v>0</v>
      </c>
      <c r="H92" s="17">
        <f t="shared" si="20"/>
        <v>0</v>
      </c>
      <c r="I92" s="16">
        <f>VLOOKUP(A92,CO!$A:$X,16,FALSE)</f>
        <v>2341.92</v>
      </c>
      <c r="J92" s="17">
        <f t="shared" si="21"/>
        <v>1</v>
      </c>
      <c r="K92" s="16">
        <f>VLOOKUP(A92,CO!$A:$X,19,FALSE)</f>
        <v>0</v>
      </c>
      <c r="L92" s="17">
        <f t="shared" si="22"/>
        <v>0</v>
      </c>
      <c r="M92" s="16">
        <f>VLOOKUP(A92,CO!$A:$X,22,FALSE)</f>
        <v>0</v>
      </c>
      <c r="N92" s="17">
        <f t="shared" si="23"/>
        <v>0</v>
      </c>
      <c r="O92" s="16">
        <f t="shared" si="24"/>
        <v>2341.92</v>
      </c>
      <c r="P92" s="17">
        <f t="shared" si="25"/>
        <v>1</v>
      </c>
      <c r="Q92" s="17">
        <f t="shared" si="26"/>
        <v>1.452908278582556E-3</v>
      </c>
    </row>
    <row r="93" spans="1:17" x14ac:dyDescent="0.3">
      <c r="A93" s="15" t="s">
        <v>100</v>
      </c>
      <c r="B93" s="22" t="str">
        <f>VLOOKUP(A93,ORCAMENTO!$A:$I,2,FALSE)</f>
        <v>ESQUADRIAS</v>
      </c>
      <c r="C93" s="16">
        <f>VLOOKUP(A93,ORCAMENTO!$A:$I,9,FALSE)</f>
        <v>2243.75</v>
      </c>
      <c r="D93" s="17">
        <f t="shared" si="18"/>
        <v>1.3920044024004279E-3</v>
      </c>
      <c r="E93" s="16">
        <f>VLOOKUP(A93,CO!$A:$X,10,FALSE)</f>
        <v>0</v>
      </c>
      <c r="F93" s="17">
        <f t="shared" si="19"/>
        <v>0</v>
      </c>
      <c r="G93" s="16">
        <f>VLOOKUP(A93,CO!$A:$X,13,FALSE)</f>
        <v>0</v>
      </c>
      <c r="H93" s="17">
        <f t="shared" si="20"/>
        <v>0</v>
      </c>
      <c r="I93" s="16">
        <f>VLOOKUP(A93,CO!$A:$X,16,FALSE)</f>
        <v>2243.75</v>
      </c>
      <c r="J93" s="17">
        <f t="shared" si="21"/>
        <v>1</v>
      </c>
      <c r="K93" s="16">
        <f>VLOOKUP(A93,CO!$A:$X,19,FALSE)</f>
        <v>0</v>
      </c>
      <c r="L93" s="17">
        <f t="shared" si="22"/>
        <v>0</v>
      </c>
      <c r="M93" s="16">
        <f>VLOOKUP(A93,CO!$A:$X,22,FALSE)</f>
        <v>0</v>
      </c>
      <c r="N93" s="17">
        <f t="shared" si="23"/>
        <v>0</v>
      </c>
      <c r="O93" s="16">
        <f t="shared" si="24"/>
        <v>2243.75</v>
      </c>
      <c r="P93" s="17">
        <f t="shared" si="25"/>
        <v>1</v>
      </c>
      <c r="Q93" s="17">
        <f t="shared" si="26"/>
        <v>1.3920044024004279E-3</v>
      </c>
    </row>
    <row r="94" spans="1:17" x14ac:dyDescent="0.3">
      <c r="A94" s="15" t="s">
        <v>101</v>
      </c>
      <c r="B94" s="22" t="str">
        <f>VLOOKUP(A94,ORCAMENTO!$A:$I,2,FALSE)</f>
        <v>PINTURA</v>
      </c>
      <c r="C94" s="16">
        <f>VLOOKUP(A94,ORCAMENTO!$A:$I,9,FALSE)</f>
        <v>649.88</v>
      </c>
      <c r="D94" s="17">
        <f t="shared" si="18"/>
        <v>4.0318031020924349E-4</v>
      </c>
      <c r="E94" s="16">
        <f>VLOOKUP(A94,CO!$A:$X,10,FALSE)</f>
        <v>0</v>
      </c>
      <c r="F94" s="17">
        <f t="shared" si="19"/>
        <v>0</v>
      </c>
      <c r="G94" s="16">
        <f>VLOOKUP(A94,CO!$A:$X,13,FALSE)</f>
        <v>0</v>
      </c>
      <c r="H94" s="17">
        <f t="shared" si="20"/>
        <v>0</v>
      </c>
      <c r="I94" s="16">
        <f>VLOOKUP(A94,CO!$A:$X,16,FALSE)</f>
        <v>649.88</v>
      </c>
      <c r="J94" s="17">
        <f t="shared" si="21"/>
        <v>1</v>
      </c>
      <c r="K94" s="16">
        <f>VLOOKUP(A94,CO!$A:$X,19,FALSE)</f>
        <v>0</v>
      </c>
      <c r="L94" s="17">
        <f t="shared" si="22"/>
        <v>0</v>
      </c>
      <c r="M94" s="16">
        <f>VLOOKUP(A94,CO!$A:$X,22,FALSE)</f>
        <v>0</v>
      </c>
      <c r="N94" s="17">
        <f t="shared" si="23"/>
        <v>0</v>
      </c>
      <c r="O94" s="16">
        <f t="shared" si="24"/>
        <v>649.88</v>
      </c>
      <c r="P94" s="17">
        <f t="shared" si="25"/>
        <v>1</v>
      </c>
      <c r="Q94" s="17">
        <f t="shared" si="26"/>
        <v>4.0318031020924349E-4</v>
      </c>
    </row>
    <row r="95" spans="1:17" x14ac:dyDescent="0.3">
      <c r="A95" s="15" t="s">
        <v>102</v>
      </c>
      <c r="B95" s="22" t="str">
        <f>VLOOKUP(A95,ORCAMENTO!$A:$I,2,FALSE)</f>
        <v>CERCAMENTO</v>
      </c>
      <c r="C95" s="16">
        <f>VLOOKUP(A95,ORCAMENTO!$A:$I,9,FALSE)</f>
        <v>5908.53</v>
      </c>
      <c r="D95" s="17">
        <f t="shared" si="18"/>
        <v>3.6656043550818943E-3</v>
      </c>
      <c r="E95" s="16">
        <f>VLOOKUP(A95,CO!$A:$X,10,FALSE)</f>
        <v>0</v>
      </c>
      <c r="F95" s="17">
        <f t="shared" si="19"/>
        <v>0</v>
      </c>
      <c r="G95" s="16">
        <f>VLOOKUP(A95,CO!$A:$X,13,FALSE)</f>
        <v>0</v>
      </c>
      <c r="H95" s="17">
        <f t="shared" si="20"/>
        <v>0</v>
      </c>
      <c r="I95" s="16">
        <f>VLOOKUP(A95,CO!$A:$X,16,FALSE)</f>
        <v>5908.53</v>
      </c>
      <c r="J95" s="17">
        <f t="shared" si="21"/>
        <v>1</v>
      </c>
      <c r="K95" s="16">
        <f>VLOOKUP(A95,CO!$A:$X,19,FALSE)</f>
        <v>0</v>
      </c>
      <c r="L95" s="17">
        <f t="shared" si="22"/>
        <v>0</v>
      </c>
      <c r="M95" s="16">
        <f>VLOOKUP(A95,CO!$A:$X,22,FALSE)</f>
        <v>0</v>
      </c>
      <c r="N95" s="17">
        <f t="shared" si="23"/>
        <v>0</v>
      </c>
      <c r="O95" s="16">
        <f t="shared" si="24"/>
        <v>5908.53</v>
      </c>
      <c r="P95" s="17">
        <f t="shared" si="25"/>
        <v>1</v>
      </c>
      <c r="Q95" s="17">
        <f t="shared" si="26"/>
        <v>3.6656043550818943E-3</v>
      </c>
    </row>
    <row r="96" spans="1:17" x14ac:dyDescent="0.3">
      <c r="A96" s="12" t="s">
        <v>103</v>
      </c>
      <c r="B96" s="21" t="str">
        <f>VLOOKUP(A96,ORCAMENTO!$A:$I,2,FALSE)</f>
        <v>INSTALAÇÕES ELÉTRICAS</v>
      </c>
      <c r="C96" s="13">
        <f>VLOOKUP(A96,ORCAMENTO!$A:$I,9,FALSE)</f>
        <v>17909.879999999997</v>
      </c>
      <c r="D96" s="14">
        <f t="shared" si="18"/>
        <v>1.1111145094802617E-2</v>
      </c>
      <c r="E96" s="13">
        <f>VLOOKUP(A96,CO!$A:$X,10,FALSE)</f>
        <v>0</v>
      </c>
      <c r="F96" s="14">
        <f t="shared" si="19"/>
        <v>0</v>
      </c>
      <c r="G96" s="13">
        <f>VLOOKUP(A96,CO!$A:$X,13,FALSE)</f>
        <v>0</v>
      </c>
      <c r="H96" s="14">
        <f t="shared" si="20"/>
        <v>0</v>
      </c>
      <c r="I96" s="13">
        <f>VLOOKUP(A96,CO!$A:$X,16,FALSE)</f>
        <v>17909.879999999997</v>
      </c>
      <c r="J96" s="14">
        <f t="shared" si="21"/>
        <v>1</v>
      </c>
      <c r="K96" s="13">
        <f>VLOOKUP(A96,CO!$A:$X,19,FALSE)</f>
        <v>0</v>
      </c>
      <c r="L96" s="14">
        <f t="shared" si="22"/>
        <v>0</v>
      </c>
      <c r="M96" s="13">
        <f>VLOOKUP(A96,CO!$A:$X,22,FALSE)</f>
        <v>0</v>
      </c>
      <c r="N96" s="14">
        <f t="shared" si="23"/>
        <v>0</v>
      </c>
      <c r="O96" s="13">
        <f t="shared" si="24"/>
        <v>17909.879999999997</v>
      </c>
      <c r="P96" s="14">
        <f t="shared" si="25"/>
        <v>1</v>
      </c>
      <c r="Q96" s="14">
        <f t="shared" si="26"/>
        <v>1.1111145094802617E-2</v>
      </c>
    </row>
    <row r="97" spans="1:17" x14ac:dyDescent="0.3">
      <c r="A97" s="12" t="s">
        <v>104</v>
      </c>
      <c r="B97" s="21" t="str">
        <f>VLOOKUP(A97,ORCAMENTO!$A:$I,2,FALSE)</f>
        <v>ADUÇÃO</v>
      </c>
      <c r="C97" s="13">
        <f>VLOOKUP(A97,ORCAMENTO!$A:$I,9,FALSE)</f>
        <v>1455.29</v>
      </c>
      <c r="D97" s="14">
        <f t="shared" si="18"/>
        <v>9.028501779473286E-4</v>
      </c>
      <c r="E97" s="13">
        <f>SUM(E$98,E$99,E$100,)</f>
        <v>0</v>
      </c>
      <c r="F97" s="14">
        <f t="shared" si="19"/>
        <v>0</v>
      </c>
      <c r="G97" s="13">
        <f>SUM(G$98,G$99,G$100,)</f>
        <v>0</v>
      </c>
      <c r="H97" s="14">
        <f t="shared" si="20"/>
        <v>0</v>
      </c>
      <c r="I97" s="13">
        <f>SUM(I$98,I$99,I$100,)</f>
        <v>1455.29</v>
      </c>
      <c r="J97" s="14">
        <f t="shared" si="21"/>
        <v>1</v>
      </c>
      <c r="K97" s="13">
        <f>SUM(K$98,K$99,K$100,)</f>
        <v>0</v>
      </c>
      <c r="L97" s="14">
        <f t="shared" si="22"/>
        <v>0</v>
      </c>
      <c r="M97" s="13">
        <f>SUM(M$98,M$99,M$100,)</f>
        <v>0</v>
      </c>
      <c r="N97" s="14">
        <f t="shared" si="23"/>
        <v>0</v>
      </c>
      <c r="O97" s="13">
        <f t="shared" si="24"/>
        <v>1455.29</v>
      </c>
      <c r="P97" s="14">
        <f t="shared" si="25"/>
        <v>1</v>
      </c>
      <c r="Q97" s="14">
        <f t="shared" si="26"/>
        <v>9.028501779473286E-4</v>
      </c>
    </row>
    <row r="98" spans="1:17" x14ac:dyDescent="0.3">
      <c r="A98" s="15" t="s">
        <v>105</v>
      </c>
      <c r="B98" s="22" t="str">
        <f>VLOOKUP(A98,ORCAMENTO!$A:$I,2,FALSE)</f>
        <v>MOVIMENTO DE TERRA</v>
      </c>
      <c r="C98" s="16">
        <f>VLOOKUP(A98,ORCAMENTO!$A:$I,9,FALSE)</f>
        <v>485.08</v>
      </c>
      <c r="D98" s="17">
        <f t="shared" si="18"/>
        <v>3.0093971945020591E-4</v>
      </c>
      <c r="E98" s="16">
        <f>VLOOKUP(A98,CO!$A:$X,10,FALSE)</f>
        <v>0</v>
      </c>
      <c r="F98" s="17">
        <f t="shared" si="19"/>
        <v>0</v>
      </c>
      <c r="G98" s="16">
        <f>VLOOKUP(A98,CO!$A:$X,13,FALSE)</f>
        <v>0</v>
      </c>
      <c r="H98" s="17">
        <f t="shared" si="20"/>
        <v>0</v>
      </c>
      <c r="I98" s="16">
        <f>VLOOKUP(A98,CO!$A:$X,16,FALSE)</f>
        <v>485.08</v>
      </c>
      <c r="J98" s="17">
        <f t="shared" si="21"/>
        <v>1</v>
      </c>
      <c r="K98" s="16">
        <f>VLOOKUP(A98,CO!$A:$X,19,FALSE)</f>
        <v>0</v>
      </c>
      <c r="L98" s="17">
        <f t="shared" si="22"/>
        <v>0</v>
      </c>
      <c r="M98" s="16">
        <f>VLOOKUP(A98,CO!$A:$X,22,FALSE)</f>
        <v>0</v>
      </c>
      <c r="N98" s="17">
        <f t="shared" si="23"/>
        <v>0</v>
      </c>
      <c r="O98" s="16">
        <f t="shared" si="24"/>
        <v>485.08</v>
      </c>
      <c r="P98" s="17">
        <f t="shared" si="25"/>
        <v>1</v>
      </c>
      <c r="Q98" s="17">
        <f t="shared" si="26"/>
        <v>3.0093971945020591E-4</v>
      </c>
    </row>
    <row r="99" spans="1:17" x14ac:dyDescent="0.3">
      <c r="A99" s="15" t="s">
        <v>106</v>
      </c>
      <c r="B99" s="22" t="str">
        <f>VLOOKUP(A99,ORCAMENTO!$A:$I,2,FALSE)</f>
        <v>INFRAESTRUTURA</v>
      </c>
      <c r="C99" s="16">
        <f>VLOOKUP(A99,ORCAMENTO!$A:$I,9,FALSE)</f>
        <v>264.64</v>
      </c>
      <c r="D99" s="17">
        <f t="shared" si="18"/>
        <v>1.6418052147130883E-4</v>
      </c>
      <c r="E99" s="16">
        <f>VLOOKUP(A99,CO!$A:$X,10,FALSE)</f>
        <v>0</v>
      </c>
      <c r="F99" s="17">
        <f t="shared" si="19"/>
        <v>0</v>
      </c>
      <c r="G99" s="16">
        <f>VLOOKUP(A99,CO!$A:$X,13,FALSE)</f>
        <v>0</v>
      </c>
      <c r="H99" s="17">
        <f t="shared" si="20"/>
        <v>0</v>
      </c>
      <c r="I99" s="16">
        <f>VLOOKUP(A99,CO!$A:$X,16,FALSE)</f>
        <v>264.64</v>
      </c>
      <c r="J99" s="17">
        <f t="shared" si="21"/>
        <v>1</v>
      </c>
      <c r="K99" s="16">
        <f>VLOOKUP(A99,CO!$A:$X,19,FALSE)</f>
        <v>0</v>
      </c>
      <c r="L99" s="17">
        <f t="shared" si="22"/>
        <v>0</v>
      </c>
      <c r="M99" s="16">
        <f>VLOOKUP(A99,CO!$A:$X,22,FALSE)</f>
        <v>0</v>
      </c>
      <c r="N99" s="17">
        <f t="shared" si="23"/>
        <v>0</v>
      </c>
      <c r="O99" s="16">
        <f t="shared" si="24"/>
        <v>264.64</v>
      </c>
      <c r="P99" s="17">
        <f t="shared" si="25"/>
        <v>1</v>
      </c>
      <c r="Q99" s="17">
        <f t="shared" si="26"/>
        <v>1.6418052147130883E-4</v>
      </c>
    </row>
    <row r="100" spans="1:17" x14ac:dyDescent="0.3">
      <c r="A100" s="15" t="s">
        <v>107</v>
      </c>
      <c r="B100" s="22" t="str">
        <f>VLOOKUP(A100,ORCAMENTO!$A:$I,2,FALSE)</f>
        <v>INSTALAÇÕES HIDRÁULICAS</v>
      </c>
      <c r="C100" s="16">
        <f>VLOOKUP(A100,ORCAMENTO!$A:$I,9,FALSE)</f>
        <v>705.57</v>
      </c>
      <c r="D100" s="17">
        <f t="shared" si="18"/>
        <v>4.3772993702581391E-4</v>
      </c>
      <c r="E100" s="16">
        <f>VLOOKUP(A100,CO!$A:$X,10,FALSE)</f>
        <v>0</v>
      </c>
      <c r="F100" s="17">
        <f t="shared" si="19"/>
        <v>0</v>
      </c>
      <c r="G100" s="16">
        <f>VLOOKUP(A100,CO!$A:$X,13,FALSE)</f>
        <v>0</v>
      </c>
      <c r="H100" s="17">
        <f t="shared" si="20"/>
        <v>0</v>
      </c>
      <c r="I100" s="16">
        <f>VLOOKUP(A100,CO!$A:$X,16,FALSE)</f>
        <v>705.57</v>
      </c>
      <c r="J100" s="17">
        <f t="shared" si="21"/>
        <v>1</v>
      </c>
      <c r="K100" s="16">
        <f>VLOOKUP(A100,CO!$A:$X,19,FALSE)</f>
        <v>0</v>
      </c>
      <c r="L100" s="17">
        <f t="shared" si="22"/>
        <v>0</v>
      </c>
      <c r="M100" s="16">
        <f>VLOOKUP(A100,CO!$A:$X,22,FALSE)</f>
        <v>0</v>
      </c>
      <c r="N100" s="17">
        <f t="shared" si="23"/>
        <v>0</v>
      </c>
      <c r="O100" s="16">
        <f t="shared" si="24"/>
        <v>705.57</v>
      </c>
      <c r="P100" s="17">
        <f t="shared" si="25"/>
        <v>1</v>
      </c>
      <c r="Q100" s="17">
        <f t="shared" si="26"/>
        <v>4.3772993702581391E-4</v>
      </c>
    </row>
    <row r="101" spans="1:17" x14ac:dyDescent="0.3">
      <c r="A101" s="12" t="s">
        <v>108</v>
      </c>
      <c r="B101" s="21" t="str">
        <f>VLOOKUP(A101,ORCAMENTO!$A:$I,2,FALSE)</f>
        <v>RESERVAÇÃO</v>
      </c>
      <c r="C101" s="13">
        <f>VLOOKUP(A101,ORCAMENTO!$A:$I,9,FALSE)</f>
        <v>21782.2</v>
      </c>
      <c r="D101" s="14">
        <f t="shared" si="18"/>
        <v>1.3513501189511577E-2</v>
      </c>
      <c r="E101" s="13">
        <f>VLOOKUP(A101,CO!$A:$X,10,FALSE)</f>
        <v>0</v>
      </c>
      <c r="F101" s="14">
        <f t="shared" si="19"/>
        <v>0</v>
      </c>
      <c r="G101" s="13">
        <f>VLOOKUP(A101,CO!$A:$X,13,FALSE)</f>
        <v>0</v>
      </c>
      <c r="H101" s="14">
        <f t="shared" si="20"/>
        <v>0</v>
      </c>
      <c r="I101" s="13">
        <f>VLOOKUP(A101,CO!$A:$X,16,FALSE)</f>
        <v>21782.2</v>
      </c>
      <c r="J101" s="14">
        <f t="shared" si="21"/>
        <v>1</v>
      </c>
      <c r="K101" s="13">
        <f>VLOOKUP(A101,CO!$A:$X,19,FALSE)</f>
        <v>0</v>
      </c>
      <c r="L101" s="14">
        <f t="shared" si="22"/>
        <v>0</v>
      </c>
      <c r="M101" s="13">
        <f>VLOOKUP(A101,CO!$A:$X,22,FALSE)</f>
        <v>0</v>
      </c>
      <c r="N101" s="14">
        <f t="shared" si="23"/>
        <v>0</v>
      </c>
      <c r="O101" s="13">
        <f t="shared" si="24"/>
        <v>21782.2</v>
      </c>
      <c r="P101" s="14">
        <f t="shared" si="25"/>
        <v>1</v>
      </c>
      <c r="Q101" s="14">
        <f t="shared" si="26"/>
        <v>1.3513501189511577E-2</v>
      </c>
    </row>
    <row r="102" spans="1:17" x14ac:dyDescent="0.3">
      <c r="A102" s="12" t="s">
        <v>109</v>
      </c>
      <c r="B102" s="21" t="str">
        <f>VLOOKUP(A102,ORCAMENTO!$A:$I,2,FALSE)</f>
        <v>DISTRIBUIÇÃO</v>
      </c>
      <c r="C102" s="13">
        <f>VLOOKUP(A102,ORCAMENTO!$A:$I,9,FALSE)</f>
        <v>21722.17</v>
      </c>
      <c r="D102" s="14">
        <f t="shared" si="18"/>
        <v>1.3476259061700501E-2</v>
      </c>
      <c r="E102" s="13">
        <f>SUM(E$103,E$104,)</f>
        <v>0</v>
      </c>
      <c r="F102" s="14">
        <f t="shared" si="19"/>
        <v>0</v>
      </c>
      <c r="G102" s="13">
        <f>SUM(G$103,G$104,)</f>
        <v>0</v>
      </c>
      <c r="H102" s="14">
        <f t="shared" si="20"/>
        <v>0</v>
      </c>
      <c r="I102" s="13">
        <f>SUM(I$103,I$104,)</f>
        <v>21722.17</v>
      </c>
      <c r="J102" s="14">
        <f t="shared" si="21"/>
        <v>1</v>
      </c>
      <c r="K102" s="13">
        <f>SUM(K$103,K$104,)</f>
        <v>0</v>
      </c>
      <c r="L102" s="14">
        <f t="shared" si="22"/>
        <v>0</v>
      </c>
      <c r="M102" s="13">
        <f>SUM(M$103,M$104,)</f>
        <v>0</v>
      </c>
      <c r="N102" s="14">
        <f t="shared" si="23"/>
        <v>0</v>
      </c>
      <c r="O102" s="13">
        <f t="shared" si="24"/>
        <v>21722.17</v>
      </c>
      <c r="P102" s="14">
        <f t="shared" si="25"/>
        <v>1</v>
      </c>
      <c r="Q102" s="14">
        <f t="shared" si="26"/>
        <v>1.3476259061700501E-2</v>
      </c>
    </row>
    <row r="103" spans="1:17" x14ac:dyDescent="0.3">
      <c r="A103" s="15" t="s">
        <v>110</v>
      </c>
      <c r="B103" s="22" t="str">
        <f>VLOOKUP(A103,ORCAMENTO!$A:$I,2,FALSE)</f>
        <v>MOVIMENTO DE TERRA</v>
      </c>
      <c r="C103" s="16">
        <f>VLOOKUP(A103,ORCAMENTO!$A:$I,9,FALSE)</f>
        <v>4694.28</v>
      </c>
      <c r="D103" s="17">
        <f t="shared" si="18"/>
        <v>2.9122934489583421E-3</v>
      </c>
      <c r="E103" s="16">
        <f>VLOOKUP(A103,CO!$A:$X,10,FALSE)</f>
        <v>0</v>
      </c>
      <c r="F103" s="17">
        <f t="shared" si="19"/>
        <v>0</v>
      </c>
      <c r="G103" s="16">
        <f>VLOOKUP(A103,CO!$A:$X,13,FALSE)</f>
        <v>0</v>
      </c>
      <c r="H103" s="17">
        <f t="shared" si="20"/>
        <v>0</v>
      </c>
      <c r="I103" s="16">
        <f>VLOOKUP(A103,CO!$A:$X,16,FALSE)</f>
        <v>4694.28</v>
      </c>
      <c r="J103" s="17">
        <f t="shared" si="21"/>
        <v>1</v>
      </c>
      <c r="K103" s="16">
        <f>VLOOKUP(A103,CO!$A:$X,19,FALSE)</f>
        <v>0</v>
      </c>
      <c r="L103" s="17">
        <f t="shared" si="22"/>
        <v>0</v>
      </c>
      <c r="M103" s="16">
        <f>VLOOKUP(A103,CO!$A:$X,22,FALSE)</f>
        <v>0</v>
      </c>
      <c r="N103" s="17">
        <f t="shared" si="23"/>
        <v>0</v>
      </c>
      <c r="O103" s="16">
        <f t="shared" si="24"/>
        <v>4694.28</v>
      </c>
      <c r="P103" s="17">
        <f t="shared" si="25"/>
        <v>1</v>
      </c>
      <c r="Q103" s="17">
        <f t="shared" si="26"/>
        <v>2.9122934489583421E-3</v>
      </c>
    </row>
    <row r="104" spans="1:17" x14ac:dyDescent="0.3">
      <c r="A104" s="15" t="s">
        <v>111</v>
      </c>
      <c r="B104" s="22" t="str">
        <f>VLOOKUP(A104,ORCAMENTO!$A:$I,2,FALSE)</f>
        <v>INSTALAÇÕES HIDRÁULICAS</v>
      </c>
      <c r="C104" s="16">
        <f>VLOOKUP(A104,ORCAMENTO!$A:$I,9,FALSE)</f>
        <v>17027.89</v>
      </c>
      <c r="D104" s="17">
        <f t="shared" ref="D104:D135" si="27">C104/$C$153</f>
        <v>1.0563965612742161E-2</v>
      </c>
      <c r="E104" s="16">
        <f>VLOOKUP(A104,CO!$A:$X,10,FALSE)</f>
        <v>0</v>
      </c>
      <c r="F104" s="17">
        <f t="shared" ref="F104:F135" si="28">E104/C104</f>
        <v>0</v>
      </c>
      <c r="G104" s="16">
        <f>VLOOKUP(A104,CO!$A:$X,13,FALSE)</f>
        <v>0</v>
      </c>
      <c r="H104" s="17">
        <f t="shared" ref="H104:H135" si="29">G104/C104</f>
        <v>0</v>
      </c>
      <c r="I104" s="16">
        <f>VLOOKUP(A104,CO!$A:$X,16,FALSE)</f>
        <v>17027.89</v>
      </c>
      <c r="J104" s="17">
        <f t="shared" ref="J104:J135" si="30">I104/C104</f>
        <v>1</v>
      </c>
      <c r="K104" s="16">
        <f>VLOOKUP(A104,CO!$A:$X,19,FALSE)</f>
        <v>0</v>
      </c>
      <c r="L104" s="17">
        <f t="shared" ref="L104:L135" si="31">K104/C104</f>
        <v>0</v>
      </c>
      <c r="M104" s="16">
        <f>VLOOKUP(A104,CO!$A:$X,22,FALSE)</f>
        <v>0</v>
      </c>
      <c r="N104" s="17">
        <f t="shared" ref="N104:N135" si="32">M104/C104</f>
        <v>0</v>
      </c>
      <c r="O104" s="16">
        <f t="shared" ref="O104:O135" si="33">SUM(E104,G104,I104,K104,M104,)</f>
        <v>17027.89</v>
      </c>
      <c r="P104" s="17">
        <f t="shared" ref="P104:P135" si="34">SUM(F104,H104,J104,L104,N104,)</f>
        <v>1</v>
      </c>
      <c r="Q104" s="17">
        <f t="shared" ref="Q104:Q135" si="35">O104/$C$153</f>
        <v>1.0563965612742161E-2</v>
      </c>
    </row>
    <row r="105" spans="1:17" x14ac:dyDescent="0.3">
      <c r="A105" s="9">
        <v>6</v>
      </c>
      <c r="B105" s="20" t="str">
        <f>VLOOKUP(A105,ORCAMENTO!$A:$I,2,FALSE)</f>
        <v>LOCALIDADE LAGOA DO CABOCLO (ANÍSIO DE ABREU-PI)</v>
      </c>
      <c r="C105" s="10">
        <f>VLOOKUP(A105,ORCAMENTO!$A:$I,9,FALSE)</f>
        <v>168867.97</v>
      </c>
      <c r="D105" s="11">
        <f t="shared" si="27"/>
        <v>0.10476432653567616</v>
      </c>
      <c r="E105" s="10">
        <f>SUM(E$106,E$107,E$108,E$120,E$121,E$125,E$126,)</f>
        <v>0</v>
      </c>
      <c r="F105" s="11">
        <f t="shared" si="28"/>
        <v>0</v>
      </c>
      <c r="G105" s="10">
        <f>SUM(G$106,G$107,G$108,G$120,G$121,G$125,G$126,)</f>
        <v>0</v>
      </c>
      <c r="H105" s="11">
        <f t="shared" si="29"/>
        <v>0</v>
      </c>
      <c r="I105" s="10">
        <f>SUM(I$106,I$107,I$108,I$120,I$121,I$125,I$126,)</f>
        <v>0</v>
      </c>
      <c r="J105" s="11">
        <f t="shared" si="30"/>
        <v>0</v>
      </c>
      <c r="K105" s="10">
        <f>SUM(K$106,K$107,K$108,K$120,K$121,K$125,K$126,)</f>
        <v>168867.97</v>
      </c>
      <c r="L105" s="11">
        <f t="shared" si="31"/>
        <v>1</v>
      </c>
      <c r="M105" s="10">
        <f>SUM(M$106,M$107,M$108,M$120,M$121,M$125,M$126,)</f>
        <v>0</v>
      </c>
      <c r="N105" s="11">
        <f t="shared" si="32"/>
        <v>0</v>
      </c>
      <c r="O105" s="10">
        <f t="shared" si="33"/>
        <v>168867.97</v>
      </c>
      <c r="P105" s="11">
        <f t="shared" si="34"/>
        <v>1</v>
      </c>
      <c r="Q105" s="11">
        <f t="shared" si="35"/>
        <v>0.10476432653567616</v>
      </c>
    </row>
    <row r="106" spans="1:17" x14ac:dyDescent="0.3">
      <c r="A106" s="12" t="s">
        <v>112</v>
      </c>
      <c r="B106" s="21" t="str">
        <f>VLOOKUP(A106,ORCAMENTO!$A:$I,2,FALSE)</f>
        <v>PERFURAÇÃO DE POÇO TUBULAR</v>
      </c>
      <c r="C106" s="13">
        <f>VLOOKUP(A106,ORCAMENTO!$A:$I,9,FALSE)</f>
        <v>38113.39</v>
      </c>
      <c r="D106" s="14">
        <f t="shared" si="27"/>
        <v>2.3645239741684431E-2</v>
      </c>
      <c r="E106" s="13">
        <f>VLOOKUP(A106,CO!$A:$X,10,FALSE)</f>
        <v>0</v>
      </c>
      <c r="F106" s="14">
        <f t="shared" si="28"/>
        <v>0</v>
      </c>
      <c r="G106" s="13">
        <f>VLOOKUP(A106,CO!$A:$X,13,FALSE)</f>
        <v>0</v>
      </c>
      <c r="H106" s="14">
        <f t="shared" si="29"/>
        <v>0</v>
      </c>
      <c r="I106" s="13">
        <f>VLOOKUP(A106,CO!$A:$X,16,FALSE)</f>
        <v>0</v>
      </c>
      <c r="J106" s="14">
        <f t="shared" si="30"/>
        <v>0</v>
      </c>
      <c r="K106" s="13">
        <f>VLOOKUP(A106,CO!$A:$X,19,FALSE)</f>
        <v>38113.39</v>
      </c>
      <c r="L106" s="14">
        <f t="shared" si="31"/>
        <v>1</v>
      </c>
      <c r="M106" s="13">
        <f>VLOOKUP(A106,CO!$A:$X,22,FALSE)</f>
        <v>0</v>
      </c>
      <c r="N106" s="14">
        <f t="shared" si="32"/>
        <v>0</v>
      </c>
      <c r="O106" s="13">
        <f t="shared" si="33"/>
        <v>38113.39</v>
      </c>
      <c r="P106" s="14">
        <f t="shared" si="34"/>
        <v>1</v>
      </c>
      <c r="Q106" s="14">
        <f t="shared" si="35"/>
        <v>2.3645239741684431E-2</v>
      </c>
    </row>
    <row r="107" spans="1:17" ht="43.2" x14ac:dyDescent="0.3">
      <c r="A107" s="12" t="s">
        <v>113</v>
      </c>
      <c r="B107" s="21" t="str">
        <f>VLOOKUP(A107,ORCAMENTO!$A:$I,2,FALSE)</f>
        <v>AQUISIÇÃO E INSTALAÇÃO DE EQUIPAMENTOS DE BOMBEAMENTO, RECALQUE/BARRILETE E CONEXÕES PARA INTERLIGAÇÃO COM RESERVATÓRIO</v>
      </c>
      <c r="C107" s="13">
        <f>VLOOKUP(A107,ORCAMENTO!$A:$I,9,FALSE)</f>
        <v>9017.39</v>
      </c>
      <c r="D107" s="14">
        <f t="shared" si="27"/>
        <v>5.5943160236931891E-3</v>
      </c>
      <c r="E107" s="13">
        <f>VLOOKUP(A107,CO!$A:$X,10,FALSE)</f>
        <v>0</v>
      </c>
      <c r="F107" s="14">
        <f t="shared" si="28"/>
        <v>0</v>
      </c>
      <c r="G107" s="13">
        <f>VLOOKUP(A107,CO!$A:$X,13,FALSE)</f>
        <v>0</v>
      </c>
      <c r="H107" s="14">
        <f t="shared" si="29"/>
        <v>0</v>
      </c>
      <c r="I107" s="13">
        <f>VLOOKUP(A107,CO!$A:$X,16,FALSE)</f>
        <v>0</v>
      </c>
      <c r="J107" s="14">
        <f t="shared" si="30"/>
        <v>0</v>
      </c>
      <c r="K107" s="13">
        <f>VLOOKUP(A107,CO!$A:$X,19,FALSE)</f>
        <v>9017.39</v>
      </c>
      <c r="L107" s="14">
        <f t="shared" si="31"/>
        <v>1</v>
      </c>
      <c r="M107" s="13">
        <f>VLOOKUP(A107,CO!$A:$X,22,FALSE)</f>
        <v>0</v>
      </c>
      <c r="N107" s="14">
        <f t="shared" si="32"/>
        <v>0</v>
      </c>
      <c r="O107" s="13">
        <f t="shared" si="33"/>
        <v>9017.39</v>
      </c>
      <c r="P107" s="14">
        <f t="shared" si="34"/>
        <v>1</v>
      </c>
      <c r="Q107" s="14">
        <f t="shared" si="35"/>
        <v>5.5943160236931891E-3</v>
      </c>
    </row>
    <row r="108" spans="1:17" x14ac:dyDescent="0.3">
      <c r="A108" s="12" t="s">
        <v>114</v>
      </c>
      <c r="B108" s="21" t="str">
        <f>VLOOKUP(A108,ORCAMENTO!$A:$I,2,FALSE)</f>
        <v>CONSTRUÇÃO DA CASA DE COMANDO</v>
      </c>
      <c r="C108" s="13">
        <f>VLOOKUP(A108,ORCAMENTO!$A:$I,9,FALSE)</f>
        <v>20274.329999999998</v>
      </c>
      <c r="D108" s="14">
        <f t="shared" si="27"/>
        <v>1.2578030803663093E-2</v>
      </c>
      <c r="E108" s="13">
        <f>SUM(E$109,E$110,E$111,E$112,E$113,E$114,E$115,E$116,E$117,E$118,E$119,)</f>
        <v>0</v>
      </c>
      <c r="F108" s="14">
        <f t="shared" si="28"/>
        <v>0</v>
      </c>
      <c r="G108" s="13">
        <f>SUM(G$109,G$110,G$111,G$112,G$113,G$114,G$115,G$116,G$117,G$118,G$119,)</f>
        <v>0</v>
      </c>
      <c r="H108" s="14">
        <f t="shared" si="29"/>
        <v>0</v>
      </c>
      <c r="I108" s="13">
        <f>SUM(I$109,I$110,I$111,I$112,I$113,I$114,I$115,I$116,I$117,I$118,I$119,)</f>
        <v>0</v>
      </c>
      <c r="J108" s="14">
        <f t="shared" si="30"/>
        <v>0</v>
      </c>
      <c r="K108" s="13">
        <f>SUM(K$109,K$110,K$111,K$112,K$113,K$114,K$115,K$116,K$117,K$118,K$119,)</f>
        <v>20274.329999999998</v>
      </c>
      <c r="L108" s="14">
        <f t="shared" si="31"/>
        <v>1</v>
      </c>
      <c r="M108" s="13">
        <f>SUM(M$109,M$110,M$111,M$112,M$113,M$114,M$115,M$116,M$117,M$118,M$119,)</f>
        <v>0</v>
      </c>
      <c r="N108" s="14">
        <f t="shared" si="32"/>
        <v>0</v>
      </c>
      <c r="O108" s="13">
        <f t="shared" si="33"/>
        <v>20274.329999999998</v>
      </c>
      <c r="P108" s="14">
        <f t="shared" si="34"/>
        <v>1</v>
      </c>
      <c r="Q108" s="14">
        <f t="shared" si="35"/>
        <v>1.2578030803663093E-2</v>
      </c>
    </row>
    <row r="109" spans="1:17" x14ac:dyDescent="0.3">
      <c r="A109" s="15" t="s">
        <v>115</v>
      </c>
      <c r="B109" s="22" t="str">
        <f>VLOOKUP(A109,ORCAMENTO!$A:$I,2,FALSE)</f>
        <v>SERVIÇOS PRELIMINARES</v>
      </c>
      <c r="C109" s="16">
        <f>VLOOKUP(A109,ORCAMENTO!$A:$I,9,FALSE)</f>
        <v>1315.92</v>
      </c>
      <c r="D109" s="17">
        <f t="shared" si="27"/>
        <v>8.1638615407544121E-4</v>
      </c>
      <c r="E109" s="16">
        <f>VLOOKUP(A109,CO!$A:$X,10,FALSE)</f>
        <v>0</v>
      </c>
      <c r="F109" s="17">
        <f t="shared" si="28"/>
        <v>0</v>
      </c>
      <c r="G109" s="16">
        <f>VLOOKUP(A109,CO!$A:$X,13,FALSE)</f>
        <v>0</v>
      </c>
      <c r="H109" s="17">
        <f t="shared" si="29"/>
        <v>0</v>
      </c>
      <c r="I109" s="16">
        <f>VLOOKUP(A109,CO!$A:$X,16,FALSE)</f>
        <v>0</v>
      </c>
      <c r="J109" s="17">
        <f t="shared" si="30"/>
        <v>0</v>
      </c>
      <c r="K109" s="16">
        <f>VLOOKUP(A109,CO!$A:$X,19,FALSE)</f>
        <v>1315.92</v>
      </c>
      <c r="L109" s="17">
        <f t="shared" si="31"/>
        <v>1</v>
      </c>
      <c r="M109" s="16">
        <f>VLOOKUP(A109,CO!$A:$X,22,FALSE)</f>
        <v>0</v>
      </c>
      <c r="N109" s="17">
        <f t="shared" si="32"/>
        <v>0</v>
      </c>
      <c r="O109" s="16">
        <f t="shared" si="33"/>
        <v>1315.92</v>
      </c>
      <c r="P109" s="17">
        <f t="shared" si="34"/>
        <v>1</v>
      </c>
      <c r="Q109" s="17">
        <f t="shared" si="35"/>
        <v>8.1638615407544121E-4</v>
      </c>
    </row>
    <row r="110" spans="1:17" x14ac:dyDescent="0.3">
      <c r="A110" s="15" t="s">
        <v>116</v>
      </c>
      <c r="B110" s="22" t="str">
        <f>VLOOKUP(A110,ORCAMENTO!$A:$I,2,FALSE)</f>
        <v>MOVIMENTO DE TERRA</v>
      </c>
      <c r="C110" s="16">
        <f>VLOOKUP(A110,ORCAMENTO!$A:$I,9,FALSE)</f>
        <v>161.76</v>
      </c>
      <c r="D110" s="17">
        <f t="shared" si="27"/>
        <v>1.0035459927901647E-4</v>
      </c>
      <c r="E110" s="16">
        <f>VLOOKUP(A110,CO!$A:$X,10,FALSE)</f>
        <v>0</v>
      </c>
      <c r="F110" s="17">
        <f t="shared" si="28"/>
        <v>0</v>
      </c>
      <c r="G110" s="16">
        <f>VLOOKUP(A110,CO!$A:$X,13,FALSE)</f>
        <v>0</v>
      </c>
      <c r="H110" s="17">
        <f t="shared" si="29"/>
        <v>0</v>
      </c>
      <c r="I110" s="16">
        <f>VLOOKUP(A110,CO!$A:$X,16,FALSE)</f>
        <v>0</v>
      </c>
      <c r="J110" s="17">
        <f t="shared" si="30"/>
        <v>0</v>
      </c>
      <c r="K110" s="16">
        <f>VLOOKUP(A110,CO!$A:$X,19,FALSE)</f>
        <v>161.76</v>
      </c>
      <c r="L110" s="17">
        <f t="shared" si="31"/>
        <v>1</v>
      </c>
      <c r="M110" s="16">
        <f>VLOOKUP(A110,CO!$A:$X,22,FALSE)</f>
        <v>0</v>
      </c>
      <c r="N110" s="17">
        <f t="shared" si="32"/>
        <v>0</v>
      </c>
      <c r="O110" s="16">
        <f t="shared" si="33"/>
        <v>161.76</v>
      </c>
      <c r="P110" s="17">
        <f t="shared" si="34"/>
        <v>1</v>
      </c>
      <c r="Q110" s="17">
        <f t="shared" si="35"/>
        <v>1.0035459927901647E-4</v>
      </c>
    </row>
    <row r="111" spans="1:17" x14ac:dyDescent="0.3">
      <c r="A111" s="15" t="s">
        <v>117</v>
      </c>
      <c r="B111" s="22" t="str">
        <f>VLOOKUP(A111,ORCAMENTO!$A:$I,2,FALSE)</f>
        <v>INFRAESTRUTURA</v>
      </c>
      <c r="C111" s="16">
        <f>VLOOKUP(A111,ORCAMENTO!$A:$I,9,FALSE)</f>
        <v>1229.81</v>
      </c>
      <c r="D111" s="17">
        <f t="shared" si="27"/>
        <v>7.6296420461997557E-4</v>
      </c>
      <c r="E111" s="16">
        <f>VLOOKUP(A111,CO!$A:$X,10,FALSE)</f>
        <v>0</v>
      </c>
      <c r="F111" s="17">
        <f t="shared" si="28"/>
        <v>0</v>
      </c>
      <c r="G111" s="16">
        <f>VLOOKUP(A111,CO!$A:$X,13,FALSE)</f>
        <v>0</v>
      </c>
      <c r="H111" s="17">
        <f t="shared" si="29"/>
        <v>0</v>
      </c>
      <c r="I111" s="16">
        <f>VLOOKUP(A111,CO!$A:$X,16,FALSE)</f>
        <v>0</v>
      </c>
      <c r="J111" s="17">
        <f t="shared" si="30"/>
        <v>0</v>
      </c>
      <c r="K111" s="16">
        <f>VLOOKUP(A111,CO!$A:$X,19,FALSE)</f>
        <v>1229.81</v>
      </c>
      <c r="L111" s="17">
        <f t="shared" si="31"/>
        <v>1</v>
      </c>
      <c r="M111" s="16">
        <f>VLOOKUP(A111,CO!$A:$X,22,FALSE)</f>
        <v>0</v>
      </c>
      <c r="N111" s="17">
        <f t="shared" si="32"/>
        <v>0</v>
      </c>
      <c r="O111" s="16">
        <f t="shared" si="33"/>
        <v>1229.81</v>
      </c>
      <c r="P111" s="17">
        <f t="shared" si="34"/>
        <v>1</v>
      </c>
      <c r="Q111" s="17">
        <f t="shared" si="35"/>
        <v>7.6296420461997557E-4</v>
      </c>
    </row>
    <row r="112" spans="1:17" x14ac:dyDescent="0.3">
      <c r="A112" s="15" t="s">
        <v>118</v>
      </c>
      <c r="B112" s="22" t="str">
        <f>VLOOKUP(A112,ORCAMENTO!$A:$I,2,FALSE)</f>
        <v>SUPERESTRUTURA</v>
      </c>
      <c r="C112" s="16">
        <f>VLOOKUP(A112,ORCAMENTO!$A:$I,9,FALSE)</f>
        <v>1323.3</v>
      </c>
      <c r="D112" s="17">
        <f t="shared" si="27"/>
        <v>8.20964646549966E-4</v>
      </c>
      <c r="E112" s="16">
        <f>VLOOKUP(A112,CO!$A:$X,10,FALSE)</f>
        <v>0</v>
      </c>
      <c r="F112" s="17">
        <f t="shared" si="28"/>
        <v>0</v>
      </c>
      <c r="G112" s="16">
        <f>VLOOKUP(A112,CO!$A:$X,13,FALSE)</f>
        <v>0</v>
      </c>
      <c r="H112" s="17">
        <f t="shared" si="29"/>
        <v>0</v>
      </c>
      <c r="I112" s="16">
        <f>VLOOKUP(A112,CO!$A:$X,16,FALSE)</f>
        <v>0</v>
      </c>
      <c r="J112" s="17">
        <f t="shared" si="30"/>
        <v>0</v>
      </c>
      <c r="K112" s="16">
        <f>VLOOKUP(A112,CO!$A:$X,19,FALSE)</f>
        <v>1323.3</v>
      </c>
      <c r="L112" s="17">
        <f t="shared" si="31"/>
        <v>1</v>
      </c>
      <c r="M112" s="16">
        <f>VLOOKUP(A112,CO!$A:$X,22,FALSE)</f>
        <v>0</v>
      </c>
      <c r="N112" s="17">
        <f t="shared" si="32"/>
        <v>0</v>
      </c>
      <c r="O112" s="16">
        <f t="shared" si="33"/>
        <v>1323.3</v>
      </c>
      <c r="P112" s="17">
        <f t="shared" si="34"/>
        <v>1</v>
      </c>
      <c r="Q112" s="17">
        <f t="shared" si="35"/>
        <v>8.20964646549966E-4</v>
      </c>
    </row>
    <row r="113" spans="1:17" x14ac:dyDescent="0.3">
      <c r="A113" s="15" t="s">
        <v>119</v>
      </c>
      <c r="B113" s="22" t="str">
        <f>VLOOKUP(A113,ORCAMENTO!$A:$I,2,FALSE)</f>
        <v>VEDAÇÃO VERTICAL</v>
      </c>
      <c r="C113" s="16">
        <f>VLOOKUP(A113,ORCAMENTO!$A:$I,9,FALSE)</f>
        <v>2620</v>
      </c>
      <c r="D113" s="17">
        <f t="shared" si="27"/>
        <v>1.6254268676497475E-3</v>
      </c>
      <c r="E113" s="16">
        <f>VLOOKUP(A113,CO!$A:$X,10,FALSE)</f>
        <v>0</v>
      </c>
      <c r="F113" s="17">
        <f t="shared" si="28"/>
        <v>0</v>
      </c>
      <c r="G113" s="16">
        <f>VLOOKUP(A113,CO!$A:$X,13,FALSE)</f>
        <v>0</v>
      </c>
      <c r="H113" s="17">
        <f t="shared" si="29"/>
        <v>0</v>
      </c>
      <c r="I113" s="16">
        <f>VLOOKUP(A113,CO!$A:$X,16,FALSE)</f>
        <v>0</v>
      </c>
      <c r="J113" s="17">
        <f t="shared" si="30"/>
        <v>0</v>
      </c>
      <c r="K113" s="16">
        <f>VLOOKUP(A113,CO!$A:$X,19,FALSE)</f>
        <v>2620</v>
      </c>
      <c r="L113" s="17">
        <f t="shared" si="31"/>
        <v>1</v>
      </c>
      <c r="M113" s="16">
        <f>VLOOKUP(A113,CO!$A:$X,22,FALSE)</f>
        <v>0</v>
      </c>
      <c r="N113" s="17">
        <f t="shared" si="32"/>
        <v>0</v>
      </c>
      <c r="O113" s="16">
        <f t="shared" si="33"/>
        <v>2620</v>
      </c>
      <c r="P113" s="17">
        <f t="shared" si="34"/>
        <v>1</v>
      </c>
      <c r="Q113" s="17">
        <f t="shared" si="35"/>
        <v>1.6254268676497475E-3</v>
      </c>
    </row>
    <row r="114" spans="1:17" x14ac:dyDescent="0.3">
      <c r="A114" s="15" t="s">
        <v>120</v>
      </c>
      <c r="B114" s="22" t="str">
        <f>VLOOKUP(A114,ORCAMENTO!$A:$I,2,FALSE)</f>
        <v>COBERTURA</v>
      </c>
      <c r="C114" s="16">
        <f>VLOOKUP(A114,ORCAMENTO!$A:$I,9,FALSE)</f>
        <v>1305.45</v>
      </c>
      <c r="D114" s="17">
        <f t="shared" si="27"/>
        <v>8.0989065052418439E-4</v>
      </c>
      <c r="E114" s="16">
        <f>VLOOKUP(A114,CO!$A:$X,10,FALSE)</f>
        <v>0</v>
      </c>
      <c r="F114" s="17">
        <f t="shared" si="28"/>
        <v>0</v>
      </c>
      <c r="G114" s="16">
        <f>VLOOKUP(A114,CO!$A:$X,13,FALSE)</f>
        <v>0</v>
      </c>
      <c r="H114" s="17">
        <f t="shared" si="29"/>
        <v>0</v>
      </c>
      <c r="I114" s="16">
        <f>VLOOKUP(A114,CO!$A:$X,16,FALSE)</f>
        <v>0</v>
      </c>
      <c r="J114" s="17">
        <f t="shared" si="30"/>
        <v>0</v>
      </c>
      <c r="K114" s="16">
        <f>VLOOKUP(A114,CO!$A:$X,19,FALSE)</f>
        <v>1305.45</v>
      </c>
      <c r="L114" s="17">
        <f t="shared" si="31"/>
        <v>1</v>
      </c>
      <c r="M114" s="16">
        <f>VLOOKUP(A114,CO!$A:$X,22,FALSE)</f>
        <v>0</v>
      </c>
      <c r="N114" s="17">
        <f t="shared" si="32"/>
        <v>0</v>
      </c>
      <c r="O114" s="16">
        <f t="shared" si="33"/>
        <v>1305.45</v>
      </c>
      <c r="P114" s="17">
        <f t="shared" si="34"/>
        <v>1</v>
      </c>
      <c r="Q114" s="17">
        <f t="shared" si="35"/>
        <v>8.0989065052418439E-4</v>
      </c>
    </row>
    <row r="115" spans="1:17" x14ac:dyDescent="0.3">
      <c r="A115" s="15" t="s">
        <v>121</v>
      </c>
      <c r="B115" s="22" t="str">
        <f>VLOOKUP(A115,ORCAMENTO!$A:$I,2,FALSE)</f>
        <v>PISO</v>
      </c>
      <c r="C115" s="16">
        <f>VLOOKUP(A115,ORCAMENTO!$A:$I,9,FALSE)</f>
        <v>1174.01</v>
      </c>
      <c r="D115" s="17">
        <f t="shared" si="27"/>
        <v>7.2834633469064125E-4</v>
      </c>
      <c r="E115" s="16">
        <f>VLOOKUP(A115,CO!$A:$X,10,FALSE)</f>
        <v>0</v>
      </c>
      <c r="F115" s="17">
        <f t="shared" si="28"/>
        <v>0</v>
      </c>
      <c r="G115" s="16">
        <f>VLOOKUP(A115,CO!$A:$X,13,FALSE)</f>
        <v>0</v>
      </c>
      <c r="H115" s="17">
        <f t="shared" si="29"/>
        <v>0</v>
      </c>
      <c r="I115" s="16">
        <f>VLOOKUP(A115,CO!$A:$X,16,FALSE)</f>
        <v>0</v>
      </c>
      <c r="J115" s="17">
        <f t="shared" si="30"/>
        <v>0</v>
      </c>
      <c r="K115" s="16">
        <f>VLOOKUP(A115,CO!$A:$X,19,FALSE)</f>
        <v>1174.01</v>
      </c>
      <c r="L115" s="17">
        <f t="shared" si="31"/>
        <v>1</v>
      </c>
      <c r="M115" s="16">
        <f>VLOOKUP(A115,CO!$A:$X,22,FALSE)</f>
        <v>0</v>
      </c>
      <c r="N115" s="17">
        <f t="shared" si="32"/>
        <v>0</v>
      </c>
      <c r="O115" s="16">
        <f t="shared" si="33"/>
        <v>1174.01</v>
      </c>
      <c r="P115" s="17">
        <f t="shared" si="34"/>
        <v>1</v>
      </c>
      <c r="Q115" s="17">
        <f t="shared" si="35"/>
        <v>7.2834633469064125E-4</v>
      </c>
    </row>
    <row r="116" spans="1:17" x14ac:dyDescent="0.3">
      <c r="A116" s="15" t="s">
        <v>122</v>
      </c>
      <c r="B116" s="22" t="str">
        <f>VLOOKUP(A116,ORCAMENTO!$A:$I,2,FALSE)</f>
        <v>REVESTIMENTO</v>
      </c>
      <c r="C116" s="16">
        <f>VLOOKUP(A116,ORCAMENTO!$A:$I,9,FALSE)</f>
        <v>2341.92</v>
      </c>
      <c r="D116" s="17">
        <f t="shared" si="27"/>
        <v>1.452908278582556E-3</v>
      </c>
      <c r="E116" s="16">
        <f>VLOOKUP(A116,CO!$A:$X,10,FALSE)</f>
        <v>0</v>
      </c>
      <c r="F116" s="17">
        <f t="shared" si="28"/>
        <v>0</v>
      </c>
      <c r="G116" s="16">
        <f>VLOOKUP(A116,CO!$A:$X,13,FALSE)</f>
        <v>0</v>
      </c>
      <c r="H116" s="17">
        <f t="shared" si="29"/>
        <v>0</v>
      </c>
      <c r="I116" s="16">
        <f>VLOOKUP(A116,CO!$A:$X,16,FALSE)</f>
        <v>0</v>
      </c>
      <c r="J116" s="17">
        <f t="shared" si="30"/>
        <v>0</v>
      </c>
      <c r="K116" s="16">
        <f>VLOOKUP(A116,CO!$A:$X,19,FALSE)</f>
        <v>2341.92</v>
      </c>
      <c r="L116" s="17">
        <f t="shared" si="31"/>
        <v>1</v>
      </c>
      <c r="M116" s="16">
        <f>VLOOKUP(A116,CO!$A:$X,22,FALSE)</f>
        <v>0</v>
      </c>
      <c r="N116" s="17">
        <f t="shared" si="32"/>
        <v>0</v>
      </c>
      <c r="O116" s="16">
        <f t="shared" si="33"/>
        <v>2341.92</v>
      </c>
      <c r="P116" s="17">
        <f t="shared" si="34"/>
        <v>1</v>
      </c>
      <c r="Q116" s="17">
        <f t="shared" si="35"/>
        <v>1.452908278582556E-3</v>
      </c>
    </row>
    <row r="117" spans="1:17" x14ac:dyDescent="0.3">
      <c r="A117" s="15" t="s">
        <v>123</v>
      </c>
      <c r="B117" s="22" t="str">
        <f>VLOOKUP(A117,ORCAMENTO!$A:$I,2,FALSE)</f>
        <v>ESQUADRIAS</v>
      </c>
      <c r="C117" s="16">
        <f>VLOOKUP(A117,ORCAMENTO!$A:$I,9,FALSE)</f>
        <v>2243.75</v>
      </c>
      <c r="D117" s="17">
        <f t="shared" si="27"/>
        <v>1.3920044024004279E-3</v>
      </c>
      <c r="E117" s="16">
        <f>VLOOKUP(A117,CO!$A:$X,10,FALSE)</f>
        <v>0</v>
      </c>
      <c r="F117" s="17">
        <f t="shared" si="28"/>
        <v>0</v>
      </c>
      <c r="G117" s="16">
        <f>VLOOKUP(A117,CO!$A:$X,13,FALSE)</f>
        <v>0</v>
      </c>
      <c r="H117" s="17">
        <f t="shared" si="29"/>
        <v>0</v>
      </c>
      <c r="I117" s="16">
        <f>VLOOKUP(A117,CO!$A:$X,16,FALSE)</f>
        <v>0</v>
      </c>
      <c r="J117" s="17">
        <f t="shared" si="30"/>
        <v>0</v>
      </c>
      <c r="K117" s="16">
        <f>VLOOKUP(A117,CO!$A:$X,19,FALSE)</f>
        <v>2243.75</v>
      </c>
      <c r="L117" s="17">
        <f t="shared" si="31"/>
        <v>1</v>
      </c>
      <c r="M117" s="16">
        <f>VLOOKUP(A117,CO!$A:$X,22,FALSE)</f>
        <v>0</v>
      </c>
      <c r="N117" s="17">
        <f t="shared" si="32"/>
        <v>0</v>
      </c>
      <c r="O117" s="16">
        <f t="shared" si="33"/>
        <v>2243.75</v>
      </c>
      <c r="P117" s="17">
        <f t="shared" si="34"/>
        <v>1</v>
      </c>
      <c r="Q117" s="17">
        <f t="shared" si="35"/>
        <v>1.3920044024004279E-3</v>
      </c>
    </row>
    <row r="118" spans="1:17" x14ac:dyDescent="0.3">
      <c r="A118" s="15" t="s">
        <v>124</v>
      </c>
      <c r="B118" s="22" t="str">
        <f>VLOOKUP(A118,ORCAMENTO!$A:$I,2,FALSE)</f>
        <v>PINTURA</v>
      </c>
      <c r="C118" s="16">
        <f>VLOOKUP(A118,ORCAMENTO!$A:$I,9,FALSE)</f>
        <v>649.88</v>
      </c>
      <c r="D118" s="17">
        <f t="shared" si="27"/>
        <v>4.0318031020924349E-4</v>
      </c>
      <c r="E118" s="16">
        <f>VLOOKUP(A118,CO!$A:$X,10,FALSE)</f>
        <v>0</v>
      </c>
      <c r="F118" s="17">
        <f t="shared" si="28"/>
        <v>0</v>
      </c>
      <c r="G118" s="16">
        <f>VLOOKUP(A118,CO!$A:$X,13,FALSE)</f>
        <v>0</v>
      </c>
      <c r="H118" s="17">
        <f t="shared" si="29"/>
        <v>0</v>
      </c>
      <c r="I118" s="16">
        <f>VLOOKUP(A118,CO!$A:$X,16,FALSE)</f>
        <v>0</v>
      </c>
      <c r="J118" s="17">
        <f t="shared" si="30"/>
        <v>0</v>
      </c>
      <c r="K118" s="16">
        <f>VLOOKUP(A118,CO!$A:$X,19,FALSE)</f>
        <v>649.88</v>
      </c>
      <c r="L118" s="17">
        <f t="shared" si="31"/>
        <v>1</v>
      </c>
      <c r="M118" s="16">
        <f>VLOOKUP(A118,CO!$A:$X,22,FALSE)</f>
        <v>0</v>
      </c>
      <c r="N118" s="17">
        <f t="shared" si="32"/>
        <v>0</v>
      </c>
      <c r="O118" s="16">
        <f t="shared" si="33"/>
        <v>649.88</v>
      </c>
      <c r="P118" s="17">
        <f t="shared" si="34"/>
        <v>1</v>
      </c>
      <c r="Q118" s="17">
        <f t="shared" si="35"/>
        <v>4.0318031020924349E-4</v>
      </c>
    </row>
    <row r="119" spans="1:17" x14ac:dyDescent="0.3">
      <c r="A119" s="15" t="s">
        <v>125</v>
      </c>
      <c r="B119" s="22" t="str">
        <f>VLOOKUP(A119,ORCAMENTO!$A:$I,2,FALSE)</f>
        <v>CERCAMENTO</v>
      </c>
      <c r="C119" s="16">
        <f>VLOOKUP(A119,ORCAMENTO!$A:$I,9,FALSE)</f>
        <v>5908.53</v>
      </c>
      <c r="D119" s="17">
        <f t="shared" si="27"/>
        <v>3.6656043550818943E-3</v>
      </c>
      <c r="E119" s="16">
        <f>VLOOKUP(A119,CO!$A:$X,10,FALSE)</f>
        <v>0</v>
      </c>
      <c r="F119" s="17">
        <f t="shared" si="28"/>
        <v>0</v>
      </c>
      <c r="G119" s="16">
        <f>VLOOKUP(A119,CO!$A:$X,13,FALSE)</f>
        <v>0</v>
      </c>
      <c r="H119" s="17">
        <f t="shared" si="29"/>
        <v>0</v>
      </c>
      <c r="I119" s="16">
        <f>VLOOKUP(A119,CO!$A:$X,16,FALSE)</f>
        <v>0</v>
      </c>
      <c r="J119" s="17">
        <f t="shared" si="30"/>
        <v>0</v>
      </c>
      <c r="K119" s="16">
        <f>VLOOKUP(A119,CO!$A:$X,19,FALSE)</f>
        <v>5908.53</v>
      </c>
      <c r="L119" s="17">
        <f t="shared" si="31"/>
        <v>1</v>
      </c>
      <c r="M119" s="16">
        <f>VLOOKUP(A119,CO!$A:$X,22,FALSE)</f>
        <v>0</v>
      </c>
      <c r="N119" s="17">
        <f t="shared" si="32"/>
        <v>0</v>
      </c>
      <c r="O119" s="16">
        <f t="shared" si="33"/>
        <v>5908.53</v>
      </c>
      <c r="P119" s="17">
        <f t="shared" si="34"/>
        <v>1</v>
      </c>
      <c r="Q119" s="17">
        <f t="shared" si="35"/>
        <v>3.6656043550818943E-3</v>
      </c>
    </row>
    <row r="120" spans="1:17" x14ac:dyDescent="0.3">
      <c r="A120" s="12" t="s">
        <v>126</v>
      </c>
      <c r="B120" s="21" t="str">
        <f>VLOOKUP(A120,ORCAMENTO!$A:$I,2,FALSE)</f>
        <v>INSTALAÇÕES ELÉTRICAS</v>
      </c>
      <c r="C120" s="13">
        <f>VLOOKUP(A120,ORCAMENTO!$A:$I,9,FALSE)</f>
        <v>17909.879999999997</v>
      </c>
      <c r="D120" s="14">
        <f t="shared" si="27"/>
        <v>1.1111145094802617E-2</v>
      </c>
      <c r="E120" s="13">
        <f>VLOOKUP(A120,CO!$A:$X,10,FALSE)</f>
        <v>0</v>
      </c>
      <c r="F120" s="14">
        <f t="shared" si="28"/>
        <v>0</v>
      </c>
      <c r="G120" s="13">
        <f>VLOOKUP(A120,CO!$A:$X,13,FALSE)</f>
        <v>0</v>
      </c>
      <c r="H120" s="14">
        <f t="shared" si="29"/>
        <v>0</v>
      </c>
      <c r="I120" s="13">
        <f>VLOOKUP(A120,CO!$A:$X,16,FALSE)</f>
        <v>0</v>
      </c>
      <c r="J120" s="14">
        <f t="shared" si="30"/>
        <v>0</v>
      </c>
      <c r="K120" s="13">
        <f>VLOOKUP(A120,CO!$A:$X,19,FALSE)</f>
        <v>17909.879999999997</v>
      </c>
      <c r="L120" s="14">
        <f t="shared" si="31"/>
        <v>1</v>
      </c>
      <c r="M120" s="13">
        <f>VLOOKUP(A120,CO!$A:$X,22,FALSE)</f>
        <v>0</v>
      </c>
      <c r="N120" s="14">
        <f t="shared" si="32"/>
        <v>0</v>
      </c>
      <c r="O120" s="13">
        <f t="shared" si="33"/>
        <v>17909.879999999997</v>
      </c>
      <c r="P120" s="14">
        <f t="shared" si="34"/>
        <v>1</v>
      </c>
      <c r="Q120" s="14">
        <f t="shared" si="35"/>
        <v>1.1111145094802617E-2</v>
      </c>
    </row>
    <row r="121" spans="1:17" x14ac:dyDescent="0.3">
      <c r="A121" s="12" t="s">
        <v>127</v>
      </c>
      <c r="B121" s="21" t="str">
        <f>VLOOKUP(A121,ORCAMENTO!$A:$I,2,FALSE)</f>
        <v>ADUÇÃO</v>
      </c>
      <c r="C121" s="13">
        <f>VLOOKUP(A121,ORCAMENTO!$A:$I,9,FALSE)</f>
        <v>1455.29</v>
      </c>
      <c r="D121" s="14">
        <f t="shared" si="27"/>
        <v>9.028501779473286E-4</v>
      </c>
      <c r="E121" s="13">
        <f>SUM(E$122,E$123,E$124,)</f>
        <v>0</v>
      </c>
      <c r="F121" s="14">
        <f t="shared" si="28"/>
        <v>0</v>
      </c>
      <c r="G121" s="13">
        <f>SUM(G$122,G$123,G$124,)</f>
        <v>0</v>
      </c>
      <c r="H121" s="14">
        <f t="shared" si="29"/>
        <v>0</v>
      </c>
      <c r="I121" s="13">
        <f>SUM(I$122,I$123,I$124,)</f>
        <v>0</v>
      </c>
      <c r="J121" s="14">
        <f t="shared" si="30"/>
        <v>0</v>
      </c>
      <c r="K121" s="13">
        <f>SUM(K$122,K$123,K$124,)</f>
        <v>1455.29</v>
      </c>
      <c r="L121" s="14">
        <f t="shared" si="31"/>
        <v>1</v>
      </c>
      <c r="M121" s="13">
        <f>SUM(M$122,M$123,M$124,)</f>
        <v>0</v>
      </c>
      <c r="N121" s="14">
        <f t="shared" si="32"/>
        <v>0</v>
      </c>
      <c r="O121" s="13">
        <f t="shared" si="33"/>
        <v>1455.29</v>
      </c>
      <c r="P121" s="14">
        <f t="shared" si="34"/>
        <v>1</v>
      </c>
      <c r="Q121" s="14">
        <f t="shared" si="35"/>
        <v>9.028501779473286E-4</v>
      </c>
    </row>
    <row r="122" spans="1:17" x14ac:dyDescent="0.3">
      <c r="A122" s="15" t="s">
        <v>128</v>
      </c>
      <c r="B122" s="22" t="str">
        <f>VLOOKUP(A122,ORCAMENTO!$A:$I,2,FALSE)</f>
        <v>MOVIMENTO DE TERRA</v>
      </c>
      <c r="C122" s="16">
        <f>VLOOKUP(A122,ORCAMENTO!$A:$I,9,FALSE)</f>
        <v>485.08</v>
      </c>
      <c r="D122" s="17">
        <f t="shared" si="27"/>
        <v>3.0093971945020591E-4</v>
      </c>
      <c r="E122" s="16">
        <f>VLOOKUP(A122,CO!$A:$X,10,FALSE)</f>
        <v>0</v>
      </c>
      <c r="F122" s="17">
        <f t="shared" si="28"/>
        <v>0</v>
      </c>
      <c r="G122" s="16">
        <f>VLOOKUP(A122,CO!$A:$X,13,FALSE)</f>
        <v>0</v>
      </c>
      <c r="H122" s="17">
        <f t="shared" si="29"/>
        <v>0</v>
      </c>
      <c r="I122" s="16">
        <f>VLOOKUP(A122,CO!$A:$X,16,FALSE)</f>
        <v>0</v>
      </c>
      <c r="J122" s="17">
        <f t="shared" si="30"/>
        <v>0</v>
      </c>
      <c r="K122" s="16">
        <f>VLOOKUP(A122,CO!$A:$X,19,FALSE)</f>
        <v>485.08</v>
      </c>
      <c r="L122" s="17">
        <f t="shared" si="31"/>
        <v>1</v>
      </c>
      <c r="M122" s="16">
        <f>VLOOKUP(A122,CO!$A:$X,22,FALSE)</f>
        <v>0</v>
      </c>
      <c r="N122" s="17">
        <f t="shared" si="32"/>
        <v>0</v>
      </c>
      <c r="O122" s="16">
        <f t="shared" si="33"/>
        <v>485.08</v>
      </c>
      <c r="P122" s="17">
        <f t="shared" si="34"/>
        <v>1</v>
      </c>
      <c r="Q122" s="17">
        <f t="shared" si="35"/>
        <v>3.0093971945020591E-4</v>
      </c>
    </row>
    <row r="123" spans="1:17" x14ac:dyDescent="0.3">
      <c r="A123" s="15" t="s">
        <v>129</v>
      </c>
      <c r="B123" s="22" t="str">
        <f>VLOOKUP(A123,ORCAMENTO!$A:$I,2,FALSE)</f>
        <v>INFRAESTRUTURA</v>
      </c>
      <c r="C123" s="16">
        <f>VLOOKUP(A123,ORCAMENTO!$A:$I,9,FALSE)</f>
        <v>264.64</v>
      </c>
      <c r="D123" s="17">
        <f t="shared" si="27"/>
        <v>1.6418052147130883E-4</v>
      </c>
      <c r="E123" s="16">
        <f>VLOOKUP(A123,CO!$A:$X,10,FALSE)</f>
        <v>0</v>
      </c>
      <c r="F123" s="17">
        <f t="shared" si="28"/>
        <v>0</v>
      </c>
      <c r="G123" s="16">
        <f>VLOOKUP(A123,CO!$A:$X,13,FALSE)</f>
        <v>0</v>
      </c>
      <c r="H123" s="17">
        <f t="shared" si="29"/>
        <v>0</v>
      </c>
      <c r="I123" s="16">
        <f>VLOOKUP(A123,CO!$A:$X,16,FALSE)</f>
        <v>0</v>
      </c>
      <c r="J123" s="17">
        <f t="shared" si="30"/>
        <v>0</v>
      </c>
      <c r="K123" s="16">
        <f>VLOOKUP(A123,CO!$A:$X,19,FALSE)</f>
        <v>264.64</v>
      </c>
      <c r="L123" s="17">
        <f t="shared" si="31"/>
        <v>1</v>
      </c>
      <c r="M123" s="16">
        <f>VLOOKUP(A123,CO!$A:$X,22,FALSE)</f>
        <v>0</v>
      </c>
      <c r="N123" s="17">
        <f t="shared" si="32"/>
        <v>0</v>
      </c>
      <c r="O123" s="16">
        <f t="shared" si="33"/>
        <v>264.64</v>
      </c>
      <c r="P123" s="17">
        <f t="shared" si="34"/>
        <v>1</v>
      </c>
      <c r="Q123" s="17">
        <f t="shared" si="35"/>
        <v>1.6418052147130883E-4</v>
      </c>
    </row>
    <row r="124" spans="1:17" x14ac:dyDescent="0.3">
      <c r="A124" s="15" t="s">
        <v>130</v>
      </c>
      <c r="B124" s="22" t="str">
        <f>VLOOKUP(A124,ORCAMENTO!$A:$I,2,FALSE)</f>
        <v>INSTALAÇÕES HIDRÁULICAS</v>
      </c>
      <c r="C124" s="16">
        <f>VLOOKUP(A124,ORCAMENTO!$A:$I,9,FALSE)</f>
        <v>705.57</v>
      </c>
      <c r="D124" s="17">
        <f t="shared" si="27"/>
        <v>4.3772993702581391E-4</v>
      </c>
      <c r="E124" s="16">
        <f>VLOOKUP(A124,CO!$A:$X,10,FALSE)</f>
        <v>0</v>
      </c>
      <c r="F124" s="17">
        <f t="shared" si="28"/>
        <v>0</v>
      </c>
      <c r="G124" s="16">
        <f>VLOOKUP(A124,CO!$A:$X,13,FALSE)</f>
        <v>0</v>
      </c>
      <c r="H124" s="17">
        <f t="shared" si="29"/>
        <v>0</v>
      </c>
      <c r="I124" s="16">
        <f>VLOOKUP(A124,CO!$A:$X,16,FALSE)</f>
        <v>0</v>
      </c>
      <c r="J124" s="17">
        <f t="shared" si="30"/>
        <v>0</v>
      </c>
      <c r="K124" s="16">
        <f>VLOOKUP(A124,CO!$A:$X,19,FALSE)</f>
        <v>705.57</v>
      </c>
      <c r="L124" s="17">
        <f t="shared" si="31"/>
        <v>1</v>
      </c>
      <c r="M124" s="16">
        <f>VLOOKUP(A124,CO!$A:$X,22,FALSE)</f>
        <v>0</v>
      </c>
      <c r="N124" s="17">
        <f t="shared" si="32"/>
        <v>0</v>
      </c>
      <c r="O124" s="16">
        <f t="shared" si="33"/>
        <v>705.57</v>
      </c>
      <c r="P124" s="17">
        <f t="shared" si="34"/>
        <v>1</v>
      </c>
      <c r="Q124" s="17">
        <f t="shared" si="35"/>
        <v>4.3772993702581391E-4</v>
      </c>
    </row>
    <row r="125" spans="1:17" x14ac:dyDescent="0.3">
      <c r="A125" s="12" t="s">
        <v>131</v>
      </c>
      <c r="B125" s="21" t="str">
        <f>VLOOKUP(A125,ORCAMENTO!$A:$I,2,FALSE)</f>
        <v>RESERVAÇÃO</v>
      </c>
      <c r="C125" s="13">
        <f>VLOOKUP(A125,ORCAMENTO!$A:$I,9,FALSE)</f>
        <v>31488.33</v>
      </c>
      <c r="D125" s="14">
        <f t="shared" si="27"/>
        <v>1.9535105953977703E-2</v>
      </c>
      <c r="E125" s="13">
        <f>VLOOKUP(A125,CO!$A:$X,10,FALSE)</f>
        <v>0</v>
      </c>
      <c r="F125" s="14">
        <f t="shared" si="28"/>
        <v>0</v>
      </c>
      <c r="G125" s="13">
        <f>VLOOKUP(A125,CO!$A:$X,13,FALSE)</f>
        <v>0</v>
      </c>
      <c r="H125" s="14">
        <f t="shared" si="29"/>
        <v>0</v>
      </c>
      <c r="I125" s="13">
        <f>VLOOKUP(A125,CO!$A:$X,16,FALSE)</f>
        <v>0</v>
      </c>
      <c r="J125" s="14">
        <f t="shared" si="30"/>
        <v>0</v>
      </c>
      <c r="K125" s="13">
        <f>VLOOKUP(A125,CO!$A:$X,19,FALSE)</f>
        <v>31488.33</v>
      </c>
      <c r="L125" s="14">
        <f t="shared" si="31"/>
        <v>1</v>
      </c>
      <c r="M125" s="13">
        <f>VLOOKUP(A125,CO!$A:$X,22,FALSE)</f>
        <v>0</v>
      </c>
      <c r="N125" s="14">
        <f t="shared" si="32"/>
        <v>0</v>
      </c>
      <c r="O125" s="13">
        <f t="shared" si="33"/>
        <v>31488.33</v>
      </c>
      <c r="P125" s="14">
        <f t="shared" si="34"/>
        <v>1</v>
      </c>
      <c r="Q125" s="14">
        <f t="shared" si="35"/>
        <v>1.9535105953977703E-2</v>
      </c>
    </row>
    <row r="126" spans="1:17" x14ac:dyDescent="0.3">
      <c r="A126" s="12" t="s">
        <v>132</v>
      </c>
      <c r="B126" s="21" t="str">
        <f>VLOOKUP(A126,ORCAMENTO!$A:$I,2,FALSE)</f>
        <v>DISTRIBUIÇÃO</v>
      </c>
      <c r="C126" s="13">
        <f>VLOOKUP(A126,ORCAMENTO!$A:$I,9,FALSE)</f>
        <v>50609.360000000008</v>
      </c>
      <c r="D126" s="14">
        <f t="shared" si="27"/>
        <v>3.13976387399078E-2</v>
      </c>
      <c r="E126" s="13">
        <f>SUM(E$127,E$128,)</f>
        <v>0</v>
      </c>
      <c r="F126" s="14">
        <f t="shared" si="28"/>
        <v>0</v>
      </c>
      <c r="G126" s="13">
        <f>SUM(G$127,G$128,)</f>
        <v>0</v>
      </c>
      <c r="H126" s="14">
        <f t="shared" si="29"/>
        <v>0</v>
      </c>
      <c r="I126" s="13">
        <f>SUM(I$127,I$128,)</f>
        <v>0</v>
      </c>
      <c r="J126" s="14">
        <f t="shared" si="30"/>
        <v>0</v>
      </c>
      <c r="K126" s="13">
        <f>SUM(K$127,K$128,)</f>
        <v>50609.360000000008</v>
      </c>
      <c r="L126" s="14">
        <f t="shared" si="31"/>
        <v>1</v>
      </c>
      <c r="M126" s="13">
        <f>SUM(M$127,M$128,)</f>
        <v>0</v>
      </c>
      <c r="N126" s="14">
        <f t="shared" si="32"/>
        <v>0</v>
      </c>
      <c r="O126" s="13">
        <f t="shared" si="33"/>
        <v>50609.360000000008</v>
      </c>
      <c r="P126" s="14">
        <f t="shared" si="34"/>
        <v>1</v>
      </c>
      <c r="Q126" s="14">
        <f t="shared" si="35"/>
        <v>3.13976387399078E-2</v>
      </c>
    </row>
    <row r="127" spans="1:17" x14ac:dyDescent="0.3">
      <c r="A127" s="15" t="s">
        <v>133</v>
      </c>
      <c r="B127" s="22" t="str">
        <f>VLOOKUP(A127,ORCAMENTO!$A:$I,2,FALSE)</f>
        <v>MOVIMENTO DE TERRA</v>
      </c>
      <c r="C127" s="16">
        <f>VLOOKUP(A127,ORCAMENTO!$A:$I,9,FALSE)</f>
        <v>10935.65</v>
      </c>
      <c r="D127" s="17">
        <f t="shared" si="27"/>
        <v>6.7843890554251758E-3</v>
      </c>
      <c r="E127" s="16">
        <f>VLOOKUP(A127,CO!$A:$X,10,FALSE)</f>
        <v>0</v>
      </c>
      <c r="F127" s="17">
        <f t="shared" si="28"/>
        <v>0</v>
      </c>
      <c r="G127" s="16">
        <f>VLOOKUP(A127,CO!$A:$X,13,FALSE)</f>
        <v>0</v>
      </c>
      <c r="H127" s="17">
        <f t="shared" si="29"/>
        <v>0</v>
      </c>
      <c r="I127" s="16">
        <f>VLOOKUP(A127,CO!$A:$X,16,FALSE)</f>
        <v>0</v>
      </c>
      <c r="J127" s="17">
        <f t="shared" si="30"/>
        <v>0</v>
      </c>
      <c r="K127" s="16">
        <f>VLOOKUP(A127,CO!$A:$X,19,FALSE)</f>
        <v>10935.65</v>
      </c>
      <c r="L127" s="17">
        <f t="shared" si="31"/>
        <v>1</v>
      </c>
      <c r="M127" s="16">
        <f>VLOOKUP(A127,CO!$A:$X,22,FALSE)</f>
        <v>0</v>
      </c>
      <c r="N127" s="17">
        <f t="shared" si="32"/>
        <v>0</v>
      </c>
      <c r="O127" s="16">
        <f t="shared" si="33"/>
        <v>10935.65</v>
      </c>
      <c r="P127" s="17">
        <f t="shared" si="34"/>
        <v>1</v>
      </c>
      <c r="Q127" s="17">
        <f t="shared" si="35"/>
        <v>6.7843890554251758E-3</v>
      </c>
    </row>
    <row r="128" spans="1:17" x14ac:dyDescent="0.3">
      <c r="A128" s="15" t="s">
        <v>134</v>
      </c>
      <c r="B128" s="22" t="str">
        <f>VLOOKUP(A128,ORCAMENTO!$A:$I,2,FALSE)</f>
        <v>INSTALAÇÕES HIDRÁULICAS</v>
      </c>
      <c r="C128" s="16">
        <f>VLOOKUP(A128,ORCAMENTO!$A:$I,9,FALSE)</f>
        <v>39673.710000000006</v>
      </c>
      <c r="D128" s="17">
        <f t="shared" si="27"/>
        <v>2.4613249684482624E-2</v>
      </c>
      <c r="E128" s="16">
        <f>VLOOKUP(A128,CO!$A:$X,10,FALSE)</f>
        <v>0</v>
      </c>
      <c r="F128" s="17">
        <f t="shared" si="28"/>
        <v>0</v>
      </c>
      <c r="G128" s="16">
        <f>VLOOKUP(A128,CO!$A:$X,13,FALSE)</f>
        <v>0</v>
      </c>
      <c r="H128" s="17">
        <f t="shared" si="29"/>
        <v>0</v>
      </c>
      <c r="I128" s="16">
        <f>VLOOKUP(A128,CO!$A:$X,16,FALSE)</f>
        <v>0</v>
      </c>
      <c r="J128" s="17">
        <f t="shared" si="30"/>
        <v>0</v>
      </c>
      <c r="K128" s="16">
        <f>VLOOKUP(A128,CO!$A:$X,19,FALSE)</f>
        <v>39673.710000000006</v>
      </c>
      <c r="L128" s="17">
        <f t="shared" si="31"/>
        <v>1</v>
      </c>
      <c r="M128" s="16">
        <f>VLOOKUP(A128,CO!$A:$X,22,FALSE)</f>
        <v>0</v>
      </c>
      <c r="N128" s="17">
        <f t="shared" si="32"/>
        <v>0</v>
      </c>
      <c r="O128" s="16">
        <f t="shared" si="33"/>
        <v>39673.710000000006</v>
      </c>
      <c r="P128" s="17">
        <f t="shared" si="34"/>
        <v>1</v>
      </c>
      <c r="Q128" s="17">
        <f t="shared" si="35"/>
        <v>2.4613249684482624E-2</v>
      </c>
    </row>
    <row r="129" spans="1:17" x14ac:dyDescent="0.3">
      <c r="A129" s="9">
        <v>7</v>
      </c>
      <c r="B129" s="20" t="str">
        <f>VLOOKUP(A129,ORCAMENTO!$A:$I,2,FALSE)</f>
        <v>LOCALIDADE SANTA MADALENA (ANÍSIO DE ABREU-PI)</v>
      </c>
      <c r="C129" s="10">
        <f>VLOOKUP(A129,ORCAMENTO!$A:$I,9,FALSE)</f>
        <v>189183.56999999998</v>
      </c>
      <c r="D129" s="11">
        <f t="shared" si="27"/>
        <v>0.1173679609144644</v>
      </c>
      <c r="E129" s="10">
        <f>SUM(E$130,E$131,E$132,E$144,E$145,E$149,E$150,)</f>
        <v>0</v>
      </c>
      <c r="F129" s="11">
        <f t="shared" si="28"/>
        <v>0</v>
      </c>
      <c r="G129" s="10">
        <f>SUM(G$130,G$131,G$132,G$144,G$145,G$149,G$150,)</f>
        <v>0</v>
      </c>
      <c r="H129" s="11">
        <f t="shared" si="29"/>
        <v>0</v>
      </c>
      <c r="I129" s="10">
        <f>SUM(I$130,I$131,I$132,I$144,I$145,I$149,I$150,)</f>
        <v>0</v>
      </c>
      <c r="J129" s="11">
        <f t="shared" si="30"/>
        <v>0</v>
      </c>
      <c r="K129" s="10">
        <f>SUM(K$130,K$131,K$132,K$144,K$145,K$149,K$150,)</f>
        <v>0</v>
      </c>
      <c r="L129" s="11">
        <f t="shared" si="31"/>
        <v>0</v>
      </c>
      <c r="M129" s="10">
        <f>SUM(M$130,M$131,M$132,M$144,M$145,M$149,M$150,)</f>
        <v>189183.56999999998</v>
      </c>
      <c r="N129" s="11">
        <f t="shared" si="32"/>
        <v>1</v>
      </c>
      <c r="O129" s="10">
        <f t="shared" si="33"/>
        <v>189183.56999999998</v>
      </c>
      <c r="P129" s="11">
        <f t="shared" si="34"/>
        <v>1</v>
      </c>
      <c r="Q129" s="11">
        <f t="shared" si="35"/>
        <v>0.1173679609144644</v>
      </c>
    </row>
    <row r="130" spans="1:17" x14ac:dyDescent="0.3">
      <c r="A130" s="12" t="s">
        <v>135</v>
      </c>
      <c r="B130" s="21" t="str">
        <f>VLOOKUP(A130,ORCAMENTO!$A:$I,2,FALSE)</f>
        <v>PERFURAÇÃO DE POÇO TUBULAR</v>
      </c>
      <c r="C130" s="13">
        <f>VLOOKUP(A130,ORCAMENTO!$A:$I,9,FALSE)</f>
        <v>38218.39</v>
      </c>
      <c r="D130" s="14">
        <f t="shared" si="27"/>
        <v>2.3710380894777266E-2</v>
      </c>
      <c r="E130" s="13">
        <f>VLOOKUP(A130,CO!$A:$X,10,FALSE)</f>
        <v>0</v>
      </c>
      <c r="F130" s="14">
        <f t="shared" si="28"/>
        <v>0</v>
      </c>
      <c r="G130" s="13">
        <f>VLOOKUP(A130,CO!$A:$X,13,FALSE)</f>
        <v>0</v>
      </c>
      <c r="H130" s="14">
        <f t="shared" si="29"/>
        <v>0</v>
      </c>
      <c r="I130" s="13">
        <f>VLOOKUP(A130,CO!$A:$X,16,FALSE)</f>
        <v>0</v>
      </c>
      <c r="J130" s="14">
        <f t="shared" si="30"/>
        <v>0</v>
      </c>
      <c r="K130" s="13">
        <f>VLOOKUP(A130,CO!$A:$X,19,FALSE)</f>
        <v>0</v>
      </c>
      <c r="L130" s="14">
        <f t="shared" si="31"/>
        <v>0</v>
      </c>
      <c r="M130" s="13">
        <f>VLOOKUP(A130,CO!$A:$X,22,FALSE)</f>
        <v>38218.39</v>
      </c>
      <c r="N130" s="14">
        <f t="shared" si="32"/>
        <v>1</v>
      </c>
      <c r="O130" s="13">
        <f t="shared" si="33"/>
        <v>38218.39</v>
      </c>
      <c r="P130" s="14">
        <f t="shared" si="34"/>
        <v>1</v>
      </c>
      <c r="Q130" s="14">
        <f t="shared" si="35"/>
        <v>2.3710380894777266E-2</v>
      </c>
    </row>
    <row r="131" spans="1:17" ht="43.2" x14ac:dyDescent="0.3">
      <c r="A131" s="12" t="s">
        <v>136</v>
      </c>
      <c r="B131" s="21" t="str">
        <f>VLOOKUP(A131,ORCAMENTO!$A:$I,2,FALSE)</f>
        <v>AQUISIÇÃO E INSTALAÇÃO DE EQUIPAMENTOS DE BOMBEAMENTO, RECALQUE/BARRILETE E CONEXÕES PARA INTERLIGAÇÃO COM RESERVATÓRIO</v>
      </c>
      <c r="C131" s="13">
        <f>VLOOKUP(A131,ORCAMENTO!$A:$I,9,FALSE)</f>
        <v>9017.39</v>
      </c>
      <c r="D131" s="14">
        <f t="shared" si="27"/>
        <v>5.5943160236931891E-3</v>
      </c>
      <c r="E131" s="13">
        <f>VLOOKUP(A131,CO!$A:$X,10,FALSE)</f>
        <v>0</v>
      </c>
      <c r="F131" s="14">
        <f t="shared" si="28"/>
        <v>0</v>
      </c>
      <c r="G131" s="13">
        <f>VLOOKUP(A131,CO!$A:$X,13,FALSE)</f>
        <v>0</v>
      </c>
      <c r="H131" s="14">
        <f t="shared" si="29"/>
        <v>0</v>
      </c>
      <c r="I131" s="13">
        <f>VLOOKUP(A131,CO!$A:$X,16,FALSE)</f>
        <v>0</v>
      </c>
      <c r="J131" s="14">
        <f t="shared" si="30"/>
        <v>0</v>
      </c>
      <c r="K131" s="13">
        <f>VLOOKUP(A131,CO!$A:$X,19,FALSE)</f>
        <v>0</v>
      </c>
      <c r="L131" s="14">
        <f t="shared" si="31"/>
        <v>0</v>
      </c>
      <c r="M131" s="13">
        <f>VLOOKUP(A131,CO!$A:$X,22,FALSE)</f>
        <v>9017.39</v>
      </c>
      <c r="N131" s="14">
        <f t="shared" si="32"/>
        <v>1</v>
      </c>
      <c r="O131" s="13">
        <f t="shared" si="33"/>
        <v>9017.39</v>
      </c>
      <c r="P131" s="14">
        <f t="shared" si="34"/>
        <v>1</v>
      </c>
      <c r="Q131" s="14">
        <f t="shared" si="35"/>
        <v>5.5943160236931891E-3</v>
      </c>
    </row>
    <row r="132" spans="1:17" x14ac:dyDescent="0.3">
      <c r="A132" s="12" t="s">
        <v>137</v>
      </c>
      <c r="B132" s="21" t="str">
        <f>VLOOKUP(A132,ORCAMENTO!$A:$I,2,FALSE)</f>
        <v>CONSTRUÇÃO DA CASA DE COMANDO</v>
      </c>
      <c r="C132" s="13">
        <f>VLOOKUP(A132,ORCAMENTO!$A:$I,9,FALSE)</f>
        <v>20274.329999999998</v>
      </c>
      <c r="D132" s="14">
        <f t="shared" si="27"/>
        <v>1.2578030803663093E-2</v>
      </c>
      <c r="E132" s="13">
        <f>SUM(E$133,E$134,E$135,E$136,E$137,E$138,E$139,E$140,E$141,E$142,E$143,)</f>
        <v>0</v>
      </c>
      <c r="F132" s="14">
        <f t="shared" si="28"/>
        <v>0</v>
      </c>
      <c r="G132" s="13">
        <f>SUM(G$133,G$134,G$135,G$136,G$137,G$138,G$139,G$140,G$141,G$142,G$143,)</f>
        <v>0</v>
      </c>
      <c r="H132" s="14">
        <f t="shared" si="29"/>
        <v>0</v>
      </c>
      <c r="I132" s="13">
        <f>SUM(I$133,I$134,I$135,I$136,I$137,I$138,I$139,I$140,I$141,I$142,I$143,)</f>
        <v>0</v>
      </c>
      <c r="J132" s="14">
        <f t="shared" si="30"/>
        <v>0</v>
      </c>
      <c r="K132" s="13">
        <f>SUM(K$133,K$134,K$135,K$136,K$137,K$138,K$139,K$140,K$141,K$142,K$143,)</f>
        <v>0</v>
      </c>
      <c r="L132" s="14">
        <f t="shared" si="31"/>
        <v>0</v>
      </c>
      <c r="M132" s="13">
        <f>SUM(M$133,M$134,M$135,M$136,M$137,M$138,M$139,M$140,M$141,M$142,M$143,)</f>
        <v>20274.329999999998</v>
      </c>
      <c r="N132" s="14">
        <f t="shared" si="32"/>
        <v>1</v>
      </c>
      <c r="O132" s="13">
        <f t="shared" si="33"/>
        <v>20274.329999999998</v>
      </c>
      <c r="P132" s="14">
        <f t="shared" si="34"/>
        <v>1</v>
      </c>
      <c r="Q132" s="14">
        <f t="shared" si="35"/>
        <v>1.2578030803663093E-2</v>
      </c>
    </row>
    <row r="133" spans="1:17" x14ac:dyDescent="0.3">
      <c r="A133" s="15" t="s">
        <v>138</v>
      </c>
      <c r="B133" s="22" t="str">
        <f>VLOOKUP(A133,ORCAMENTO!$A:$I,2,FALSE)</f>
        <v>SERVIÇOS PRELIMINARES</v>
      </c>
      <c r="C133" s="16">
        <f>VLOOKUP(A133,ORCAMENTO!$A:$I,9,FALSE)</f>
        <v>1315.92</v>
      </c>
      <c r="D133" s="17">
        <f t="shared" si="27"/>
        <v>8.1638615407544121E-4</v>
      </c>
      <c r="E133" s="16">
        <f>VLOOKUP(A133,CO!$A:$X,10,FALSE)</f>
        <v>0</v>
      </c>
      <c r="F133" s="17">
        <f t="shared" si="28"/>
        <v>0</v>
      </c>
      <c r="G133" s="16">
        <f>VLOOKUP(A133,CO!$A:$X,13,FALSE)</f>
        <v>0</v>
      </c>
      <c r="H133" s="17">
        <f t="shared" si="29"/>
        <v>0</v>
      </c>
      <c r="I133" s="16">
        <f>VLOOKUP(A133,CO!$A:$X,16,FALSE)</f>
        <v>0</v>
      </c>
      <c r="J133" s="17">
        <f t="shared" si="30"/>
        <v>0</v>
      </c>
      <c r="K133" s="16">
        <f>VLOOKUP(A133,CO!$A:$X,19,FALSE)</f>
        <v>0</v>
      </c>
      <c r="L133" s="17">
        <f t="shared" si="31"/>
        <v>0</v>
      </c>
      <c r="M133" s="16">
        <f>VLOOKUP(A133,CO!$A:$X,22,FALSE)</f>
        <v>1315.92</v>
      </c>
      <c r="N133" s="17">
        <f t="shared" si="32"/>
        <v>1</v>
      </c>
      <c r="O133" s="16">
        <f t="shared" si="33"/>
        <v>1315.92</v>
      </c>
      <c r="P133" s="17">
        <f t="shared" si="34"/>
        <v>1</v>
      </c>
      <c r="Q133" s="17">
        <f t="shared" si="35"/>
        <v>8.1638615407544121E-4</v>
      </c>
    </row>
    <row r="134" spans="1:17" x14ac:dyDescent="0.3">
      <c r="A134" s="15" t="s">
        <v>139</v>
      </c>
      <c r="B134" s="22" t="str">
        <f>VLOOKUP(A134,ORCAMENTO!$A:$I,2,FALSE)</f>
        <v>MOVIMENTO DE TERRA</v>
      </c>
      <c r="C134" s="16">
        <f>VLOOKUP(A134,ORCAMENTO!$A:$I,9,FALSE)</f>
        <v>161.76</v>
      </c>
      <c r="D134" s="17">
        <f t="shared" si="27"/>
        <v>1.0035459927901647E-4</v>
      </c>
      <c r="E134" s="16">
        <f>VLOOKUP(A134,CO!$A:$X,10,FALSE)</f>
        <v>0</v>
      </c>
      <c r="F134" s="17">
        <f t="shared" si="28"/>
        <v>0</v>
      </c>
      <c r="G134" s="16">
        <f>VLOOKUP(A134,CO!$A:$X,13,FALSE)</f>
        <v>0</v>
      </c>
      <c r="H134" s="17">
        <f t="shared" si="29"/>
        <v>0</v>
      </c>
      <c r="I134" s="16">
        <f>VLOOKUP(A134,CO!$A:$X,16,FALSE)</f>
        <v>0</v>
      </c>
      <c r="J134" s="17">
        <f t="shared" si="30"/>
        <v>0</v>
      </c>
      <c r="K134" s="16">
        <f>VLOOKUP(A134,CO!$A:$X,19,FALSE)</f>
        <v>0</v>
      </c>
      <c r="L134" s="17">
        <f t="shared" si="31"/>
        <v>0</v>
      </c>
      <c r="M134" s="16">
        <f>VLOOKUP(A134,CO!$A:$X,22,FALSE)</f>
        <v>161.76</v>
      </c>
      <c r="N134" s="17">
        <f t="shared" si="32"/>
        <v>1</v>
      </c>
      <c r="O134" s="16">
        <f t="shared" si="33"/>
        <v>161.76</v>
      </c>
      <c r="P134" s="17">
        <f t="shared" si="34"/>
        <v>1</v>
      </c>
      <c r="Q134" s="17">
        <f t="shared" si="35"/>
        <v>1.0035459927901647E-4</v>
      </c>
    </row>
    <row r="135" spans="1:17" x14ac:dyDescent="0.3">
      <c r="A135" s="15" t="s">
        <v>140</v>
      </c>
      <c r="B135" s="22" t="str">
        <f>VLOOKUP(A135,ORCAMENTO!$A:$I,2,FALSE)</f>
        <v>INFRAESTRUTURA</v>
      </c>
      <c r="C135" s="16">
        <f>VLOOKUP(A135,ORCAMENTO!$A:$I,9,FALSE)</f>
        <v>1229.81</v>
      </c>
      <c r="D135" s="17">
        <f t="shared" si="27"/>
        <v>7.6296420461997557E-4</v>
      </c>
      <c r="E135" s="16">
        <f>VLOOKUP(A135,CO!$A:$X,10,FALSE)</f>
        <v>0</v>
      </c>
      <c r="F135" s="17">
        <f t="shared" si="28"/>
        <v>0</v>
      </c>
      <c r="G135" s="16">
        <f>VLOOKUP(A135,CO!$A:$X,13,FALSE)</f>
        <v>0</v>
      </c>
      <c r="H135" s="17">
        <f t="shared" si="29"/>
        <v>0</v>
      </c>
      <c r="I135" s="16">
        <f>VLOOKUP(A135,CO!$A:$X,16,FALSE)</f>
        <v>0</v>
      </c>
      <c r="J135" s="17">
        <f t="shared" si="30"/>
        <v>0</v>
      </c>
      <c r="K135" s="16">
        <f>VLOOKUP(A135,CO!$A:$X,19,FALSE)</f>
        <v>0</v>
      </c>
      <c r="L135" s="17">
        <f t="shared" si="31"/>
        <v>0</v>
      </c>
      <c r="M135" s="16">
        <f>VLOOKUP(A135,CO!$A:$X,22,FALSE)</f>
        <v>1229.81</v>
      </c>
      <c r="N135" s="17">
        <f t="shared" si="32"/>
        <v>1</v>
      </c>
      <c r="O135" s="16">
        <f t="shared" si="33"/>
        <v>1229.81</v>
      </c>
      <c r="P135" s="17">
        <f t="shared" si="34"/>
        <v>1</v>
      </c>
      <c r="Q135" s="17">
        <f t="shared" si="35"/>
        <v>7.6296420461997557E-4</v>
      </c>
    </row>
    <row r="136" spans="1:17" x14ac:dyDescent="0.3">
      <c r="A136" s="15" t="s">
        <v>141</v>
      </c>
      <c r="B136" s="22" t="str">
        <f>VLOOKUP(A136,ORCAMENTO!$A:$I,2,FALSE)</f>
        <v>SUPERESTRUTURA</v>
      </c>
      <c r="C136" s="16">
        <f>VLOOKUP(A136,ORCAMENTO!$A:$I,9,FALSE)</f>
        <v>1323.3</v>
      </c>
      <c r="D136" s="17">
        <f t="shared" ref="D136:D152" si="36">C136/$C$153</f>
        <v>8.20964646549966E-4</v>
      </c>
      <c r="E136" s="16">
        <f>VLOOKUP(A136,CO!$A:$X,10,FALSE)</f>
        <v>0</v>
      </c>
      <c r="F136" s="17">
        <f t="shared" ref="F136:F152" si="37">E136/C136</f>
        <v>0</v>
      </c>
      <c r="G136" s="16">
        <f>VLOOKUP(A136,CO!$A:$X,13,FALSE)</f>
        <v>0</v>
      </c>
      <c r="H136" s="17">
        <f t="shared" ref="H136:H152" si="38">G136/C136</f>
        <v>0</v>
      </c>
      <c r="I136" s="16">
        <f>VLOOKUP(A136,CO!$A:$X,16,FALSE)</f>
        <v>0</v>
      </c>
      <c r="J136" s="17">
        <f t="shared" ref="J136:J152" si="39">I136/C136</f>
        <v>0</v>
      </c>
      <c r="K136" s="16">
        <f>VLOOKUP(A136,CO!$A:$X,19,FALSE)</f>
        <v>0</v>
      </c>
      <c r="L136" s="17">
        <f t="shared" ref="L136:L152" si="40">K136/C136</f>
        <v>0</v>
      </c>
      <c r="M136" s="16">
        <f>VLOOKUP(A136,CO!$A:$X,22,FALSE)</f>
        <v>1323.3</v>
      </c>
      <c r="N136" s="17">
        <f t="shared" ref="N136:N152" si="41">M136/C136</f>
        <v>1</v>
      </c>
      <c r="O136" s="16">
        <f t="shared" ref="O136:O152" si="42">SUM(E136,G136,I136,K136,M136,)</f>
        <v>1323.3</v>
      </c>
      <c r="P136" s="17">
        <f t="shared" ref="P136:P152" si="43">SUM(F136,H136,J136,L136,N136,)</f>
        <v>1</v>
      </c>
      <c r="Q136" s="17">
        <f t="shared" ref="Q136:Q152" si="44">O136/$C$153</f>
        <v>8.20964646549966E-4</v>
      </c>
    </row>
    <row r="137" spans="1:17" x14ac:dyDescent="0.3">
      <c r="A137" s="15" t="s">
        <v>142</v>
      </c>
      <c r="B137" s="22" t="str">
        <f>VLOOKUP(A137,ORCAMENTO!$A:$I,2,FALSE)</f>
        <v>VEDAÇÃO VERTICAL</v>
      </c>
      <c r="C137" s="16">
        <f>VLOOKUP(A137,ORCAMENTO!$A:$I,9,FALSE)</f>
        <v>2620</v>
      </c>
      <c r="D137" s="17">
        <f t="shared" si="36"/>
        <v>1.6254268676497475E-3</v>
      </c>
      <c r="E137" s="16">
        <f>VLOOKUP(A137,CO!$A:$X,10,FALSE)</f>
        <v>0</v>
      </c>
      <c r="F137" s="17">
        <f t="shared" si="37"/>
        <v>0</v>
      </c>
      <c r="G137" s="16">
        <f>VLOOKUP(A137,CO!$A:$X,13,FALSE)</f>
        <v>0</v>
      </c>
      <c r="H137" s="17">
        <f t="shared" si="38"/>
        <v>0</v>
      </c>
      <c r="I137" s="16">
        <f>VLOOKUP(A137,CO!$A:$X,16,FALSE)</f>
        <v>0</v>
      </c>
      <c r="J137" s="17">
        <f t="shared" si="39"/>
        <v>0</v>
      </c>
      <c r="K137" s="16">
        <f>VLOOKUP(A137,CO!$A:$X,19,FALSE)</f>
        <v>0</v>
      </c>
      <c r="L137" s="17">
        <f t="shared" si="40"/>
        <v>0</v>
      </c>
      <c r="M137" s="16">
        <f>VLOOKUP(A137,CO!$A:$X,22,FALSE)</f>
        <v>2620</v>
      </c>
      <c r="N137" s="17">
        <f t="shared" si="41"/>
        <v>1</v>
      </c>
      <c r="O137" s="16">
        <f t="shared" si="42"/>
        <v>2620</v>
      </c>
      <c r="P137" s="17">
        <f t="shared" si="43"/>
        <v>1</v>
      </c>
      <c r="Q137" s="17">
        <f t="shared" si="44"/>
        <v>1.6254268676497475E-3</v>
      </c>
    </row>
    <row r="138" spans="1:17" x14ac:dyDescent="0.3">
      <c r="A138" s="15" t="s">
        <v>143</v>
      </c>
      <c r="B138" s="22" t="str">
        <f>VLOOKUP(A138,ORCAMENTO!$A:$I,2,FALSE)</f>
        <v>COBERTURA</v>
      </c>
      <c r="C138" s="16">
        <f>VLOOKUP(A138,ORCAMENTO!$A:$I,9,FALSE)</f>
        <v>1305.45</v>
      </c>
      <c r="D138" s="17">
        <f t="shared" si="36"/>
        <v>8.0989065052418439E-4</v>
      </c>
      <c r="E138" s="16">
        <f>VLOOKUP(A138,CO!$A:$X,10,FALSE)</f>
        <v>0</v>
      </c>
      <c r="F138" s="17">
        <f t="shared" si="37"/>
        <v>0</v>
      </c>
      <c r="G138" s="16">
        <f>VLOOKUP(A138,CO!$A:$X,13,FALSE)</f>
        <v>0</v>
      </c>
      <c r="H138" s="17">
        <f t="shared" si="38"/>
        <v>0</v>
      </c>
      <c r="I138" s="16">
        <f>VLOOKUP(A138,CO!$A:$X,16,FALSE)</f>
        <v>0</v>
      </c>
      <c r="J138" s="17">
        <f t="shared" si="39"/>
        <v>0</v>
      </c>
      <c r="K138" s="16">
        <f>VLOOKUP(A138,CO!$A:$X,19,FALSE)</f>
        <v>0</v>
      </c>
      <c r="L138" s="17">
        <f t="shared" si="40"/>
        <v>0</v>
      </c>
      <c r="M138" s="16">
        <f>VLOOKUP(A138,CO!$A:$X,22,FALSE)</f>
        <v>1305.45</v>
      </c>
      <c r="N138" s="17">
        <f t="shared" si="41"/>
        <v>1</v>
      </c>
      <c r="O138" s="16">
        <f t="shared" si="42"/>
        <v>1305.45</v>
      </c>
      <c r="P138" s="17">
        <f t="shared" si="43"/>
        <v>1</v>
      </c>
      <c r="Q138" s="17">
        <f t="shared" si="44"/>
        <v>8.0989065052418439E-4</v>
      </c>
    </row>
    <row r="139" spans="1:17" x14ac:dyDescent="0.3">
      <c r="A139" s="15" t="s">
        <v>144</v>
      </c>
      <c r="B139" s="22" t="str">
        <f>VLOOKUP(A139,ORCAMENTO!$A:$I,2,FALSE)</f>
        <v>PISO</v>
      </c>
      <c r="C139" s="16">
        <f>VLOOKUP(A139,ORCAMENTO!$A:$I,9,FALSE)</f>
        <v>1174.01</v>
      </c>
      <c r="D139" s="17">
        <f t="shared" si="36"/>
        <v>7.2834633469064125E-4</v>
      </c>
      <c r="E139" s="16">
        <f>VLOOKUP(A139,CO!$A:$X,10,FALSE)</f>
        <v>0</v>
      </c>
      <c r="F139" s="17">
        <f t="shared" si="37"/>
        <v>0</v>
      </c>
      <c r="G139" s="16">
        <f>VLOOKUP(A139,CO!$A:$X,13,FALSE)</f>
        <v>0</v>
      </c>
      <c r="H139" s="17">
        <f t="shared" si="38"/>
        <v>0</v>
      </c>
      <c r="I139" s="16">
        <f>VLOOKUP(A139,CO!$A:$X,16,FALSE)</f>
        <v>0</v>
      </c>
      <c r="J139" s="17">
        <f t="shared" si="39"/>
        <v>0</v>
      </c>
      <c r="K139" s="16">
        <f>VLOOKUP(A139,CO!$A:$X,19,FALSE)</f>
        <v>0</v>
      </c>
      <c r="L139" s="17">
        <f t="shared" si="40"/>
        <v>0</v>
      </c>
      <c r="M139" s="16">
        <f>VLOOKUP(A139,CO!$A:$X,22,FALSE)</f>
        <v>1174.01</v>
      </c>
      <c r="N139" s="17">
        <f t="shared" si="41"/>
        <v>1</v>
      </c>
      <c r="O139" s="16">
        <f t="shared" si="42"/>
        <v>1174.01</v>
      </c>
      <c r="P139" s="17">
        <f t="shared" si="43"/>
        <v>1</v>
      </c>
      <c r="Q139" s="17">
        <f t="shared" si="44"/>
        <v>7.2834633469064125E-4</v>
      </c>
    </row>
    <row r="140" spans="1:17" x14ac:dyDescent="0.3">
      <c r="A140" s="15" t="s">
        <v>145</v>
      </c>
      <c r="B140" s="22" t="str">
        <f>VLOOKUP(A140,ORCAMENTO!$A:$I,2,FALSE)</f>
        <v>REVESTIMENTO</v>
      </c>
      <c r="C140" s="16">
        <f>VLOOKUP(A140,ORCAMENTO!$A:$I,9,FALSE)</f>
        <v>2341.92</v>
      </c>
      <c r="D140" s="17">
        <f t="shared" si="36"/>
        <v>1.452908278582556E-3</v>
      </c>
      <c r="E140" s="16">
        <f>VLOOKUP(A140,CO!$A:$X,10,FALSE)</f>
        <v>0</v>
      </c>
      <c r="F140" s="17">
        <f t="shared" si="37"/>
        <v>0</v>
      </c>
      <c r="G140" s="16">
        <f>VLOOKUP(A140,CO!$A:$X,13,FALSE)</f>
        <v>0</v>
      </c>
      <c r="H140" s="17">
        <f t="shared" si="38"/>
        <v>0</v>
      </c>
      <c r="I140" s="16">
        <f>VLOOKUP(A140,CO!$A:$X,16,FALSE)</f>
        <v>0</v>
      </c>
      <c r="J140" s="17">
        <f t="shared" si="39"/>
        <v>0</v>
      </c>
      <c r="K140" s="16">
        <f>VLOOKUP(A140,CO!$A:$X,19,FALSE)</f>
        <v>0</v>
      </c>
      <c r="L140" s="17">
        <f t="shared" si="40"/>
        <v>0</v>
      </c>
      <c r="M140" s="16">
        <f>VLOOKUP(A140,CO!$A:$X,22,FALSE)</f>
        <v>2341.92</v>
      </c>
      <c r="N140" s="17">
        <f t="shared" si="41"/>
        <v>1</v>
      </c>
      <c r="O140" s="16">
        <f t="shared" si="42"/>
        <v>2341.92</v>
      </c>
      <c r="P140" s="17">
        <f t="shared" si="43"/>
        <v>1</v>
      </c>
      <c r="Q140" s="17">
        <f t="shared" si="44"/>
        <v>1.452908278582556E-3</v>
      </c>
    </row>
    <row r="141" spans="1:17" x14ac:dyDescent="0.3">
      <c r="A141" s="15" t="s">
        <v>146</v>
      </c>
      <c r="B141" s="22" t="str">
        <f>VLOOKUP(A141,ORCAMENTO!$A:$I,2,FALSE)</f>
        <v>ESQUADRIAS</v>
      </c>
      <c r="C141" s="16">
        <f>VLOOKUP(A141,ORCAMENTO!$A:$I,9,FALSE)</f>
        <v>2243.75</v>
      </c>
      <c r="D141" s="17">
        <f t="shared" si="36"/>
        <v>1.3920044024004279E-3</v>
      </c>
      <c r="E141" s="16">
        <f>VLOOKUP(A141,CO!$A:$X,10,FALSE)</f>
        <v>0</v>
      </c>
      <c r="F141" s="17">
        <f t="shared" si="37"/>
        <v>0</v>
      </c>
      <c r="G141" s="16">
        <f>VLOOKUP(A141,CO!$A:$X,13,FALSE)</f>
        <v>0</v>
      </c>
      <c r="H141" s="17">
        <f t="shared" si="38"/>
        <v>0</v>
      </c>
      <c r="I141" s="16">
        <f>VLOOKUP(A141,CO!$A:$X,16,FALSE)</f>
        <v>0</v>
      </c>
      <c r="J141" s="17">
        <f t="shared" si="39"/>
        <v>0</v>
      </c>
      <c r="K141" s="16">
        <f>VLOOKUP(A141,CO!$A:$X,19,FALSE)</f>
        <v>0</v>
      </c>
      <c r="L141" s="17">
        <f t="shared" si="40"/>
        <v>0</v>
      </c>
      <c r="M141" s="16">
        <f>VLOOKUP(A141,CO!$A:$X,22,FALSE)</f>
        <v>2243.75</v>
      </c>
      <c r="N141" s="17">
        <f t="shared" si="41"/>
        <v>1</v>
      </c>
      <c r="O141" s="16">
        <f t="shared" si="42"/>
        <v>2243.75</v>
      </c>
      <c r="P141" s="17">
        <f t="shared" si="43"/>
        <v>1</v>
      </c>
      <c r="Q141" s="17">
        <f t="shared" si="44"/>
        <v>1.3920044024004279E-3</v>
      </c>
    </row>
    <row r="142" spans="1:17" x14ac:dyDescent="0.3">
      <c r="A142" s="15" t="s">
        <v>147</v>
      </c>
      <c r="B142" s="22" t="str">
        <f>VLOOKUP(A142,ORCAMENTO!$A:$I,2,FALSE)</f>
        <v>PINTURA</v>
      </c>
      <c r="C142" s="16">
        <f>VLOOKUP(A142,ORCAMENTO!$A:$I,9,FALSE)</f>
        <v>649.88</v>
      </c>
      <c r="D142" s="17">
        <f t="shared" si="36"/>
        <v>4.0318031020924349E-4</v>
      </c>
      <c r="E142" s="16">
        <f>VLOOKUP(A142,CO!$A:$X,10,FALSE)</f>
        <v>0</v>
      </c>
      <c r="F142" s="17">
        <f t="shared" si="37"/>
        <v>0</v>
      </c>
      <c r="G142" s="16">
        <f>VLOOKUP(A142,CO!$A:$X,13,FALSE)</f>
        <v>0</v>
      </c>
      <c r="H142" s="17">
        <f t="shared" si="38"/>
        <v>0</v>
      </c>
      <c r="I142" s="16">
        <f>VLOOKUP(A142,CO!$A:$X,16,FALSE)</f>
        <v>0</v>
      </c>
      <c r="J142" s="17">
        <f t="shared" si="39"/>
        <v>0</v>
      </c>
      <c r="K142" s="16">
        <f>VLOOKUP(A142,CO!$A:$X,19,FALSE)</f>
        <v>0</v>
      </c>
      <c r="L142" s="17">
        <f t="shared" si="40"/>
        <v>0</v>
      </c>
      <c r="M142" s="16">
        <f>VLOOKUP(A142,CO!$A:$X,22,FALSE)</f>
        <v>649.88</v>
      </c>
      <c r="N142" s="17">
        <f t="shared" si="41"/>
        <v>1</v>
      </c>
      <c r="O142" s="16">
        <f t="shared" si="42"/>
        <v>649.88</v>
      </c>
      <c r="P142" s="17">
        <f t="shared" si="43"/>
        <v>1</v>
      </c>
      <c r="Q142" s="17">
        <f t="shared" si="44"/>
        <v>4.0318031020924349E-4</v>
      </c>
    </row>
    <row r="143" spans="1:17" x14ac:dyDescent="0.3">
      <c r="A143" s="15" t="s">
        <v>148</v>
      </c>
      <c r="B143" s="22" t="str">
        <f>VLOOKUP(A143,ORCAMENTO!$A:$I,2,FALSE)</f>
        <v>CERCAMENTO</v>
      </c>
      <c r="C143" s="16">
        <f>VLOOKUP(A143,ORCAMENTO!$A:$I,9,FALSE)</f>
        <v>5908.53</v>
      </c>
      <c r="D143" s="17">
        <f t="shared" si="36"/>
        <v>3.6656043550818943E-3</v>
      </c>
      <c r="E143" s="16">
        <f>VLOOKUP(A143,CO!$A:$X,10,FALSE)</f>
        <v>0</v>
      </c>
      <c r="F143" s="17">
        <f t="shared" si="37"/>
        <v>0</v>
      </c>
      <c r="G143" s="16">
        <f>VLOOKUP(A143,CO!$A:$X,13,FALSE)</f>
        <v>0</v>
      </c>
      <c r="H143" s="17">
        <f t="shared" si="38"/>
        <v>0</v>
      </c>
      <c r="I143" s="16">
        <f>VLOOKUP(A143,CO!$A:$X,16,FALSE)</f>
        <v>0</v>
      </c>
      <c r="J143" s="17">
        <f t="shared" si="39"/>
        <v>0</v>
      </c>
      <c r="K143" s="16">
        <f>VLOOKUP(A143,CO!$A:$X,19,FALSE)</f>
        <v>0</v>
      </c>
      <c r="L143" s="17">
        <f t="shared" si="40"/>
        <v>0</v>
      </c>
      <c r="M143" s="16">
        <f>VLOOKUP(A143,CO!$A:$X,22,FALSE)</f>
        <v>5908.53</v>
      </c>
      <c r="N143" s="17">
        <f t="shared" si="41"/>
        <v>1</v>
      </c>
      <c r="O143" s="16">
        <f t="shared" si="42"/>
        <v>5908.53</v>
      </c>
      <c r="P143" s="17">
        <f t="shared" si="43"/>
        <v>1</v>
      </c>
      <c r="Q143" s="17">
        <f t="shared" si="44"/>
        <v>3.6656043550818943E-3</v>
      </c>
    </row>
    <row r="144" spans="1:17" x14ac:dyDescent="0.3">
      <c r="A144" s="12" t="s">
        <v>149</v>
      </c>
      <c r="B144" s="21" t="str">
        <f>VLOOKUP(A144,ORCAMENTO!$A:$I,2,FALSE)</f>
        <v>INSTALAÇÕES ELÉTRICAS</v>
      </c>
      <c r="C144" s="13">
        <f>VLOOKUP(A144,ORCAMENTO!$A:$I,9,FALSE)</f>
        <v>17909.879999999997</v>
      </c>
      <c r="D144" s="14">
        <f t="shared" si="36"/>
        <v>1.1111145094802617E-2</v>
      </c>
      <c r="E144" s="13">
        <f>VLOOKUP(A144,CO!$A:$X,10,FALSE)</f>
        <v>0</v>
      </c>
      <c r="F144" s="14">
        <f t="shared" si="37"/>
        <v>0</v>
      </c>
      <c r="G144" s="13">
        <f>VLOOKUP(A144,CO!$A:$X,13,FALSE)</f>
        <v>0</v>
      </c>
      <c r="H144" s="14">
        <f t="shared" si="38"/>
        <v>0</v>
      </c>
      <c r="I144" s="13">
        <f>VLOOKUP(A144,CO!$A:$X,16,FALSE)</f>
        <v>0</v>
      </c>
      <c r="J144" s="14">
        <f t="shared" si="39"/>
        <v>0</v>
      </c>
      <c r="K144" s="13">
        <f>VLOOKUP(A144,CO!$A:$X,19,FALSE)</f>
        <v>0</v>
      </c>
      <c r="L144" s="14">
        <f t="shared" si="40"/>
        <v>0</v>
      </c>
      <c r="M144" s="13">
        <f>VLOOKUP(A144,CO!$A:$X,22,FALSE)</f>
        <v>17909.879999999997</v>
      </c>
      <c r="N144" s="14">
        <f t="shared" si="41"/>
        <v>1</v>
      </c>
      <c r="O144" s="13">
        <f t="shared" si="42"/>
        <v>17909.879999999997</v>
      </c>
      <c r="P144" s="14">
        <f t="shared" si="43"/>
        <v>1</v>
      </c>
      <c r="Q144" s="14">
        <f t="shared" si="44"/>
        <v>1.1111145094802617E-2</v>
      </c>
    </row>
    <row r="145" spans="1:17" x14ac:dyDescent="0.3">
      <c r="A145" s="12" t="s">
        <v>150</v>
      </c>
      <c r="B145" s="21" t="str">
        <f>VLOOKUP(A145,ORCAMENTO!$A:$I,2,FALSE)</f>
        <v>ADUÇÃO</v>
      </c>
      <c r="C145" s="13">
        <f>VLOOKUP(A145,ORCAMENTO!$A:$I,9,FALSE)</f>
        <v>1455.29</v>
      </c>
      <c r="D145" s="14">
        <f t="shared" si="36"/>
        <v>9.028501779473286E-4</v>
      </c>
      <c r="E145" s="13">
        <f>SUM(E$146,E$147,E$148,)</f>
        <v>0</v>
      </c>
      <c r="F145" s="14">
        <f t="shared" si="37"/>
        <v>0</v>
      </c>
      <c r="G145" s="13">
        <f>SUM(G$146,G$147,G$148,)</f>
        <v>0</v>
      </c>
      <c r="H145" s="14">
        <f t="shared" si="38"/>
        <v>0</v>
      </c>
      <c r="I145" s="13">
        <f>SUM(I$146,I$147,I$148,)</f>
        <v>0</v>
      </c>
      <c r="J145" s="14">
        <f t="shared" si="39"/>
        <v>0</v>
      </c>
      <c r="K145" s="13">
        <f>SUM(K$146,K$147,K$148,)</f>
        <v>0</v>
      </c>
      <c r="L145" s="14">
        <f t="shared" si="40"/>
        <v>0</v>
      </c>
      <c r="M145" s="13">
        <f>SUM(M$146,M$147,M$148,)</f>
        <v>1455.29</v>
      </c>
      <c r="N145" s="14">
        <f t="shared" si="41"/>
        <v>1</v>
      </c>
      <c r="O145" s="13">
        <f t="shared" si="42"/>
        <v>1455.29</v>
      </c>
      <c r="P145" s="14">
        <f t="shared" si="43"/>
        <v>1</v>
      </c>
      <c r="Q145" s="14">
        <f t="shared" si="44"/>
        <v>9.028501779473286E-4</v>
      </c>
    </row>
    <row r="146" spans="1:17" x14ac:dyDescent="0.3">
      <c r="A146" s="15" t="s">
        <v>151</v>
      </c>
      <c r="B146" s="22" t="str">
        <f>VLOOKUP(A146,ORCAMENTO!$A:$I,2,FALSE)</f>
        <v>MOVIMENTO DE TERRA</v>
      </c>
      <c r="C146" s="16">
        <f>VLOOKUP(A146,ORCAMENTO!$A:$I,9,FALSE)</f>
        <v>485.08</v>
      </c>
      <c r="D146" s="17">
        <f t="shared" si="36"/>
        <v>3.0093971945020591E-4</v>
      </c>
      <c r="E146" s="16">
        <f>VLOOKUP(A146,CO!$A:$X,10,FALSE)</f>
        <v>0</v>
      </c>
      <c r="F146" s="17">
        <f t="shared" si="37"/>
        <v>0</v>
      </c>
      <c r="G146" s="16">
        <f>VLOOKUP(A146,CO!$A:$X,13,FALSE)</f>
        <v>0</v>
      </c>
      <c r="H146" s="17">
        <f t="shared" si="38"/>
        <v>0</v>
      </c>
      <c r="I146" s="16">
        <f>VLOOKUP(A146,CO!$A:$X,16,FALSE)</f>
        <v>0</v>
      </c>
      <c r="J146" s="17">
        <f t="shared" si="39"/>
        <v>0</v>
      </c>
      <c r="K146" s="16">
        <f>VLOOKUP(A146,CO!$A:$X,19,FALSE)</f>
        <v>0</v>
      </c>
      <c r="L146" s="17">
        <f t="shared" si="40"/>
        <v>0</v>
      </c>
      <c r="M146" s="16">
        <f>VLOOKUP(A146,CO!$A:$X,22,FALSE)</f>
        <v>485.08</v>
      </c>
      <c r="N146" s="17">
        <f t="shared" si="41"/>
        <v>1</v>
      </c>
      <c r="O146" s="16">
        <f t="shared" si="42"/>
        <v>485.08</v>
      </c>
      <c r="P146" s="17">
        <f t="shared" si="43"/>
        <v>1</v>
      </c>
      <c r="Q146" s="17">
        <f t="shared" si="44"/>
        <v>3.0093971945020591E-4</v>
      </c>
    </row>
    <row r="147" spans="1:17" x14ac:dyDescent="0.3">
      <c r="A147" s="15" t="s">
        <v>152</v>
      </c>
      <c r="B147" s="22" t="str">
        <f>VLOOKUP(A147,ORCAMENTO!$A:$I,2,FALSE)</f>
        <v>INFRAESTRUTURA</v>
      </c>
      <c r="C147" s="16">
        <f>VLOOKUP(A147,ORCAMENTO!$A:$I,9,FALSE)</f>
        <v>264.64</v>
      </c>
      <c r="D147" s="17">
        <f t="shared" si="36"/>
        <v>1.6418052147130883E-4</v>
      </c>
      <c r="E147" s="16">
        <f>VLOOKUP(A147,CO!$A:$X,10,FALSE)</f>
        <v>0</v>
      </c>
      <c r="F147" s="17">
        <f t="shared" si="37"/>
        <v>0</v>
      </c>
      <c r="G147" s="16">
        <f>VLOOKUP(A147,CO!$A:$X,13,FALSE)</f>
        <v>0</v>
      </c>
      <c r="H147" s="17">
        <f t="shared" si="38"/>
        <v>0</v>
      </c>
      <c r="I147" s="16">
        <f>VLOOKUP(A147,CO!$A:$X,16,FALSE)</f>
        <v>0</v>
      </c>
      <c r="J147" s="17">
        <f t="shared" si="39"/>
        <v>0</v>
      </c>
      <c r="K147" s="16">
        <f>VLOOKUP(A147,CO!$A:$X,19,FALSE)</f>
        <v>0</v>
      </c>
      <c r="L147" s="17">
        <f t="shared" si="40"/>
        <v>0</v>
      </c>
      <c r="M147" s="16">
        <f>VLOOKUP(A147,CO!$A:$X,22,FALSE)</f>
        <v>264.64</v>
      </c>
      <c r="N147" s="17">
        <f t="shared" si="41"/>
        <v>1</v>
      </c>
      <c r="O147" s="16">
        <f t="shared" si="42"/>
        <v>264.64</v>
      </c>
      <c r="P147" s="17">
        <f t="shared" si="43"/>
        <v>1</v>
      </c>
      <c r="Q147" s="17">
        <f t="shared" si="44"/>
        <v>1.6418052147130883E-4</v>
      </c>
    </row>
    <row r="148" spans="1:17" x14ac:dyDescent="0.3">
      <c r="A148" s="15" t="s">
        <v>153</v>
      </c>
      <c r="B148" s="22" t="str">
        <f>VLOOKUP(A148,ORCAMENTO!$A:$I,2,FALSE)</f>
        <v>INSTALAÇÕES HIDRÁULICAS</v>
      </c>
      <c r="C148" s="16">
        <f>VLOOKUP(A148,ORCAMENTO!$A:$I,9,FALSE)</f>
        <v>705.57</v>
      </c>
      <c r="D148" s="17">
        <f t="shared" si="36"/>
        <v>4.3772993702581391E-4</v>
      </c>
      <c r="E148" s="16">
        <f>VLOOKUP(A148,CO!$A:$X,10,FALSE)</f>
        <v>0</v>
      </c>
      <c r="F148" s="17">
        <f t="shared" si="37"/>
        <v>0</v>
      </c>
      <c r="G148" s="16">
        <f>VLOOKUP(A148,CO!$A:$X,13,FALSE)</f>
        <v>0</v>
      </c>
      <c r="H148" s="17">
        <f t="shared" si="38"/>
        <v>0</v>
      </c>
      <c r="I148" s="16">
        <f>VLOOKUP(A148,CO!$A:$X,16,FALSE)</f>
        <v>0</v>
      </c>
      <c r="J148" s="17">
        <f t="shared" si="39"/>
        <v>0</v>
      </c>
      <c r="K148" s="16">
        <f>VLOOKUP(A148,CO!$A:$X,19,FALSE)</f>
        <v>0</v>
      </c>
      <c r="L148" s="17">
        <f t="shared" si="40"/>
        <v>0</v>
      </c>
      <c r="M148" s="16">
        <f>VLOOKUP(A148,CO!$A:$X,22,FALSE)</f>
        <v>705.57</v>
      </c>
      <c r="N148" s="17">
        <f t="shared" si="41"/>
        <v>1</v>
      </c>
      <c r="O148" s="16">
        <f t="shared" si="42"/>
        <v>705.57</v>
      </c>
      <c r="P148" s="17">
        <f t="shared" si="43"/>
        <v>1</v>
      </c>
      <c r="Q148" s="17">
        <f t="shared" si="44"/>
        <v>4.3772993702581391E-4</v>
      </c>
    </row>
    <row r="149" spans="1:17" x14ac:dyDescent="0.3">
      <c r="A149" s="12" t="s">
        <v>154</v>
      </c>
      <c r="B149" s="21" t="str">
        <f>VLOOKUP(A149,ORCAMENTO!$A:$I,2,FALSE)</f>
        <v>RESERVAÇÃO</v>
      </c>
      <c r="C149" s="13">
        <f>VLOOKUP(A149,ORCAMENTO!$A:$I,9,FALSE)</f>
        <v>31488.33</v>
      </c>
      <c r="D149" s="14">
        <f t="shared" si="36"/>
        <v>1.9535105953977703E-2</v>
      </c>
      <c r="E149" s="13">
        <f>VLOOKUP(A149,CO!$A:$X,10,FALSE)</f>
        <v>0</v>
      </c>
      <c r="F149" s="14">
        <f t="shared" si="37"/>
        <v>0</v>
      </c>
      <c r="G149" s="13">
        <f>VLOOKUP(A149,CO!$A:$X,13,FALSE)</f>
        <v>0</v>
      </c>
      <c r="H149" s="14">
        <f t="shared" si="38"/>
        <v>0</v>
      </c>
      <c r="I149" s="13">
        <f>VLOOKUP(A149,CO!$A:$X,16,FALSE)</f>
        <v>0</v>
      </c>
      <c r="J149" s="14">
        <f t="shared" si="39"/>
        <v>0</v>
      </c>
      <c r="K149" s="13">
        <f>VLOOKUP(A149,CO!$A:$X,19,FALSE)</f>
        <v>0</v>
      </c>
      <c r="L149" s="14">
        <f t="shared" si="40"/>
        <v>0</v>
      </c>
      <c r="M149" s="13">
        <f>VLOOKUP(A149,CO!$A:$X,22,FALSE)</f>
        <v>31488.33</v>
      </c>
      <c r="N149" s="14">
        <f t="shared" si="41"/>
        <v>1</v>
      </c>
      <c r="O149" s="13">
        <f t="shared" si="42"/>
        <v>31488.33</v>
      </c>
      <c r="P149" s="14">
        <f t="shared" si="43"/>
        <v>1</v>
      </c>
      <c r="Q149" s="14">
        <f t="shared" si="44"/>
        <v>1.9535105953977703E-2</v>
      </c>
    </row>
    <row r="150" spans="1:17" x14ac:dyDescent="0.3">
      <c r="A150" s="12" t="s">
        <v>155</v>
      </c>
      <c r="B150" s="21" t="str">
        <f>VLOOKUP(A150,ORCAMENTO!$A:$I,2,FALSE)</f>
        <v>DISTRIBUIÇÃO</v>
      </c>
      <c r="C150" s="13">
        <f>VLOOKUP(A150,ORCAMENTO!$A:$I,9,FALSE)</f>
        <v>70819.959999999992</v>
      </c>
      <c r="D150" s="14">
        <f t="shared" si="36"/>
        <v>4.3936131965603205E-2</v>
      </c>
      <c r="E150" s="13">
        <f>SUM(E$151,E$152,)</f>
        <v>0</v>
      </c>
      <c r="F150" s="14">
        <f t="shared" si="37"/>
        <v>0</v>
      </c>
      <c r="G150" s="13">
        <f>SUM(G$151,G$152,)</f>
        <v>0</v>
      </c>
      <c r="H150" s="14">
        <f t="shared" si="38"/>
        <v>0</v>
      </c>
      <c r="I150" s="13">
        <f>SUM(I$151,I$152,)</f>
        <v>0</v>
      </c>
      <c r="J150" s="14">
        <f t="shared" si="39"/>
        <v>0</v>
      </c>
      <c r="K150" s="13">
        <f>SUM(K$151,K$152,)</f>
        <v>0</v>
      </c>
      <c r="L150" s="14">
        <f t="shared" si="40"/>
        <v>0</v>
      </c>
      <c r="M150" s="13">
        <f>SUM(M$151,M$152,)</f>
        <v>70819.959999999992</v>
      </c>
      <c r="N150" s="14">
        <f t="shared" si="41"/>
        <v>1</v>
      </c>
      <c r="O150" s="13">
        <f t="shared" si="42"/>
        <v>70819.959999999992</v>
      </c>
      <c r="P150" s="14">
        <f t="shared" si="43"/>
        <v>1</v>
      </c>
      <c r="Q150" s="14">
        <f t="shared" si="44"/>
        <v>4.3936131965603205E-2</v>
      </c>
    </row>
    <row r="151" spans="1:17" x14ac:dyDescent="0.3">
      <c r="A151" s="15" t="s">
        <v>156</v>
      </c>
      <c r="B151" s="22" t="str">
        <f>VLOOKUP(A151,ORCAMENTO!$A:$I,2,FALSE)</f>
        <v>MOVIMENTO DE TERRA</v>
      </c>
      <c r="C151" s="16">
        <f>VLOOKUP(A151,ORCAMENTO!$A:$I,9,FALSE)</f>
        <v>14391.86</v>
      </c>
      <c r="D151" s="17">
        <f t="shared" si="36"/>
        <v>8.928593862386907E-3</v>
      </c>
      <c r="E151" s="16">
        <f>VLOOKUP(A151,CO!$A:$X,10,FALSE)</f>
        <v>0</v>
      </c>
      <c r="F151" s="17">
        <f t="shared" si="37"/>
        <v>0</v>
      </c>
      <c r="G151" s="16">
        <f>VLOOKUP(A151,CO!$A:$X,13,FALSE)</f>
        <v>0</v>
      </c>
      <c r="H151" s="17">
        <f t="shared" si="38"/>
        <v>0</v>
      </c>
      <c r="I151" s="16">
        <f>VLOOKUP(A151,CO!$A:$X,16,FALSE)</f>
        <v>0</v>
      </c>
      <c r="J151" s="17">
        <f t="shared" si="39"/>
        <v>0</v>
      </c>
      <c r="K151" s="16">
        <f>VLOOKUP(A151,CO!$A:$X,19,FALSE)</f>
        <v>0</v>
      </c>
      <c r="L151" s="17">
        <f t="shared" si="40"/>
        <v>0</v>
      </c>
      <c r="M151" s="16">
        <f>VLOOKUP(A151,CO!$A:$X,22,FALSE)</f>
        <v>14391.86</v>
      </c>
      <c r="N151" s="17">
        <f t="shared" si="41"/>
        <v>1</v>
      </c>
      <c r="O151" s="16">
        <f t="shared" si="42"/>
        <v>14391.86</v>
      </c>
      <c r="P151" s="17">
        <f t="shared" si="43"/>
        <v>1</v>
      </c>
      <c r="Q151" s="17">
        <f t="shared" si="44"/>
        <v>8.928593862386907E-3</v>
      </c>
    </row>
    <row r="152" spans="1:17" x14ac:dyDescent="0.3">
      <c r="A152" s="15" t="s">
        <v>157</v>
      </c>
      <c r="B152" s="22" t="str">
        <f>VLOOKUP(A152,ORCAMENTO!$A:$I,2,FALSE)</f>
        <v>INSTALAÇÕES HIDRÁULICAS</v>
      </c>
      <c r="C152" s="16">
        <f>VLOOKUP(A152,ORCAMENTO!$A:$I,9,FALSE)</f>
        <v>56428.1</v>
      </c>
      <c r="D152" s="17">
        <f t="shared" si="36"/>
        <v>3.5007538103216301E-2</v>
      </c>
      <c r="E152" s="16">
        <f>VLOOKUP(A152,CO!$A:$X,10,FALSE)</f>
        <v>0</v>
      </c>
      <c r="F152" s="17">
        <f t="shared" si="37"/>
        <v>0</v>
      </c>
      <c r="G152" s="16">
        <f>VLOOKUP(A152,CO!$A:$X,13,FALSE)</f>
        <v>0</v>
      </c>
      <c r="H152" s="17">
        <f t="shared" si="38"/>
        <v>0</v>
      </c>
      <c r="I152" s="16">
        <f>VLOOKUP(A152,CO!$A:$X,16,FALSE)</f>
        <v>0</v>
      </c>
      <c r="J152" s="17">
        <f t="shared" si="39"/>
        <v>0</v>
      </c>
      <c r="K152" s="16">
        <f>VLOOKUP(A152,CO!$A:$X,19,FALSE)</f>
        <v>0</v>
      </c>
      <c r="L152" s="17">
        <f t="shared" si="40"/>
        <v>0</v>
      </c>
      <c r="M152" s="16">
        <f>VLOOKUP(A152,CO!$A:$X,22,FALSE)</f>
        <v>56428.1</v>
      </c>
      <c r="N152" s="17">
        <f t="shared" si="41"/>
        <v>1</v>
      </c>
      <c r="O152" s="16">
        <f t="shared" si="42"/>
        <v>56428.1</v>
      </c>
      <c r="P152" s="17">
        <f t="shared" si="43"/>
        <v>1</v>
      </c>
      <c r="Q152" s="17">
        <f t="shared" si="44"/>
        <v>3.5007538103216301E-2</v>
      </c>
    </row>
    <row r="153" spans="1:17" x14ac:dyDescent="0.3">
      <c r="B153" s="4" t="s">
        <v>167</v>
      </c>
      <c r="C153" s="60">
        <f>SUM(C8,C9,C33,C57,C81,C105,C129,)</f>
        <v>1611884.27</v>
      </c>
      <c r="D153" s="62">
        <f>SUM(D8,D9,D33,D57,D81,D105,D129,)</f>
        <v>1</v>
      </c>
      <c r="E153" s="18">
        <f>SUM(E8,E9,E33,E57,E81,E105,E129,)</f>
        <v>511370.87</v>
      </c>
      <c r="F153" s="19">
        <f>E153/$C$153</f>
        <v>0.31725036314176575</v>
      </c>
      <c r="G153" s="18">
        <f>SUM(G8,G9,G33,G57,G81,G105,G129,)</f>
        <v>501941.66000000003</v>
      </c>
      <c r="H153" s="19">
        <f>G153/$C$153</f>
        <v>0.31140055731172317</v>
      </c>
      <c r="I153" s="18">
        <f>SUM(I8,I9,I33,I57,I81,I105,I129,)</f>
        <v>221437.97</v>
      </c>
      <c r="J153" s="19">
        <f>I153/$C$153</f>
        <v>0.13737833051748807</v>
      </c>
      <c r="K153" s="18">
        <f>SUM(K8,K9,K33,K57,K81,K105,K129,)</f>
        <v>177915.58000000002</v>
      </c>
      <c r="L153" s="19">
        <f>K153/$C$153</f>
        <v>0.11037739080362141</v>
      </c>
      <c r="M153" s="18">
        <f>SUM(M8,M9,M33,M57,M81,M105,M129,)</f>
        <v>199218.18999999997</v>
      </c>
      <c r="N153" s="19">
        <f>M153/$C$153</f>
        <v>0.12359335822540161</v>
      </c>
      <c r="O153" s="60">
        <f>SUM(O8,O9,O33,O57,O81,O105,O129,)</f>
        <v>1611884.27</v>
      </c>
      <c r="P153" s="62">
        <f>SUM(F153,H153,J153,L153,N153,)</f>
        <v>1</v>
      </c>
      <c r="Q153" s="62">
        <f>SUM(Q8,Q9,Q33,Q57,Q81,Q105,Q129,)</f>
        <v>1</v>
      </c>
    </row>
    <row r="154" spans="1:17" x14ac:dyDescent="0.3">
      <c r="B154" s="4" t="s">
        <v>168</v>
      </c>
      <c r="C154" s="61"/>
      <c r="D154" s="63"/>
      <c r="E154" s="18">
        <f>SUM(E153)</f>
        <v>511370.87</v>
      </c>
      <c r="F154" s="19">
        <f>E154/$C$153</f>
        <v>0.31725036314176575</v>
      </c>
      <c r="G154" s="18">
        <f>SUM(G153,E154)</f>
        <v>1013312.53</v>
      </c>
      <c r="H154" s="19">
        <f>G154/$C$153</f>
        <v>0.62865092045348892</v>
      </c>
      <c r="I154" s="18">
        <f>SUM(I153,G154)</f>
        <v>1234750.5</v>
      </c>
      <c r="J154" s="19">
        <f>I154/$C$153</f>
        <v>0.76602925097097696</v>
      </c>
      <c r="K154" s="18">
        <f>SUM(K153,I154)</f>
        <v>1412666.08</v>
      </c>
      <c r="L154" s="19">
        <f>K154/$C$153</f>
        <v>0.87640664177459837</v>
      </c>
      <c r="M154" s="18">
        <f>SUM(M153,K154)</f>
        <v>1611884.27</v>
      </c>
      <c r="N154" s="19">
        <f>M154/$C$153</f>
        <v>1</v>
      </c>
      <c r="O154" s="61"/>
      <c r="P154" s="63"/>
      <c r="Q154" s="63"/>
    </row>
  </sheetData>
  <mergeCells count="19">
    <mergeCell ref="A1:Q1"/>
    <mergeCell ref="A2:Q2"/>
    <mergeCell ref="A3:Q3"/>
    <mergeCell ref="A6:A7"/>
    <mergeCell ref="B6:B7"/>
    <mergeCell ref="C6:C7"/>
    <mergeCell ref="D6:D7"/>
    <mergeCell ref="E6:F7"/>
    <mergeCell ref="G6:H7"/>
    <mergeCell ref="I6:J7"/>
    <mergeCell ref="K6:L7"/>
    <mergeCell ref="M6:N7"/>
    <mergeCell ref="O6:O7"/>
    <mergeCell ref="P6:Q6"/>
    <mergeCell ref="C153:C154"/>
    <mergeCell ref="D153:D154"/>
    <mergeCell ref="O153:O154"/>
    <mergeCell ref="P153:P154"/>
    <mergeCell ref="Q153:Q154"/>
  </mergeCells>
  <pageMargins left="0.78740157480314965" right="0.39370078740157483" top="1.1811023622047245" bottom="0.78740157480314965" header="0.31496062992125984" footer="0.31496062992125984"/>
  <pageSetup paperSize="9" scale="43" fitToHeight="0" orientation="landscape"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601A9-6369-4D73-9609-9F503C09AD85}">
  <sheetPr>
    <pageSetUpPr fitToPage="1"/>
  </sheetPr>
  <dimension ref="A1:N887"/>
  <sheetViews>
    <sheetView showGridLines="0" topLeftCell="A859" workbookViewId="0">
      <selection activeCell="B875" sqref="B875:N875"/>
    </sheetView>
  </sheetViews>
  <sheetFormatPr defaultRowHeight="14.4" x14ac:dyDescent="0.3"/>
  <cols>
    <col min="1" max="3" width="12" bestFit="1" customWidth="1"/>
    <col min="4" max="4" width="74.109375" bestFit="1" customWidth="1"/>
    <col min="5" max="5" width="9.21875" bestFit="1" customWidth="1"/>
    <col min="6" max="14" width="14.77734375" bestFit="1" customWidth="1"/>
  </cols>
  <sheetData>
    <row r="1" spans="1:14" x14ac:dyDescent="0.3">
      <c r="A1" s="44" t="str">
        <f>CIDADE</f>
        <v>MUNICÍPIOS DE PARNAGUÁ - PI E ANÍSIO DE ABREU-PI</v>
      </c>
      <c r="B1" s="44"/>
      <c r="C1" s="44"/>
      <c r="D1" s="44"/>
      <c r="E1" s="44"/>
      <c r="F1" s="44"/>
      <c r="G1" s="44"/>
      <c r="H1" s="44"/>
      <c r="I1" s="44"/>
      <c r="J1" s="44"/>
      <c r="K1" s="44"/>
      <c r="L1" s="44"/>
      <c r="M1" s="44"/>
      <c r="N1" s="44"/>
    </row>
    <row r="2" spans="1:14" x14ac:dyDescent="0.3">
      <c r="A2" s="44" t="str">
        <f>OBRA</f>
        <v>IMPLANTAÇÃO DE 6 (SEIS) SISTEMAS DE ABASTECIMENTO DE ÁGUA EM COMUNIDADES RURAIS NOS MUNICÍPIOS DE PARNAGUÁ-PI E ANÍSIO DE ABREU-PI (TC 967175/2024)</v>
      </c>
      <c r="B2" s="44"/>
      <c r="C2" s="44"/>
      <c r="D2" s="44"/>
      <c r="E2" s="44"/>
      <c r="F2" s="44"/>
      <c r="G2" s="44"/>
      <c r="H2" s="44"/>
      <c r="I2" s="44"/>
      <c r="J2" s="44"/>
      <c r="K2" s="44"/>
      <c r="L2" s="44"/>
      <c r="M2" s="44"/>
      <c r="N2" s="44"/>
    </row>
    <row r="3" spans="1:14" x14ac:dyDescent="0.3">
      <c r="A3" s="44" t="s">
        <v>506</v>
      </c>
      <c r="B3" s="44"/>
      <c r="C3" s="44"/>
      <c r="D3" s="44"/>
      <c r="E3" s="44"/>
      <c r="F3" s="44"/>
      <c r="G3" s="44"/>
      <c r="H3" s="44"/>
      <c r="I3" s="44"/>
      <c r="J3" s="44"/>
      <c r="K3" s="44"/>
      <c r="L3" s="44"/>
      <c r="M3" s="44"/>
      <c r="N3" s="44"/>
    </row>
    <row r="5" spans="1:14" x14ac:dyDescent="0.3">
      <c r="A5" s="1" t="s">
        <v>1</v>
      </c>
      <c r="B5" s="7" t="str">
        <f>FONTE&amp;FOLHA</f>
        <v>SINAPI PI 07/2025, SEINFRA CE 28, ORSE SE 06/2025, CAESB 10/2024SEM DESONERAÇÃO</v>
      </c>
      <c r="C5" s="1"/>
      <c r="D5" s="1"/>
      <c r="E5" s="1"/>
      <c r="F5" s="1"/>
      <c r="G5" s="1"/>
      <c r="H5" s="1"/>
      <c r="I5" s="1"/>
      <c r="J5" s="1"/>
      <c r="K5" s="1" t="s">
        <v>7</v>
      </c>
      <c r="L5" s="8">
        <f>LEI</f>
        <v>113.33</v>
      </c>
      <c r="M5" s="1" t="s">
        <v>16</v>
      </c>
      <c r="N5" s="8">
        <f>BDI</f>
        <v>22.33</v>
      </c>
    </row>
    <row r="6" spans="1:14" x14ac:dyDescent="0.3">
      <c r="A6" s="4" t="s">
        <v>17</v>
      </c>
      <c r="B6" s="4" t="s">
        <v>170</v>
      </c>
      <c r="C6" s="4" t="s">
        <v>171</v>
      </c>
      <c r="D6" s="4" t="s">
        <v>18</v>
      </c>
      <c r="E6" s="4" t="s">
        <v>172</v>
      </c>
      <c r="F6" s="4" t="s">
        <v>173</v>
      </c>
      <c r="G6" s="4" t="s">
        <v>507</v>
      </c>
      <c r="H6" s="4" t="s">
        <v>508</v>
      </c>
      <c r="I6" s="4" t="s">
        <v>509</v>
      </c>
      <c r="J6" s="4" t="s">
        <v>510</v>
      </c>
      <c r="K6" s="4" t="s">
        <v>511</v>
      </c>
      <c r="L6" s="4" t="s">
        <v>512</v>
      </c>
      <c r="M6" s="4" t="s">
        <v>513</v>
      </c>
      <c r="N6" s="4" t="s">
        <v>158</v>
      </c>
    </row>
    <row r="7" spans="1:14" x14ac:dyDescent="0.3">
      <c r="A7" s="9">
        <v>1</v>
      </c>
      <c r="B7" s="54" t="s">
        <v>514</v>
      </c>
      <c r="C7" s="55"/>
      <c r="D7" s="55"/>
      <c r="E7" s="55"/>
      <c r="F7" s="55"/>
      <c r="G7" s="55"/>
      <c r="H7" s="55"/>
      <c r="I7" s="55"/>
      <c r="J7" s="55"/>
      <c r="K7" s="55"/>
      <c r="L7" s="55"/>
      <c r="M7" s="55"/>
      <c r="N7" s="56"/>
    </row>
    <row r="8" spans="1:14" x14ac:dyDescent="0.3">
      <c r="A8" s="23" t="s">
        <v>176</v>
      </c>
      <c r="B8" s="23" t="s">
        <v>515</v>
      </c>
      <c r="C8" s="23" t="str">
        <f>VLOOKUP(B8,CPU!$B:$J,2,FALSE)</f>
        <v>PRÓPRIA</v>
      </c>
      <c r="D8" s="24" t="str">
        <f>VLOOKUP(B8,CPU!$B:$J,3,FALSE)</f>
        <v>ADMINISTRAÇÃO LOCAL DA OBRA</v>
      </c>
      <c r="E8" s="23" t="str">
        <f>VLOOKUP(B8,CPU!$B:$J,4,FALSE)</f>
        <v>MÊS</v>
      </c>
      <c r="F8" s="23"/>
      <c r="G8" s="23"/>
      <c r="H8" s="23"/>
      <c r="I8" s="23"/>
      <c r="J8" s="23"/>
      <c r="K8" s="23"/>
      <c r="L8" s="23"/>
      <c r="M8" s="23"/>
      <c r="N8" s="5">
        <f>SUM($M$9:$M$9)</f>
        <v>5</v>
      </c>
    </row>
    <row r="9" spans="1:14" x14ac:dyDescent="0.3">
      <c r="A9" s="23" t="s">
        <v>516</v>
      </c>
      <c r="B9" s="70" t="s">
        <v>517</v>
      </c>
      <c r="C9" s="71"/>
      <c r="D9" s="71"/>
      <c r="E9" s="72"/>
      <c r="F9" s="5">
        <v>5</v>
      </c>
      <c r="G9" s="26"/>
      <c r="H9" s="5"/>
      <c r="I9" s="5"/>
      <c r="J9" s="5"/>
      <c r="K9" s="5" t="str">
        <f>IF(COUNTA(H9:J9)=2,ROUND(PRODUCT(H9:J9),2),"")</f>
        <v/>
      </c>
      <c r="L9" s="5" t="str">
        <f>IF(OR(AND(COUNTA(H9:J9)=3,K9=""),AND(COUNTA(H9:J9)=1,K9&lt;&gt;"")),ROUND(PRODUCT(H9:K9),2),"")</f>
        <v/>
      </c>
      <c r="M9" s="5">
        <f>IF(L9&lt;&gt;"",ROUND(PRODUCT(F9,G9,L9),2),IF(K9&lt;&gt;"",ROUND(PRODUCT(F9,G9,K9),2),ROUND(PRODUCT(F9:J9),2)))</f>
        <v>5</v>
      </c>
      <c r="N9" s="5"/>
    </row>
    <row r="10" spans="1:14" x14ac:dyDescent="0.3">
      <c r="A10" s="23" t="s">
        <v>177</v>
      </c>
      <c r="B10" s="23" t="s">
        <v>518</v>
      </c>
      <c r="C10" s="23" t="str">
        <f>VLOOKUP(B10,CPU!$B:$J,2,FALSE)</f>
        <v>PRÓPRIA</v>
      </c>
      <c r="D10" s="24" t="str">
        <f>VLOOKUP(B10,CPU!$B:$J,3,FALSE)</f>
        <v>PLACAS PADRÃO DE OBRA</v>
      </c>
      <c r="E10" s="23" t="str">
        <f>VLOOKUP(B10,CPU!$B:$J,4,FALSE)</f>
        <v>M2</v>
      </c>
      <c r="F10" s="23"/>
      <c r="G10" s="23"/>
      <c r="H10" s="23"/>
      <c r="I10" s="23"/>
      <c r="J10" s="23"/>
      <c r="K10" s="23"/>
      <c r="L10" s="23"/>
      <c r="M10" s="23"/>
      <c r="N10" s="5">
        <f>SUM($M$11:$M$11)</f>
        <v>12.96</v>
      </c>
    </row>
    <row r="11" spans="1:14" x14ac:dyDescent="0.3">
      <c r="A11" s="23" t="s">
        <v>519</v>
      </c>
      <c r="B11" s="70" t="s">
        <v>517</v>
      </c>
      <c r="C11" s="71"/>
      <c r="D11" s="71"/>
      <c r="E11" s="72"/>
      <c r="F11" s="5"/>
      <c r="G11" s="26">
        <v>2</v>
      </c>
      <c r="H11" s="5">
        <v>3.6</v>
      </c>
      <c r="I11" s="5"/>
      <c r="J11" s="5">
        <v>1.8</v>
      </c>
      <c r="K11" s="5">
        <f>IF(COUNTA(H11:J11)=2,ROUND(PRODUCT(H11:J11),2),"")</f>
        <v>6.48</v>
      </c>
      <c r="L11" s="5" t="str">
        <f>IF(OR(AND(COUNTA(H11:J11)=3,K11=""),AND(COUNTA(H11:J11)=1,K11&lt;&gt;"")),ROUND(PRODUCT(H11:K11),2),"")</f>
        <v/>
      </c>
      <c r="M11" s="5">
        <f>IF(L11&lt;&gt;"",ROUND(PRODUCT(F11,G11,L11),2),IF(K11&lt;&gt;"",ROUND(PRODUCT(F11,G11,K11),2),ROUND(PRODUCT(F11:J11),2)))</f>
        <v>12.96</v>
      </c>
      <c r="N11" s="5"/>
    </row>
    <row r="12" spans="1:14" x14ac:dyDescent="0.3">
      <c r="A12" s="9">
        <v>2</v>
      </c>
      <c r="B12" s="54" t="s">
        <v>520</v>
      </c>
      <c r="C12" s="55"/>
      <c r="D12" s="55"/>
      <c r="E12" s="55"/>
      <c r="F12" s="55"/>
      <c r="G12" s="55"/>
      <c r="H12" s="55"/>
      <c r="I12" s="55"/>
      <c r="J12" s="55"/>
      <c r="K12" s="55"/>
      <c r="L12" s="55"/>
      <c r="M12" s="55"/>
      <c r="N12" s="56"/>
    </row>
    <row r="13" spans="1:14" x14ac:dyDescent="0.3">
      <c r="A13" s="12" t="s">
        <v>20</v>
      </c>
      <c r="B13" s="51" t="s">
        <v>521</v>
      </c>
      <c r="C13" s="52"/>
      <c r="D13" s="52"/>
      <c r="E13" s="52"/>
      <c r="F13" s="52"/>
      <c r="G13" s="52"/>
      <c r="H13" s="52"/>
      <c r="I13" s="52"/>
      <c r="J13" s="52"/>
      <c r="K13" s="52"/>
      <c r="L13" s="52"/>
      <c r="M13" s="52"/>
      <c r="N13" s="53"/>
    </row>
    <row r="14" spans="1:14" x14ac:dyDescent="0.3">
      <c r="A14" s="23" t="s">
        <v>178</v>
      </c>
      <c r="B14" s="23" t="s">
        <v>522</v>
      </c>
      <c r="C14" s="23" t="str">
        <f>VLOOKUP(B14,CPU!$B:$J,2,FALSE)</f>
        <v>PRÓPRIA</v>
      </c>
      <c r="D14" s="24" t="str">
        <f>VLOOKUP(B14,CPU!$B:$J,3,FALSE)</f>
        <v>LOCAÇÃO DO POÇO COM ESTUDO GEOLÓGICO/HIDROGEOLÓGICO/GEOFÍSICO</v>
      </c>
      <c r="E14" s="23" t="str">
        <f>VLOOKUP(B14,CPU!$B:$J,4,FALSE)</f>
        <v>UN</v>
      </c>
      <c r="F14" s="23"/>
      <c r="G14" s="23"/>
      <c r="H14" s="23"/>
      <c r="I14" s="23"/>
      <c r="J14" s="23"/>
      <c r="K14" s="23"/>
      <c r="L14" s="23"/>
      <c r="M14" s="23"/>
      <c r="N14" s="5">
        <f>SUM($M$15:$M$15)</f>
        <v>1</v>
      </c>
    </row>
    <row r="15" spans="1:14" x14ac:dyDescent="0.3">
      <c r="A15" s="23" t="s">
        <v>523</v>
      </c>
      <c r="B15" s="70" t="s">
        <v>517</v>
      </c>
      <c r="C15" s="71"/>
      <c r="D15" s="71"/>
      <c r="E15" s="72"/>
      <c r="F15" s="5">
        <v>1</v>
      </c>
      <c r="G15" s="26"/>
      <c r="H15" s="5"/>
      <c r="I15" s="5"/>
      <c r="J15" s="5"/>
      <c r="K15" s="5" t="str">
        <f>IF(COUNTA(H15:J15)=2,ROUND(PRODUCT(H15:J15),2),"")</f>
        <v/>
      </c>
      <c r="L15" s="5" t="str">
        <f>IF(OR(AND(COUNTA(H15:J15)=3,K15=""),AND(COUNTA(H15:J15)=1,K15&lt;&gt;"")),ROUND(PRODUCT(H15:K15),2),"")</f>
        <v/>
      </c>
      <c r="M15" s="5">
        <f>IF(L15&lt;&gt;"",ROUND(PRODUCT(F15,G15,L15),2),IF(K15&lt;&gt;"",ROUND(PRODUCT(F15,G15,K15),2),ROUND(PRODUCT(F15:J15),2)))</f>
        <v>1</v>
      </c>
      <c r="N15" s="5"/>
    </row>
    <row r="16" spans="1:14" x14ac:dyDescent="0.3">
      <c r="A16" s="23" t="s">
        <v>179</v>
      </c>
      <c r="B16" s="23" t="s">
        <v>524</v>
      </c>
      <c r="C16" s="23" t="str">
        <f>VLOOKUP(B16,CPU!$B:$J,2,FALSE)</f>
        <v>PRÓPRIA</v>
      </c>
      <c r="D16" s="24" t="str">
        <f>VLOOKUP(B16,CPU!$B:$J,3,FALSE)</f>
        <v>TRANSPORTE DE MÁQUINAS E EQUIPAMENTOS</v>
      </c>
      <c r="E16" s="23" t="str">
        <f>VLOOKUP(B16,CPU!$B:$J,4,FALSE)</f>
        <v>KM</v>
      </c>
      <c r="F16" s="23"/>
      <c r="G16" s="23"/>
      <c r="H16" s="23"/>
      <c r="I16" s="23"/>
      <c r="J16" s="23"/>
      <c r="K16" s="23"/>
      <c r="L16" s="23"/>
      <c r="M16" s="23"/>
      <c r="N16" s="5">
        <f>SUM($M$17:$M$17)</f>
        <v>740</v>
      </c>
    </row>
    <row r="17" spans="1:14" x14ac:dyDescent="0.3">
      <c r="A17" s="23" t="s">
        <v>525</v>
      </c>
      <c r="B17" s="70" t="s">
        <v>517</v>
      </c>
      <c r="C17" s="71"/>
      <c r="D17" s="71"/>
      <c r="E17" s="72"/>
      <c r="F17" s="5">
        <v>740</v>
      </c>
      <c r="G17" s="26"/>
      <c r="H17" s="5"/>
      <c r="I17" s="5"/>
      <c r="J17" s="5"/>
      <c r="K17" s="5" t="str">
        <f>IF(COUNTA(H17:J17)=2,ROUND(PRODUCT(H17:J17),2),"")</f>
        <v/>
      </c>
      <c r="L17" s="5" t="str">
        <f>IF(OR(AND(COUNTA(H17:J17)=3,K17=""),AND(COUNTA(H17:J17)=1,K17&lt;&gt;"")),ROUND(PRODUCT(H17:K17),2),"")</f>
        <v/>
      </c>
      <c r="M17" s="5">
        <f>IF(L17&lt;&gt;"",ROUND(PRODUCT(F17,G17,L17),2),IF(K17&lt;&gt;"",ROUND(PRODUCT(F17,G17,K17),2),ROUND(PRODUCT(F17:J17),2)))</f>
        <v>740</v>
      </c>
      <c r="N17" s="5"/>
    </row>
    <row r="18" spans="1:14" x14ac:dyDescent="0.3">
      <c r="A18" s="23" t="s">
        <v>180</v>
      </c>
      <c r="B18" s="23" t="s">
        <v>524</v>
      </c>
      <c r="C18" s="23" t="str">
        <f>VLOOKUP(B18,CPU!$B:$J,2,FALSE)</f>
        <v>PRÓPRIA</v>
      </c>
      <c r="D18" s="24" t="str">
        <f>VLOOKUP(B18,CPU!$B:$J,3,FALSE)</f>
        <v>TRANSPORTE DE MÁQUINAS E EQUIPAMENTOS</v>
      </c>
      <c r="E18" s="23" t="str">
        <f>VLOOKUP(B18,CPU!$B:$J,4,FALSE)</f>
        <v>KM</v>
      </c>
      <c r="F18" s="23"/>
      <c r="G18" s="23"/>
      <c r="H18" s="23"/>
      <c r="I18" s="23"/>
      <c r="J18" s="23"/>
      <c r="K18" s="23"/>
      <c r="L18" s="23"/>
      <c r="M18" s="23"/>
      <c r="N18" s="5">
        <f>SUM($M$19:$M$19)</f>
        <v>740</v>
      </c>
    </row>
    <row r="19" spans="1:14" x14ac:dyDescent="0.3">
      <c r="A19" s="23" t="s">
        <v>526</v>
      </c>
      <c r="B19" s="70" t="s">
        <v>527</v>
      </c>
      <c r="C19" s="71"/>
      <c r="D19" s="71"/>
      <c r="E19" s="72"/>
      <c r="F19" s="5">
        <v>740</v>
      </c>
      <c r="G19" s="26"/>
      <c r="H19" s="5"/>
      <c r="I19" s="5"/>
      <c r="J19" s="5"/>
      <c r="K19" s="5" t="str">
        <f>IF(COUNTA(H19:J19)=2,ROUND(PRODUCT(H19:J19),2),"")</f>
        <v/>
      </c>
      <c r="L19" s="5" t="str">
        <f>IF(OR(AND(COUNTA(H19:J19)=3,K19=""),AND(COUNTA(H19:J19)=1,K19&lt;&gt;"")),ROUND(PRODUCT(H19:K19),2),"")</f>
        <v/>
      </c>
      <c r="M19" s="5">
        <f>IF(L19&lt;&gt;"",ROUND(PRODUCT(F19,G19,L19),2),IF(K19&lt;&gt;"",ROUND(PRODUCT(F19,G19,K19),2),ROUND(PRODUCT(F19:J19),2)))</f>
        <v>740</v>
      </c>
      <c r="N19" s="5"/>
    </row>
    <row r="20" spans="1:14" x14ac:dyDescent="0.3">
      <c r="A20" s="23" t="s">
        <v>181</v>
      </c>
      <c r="B20" s="23" t="s">
        <v>528</v>
      </c>
      <c r="C20" s="23" t="str">
        <f>VLOOKUP(B20,CPU!$B:$J,2,FALSE)</f>
        <v>PRÓPRIA</v>
      </c>
      <c r="D20" s="24" t="str">
        <f>VLOOKUP(B20,CPU!$B:$J,3,FALSE)</f>
        <v>PERFILAGEM ÓTICA</v>
      </c>
      <c r="E20" s="23" t="str">
        <f>VLOOKUP(B20,CPU!$B:$J,4,FALSE)</f>
        <v>UN</v>
      </c>
      <c r="F20" s="23"/>
      <c r="G20" s="23"/>
      <c r="H20" s="23"/>
      <c r="I20" s="23"/>
      <c r="J20" s="23"/>
      <c r="K20" s="23"/>
      <c r="L20" s="23"/>
      <c r="M20" s="23"/>
      <c r="N20" s="5">
        <f>SUM($M$21:$M$21)</f>
        <v>1</v>
      </c>
    </row>
    <row r="21" spans="1:14" x14ac:dyDescent="0.3">
      <c r="A21" s="23" t="s">
        <v>529</v>
      </c>
      <c r="B21" s="70" t="s">
        <v>517</v>
      </c>
      <c r="C21" s="71"/>
      <c r="D21" s="71"/>
      <c r="E21" s="72"/>
      <c r="F21" s="5">
        <v>1</v>
      </c>
      <c r="G21" s="26"/>
      <c r="H21" s="5"/>
      <c r="I21" s="5"/>
      <c r="J21" s="5"/>
      <c r="K21" s="5" t="str">
        <f>IF(COUNTA(H21:J21)=2,ROUND(PRODUCT(H21:J21),2),"")</f>
        <v/>
      </c>
      <c r="L21" s="5" t="str">
        <f>IF(OR(AND(COUNTA(H21:J21)=3,K21=""),AND(COUNTA(H21:J21)=1,K21&lt;&gt;"")),ROUND(PRODUCT(H21:K21),2),"")</f>
        <v/>
      </c>
      <c r="M21" s="5">
        <f>IF(L21&lt;&gt;"",ROUND(PRODUCT(F21,G21,L21),2),IF(K21&lt;&gt;"",ROUND(PRODUCT(F21,G21,K21),2),ROUND(PRODUCT(F21:J21),2)))</f>
        <v>1</v>
      </c>
      <c r="N21" s="5"/>
    </row>
    <row r="22" spans="1:14" x14ac:dyDescent="0.3">
      <c r="A22" s="23" t="s">
        <v>182</v>
      </c>
      <c r="B22" s="23" t="s">
        <v>530</v>
      </c>
      <c r="C22" s="23" t="str">
        <f>VLOOKUP(B22,CPU!$B:$J,2,FALSE)</f>
        <v>PRÓPRIA</v>
      </c>
      <c r="D22" s="24" t="str">
        <f>VLOOKUP(B22,CPU!$B:$J,3,FALSE)</f>
        <v>PERFURAÇÃO EM ROCHA SEDIMENTAR DN 10" (REF: 06230/ORSE-ORSE-04/2025)</v>
      </c>
      <c r="E22" s="23" t="str">
        <f>VLOOKUP(B22,CPU!$B:$J,4,FALSE)</f>
        <v>M</v>
      </c>
      <c r="F22" s="23"/>
      <c r="G22" s="23"/>
      <c r="H22" s="23"/>
      <c r="I22" s="23"/>
      <c r="J22" s="23"/>
      <c r="K22" s="23"/>
      <c r="L22" s="23"/>
      <c r="M22" s="23"/>
      <c r="N22" s="5">
        <f>SUM($M$23:$M$23)</f>
        <v>20</v>
      </c>
    </row>
    <row r="23" spans="1:14" x14ac:dyDescent="0.3">
      <c r="A23" s="23" t="s">
        <v>531</v>
      </c>
      <c r="B23" s="70" t="s">
        <v>532</v>
      </c>
      <c r="C23" s="71"/>
      <c r="D23" s="71"/>
      <c r="E23" s="72"/>
      <c r="F23" s="5">
        <v>20</v>
      </c>
      <c r="G23" s="26"/>
      <c r="H23" s="5"/>
      <c r="I23" s="5"/>
      <c r="J23" s="5"/>
      <c r="K23" s="5" t="str">
        <f>IF(COUNTA(H23:J23)=2,ROUND(PRODUCT(H23:J23),2),"")</f>
        <v/>
      </c>
      <c r="L23" s="5" t="str">
        <f>IF(OR(AND(COUNTA(H23:J23)=3,K23=""),AND(COUNTA(H23:J23)=1,K23&lt;&gt;"")),ROUND(PRODUCT(H23:K23),2),"")</f>
        <v/>
      </c>
      <c r="M23" s="5">
        <f>IF(L23&lt;&gt;"",ROUND(PRODUCT(F23,G23,L23),2),IF(K23&lt;&gt;"",ROUND(PRODUCT(F23,G23,K23),2),ROUND(PRODUCT(F23:J23),2)))</f>
        <v>20</v>
      </c>
      <c r="N23" s="5"/>
    </row>
    <row r="24" spans="1:14" x14ac:dyDescent="0.3">
      <c r="A24" s="23" t="s">
        <v>183</v>
      </c>
      <c r="B24" s="23" t="s">
        <v>533</v>
      </c>
      <c r="C24" s="23" t="str">
        <f>VLOOKUP(B24,CPU!$B:$J,2,FALSE)</f>
        <v>PRÓPRIA</v>
      </c>
      <c r="D24" s="24" t="str">
        <f>VLOOKUP(B24,CPU!$B:$J,3,FALSE)</f>
        <v>PERFURAÇÃO EM ROCHA CRISTALINA DN 6" (REF: 06237/ORSE-ORSE-04/2025)</v>
      </c>
      <c r="E24" s="23" t="str">
        <f>VLOOKUP(B24,CPU!$B:$J,4,FALSE)</f>
        <v>M</v>
      </c>
      <c r="F24" s="23"/>
      <c r="G24" s="23"/>
      <c r="H24" s="23"/>
      <c r="I24" s="23"/>
      <c r="J24" s="23"/>
      <c r="K24" s="23"/>
      <c r="L24" s="23"/>
      <c r="M24" s="23"/>
      <c r="N24" s="5">
        <f>SUM($M$25:$M$25)</f>
        <v>100</v>
      </c>
    </row>
    <row r="25" spans="1:14" x14ac:dyDescent="0.3">
      <c r="A25" s="23" t="s">
        <v>534</v>
      </c>
      <c r="B25" s="70" t="s">
        <v>532</v>
      </c>
      <c r="C25" s="71"/>
      <c r="D25" s="71"/>
      <c r="E25" s="72"/>
      <c r="F25" s="5">
        <v>100</v>
      </c>
      <c r="G25" s="26"/>
      <c r="H25" s="5"/>
      <c r="I25" s="5"/>
      <c r="J25" s="5"/>
      <c r="K25" s="5" t="str">
        <f>IF(COUNTA(H25:J25)=2,ROUND(PRODUCT(H25:J25),2),"")</f>
        <v/>
      </c>
      <c r="L25" s="5" t="str">
        <f>IF(OR(AND(COUNTA(H25:J25)=3,K25=""),AND(COUNTA(H25:J25)=1,K25&lt;&gt;"")),ROUND(PRODUCT(H25:K25),2),"")</f>
        <v/>
      </c>
      <c r="M25" s="5">
        <f>IF(L25&lt;&gt;"",ROUND(PRODUCT(F25,G25,L25),2),IF(K25&lt;&gt;"",ROUND(PRODUCT(F25,G25,K25),2),ROUND(PRODUCT(F25:J25),2)))</f>
        <v>100</v>
      </c>
      <c r="N25" s="5"/>
    </row>
    <row r="26" spans="1:14" x14ac:dyDescent="0.3">
      <c r="A26" s="23" t="s">
        <v>184</v>
      </c>
      <c r="B26" s="23" t="s">
        <v>535</v>
      </c>
      <c r="C26" s="23" t="str">
        <f>VLOOKUP(B26,CPU!$B:$J,2,FALSE)</f>
        <v>PRÓPRIA</v>
      </c>
      <c r="D26" s="24" t="str">
        <f>VLOOKUP(B26,CPU!$B:$J,3,FALSE)</f>
        <v>CIMENTAÇÃO SANITÁRIA</v>
      </c>
      <c r="E26" s="23" t="str">
        <f>VLOOKUP(B26,CPU!$B:$J,4,FALSE)</f>
        <v>M</v>
      </c>
      <c r="F26" s="23"/>
      <c r="G26" s="23"/>
      <c r="H26" s="23"/>
      <c r="I26" s="23"/>
      <c r="J26" s="23"/>
      <c r="K26" s="23"/>
      <c r="L26" s="23"/>
      <c r="M26" s="23"/>
      <c r="N26" s="5">
        <f>SUM($M$27:$M$27)</f>
        <v>10</v>
      </c>
    </row>
    <row r="27" spans="1:14" x14ac:dyDescent="0.3">
      <c r="A27" s="23" t="s">
        <v>536</v>
      </c>
      <c r="B27" s="70" t="s">
        <v>517</v>
      </c>
      <c r="C27" s="71"/>
      <c r="D27" s="71"/>
      <c r="E27" s="72"/>
      <c r="F27" s="5">
        <v>10</v>
      </c>
      <c r="G27" s="26"/>
      <c r="H27" s="5"/>
      <c r="I27" s="5"/>
      <c r="J27" s="5"/>
      <c r="K27" s="5" t="str">
        <f>IF(COUNTA(H27:J27)=2,ROUND(PRODUCT(H27:J27),2),"")</f>
        <v/>
      </c>
      <c r="L27" s="5" t="str">
        <f>IF(OR(AND(COUNTA(H27:J27)=3,K27=""),AND(COUNTA(H27:J27)=1,K27&lt;&gt;"")),ROUND(PRODUCT(H27:K27),2),"")</f>
        <v/>
      </c>
      <c r="M27" s="5">
        <f>IF(L27&lt;&gt;"",ROUND(PRODUCT(F27,G27,L27),2),IF(K27&lt;&gt;"",ROUND(PRODUCT(F27,G27,K27),2),ROUND(PRODUCT(F27:J27),2)))</f>
        <v>10</v>
      </c>
      <c r="N27" s="5"/>
    </row>
    <row r="28" spans="1:14" x14ac:dyDescent="0.3">
      <c r="A28" s="23" t="s">
        <v>185</v>
      </c>
      <c r="B28" s="23" t="s">
        <v>537</v>
      </c>
      <c r="C28" s="23" t="str">
        <f>VLOOKUP(B28,CPU!$B:$J,2,FALSE)</f>
        <v>PRÓPRIA</v>
      </c>
      <c r="D28" s="24" t="str">
        <f>VLOOKUP(B28,CPU!$B:$J,3,FALSE)</f>
        <v>LAJE DE PROTEÇÃO EM CONCRETO (1,0 M X 1,0 M X 0,15 M)</v>
      </c>
      <c r="E28" s="23" t="str">
        <f>VLOOKUP(B28,CPU!$B:$J,4,FALSE)</f>
        <v>M³</v>
      </c>
      <c r="F28" s="23"/>
      <c r="G28" s="23"/>
      <c r="H28" s="23"/>
      <c r="I28" s="23"/>
      <c r="J28" s="23"/>
      <c r="K28" s="23"/>
      <c r="L28" s="23"/>
      <c r="M28" s="23"/>
      <c r="N28" s="5">
        <f>SUM($M$29:$M$29)</f>
        <v>0.15</v>
      </c>
    </row>
    <row r="29" spans="1:14" x14ac:dyDescent="0.3">
      <c r="A29" s="23" t="s">
        <v>538</v>
      </c>
      <c r="B29" s="70" t="s">
        <v>517</v>
      </c>
      <c r="C29" s="71"/>
      <c r="D29" s="71"/>
      <c r="E29" s="72"/>
      <c r="F29" s="5"/>
      <c r="G29" s="26"/>
      <c r="H29" s="5">
        <v>1</v>
      </c>
      <c r="I29" s="5">
        <v>1</v>
      </c>
      <c r="J29" s="5">
        <v>0.15</v>
      </c>
      <c r="K29" s="5" t="str">
        <f>IF(COUNTA(H29:J29)=2,ROUND(PRODUCT(H29:J29),2),"")</f>
        <v/>
      </c>
      <c r="L29" s="5">
        <f>IF(OR(AND(COUNTA(H29:J29)=3,K29=""),AND(COUNTA(H29:J29)=1,K29&lt;&gt;"")),ROUND(PRODUCT(H29:K29),2),"")</f>
        <v>0.15</v>
      </c>
      <c r="M29" s="5">
        <f>IF(L29&lt;&gt;"",ROUND(PRODUCT(F29,G29,L29),2),IF(K29&lt;&gt;"",ROUND(PRODUCT(F29,G29,K29),2),ROUND(PRODUCT(F29:J29),2)))</f>
        <v>0.15</v>
      </c>
      <c r="N29" s="5"/>
    </row>
    <row r="30" spans="1:14" x14ac:dyDescent="0.3">
      <c r="A30" s="23" t="s">
        <v>186</v>
      </c>
      <c r="B30" s="23" t="s">
        <v>539</v>
      </c>
      <c r="C30" s="23" t="str">
        <f>VLOOKUP(B30,CPU!$B:$J,2,FALSE)</f>
        <v>PRÓPRIA</v>
      </c>
      <c r="D30" s="24" t="str">
        <f>VLOOKUP(B30,CPU!$B:$J,3,FALSE)</f>
        <v>DESENVOLVIMENTO COM BOMBA SUBMERSA</v>
      </c>
      <c r="E30" s="23" t="str">
        <f>VLOOKUP(B30,CPU!$B:$J,4,FALSE)</f>
        <v>H</v>
      </c>
      <c r="F30" s="23"/>
      <c r="G30" s="23"/>
      <c r="H30" s="23"/>
      <c r="I30" s="23"/>
      <c r="J30" s="23"/>
      <c r="K30" s="23"/>
      <c r="L30" s="23"/>
      <c r="M30" s="23"/>
      <c r="N30" s="5">
        <f>SUM($M$31:$M$31)</f>
        <v>6</v>
      </c>
    </row>
    <row r="31" spans="1:14" x14ac:dyDescent="0.3">
      <c r="A31" s="23" t="s">
        <v>540</v>
      </c>
      <c r="B31" s="70" t="s">
        <v>517</v>
      </c>
      <c r="C31" s="71"/>
      <c r="D31" s="71"/>
      <c r="E31" s="72"/>
      <c r="F31" s="5">
        <v>6</v>
      </c>
      <c r="G31" s="26"/>
      <c r="H31" s="5"/>
      <c r="I31" s="5"/>
      <c r="J31" s="5"/>
      <c r="K31" s="5" t="str">
        <f>IF(COUNTA(H31:J31)=2,ROUND(PRODUCT(H31:J31),2),"")</f>
        <v/>
      </c>
      <c r="L31" s="5" t="str">
        <f>IF(OR(AND(COUNTA(H31:J31)=3,K31=""),AND(COUNTA(H31:J31)=1,K31&lt;&gt;"")),ROUND(PRODUCT(H31:K31),2),"")</f>
        <v/>
      </c>
      <c r="M31" s="5">
        <f>IF(L31&lt;&gt;"",ROUND(PRODUCT(F31,G31,L31),2),IF(K31&lt;&gt;"",ROUND(PRODUCT(F31,G31,K31),2),ROUND(PRODUCT(F31:J31),2)))</f>
        <v>6</v>
      </c>
      <c r="N31" s="5"/>
    </row>
    <row r="32" spans="1:14" x14ac:dyDescent="0.3">
      <c r="A32" s="23" t="s">
        <v>187</v>
      </c>
      <c r="B32" s="23" t="s">
        <v>541</v>
      </c>
      <c r="C32" s="23" t="str">
        <f>VLOOKUP(B32,CPU!$B:$J,2,FALSE)</f>
        <v>PRÓPRIA</v>
      </c>
      <c r="D32" s="24" t="str">
        <f>VLOOKUP(B32,CPU!$B:$J,3,FALSE)</f>
        <v>TESTE VAZÃO COM BOMBA SUBMERSA</v>
      </c>
      <c r="E32" s="23" t="str">
        <f>VLOOKUP(B32,CPU!$B:$J,4,FALSE)</f>
        <v>H</v>
      </c>
      <c r="F32" s="23"/>
      <c r="G32" s="23"/>
      <c r="H32" s="23"/>
      <c r="I32" s="23"/>
      <c r="J32" s="23"/>
      <c r="K32" s="23"/>
      <c r="L32" s="23"/>
      <c r="M32" s="23"/>
      <c r="N32" s="5">
        <f>SUM($M$33:$M$33)</f>
        <v>24</v>
      </c>
    </row>
    <row r="33" spans="1:14" x14ac:dyDescent="0.3">
      <c r="A33" s="23" t="s">
        <v>542</v>
      </c>
      <c r="B33" s="70" t="s">
        <v>517</v>
      </c>
      <c r="C33" s="71"/>
      <c r="D33" s="71"/>
      <c r="E33" s="72"/>
      <c r="F33" s="5">
        <v>24</v>
      </c>
      <c r="G33" s="26"/>
      <c r="H33" s="5"/>
      <c r="I33" s="5"/>
      <c r="J33" s="5"/>
      <c r="K33" s="5" t="str">
        <f>IF(COUNTA(H33:J33)=2,ROUND(PRODUCT(H33:J33),2),"")</f>
        <v/>
      </c>
      <c r="L33" s="5" t="str">
        <f>IF(OR(AND(COUNTA(H33:J33)=3,K33=""),AND(COUNTA(H33:J33)=1,K33&lt;&gt;"")),ROUND(PRODUCT(H33:K33),2),"")</f>
        <v/>
      </c>
      <c r="M33" s="5">
        <f>IF(L33&lt;&gt;"",ROUND(PRODUCT(F33,G33,L33),2),IF(K33&lt;&gt;"",ROUND(PRODUCT(F33,G33,K33),2),ROUND(PRODUCT(F33:J33),2)))</f>
        <v>24</v>
      </c>
      <c r="N33" s="5"/>
    </row>
    <row r="34" spans="1:14" x14ac:dyDescent="0.3">
      <c r="A34" s="23" t="s">
        <v>188</v>
      </c>
      <c r="B34" s="23" t="s">
        <v>543</v>
      </c>
      <c r="C34" s="23" t="str">
        <f>VLOOKUP(B34,CPU!$B:$J,2,FALSE)</f>
        <v>PRÓPRIA</v>
      </c>
      <c r="D34" s="24" t="str">
        <f>VLOOKUP(B34,CPU!$B:$J,3,FALSE)</f>
        <v>DESINFECÇÃO</v>
      </c>
      <c r="E34" s="23" t="str">
        <f>VLOOKUP(B34,CPU!$B:$J,4,FALSE)</f>
        <v>H</v>
      </c>
      <c r="F34" s="23"/>
      <c r="G34" s="23"/>
      <c r="H34" s="23"/>
      <c r="I34" s="23"/>
      <c r="J34" s="23"/>
      <c r="K34" s="23"/>
      <c r="L34" s="23"/>
      <c r="M34" s="23"/>
      <c r="N34" s="5">
        <f>SUM($M$35:$M$35)</f>
        <v>4</v>
      </c>
    </row>
    <row r="35" spans="1:14" x14ac:dyDescent="0.3">
      <c r="A35" s="23" t="s">
        <v>544</v>
      </c>
      <c r="B35" s="70" t="s">
        <v>517</v>
      </c>
      <c r="C35" s="71"/>
      <c r="D35" s="71"/>
      <c r="E35" s="72"/>
      <c r="F35" s="5">
        <v>4</v>
      </c>
      <c r="G35" s="26"/>
      <c r="H35" s="5"/>
      <c r="I35" s="5"/>
      <c r="J35" s="5"/>
      <c r="K35" s="5" t="str">
        <f>IF(COUNTA(H35:J35)=2,ROUND(PRODUCT(H35:J35),2),"")</f>
        <v/>
      </c>
      <c r="L35" s="5" t="str">
        <f>IF(OR(AND(COUNTA(H35:J35)=3,K35=""),AND(COUNTA(H35:J35)=1,K35&lt;&gt;"")),ROUND(PRODUCT(H35:K35),2),"")</f>
        <v/>
      </c>
      <c r="M35" s="5">
        <f>IF(L35&lt;&gt;"",ROUND(PRODUCT(F35,G35,L35),2),IF(K35&lt;&gt;"",ROUND(PRODUCT(F35,G35,K35),2),ROUND(PRODUCT(F35:J35),2)))</f>
        <v>4</v>
      </c>
      <c r="N35" s="5"/>
    </row>
    <row r="36" spans="1:14" x14ac:dyDescent="0.3">
      <c r="A36" s="23" t="s">
        <v>189</v>
      </c>
      <c r="B36" s="23" t="s">
        <v>545</v>
      </c>
      <c r="C36" s="23" t="str">
        <f>VLOOKUP(B36,CPU!$B:$J,2,FALSE)</f>
        <v>PRÓPRIA</v>
      </c>
      <c r="D36" s="24" t="str">
        <f>VLOOKUP(B36,CPU!$B:$J,3,FALSE)</f>
        <v>RELATÓRIO TÉCNICO</v>
      </c>
      <c r="E36" s="23" t="str">
        <f>VLOOKUP(B36,CPU!$B:$J,4,FALSE)</f>
        <v>UN</v>
      </c>
      <c r="F36" s="23"/>
      <c r="G36" s="23"/>
      <c r="H36" s="23"/>
      <c r="I36" s="23"/>
      <c r="J36" s="23"/>
      <c r="K36" s="23"/>
      <c r="L36" s="23"/>
      <c r="M36" s="23"/>
      <c r="N36" s="5">
        <f>SUM($M$37:$M$37)</f>
        <v>1</v>
      </c>
    </row>
    <row r="37" spans="1:14" x14ac:dyDescent="0.3">
      <c r="A37" s="23" t="s">
        <v>546</v>
      </c>
      <c r="B37" s="70" t="s">
        <v>517</v>
      </c>
      <c r="C37" s="71"/>
      <c r="D37" s="71"/>
      <c r="E37" s="72"/>
      <c r="F37" s="5">
        <v>1</v>
      </c>
      <c r="G37" s="26"/>
      <c r="H37" s="5"/>
      <c r="I37" s="5"/>
      <c r="J37" s="5"/>
      <c r="K37" s="5" t="str">
        <f>IF(COUNTA(H37:J37)=2,ROUND(PRODUCT(H37:J37),2),"")</f>
        <v/>
      </c>
      <c r="L37" s="5" t="str">
        <f>IF(OR(AND(COUNTA(H37:J37)=3,K37=""),AND(COUNTA(H37:J37)=1,K37&lt;&gt;"")),ROUND(PRODUCT(H37:K37),2),"")</f>
        <v/>
      </c>
      <c r="M37" s="5">
        <f>IF(L37&lt;&gt;"",ROUND(PRODUCT(F37,G37,L37),2),IF(K37&lt;&gt;"",ROUND(PRODUCT(F37,G37,K37),2),ROUND(PRODUCT(F37:J37),2)))</f>
        <v>1</v>
      </c>
      <c r="N37" s="5"/>
    </row>
    <row r="38" spans="1:14" x14ac:dyDescent="0.3">
      <c r="A38" s="23" t="s">
        <v>190</v>
      </c>
      <c r="B38" s="23" t="s">
        <v>547</v>
      </c>
      <c r="C38" s="23" t="str">
        <f>VLOOKUP(B38,CPU!$B:$J,2,FALSE)</f>
        <v>PRÓPRIA</v>
      </c>
      <c r="D38" s="24" t="str">
        <f>VLOOKUP(B38,CPU!$B:$J,3,FALSE)</f>
        <v>ANÁLISE FÍSICO-QUÍMICA DA ÁGUA</v>
      </c>
      <c r="E38" s="23" t="str">
        <f>VLOOKUP(B38,CPU!$B:$J,4,FALSE)</f>
        <v>UN</v>
      </c>
      <c r="F38" s="23"/>
      <c r="G38" s="23"/>
      <c r="H38" s="23"/>
      <c r="I38" s="23"/>
      <c r="J38" s="23"/>
      <c r="K38" s="23"/>
      <c r="L38" s="23"/>
      <c r="M38" s="23"/>
      <c r="N38" s="5">
        <f>SUM($M$39:$M$39)</f>
        <v>1</v>
      </c>
    </row>
    <row r="39" spans="1:14" x14ac:dyDescent="0.3">
      <c r="A39" s="23" t="s">
        <v>548</v>
      </c>
      <c r="B39" s="70" t="s">
        <v>517</v>
      </c>
      <c r="C39" s="71"/>
      <c r="D39" s="71"/>
      <c r="E39" s="72"/>
      <c r="F39" s="5">
        <v>1</v>
      </c>
      <c r="G39" s="26"/>
      <c r="H39" s="5"/>
      <c r="I39" s="5"/>
      <c r="J39" s="5"/>
      <c r="K39" s="5" t="str">
        <f>IF(COUNTA(H39:J39)=2,ROUND(PRODUCT(H39:J39),2),"")</f>
        <v/>
      </c>
      <c r="L39" s="5" t="str">
        <f>IF(OR(AND(COUNTA(H39:J39)=3,K39=""),AND(COUNTA(H39:J39)=1,K39&lt;&gt;"")),ROUND(PRODUCT(H39:K39),2),"")</f>
        <v/>
      </c>
      <c r="M39" s="5">
        <f>IF(L39&lt;&gt;"",ROUND(PRODUCT(F39,G39,L39),2),IF(K39&lt;&gt;"",ROUND(PRODUCT(F39,G39,K39),2),ROUND(PRODUCT(F39:J39),2)))</f>
        <v>1</v>
      </c>
      <c r="N39" s="5"/>
    </row>
    <row r="40" spans="1:14" x14ac:dyDescent="0.3">
      <c r="A40" s="23" t="s">
        <v>191</v>
      </c>
      <c r="B40" s="23" t="s">
        <v>549</v>
      </c>
      <c r="C40" s="23" t="str">
        <f>VLOOKUP(B40,CPU!$B:$J,2,FALSE)</f>
        <v>PRÓPRIA</v>
      </c>
      <c r="D40" s="24" t="str">
        <f>VLOOKUP(B40,CPU!$B:$J,3,FALSE)</f>
        <v>FORNECIMENTO E INSTALAÇÃO DE REVESTIMENTO GEOMECÂNICO STANDART DN-154-S</v>
      </c>
      <c r="E40" s="23" t="str">
        <f>VLOOKUP(B40,CPU!$B:$J,4,FALSE)</f>
        <v>M</v>
      </c>
      <c r="F40" s="23"/>
      <c r="G40" s="23"/>
      <c r="H40" s="23"/>
      <c r="I40" s="23"/>
      <c r="J40" s="23"/>
      <c r="K40" s="23"/>
      <c r="L40" s="23"/>
      <c r="M40" s="23"/>
      <c r="N40" s="5">
        <f>SUM($M$41:$M$41)</f>
        <v>21</v>
      </c>
    </row>
    <row r="41" spans="1:14" x14ac:dyDescent="0.3">
      <c r="A41" s="23" t="s">
        <v>550</v>
      </c>
      <c r="B41" s="70" t="s">
        <v>532</v>
      </c>
      <c r="C41" s="71"/>
      <c r="D41" s="71"/>
      <c r="E41" s="72"/>
      <c r="F41" s="5">
        <v>21</v>
      </c>
      <c r="G41" s="26"/>
      <c r="H41" s="5"/>
      <c r="I41" s="5"/>
      <c r="J41" s="5"/>
      <c r="K41" s="5" t="str">
        <f>IF(COUNTA(H41:J41)=2,ROUND(PRODUCT(H41:J41),2),"")</f>
        <v/>
      </c>
      <c r="L41" s="5" t="str">
        <f>IF(OR(AND(COUNTA(H41:J41)=3,K41=""),AND(COUNTA(H41:J41)=1,K41&lt;&gt;"")),ROUND(PRODUCT(H41:K41),2),"")</f>
        <v/>
      </c>
      <c r="M41" s="5">
        <f>IF(L41&lt;&gt;"",ROUND(PRODUCT(F41,G41,L41),2),IF(K41&lt;&gt;"",ROUND(PRODUCT(F41,G41,K41),2),ROUND(PRODUCT(F41:J41),2)))</f>
        <v>21</v>
      </c>
      <c r="N41" s="5"/>
    </row>
    <row r="42" spans="1:14" x14ac:dyDescent="0.3">
      <c r="A42" s="23" t="s">
        <v>192</v>
      </c>
      <c r="B42" s="23" t="s">
        <v>551</v>
      </c>
      <c r="C42" s="23" t="str">
        <f>VLOOKUP(B42,CPU!$B:$J,2,FALSE)</f>
        <v>PRÓPRIA</v>
      </c>
      <c r="D42" s="24" t="str">
        <f>VLOOKUP(B42,CPU!$B:$J,3,FALSE)</f>
        <v>FORNECIMENTO E INSTALAÇÃO DE TAMPA PARA POÇO</v>
      </c>
      <c r="E42" s="23" t="str">
        <f>VLOOKUP(B42,CPU!$B:$J,4,FALSE)</f>
        <v>UN</v>
      </c>
      <c r="F42" s="23"/>
      <c r="G42" s="23"/>
      <c r="H42" s="23"/>
      <c r="I42" s="23"/>
      <c r="J42" s="23"/>
      <c r="K42" s="23"/>
      <c r="L42" s="23"/>
      <c r="M42" s="23"/>
      <c r="N42" s="5">
        <f>SUM($M$43:$M$43)</f>
        <v>1</v>
      </c>
    </row>
    <row r="43" spans="1:14" x14ac:dyDescent="0.3">
      <c r="A43" s="23" t="s">
        <v>552</v>
      </c>
      <c r="B43" s="70" t="s">
        <v>517</v>
      </c>
      <c r="C43" s="71"/>
      <c r="D43" s="71"/>
      <c r="E43" s="72"/>
      <c r="F43" s="5">
        <v>1</v>
      </c>
      <c r="G43" s="26"/>
      <c r="H43" s="5"/>
      <c r="I43" s="5"/>
      <c r="J43" s="5"/>
      <c r="K43" s="5" t="str">
        <f>IF(COUNTA(H43:J43)=2,ROUND(PRODUCT(H43:J43),2),"")</f>
        <v/>
      </c>
      <c r="L43" s="5" t="str">
        <f>IF(OR(AND(COUNTA(H43:J43)=3,K43=""),AND(COUNTA(H43:J43)=1,K43&lt;&gt;"")),ROUND(PRODUCT(H43:K43),2),"")</f>
        <v/>
      </c>
      <c r="M43" s="5">
        <f>IF(L43&lt;&gt;"",ROUND(PRODUCT(F43,G43,L43),2),IF(K43&lt;&gt;"",ROUND(PRODUCT(F43,G43,K43),2),ROUND(PRODUCT(F43:J43),2)))</f>
        <v>1</v>
      </c>
      <c r="N43" s="5"/>
    </row>
    <row r="44" spans="1:14" x14ac:dyDescent="0.3">
      <c r="A44" s="12" t="s">
        <v>21</v>
      </c>
      <c r="B44" s="51" t="s">
        <v>553</v>
      </c>
      <c r="C44" s="52"/>
      <c r="D44" s="52"/>
      <c r="E44" s="52"/>
      <c r="F44" s="52"/>
      <c r="G44" s="52"/>
      <c r="H44" s="52"/>
      <c r="I44" s="52"/>
      <c r="J44" s="52"/>
      <c r="K44" s="52"/>
      <c r="L44" s="52"/>
      <c r="M44" s="52"/>
      <c r="N44" s="53"/>
    </row>
    <row r="45" spans="1:14" x14ac:dyDescent="0.3">
      <c r="A45" s="23" t="s">
        <v>193</v>
      </c>
      <c r="B45" s="23" t="s">
        <v>554</v>
      </c>
      <c r="C45" s="23" t="str">
        <f>VLOOKUP(B45,CPU!$B:$J,2,FALSE)</f>
        <v>PRÓPRIA</v>
      </c>
      <c r="D45" s="24" t="str">
        <f>VLOOKUP(B45,CPU!$B:$J,3,FALSE)</f>
        <v>FORNECIMENTO E INSTALAÇÃO DE TUBO EDUTOR DE PVC DE 1.1/2'' COM LUVA</v>
      </c>
      <c r="E45" s="23" t="str">
        <f>VLOOKUP(B45,CPU!$B:$J,4,FALSE)</f>
        <v>M</v>
      </c>
      <c r="F45" s="23"/>
      <c r="G45" s="23"/>
      <c r="H45" s="23"/>
      <c r="I45" s="23"/>
      <c r="J45" s="23"/>
      <c r="K45" s="23"/>
      <c r="L45" s="23"/>
      <c r="M45" s="23"/>
      <c r="N45" s="5">
        <f>SUM($M$46:$M$46)</f>
        <v>110</v>
      </c>
    </row>
    <row r="46" spans="1:14" x14ac:dyDescent="0.3">
      <c r="A46" s="23" t="s">
        <v>555</v>
      </c>
      <c r="B46" s="70" t="s">
        <v>517</v>
      </c>
      <c r="C46" s="71"/>
      <c r="D46" s="71"/>
      <c r="E46" s="72"/>
      <c r="F46" s="5">
        <v>110</v>
      </c>
      <c r="G46" s="26"/>
      <c r="H46" s="5"/>
      <c r="I46" s="5"/>
      <c r="J46" s="5"/>
      <c r="K46" s="5" t="str">
        <f>IF(COUNTA(H46:J46)=2,ROUND(PRODUCT(H46:J46),2),"")</f>
        <v/>
      </c>
      <c r="L46" s="5" t="str">
        <f>IF(OR(AND(COUNTA(H46:J46)=3,K46=""),AND(COUNTA(H46:J46)=1,K46&lt;&gt;"")),ROUND(PRODUCT(H46:K46),2),"")</f>
        <v/>
      </c>
      <c r="M46" s="5">
        <f>IF(L46&lt;&gt;"",ROUND(PRODUCT(F46,G46,L46),2),IF(K46&lt;&gt;"",ROUND(PRODUCT(F46,G46,K46),2),ROUND(PRODUCT(F46:J46),2)))</f>
        <v>110</v>
      </c>
      <c r="N46" s="5"/>
    </row>
    <row r="47" spans="1:14" x14ac:dyDescent="0.3">
      <c r="A47" s="23" t="s">
        <v>194</v>
      </c>
      <c r="B47" s="23" t="s">
        <v>556</v>
      </c>
      <c r="C47" s="23" t="str">
        <f>VLOOKUP(B47,CPU!$B:$J,2,FALSE)</f>
        <v>PRÓPRIA</v>
      </c>
      <c r="D47" s="24" t="str">
        <f>VLOOKUP(B47,CPU!$B:$J,3,FALSE)</f>
        <v>BARRILETE (CURVAS E CONEXÕES)</v>
      </c>
      <c r="E47" s="23" t="str">
        <f>VLOOKUP(B47,CPU!$B:$J,4,FALSE)</f>
        <v>UN</v>
      </c>
      <c r="F47" s="23"/>
      <c r="G47" s="23"/>
      <c r="H47" s="23"/>
      <c r="I47" s="23"/>
      <c r="J47" s="23"/>
      <c r="K47" s="23"/>
      <c r="L47" s="23"/>
      <c r="M47" s="23"/>
      <c r="N47" s="5">
        <f>SUM($M$48:$M$48)</f>
        <v>1</v>
      </c>
    </row>
    <row r="48" spans="1:14" x14ac:dyDescent="0.3">
      <c r="A48" s="23" t="s">
        <v>557</v>
      </c>
      <c r="B48" s="70" t="s">
        <v>517</v>
      </c>
      <c r="C48" s="71"/>
      <c r="D48" s="71"/>
      <c r="E48" s="72"/>
      <c r="F48" s="5">
        <v>1</v>
      </c>
      <c r="G48" s="26"/>
      <c r="H48" s="5"/>
      <c r="I48" s="5"/>
      <c r="J48" s="5"/>
      <c r="K48" s="5" t="str">
        <f>IF(COUNTA(H48:J48)=2,ROUND(PRODUCT(H48:J48),2),"")</f>
        <v/>
      </c>
      <c r="L48" s="5" t="str">
        <f>IF(OR(AND(COUNTA(H48:J48)=3,K48=""),AND(COUNTA(H48:J48)=1,K48&lt;&gt;"")),ROUND(PRODUCT(H48:K48),2),"")</f>
        <v/>
      </c>
      <c r="M48" s="5">
        <f>IF(L48&lt;&gt;"",ROUND(PRODUCT(F48,G48,L48),2),IF(K48&lt;&gt;"",ROUND(PRODUCT(F48,G48,K48),2),ROUND(PRODUCT(F48:J48),2)))</f>
        <v>1</v>
      </c>
      <c r="N48" s="5"/>
    </row>
    <row r="49" spans="1:14" x14ac:dyDescent="0.3">
      <c r="A49" s="23" t="s">
        <v>195</v>
      </c>
      <c r="B49" s="23" t="s">
        <v>558</v>
      </c>
      <c r="C49" s="23" t="str">
        <f>VLOOKUP(B49,CPU!$B:$J,2,FALSE)</f>
        <v>PRÓPRIA</v>
      </c>
      <c r="D49" s="24" t="str">
        <f>VLOOKUP(B49,CPU!$B:$J,3,FALSE)</f>
        <v>AQUISIÇÃO E INSTALAÇÃO DE DOSADOR DE CLORO</v>
      </c>
      <c r="E49" s="23" t="str">
        <f>VLOOKUP(B49,CPU!$B:$J,4,FALSE)</f>
        <v>UND</v>
      </c>
      <c r="F49" s="23"/>
      <c r="G49" s="23"/>
      <c r="H49" s="23"/>
      <c r="I49" s="23"/>
      <c r="J49" s="23"/>
      <c r="K49" s="23"/>
      <c r="L49" s="23"/>
      <c r="M49" s="23"/>
      <c r="N49" s="5">
        <f>SUM($M$50:$M$50)</f>
        <v>1</v>
      </c>
    </row>
    <row r="50" spans="1:14" x14ac:dyDescent="0.3">
      <c r="A50" s="23" t="s">
        <v>559</v>
      </c>
      <c r="B50" s="70" t="s">
        <v>517</v>
      </c>
      <c r="C50" s="71"/>
      <c r="D50" s="71"/>
      <c r="E50" s="72"/>
      <c r="F50" s="5">
        <v>1</v>
      </c>
      <c r="G50" s="26"/>
      <c r="H50" s="5"/>
      <c r="I50" s="5"/>
      <c r="J50" s="5"/>
      <c r="K50" s="5" t="str">
        <f>IF(COUNTA(H50:J50)=2,ROUND(PRODUCT(H50:J50),2),"")</f>
        <v/>
      </c>
      <c r="L50" s="5" t="str">
        <f>IF(OR(AND(COUNTA(H50:J50)=3,K50=""),AND(COUNTA(H50:J50)=1,K50&lt;&gt;"")),ROUND(PRODUCT(H50:K50),2),"")</f>
        <v/>
      </c>
      <c r="M50" s="5">
        <f>IF(L50&lt;&gt;"",ROUND(PRODUCT(F50,G50,L50),2),IF(K50&lt;&gt;"",ROUND(PRODUCT(F50,G50,K50),2),ROUND(PRODUCT(F50:J50),2)))</f>
        <v>1</v>
      </c>
      <c r="N50" s="5"/>
    </row>
    <row r="51" spans="1:14" x14ac:dyDescent="0.3">
      <c r="A51" s="12" t="s">
        <v>22</v>
      </c>
      <c r="B51" s="51" t="s">
        <v>560</v>
      </c>
      <c r="C51" s="52"/>
      <c r="D51" s="52"/>
      <c r="E51" s="52"/>
      <c r="F51" s="52"/>
      <c r="G51" s="52"/>
      <c r="H51" s="52"/>
      <c r="I51" s="52"/>
      <c r="J51" s="52"/>
      <c r="K51" s="52"/>
      <c r="L51" s="52"/>
      <c r="M51" s="52"/>
      <c r="N51" s="53"/>
    </row>
    <row r="52" spans="1:14" x14ac:dyDescent="0.3">
      <c r="A52" s="15" t="s">
        <v>23</v>
      </c>
      <c r="B52" s="48" t="s">
        <v>514</v>
      </c>
      <c r="C52" s="49"/>
      <c r="D52" s="49"/>
      <c r="E52" s="49"/>
      <c r="F52" s="49"/>
      <c r="G52" s="49"/>
      <c r="H52" s="49"/>
      <c r="I52" s="49"/>
      <c r="J52" s="49"/>
      <c r="K52" s="49"/>
      <c r="L52" s="49"/>
      <c r="M52" s="49"/>
      <c r="N52" s="50"/>
    </row>
    <row r="53" spans="1:14" x14ac:dyDescent="0.3">
      <c r="A53" s="23" t="s">
        <v>196</v>
      </c>
      <c r="B53" s="23">
        <v>98524</v>
      </c>
      <c r="C53" s="23" t="str">
        <f>VLOOKUP(B53,CPU!$B:$J,2,FALSE)</f>
        <v>SINAPI</v>
      </c>
      <c r="D53" s="24" t="str">
        <f>VLOOKUP(B53,CPU!$B:$J,3,FALSE)</f>
        <v>LIMPEZA MANUAL DE VEGETAÇÃO EM TERRENO COM ENXADA. AF_03/2024</v>
      </c>
      <c r="E53" s="23" t="str">
        <f>VLOOKUP(B53,CPU!$B:$J,4,FALSE)</f>
        <v>M2</v>
      </c>
      <c r="F53" s="23"/>
      <c r="G53" s="23"/>
      <c r="H53" s="23"/>
      <c r="I53" s="23"/>
      <c r="J53" s="23"/>
      <c r="K53" s="23"/>
      <c r="L53" s="23"/>
      <c r="M53" s="23"/>
      <c r="N53" s="5">
        <f>SUM($M$54:$M$54)</f>
        <v>100</v>
      </c>
    </row>
    <row r="54" spans="1:14" x14ac:dyDescent="0.3">
      <c r="A54" s="23" t="s">
        <v>561</v>
      </c>
      <c r="B54" s="70" t="s">
        <v>517</v>
      </c>
      <c r="C54" s="71"/>
      <c r="D54" s="71"/>
      <c r="E54" s="72"/>
      <c r="F54" s="5"/>
      <c r="G54" s="26"/>
      <c r="H54" s="5"/>
      <c r="I54" s="5">
        <v>10</v>
      </c>
      <c r="J54" s="5">
        <v>10</v>
      </c>
      <c r="K54" s="5">
        <f>IF(COUNTA(H54:J54)=2,ROUND(PRODUCT(H54:J54),2),"")</f>
        <v>100</v>
      </c>
      <c r="L54" s="5" t="str">
        <f>IF(OR(AND(COUNTA(H54:J54)=3,K54=""),AND(COUNTA(H54:J54)=1,K54&lt;&gt;"")),ROUND(PRODUCT(H54:K54),2),"")</f>
        <v/>
      </c>
      <c r="M54" s="5">
        <f>IF(L54&lt;&gt;"",ROUND(PRODUCT(F54,G54,L54),2),IF(K54&lt;&gt;"",ROUND(PRODUCT(F54,G54,K54),2),ROUND(PRODUCT(F54:J54),2)))</f>
        <v>100</v>
      </c>
      <c r="N54" s="5"/>
    </row>
    <row r="55" spans="1:14" ht="28.8" x14ac:dyDescent="0.3">
      <c r="A55" s="23" t="s">
        <v>197</v>
      </c>
      <c r="B55" s="23">
        <v>99059</v>
      </c>
      <c r="C55" s="23" t="str">
        <f>VLOOKUP(B55,CPU!$B:$J,2,FALSE)</f>
        <v>SINAPI</v>
      </c>
      <c r="D55" s="24" t="str">
        <f>VLOOKUP(B55,CPU!$B:$J,3,FALSE)</f>
        <v>LOCAÇÃO CONVENCIONAL DE OBRA, UTILIZANDO GABARITO DE TÁBUAS CORRIDAS PONTALETADAS A CADA 2,00M - 2 UTILIZAÇÕES. AF_03/2024</v>
      </c>
      <c r="E55" s="23" t="str">
        <f>VLOOKUP(B55,CPU!$B:$J,4,FALSE)</f>
        <v>M</v>
      </c>
      <c r="F55" s="23"/>
      <c r="G55" s="23"/>
      <c r="H55" s="23"/>
      <c r="I55" s="23"/>
      <c r="J55" s="23"/>
      <c r="K55" s="23"/>
      <c r="L55" s="23"/>
      <c r="M55" s="23"/>
      <c r="N55" s="5">
        <f>SUM($M$56:$M$56)</f>
        <v>10.199999999999999</v>
      </c>
    </row>
    <row r="56" spans="1:14" x14ac:dyDescent="0.3">
      <c r="A56" s="23" t="s">
        <v>562</v>
      </c>
      <c r="B56" s="70" t="s">
        <v>517</v>
      </c>
      <c r="C56" s="71"/>
      <c r="D56" s="71"/>
      <c r="E56" s="72"/>
      <c r="F56" s="5"/>
      <c r="G56" s="26">
        <v>1</v>
      </c>
      <c r="H56" s="5">
        <v>10.199999999999999</v>
      </c>
      <c r="I56" s="5"/>
      <c r="J56" s="5"/>
      <c r="K56" s="5" t="str">
        <f>IF(COUNTA(H56:J56)=2,ROUND(PRODUCT(H56:J56),2),"")</f>
        <v/>
      </c>
      <c r="L56" s="5" t="str">
        <f>IF(OR(AND(COUNTA(H56:J56)=3,K56=""),AND(COUNTA(H56:J56)=1,K56&lt;&gt;"")),ROUND(PRODUCT(H56:K56),2),"")</f>
        <v/>
      </c>
      <c r="M56" s="5">
        <f>IF(L56&lt;&gt;"",ROUND(PRODUCT(F56,G56,L56),2),IF(K56&lt;&gt;"",ROUND(PRODUCT(F56,G56,K56),2),ROUND(PRODUCT(F56:J56),2)))</f>
        <v>10.199999999999999</v>
      </c>
      <c r="N56" s="5"/>
    </row>
    <row r="57" spans="1:14" x14ac:dyDescent="0.3">
      <c r="A57" s="15" t="s">
        <v>24</v>
      </c>
      <c r="B57" s="48" t="s">
        <v>563</v>
      </c>
      <c r="C57" s="49"/>
      <c r="D57" s="49"/>
      <c r="E57" s="49"/>
      <c r="F57" s="49"/>
      <c r="G57" s="49"/>
      <c r="H57" s="49"/>
      <c r="I57" s="49"/>
      <c r="J57" s="49"/>
      <c r="K57" s="49"/>
      <c r="L57" s="49"/>
      <c r="M57" s="49"/>
      <c r="N57" s="50"/>
    </row>
    <row r="58" spans="1:14" x14ac:dyDescent="0.3">
      <c r="A58" s="23" t="s">
        <v>198</v>
      </c>
      <c r="B58" s="23">
        <v>93358</v>
      </c>
      <c r="C58" s="23" t="str">
        <f>VLOOKUP(B58,CPU!$B:$J,2,FALSE)</f>
        <v>SINAPI</v>
      </c>
      <c r="D58" s="24" t="str">
        <f>VLOOKUP(B58,CPU!$B:$J,3,FALSE)</f>
        <v>ESCAVAÇÃO MANUAL DE VALA. AF_09/2024</v>
      </c>
      <c r="E58" s="23" t="str">
        <f>VLOOKUP(B58,CPU!$B:$J,4,FALSE)</f>
        <v>M3</v>
      </c>
      <c r="F58" s="23"/>
      <c r="G58" s="23"/>
      <c r="H58" s="23"/>
      <c r="I58" s="23"/>
      <c r="J58" s="23"/>
      <c r="K58" s="23"/>
      <c r="L58" s="23"/>
      <c r="M58" s="23"/>
      <c r="N58" s="5">
        <f>SUM($M$59:$M$60)</f>
        <v>1.54</v>
      </c>
    </row>
    <row r="59" spans="1:14" x14ac:dyDescent="0.3">
      <c r="A59" s="23" t="s">
        <v>564</v>
      </c>
      <c r="B59" s="70" t="s">
        <v>517</v>
      </c>
      <c r="C59" s="71"/>
      <c r="D59" s="71"/>
      <c r="E59" s="72"/>
      <c r="F59" s="5"/>
      <c r="G59" s="26">
        <v>2</v>
      </c>
      <c r="H59" s="5">
        <v>2.2999999999999998</v>
      </c>
      <c r="I59" s="5">
        <v>0.3</v>
      </c>
      <c r="J59" s="5">
        <v>0.6</v>
      </c>
      <c r="K59" s="5" t="str">
        <f>IF(COUNTA(H59:J59)=2,ROUND(PRODUCT(H59:J59),2),"")</f>
        <v/>
      </c>
      <c r="L59" s="5">
        <f>IF(OR(AND(COUNTA(H59:J59)=3,K59=""),AND(COUNTA(H59:J59)=1,K59&lt;&gt;"")),ROUND(PRODUCT(H59:K59),2),"")</f>
        <v>0.41</v>
      </c>
      <c r="M59" s="5">
        <f>IF(L59&lt;&gt;"",ROUND(PRODUCT(F59,G59,L59),2),IF(K59&lt;&gt;"",ROUND(PRODUCT(F59,G59,K59),2),ROUND(PRODUCT(F59:J59),2)))</f>
        <v>0.82</v>
      </c>
      <c r="N59" s="5"/>
    </row>
    <row r="60" spans="1:14" x14ac:dyDescent="0.3">
      <c r="A60" s="23" t="s">
        <v>565</v>
      </c>
      <c r="B60" s="70" t="s">
        <v>517</v>
      </c>
      <c r="C60" s="71"/>
      <c r="D60" s="71"/>
      <c r="E60" s="72"/>
      <c r="F60" s="5"/>
      <c r="G60" s="26">
        <v>2</v>
      </c>
      <c r="H60" s="5">
        <v>2</v>
      </c>
      <c r="I60" s="5">
        <v>0.3</v>
      </c>
      <c r="J60" s="5">
        <v>0.6</v>
      </c>
      <c r="K60" s="5" t="str">
        <f>IF(COUNTA(H60:J60)=2,ROUND(PRODUCT(H60:J60),2),"")</f>
        <v/>
      </c>
      <c r="L60" s="5">
        <f>IF(OR(AND(COUNTA(H60:J60)=3,K60=""),AND(COUNTA(H60:J60)=1,K60&lt;&gt;"")),ROUND(PRODUCT(H60:K60),2),"")</f>
        <v>0.36</v>
      </c>
      <c r="M60" s="5">
        <f>IF(L60&lt;&gt;"",ROUND(PRODUCT(F60,G60,L60),2),IF(K60&lt;&gt;"",ROUND(PRODUCT(F60,G60,K60),2),ROUND(PRODUCT(F60:J60),2)))</f>
        <v>0.72</v>
      </c>
      <c r="N60" s="5"/>
    </row>
    <row r="61" spans="1:14" x14ac:dyDescent="0.3">
      <c r="A61" s="15" t="s">
        <v>25</v>
      </c>
      <c r="B61" s="48" t="s">
        <v>566</v>
      </c>
      <c r="C61" s="49"/>
      <c r="D61" s="49"/>
      <c r="E61" s="49"/>
      <c r="F61" s="49"/>
      <c r="G61" s="49"/>
      <c r="H61" s="49"/>
      <c r="I61" s="49"/>
      <c r="J61" s="49"/>
      <c r="K61" s="49"/>
      <c r="L61" s="49"/>
      <c r="M61" s="49"/>
      <c r="N61" s="50"/>
    </row>
    <row r="62" spans="1:14" ht="28.8" x14ac:dyDescent="0.3">
      <c r="A62" s="23" t="s">
        <v>199</v>
      </c>
      <c r="B62" s="23">
        <v>96617</v>
      </c>
      <c r="C62" s="23" t="str">
        <f>VLOOKUP(B62,CPU!$B:$J,2,FALSE)</f>
        <v>SINAPI</v>
      </c>
      <c r="D62" s="24" t="str">
        <f>VLOOKUP(B62,CPU!$B:$J,3,FALSE)</f>
        <v>LASTRO DE CONCRETO MAGRO, APLICADO EM BLOCOS DE COROAMENTO OU SAPATAS, ESPESSURA DE 3 CM. AF_01/2024</v>
      </c>
      <c r="E62" s="23" t="str">
        <f>VLOOKUP(B62,CPU!$B:$J,4,FALSE)</f>
        <v>M2</v>
      </c>
      <c r="F62" s="23"/>
      <c r="G62" s="23"/>
      <c r="H62" s="23"/>
      <c r="I62" s="23"/>
      <c r="J62" s="23"/>
      <c r="K62" s="23"/>
      <c r="L62" s="23"/>
      <c r="M62" s="23"/>
      <c r="N62" s="5">
        <f>SUM($M$63:$M$64)</f>
        <v>2.58</v>
      </c>
    </row>
    <row r="63" spans="1:14" x14ac:dyDescent="0.3">
      <c r="A63" s="23" t="s">
        <v>567</v>
      </c>
      <c r="B63" s="70" t="s">
        <v>517</v>
      </c>
      <c r="C63" s="71"/>
      <c r="D63" s="71"/>
      <c r="E63" s="72"/>
      <c r="F63" s="5"/>
      <c r="G63" s="26">
        <v>2</v>
      </c>
      <c r="H63" s="5">
        <v>2.2999999999999998</v>
      </c>
      <c r="I63" s="5">
        <v>0.3</v>
      </c>
      <c r="J63" s="5"/>
      <c r="K63" s="5">
        <f>IF(COUNTA(H63:J63)=2,ROUND(PRODUCT(H63:J63),2),"")</f>
        <v>0.69</v>
      </c>
      <c r="L63" s="5" t="str">
        <f>IF(OR(AND(COUNTA(H63:J63)=3,K63=""),AND(COUNTA(H63:J63)=1,K63&lt;&gt;"")),ROUND(PRODUCT(H63:K63),2),"")</f>
        <v/>
      </c>
      <c r="M63" s="5">
        <f>IF(L63&lt;&gt;"",ROUND(PRODUCT(F63,G63,L63),2),IF(K63&lt;&gt;"",ROUND(PRODUCT(F63,G63,K63),2),ROUND(PRODUCT(F63:J63),2)))</f>
        <v>1.38</v>
      </c>
      <c r="N63" s="5"/>
    </row>
    <row r="64" spans="1:14" x14ac:dyDescent="0.3">
      <c r="A64" s="23" t="s">
        <v>568</v>
      </c>
      <c r="B64" s="70" t="s">
        <v>517</v>
      </c>
      <c r="C64" s="71"/>
      <c r="D64" s="71"/>
      <c r="E64" s="72"/>
      <c r="F64" s="5"/>
      <c r="G64" s="26">
        <v>2</v>
      </c>
      <c r="H64" s="5">
        <v>2</v>
      </c>
      <c r="I64" s="5">
        <v>0.3</v>
      </c>
      <c r="J64" s="5"/>
      <c r="K64" s="5">
        <f>IF(COUNTA(H64:J64)=2,ROUND(PRODUCT(H64:J64),2),"")</f>
        <v>0.6</v>
      </c>
      <c r="L64" s="5" t="str">
        <f>IF(OR(AND(COUNTA(H64:J64)=3,K64=""),AND(COUNTA(H64:J64)=1,K64&lt;&gt;"")),ROUND(PRODUCT(H64:K64),2),"")</f>
        <v/>
      </c>
      <c r="M64" s="5">
        <f>IF(L64&lt;&gt;"",ROUND(PRODUCT(F64,G64,L64),2),IF(K64&lt;&gt;"",ROUND(PRODUCT(F64,G64,K64),2),ROUND(PRODUCT(F64:J64),2)))</f>
        <v>1.2</v>
      </c>
      <c r="N64" s="5"/>
    </row>
    <row r="65" spans="1:14" ht="28.8" x14ac:dyDescent="0.3">
      <c r="A65" s="23" t="s">
        <v>200</v>
      </c>
      <c r="B65" s="23">
        <v>103800</v>
      </c>
      <c r="C65" s="23" t="str">
        <f>VLOOKUP(B65,CPU!$B:$J,2,FALSE)</f>
        <v>SINAPI</v>
      </c>
      <c r="D65" s="24" t="str">
        <f>VLOOKUP(B65,CPU!$B:$J,3,FALSE)</f>
        <v>PEDRA ARGAMASSADA COM CIMENTO E AREIA 1:3, 40% DE ARGAMASSA EM VOLUME - AREIA E PEDRA DE MÃO COMERCIAIS - FORNECIMENTO E ASSENTAMENTO. AF_08/2022</v>
      </c>
      <c r="E65" s="23" t="str">
        <f>VLOOKUP(B65,CPU!$B:$J,4,FALSE)</f>
        <v>M3</v>
      </c>
      <c r="F65" s="23"/>
      <c r="G65" s="23"/>
      <c r="H65" s="23"/>
      <c r="I65" s="23"/>
      <c r="J65" s="23"/>
      <c r="K65" s="23"/>
      <c r="L65" s="23"/>
      <c r="M65" s="23"/>
      <c r="N65" s="5">
        <f>SUM($M$66:$M$67)</f>
        <v>1.04</v>
      </c>
    </row>
    <row r="66" spans="1:14" x14ac:dyDescent="0.3">
      <c r="A66" s="23" t="s">
        <v>569</v>
      </c>
      <c r="B66" s="70" t="s">
        <v>517</v>
      </c>
      <c r="C66" s="71"/>
      <c r="D66" s="71"/>
      <c r="E66" s="72"/>
      <c r="F66" s="5"/>
      <c r="G66" s="26">
        <v>2</v>
      </c>
      <c r="H66" s="5">
        <v>2.2999999999999998</v>
      </c>
      <c r="I66" s="5">
        <v>0.3</v>
      </c>
      <c r="J66" s="5">
        <v>0.4</v>
      </c>
      <c r="K66" s="5" t="str">
        <f>IF(COUNTA(H66:J66)=2,ROUND(PRODUCT(H66:J66),2),"")</f>
        <v/>
      </c>
      <c r="L66" s="5">
        <f>IF(OR(AND(COUNTA(H66:J66)=3,K66=""),AND(COUNTA(H66:J66)=1,K66&lt;&gt;"")),ROUND(PRODUCT(H66:K66),2),"")</f>
        <v>0.28000000000000003</v>
      </c>
      <c r="M66" s="5">
        <f>IF(L66&lt;&gt;"",ROUND(PRODUCT(F66,G66,L66),2),IF(K66&lt;&gt;"",ROUND(PRODUCT(F66,G66,K66),2),ROUND(PRODUCT(F66:J66),2)))</f>
        <v>0.56000000000000005</v>
      </c>
      <c r="N66" s="5"/>
    </row>
    <row r="67" spans="1:14" x14ac:dyDescent="0.3">
      <c r="A67" s="23" t="s">
        <v>570</v>
      </c>
      <c r="B67" s="70" t="s">
        <v>517</v>
      </c>
      <c r="C67" s="71"/>
      <c r="D67" s="71"/>
      <c r="E67" s="72"/>
      <c r="F67" s="5"/>
      <c r="G67" s="26">
        <v>2</v>
      </c>
      <c r="H67" s="5">
        <v>2</v>
      </c>
      <c r="I67" s="5">
        <v>0.3</v>
      </c>
      <c r="J67" s="5">
        <v>0.4</v>
      </c>
      <c r="K67" s="5" t="str">
        <f>IF(COUNTA(H67:J67)=2,ROUND(PRODUCT(H67:J67),2),"")</f>
        <v/>
      </c>
      <c r="L67" s="5">
        <f>IF(OR(AND(COUNTA(H67:J67)=3,K67=""),AND(COUNTA(H67:J67)=1,K67&lt;&gt;"")),ROUND(PRODUCT(H67:K67),2),"")</f>
        <v>0.24</v>
      </c>
      <c r="M67" s="5">
        <f>IF(L67&lt;&gt;"",ROUND(PRODUCT(F67,G67,L67),2),IF(K67&lt;&gt;"",ROUND(PRODUCT(F67,G67,K67),2),ROUND(PRODUCT(F67:J67),2)))</f>
        <v>0.48</v>
      </c>
      <c r="N67" s="5"/>
    </row>
    <row r="68" spans="1:14" ht="43.2" x14ac:dyDescent="0.3">
      <c r="A68" s="23" t="s">
        <v>201</v>
      </c>
      <c r="B68" s="23">
        <v>103335</v>
      </c>
      <c r="C68" s="23" t="str">
        <f>VLOOKUP(B68,CPU!$B:$J,2,FALSE)</f>
        <v>SINAPI</v>
      </c>
      <c r="D68" s="24" t="str">
        <f>VLOOKUP(B68,CPU!$B:$J,3,FALSE)</f>
        <v>ALVENARIA DE VEDAÇÃO DE BLOCOS CERÂMICOS FURADOS NA HORIZONTAL DE 14X9X19 CM (ESPESSURA 14 CM, BLOCO DEITADO) E ARGAMASSA DE ASSENTAMENTO COM PREPARO MANUAL. AF_12/2021</v>
      </c>
      <c r="E68" s="23" t="str">
        <f>VLOOKUP(B68,CPU!$B:$J,4,FALSE)</f>
        <v>M2</v>
      </c>
      <c r="F68" s="23"/>
      <c r="G68" s="23"/>
      <c r="H68" s="23"/>
      <c r="I68" s="23"/>
      <c r="J68" s="23"/>
      <c r="K68" s="23"/>
      <c r="L68" s="23"/>
      <c r="M68" s="23"/>
      <c r="N68" s="5">
        <f>SUM($M$69:$M$70)</f>
        <v>1.7200000000000002</v>
      </c>
    </row>
    <row r="69" spans="1:14" x14ac:dyDescent="0.3">
      <c r="A69" s="23" t="s">
        <v>571</v>
      </c>
      <c r="B69" s="70" t="s">
        <v>517</v>
      </c>
      <c r="C69" s="71"/>
      <c r="D69" s="71"/>
      <c r="E69" s="72"/>
      <c r="F69" s="5"/>
      <c r="G69" s="26">
        <v>2</v>
      </c>
      <c r="H69" s="5">
        <v>2.2999999999999998</v>
      </c>
      <c r="I69" s="5"/>
      <c r="J69" s="5">
        <v>0.2</v>
      </c>
      <c r="K69" s="5">
        <f>IF(COUNTA(H69:J69)=2,ROUND(PRODUCT(H69:J69),2),"")</f>
        <v>0.46</v>
      </c>
      <c r="L69" s="5" t="str">
        <f>IF(OR(AND(COUNTA(H69:J69)=3,K69=""),AND(COUNTA(H69:J69)=1,K69&lt;&gt;"")),ROUND(PRODUCT(H69:K69),2),"")</f>
        <v/>
      </c>
      <c r="M69" s="5">
        <f>IF(L69&lt;&gt;"",ROUND(PRODUCT(F69,G69,L69),2),IF(K69&lt;&gt;"",ROUND(PRODUCT(F69,G69,K69),2),ROUND(PRODUCT(F69:J69),2)))</f>
        <v>0.92</v>
      </c>
      <c r="N69" s="5"/>
    </row>
    <row r="70" spans="1:14" x14ac:dyDescent="0.3">
      <c r="A70" s="23" t="s">
        <v>572</v>
      </c>
      <c r="B70" s="70" t="s">
        <v>517</v>
      </c>
      <c r="C70" s="71"/>
      <c r="D70" s="71"/>
      <c r="E70" s="72"/>
      <c r="F70" s="5"/>
      <c r="G70" s="26">
        <v>2</v>
      </c>
      <c r="H70" s="5">
        <v>2</v>
      </c>
      <c r="I70" s="5"/>
      <c r="J70" s="5">
        <v>0.2</v>
      </c>
      <c r="K70" s="5">
        <f>IF(COUNTA(H70:J70)=2,ROUND(PRODUCT(H70:J70),2),"")</f>
        <v>0.4</v>
      </c>
      <c r="L70" s="5" t="str">
        <f>IF(OR(AND(COUNTA(H70:J70)=3,K70=""),AND(COUNTA(H70:J70)=1,K70&lt;&gt;"")),ROUND(PRODUCT(H70:K70),2),"")</f>
        <v/>
      </c>
      <c r="M70" s="5">
        <f>IF(L70&lt;&gt;"",ROUND(PRODUCT(F70,G70,L70),2),IF(K70&lt;&gt;"",ROUND(PRODUCT(F70,G70,K70),2),ROUND(PRODUCT(F70:J70),2)))</f>
        <v>0.8</v>
      </c>
      <c r="N70" s="5"/>
    </row>
    <row r="71" spans="1:14" x14ac:dyDescent="0.3">
      <c r="A71" s="15" t="s">
        <v>26</v>
      </c>
      <c r="B71" s="48" t="s">
        <v>573</v>
      </c>
      <c r="C71" s="49"/>
      <c r="D71" s="49"/>
      <c r="E71" s="49"/>
      <c r="F71" s="49"/>
      <c r="G71" s="49"/>
      <c r="H71" s="49"/>
      <c r="I71" s="49"/>
      <c r="J71" s="49"/>
      <c r="K71" s="49"/>
      <c r="L71" s="49"/>
      <c r="M71" s="49"/>
      <c r="N71" s="50"/>
    </row>
    <row r="72" spans="1:14" x14ac:dyDescent="0.3">
      <c r="A72" s="23" t="s">
        <v>202</v>
      </c>
      <c r="B72" s="23" t="s">
        <v>574</v>
      </c>
      <c r="C72" s="23" t="str">
        <f>VLOOKUP(B72,CPU!$B:$J,2,FALSE)</f>
        <v>PRÓPRIA</v>
      </c>
      <c r="D72" s="24" t="str">
        <f>VLOOKUP(B72,CPU!$B:$J,3,FALSE)</f>
        <v>CINTA DE AMARRAÇÃO DE ALVENARIA MOLDADA IN LOCO EM CONCRETO</v>
      </c>
      <c r="E72" s="23" t="str">
        <f>VLOOKUP(B72,CPU!$B:$J,4,FALSE)</f>
        <v>M</v>
      </c>
      <c r="F72" s="23"/>
      <c r="G72" s="23"/>
      <c r="H72" s="23"/>
      <c r="I72" s="23"/>
      <c r="J72" s="23"/>
      <c r="K72" s="23"/>
      <c r="L72" s="23"/>
      <c r="M72" s="23"/>
      <c r="N72" s="5">
        <f>SUM($M$73:$M$74)</f>
        <v>8.6</v>
      </c>
    </row>
    <row r="73" spans="1:14" x14ac:dyDescent="0.3">
      <c r="A73" s="23" t="s">
        <v>575</v>
      </c>
      <c r="B73" s="70" t="s">
        <v>517</v>
      </c>
      <c r="C73" s="71"/>
      <c r="D73" s="71"/>
      <c r="E73" s="72"/>
      <c r="F73" s="5"/>
      <c r="G73" s="26">
        <v>2</v>
      </c>
      <c r="H73" s="5">
        <v>2.2999999999999998</v>
      </c>
      <c r="I73" s="5"/>
      <c r="J73" s="5"/>
      <c r="K73" s="5" t="str">
        <f>IF(COUNTA(H73:J73)=2,ROUND(PRODUCT(H73:J73),2),"")</f>
        <v/>
      </c>
      <c r="L73" s="5" t="str">
        <f>IF(OR(AND(COUNTA(H73:J73)=3,K73=""),AND(COUNTA(H73:J73)=1,K73&lt;&gt;"")),ROUND(PRODUCT(H73:K73),2),"")</f>
        <v/>
      </c>
      <c r="M73" s="5">
        <f>IF(L73&lt;&gt;"",ROUND(PRODUCT(F73,G73,L73),2),IF(K73&lt;&gt;"",ROUND(PRODUCT(F73,G73,K73),2),ROUND(PRODUCT(F73:J73),2)))</f>
        <v>4.5999999999999996</v>
      </c>
      <c r="N73" s="5"/>
    </row>
    <row r="74" spans="1:14" x14ac:dyDescent="0.3">
      <c r="A74" s="23" t="s">
        <v>576</v>
      </c>
      <c r="B74" s="70" t="s">
        <v>517</v>
      </c>
      <c r="C74" s="71"/>
      <c r="D74" s="71"/>
      <c r="E74" s="72"/>
      <c r="F74" s="5"/>
      <c r="G74" s="26">
        <v>2</v>
      </c>
      <c r="H74" s="5">
        <v>2</v>
      </c>
      <c r="I74" s="5"/>
      <c r="J74" s="5"/>
      <c r="K74" s="5" t="str">
        <f>IF(COUNTA(H74:J74)=2,ROUND(PRODUCT(H74:J74),2),"")</f>
        <v/>
      </c>
      <c r="L74" s="5" t="str">
        <f>IF(OR(AND(COUNTA(H74:J74)=3,K74=""),AND(COUNTA(H74:J74)=1,K74&lt;&gt;"")),ROUND(PRODUCT(H74:K74),2),"")</f>
        <v/>
      </c>
      <c r="M74" s="5">
        <f>IF(L74&lt;&gt;"",ROUND(PRODUCT(F74,G74,L74),2),IF(K74&lt;&gt;"",ROUND(PRODUCT(F74,G74,K74),2),ROUND(PRODUCT(F74:J74),2)))</f>
        <v>4</v>
      </c>
      <c r="N74" s="5"/>
    </row>
    <row r="75" spans="1:14" ht="28.8" x14ac:dyDescent="0.3">
      <c r="A75" s="23" t="s">
        <v>203</v>
      </c>
      <c r="B75" s="23" t="s">
        <v>577</v>
      </c>
      <c r="C75" s="23" t="str">
        <f>VLOOKUP(B75,CPU!$B:$J,2,FALSE)</f>
        <v>PRÓPRIA</v>
      </c>
      <c r="D75" s="24" t="str">
        <f>VLOOKUP(B75,CPU!$B:$J,3,FALSE)</f>
        <v>(COMPOSIÇÃO REPRESENTATIVA) EXECUÇÃO DE ESTRUTURAS DE CONCRETO ARMADO, PARA EDIFICAÇÃO INSTITUCIONAL TÉRREA, FCK = 25 MPA</v>
      </c>
      <c r="E75" s="23" t="str">
        <f>VLOOKUP(B75,CPU!$B:$J,4,FALSE)</f>
        <v>M³</v>
      </c>
      <c r="F75" s="23"/>
      <c r="G75" s="23"/>
      <c r="H75" s="23"/>
      <c r="I75" s="23"/>
      <c r="J75" s="23"/>
      <c r="K75" s="23"/>
      <c r="L75" s="23"/>
      <c r="M75" s="23"/>
      <c r="N75" s="5">
        <f>SUM($M$76:$M$77)</f>
        <v>0.30000000000000004</v>
      </c>
    </row>
    <row r="76" spans="1:14" x14ac:dyDescent="0.3">
      <c r="A76" s="23" t="s">
        <v>578</v>
      </c>
      <c r="B76" s="70" t="s">
        <v>579</v>
      </c>
      <c r="C76" s="71"/>
      <c r="D76" s="71"/>
      <c r="E76" s="72"/>
      <c r="F76" s="5"/>
      <c r="G76" s="26">
        <v>2</v>
      </c>
      <c r="H76" s="5">
        <v>3.53</v>
      </c>
      <c r="I76" s="5">
        <v>0.15</v>
      </c>
      <c r="J76" s="5">
        <v>0.15</v>
      </c>
      <c r="K76" s="5" t="str">
        <f>IF(COUNTA(H76:J76)=2,ROUND(PRODUCT(H76:J76),2),"")</f>
        <v/>
      </c>
      <c r="L76" s="5">
        <f>IF(OR(AND(COUNTA(H76:J76)=3,K76=""),AND(COUNTA(H76:J76)=1,K76&lt;&gt;"")),ROUND(PRODUCT(H76:K76),2),"")</f>
        <v>0.08</v>
      </c>
      <c r="M76" s="5">
        <f>IF(L76&lt;&gt;"",ROUND(PRODUCT(F76,G76,L76),2),IF(K76&lt;&gt;"",ROUND(PRODUCT(F76,G76,K76),2),ROUND(PRODUCT(F76:J76),2)))</f>
        <v>0.16</v>
      </c>
      <c r="N76" s="5"/>
    </row>
    <row r="77" spans="1:14" x14ac:dyDescent="0.3">
      <c r="A77" s="23" t="s">
        <v>580</v>
      </c>
      <c r="B77" s="70" t="s">
        <v>579</v>
      </c>
      <c r="C77" s="71"/>
      <c r="D77" s="71"/>
      <c r="E77" s="72"/>
      <c r="F77" s="5"/>
      <c r="G77" s="26">
        <v>2</v>
      </c>
      <c r="H77" s="5">
        <v>2.95</v>
      </c>
      <c r="I77" s="5">
        <v>0.15</v>
      </c>
      <c r="J77" s="5">
        <v>0.15</v>
      </c>
      <c r="K77" s="5" t="str">
        <f>IF(COUNTA(H77:J77)=2,ROUND(PRODUCT(H77:J77),2),"")</f>
        <v/>
      </c>
      <c r="L77" s="5">
        <f>IF(OR(AND(COUNTA(H77:J77)=3,K77=""),AND(COUNTA(H77:J77)=1,K77&lt;&gt;"")),ROUND(PRODUCT(H77:K77),2),"")</f>
        <v>7.0000000000000007E-2</v>
      </c>
      <c r="M77" s="5">
        <f>IF(L77&lt;&gt;"",ROUND(PRODUCT(F77,G77,L77),2),IF(K77&lt;&gt;"",ROUND(PRODUCT(F77,G77,K77),2),ROUND(PRODUCT(F77:J77),2)))</f>
        <v>0.14000000000000001</v>
      </c>
      <c r="N77" s="5"/>
    </row>
    <row r="78" spans="1:14" x14ac:dyDescent="0.3">
      <c r="A78" s="15" t="s">
        <v>27</v>
      </c>
      <c r="B78" s="48" t="s">
        <v>581</v>
      </c>
      <c r="C78" s="49"/>
      <c r="D78" s="49"/>
      <c r="E78" s="49"/>
      <c r="F78" s="49"/>
      <c r="G78" s="49"/>
      <c r="H78" s="49"/>
      <c r="I78" s="49"/>
      <c r="J78" s="49"/>
      <c r="K78" s="49"/>
      <c r="L78" s="49"/>
      <c r="M78" s="49"/>
      <c r="N78" s="50"/>
    </row>
    <row r="79" spans="1:14" ht="43.2" x14ac:dyDescent="0.3">
      <c r="A79" s="23" t="s">
        <v>204</v>
      </c>
      <c r="B79" s="23">
        <v>103329</v>
      </c>
      <c r="C79" s="23" t="str">
        <f>VLOOKUP(B79,CPU!$B:$J,2,FALSE)</f>
        <v>SINAPI</v>
      </c>
      <c r="D79" s="24" t="str">
        <f>VLOOKUP(B79,CPU!$B:$J,3,FALSE)</f>
        <v>ALVENARIA DE VEDAÇÃO DE BLOCOS CERÂMICOS FURADOS NA HORIZONTAL DE 9X19X19 CM (ESPESSURA 9 CM) E ARGAMASSA DE ASSENTAMENTO COM PREPARO MANUAL. AF_12/2021</v>
      </c>
      <c r="E79" s="23" t="str">
        <f>VLOOKUP(B79,CPU!$B:$J,4,FALSE)</f>
        <v>M2</v>
      </c>
      <c r="F79" s="23"/>
      <c r="G79" s="23"/>
      <c r="H79" s="23"/>
      <c r="I79" s="23"/>
      <c r="J79" s="23"/>
      <c r="K79" s="23"/>
      <c r="L79" s="23"/>
      <c r="M79" s="23"/>
      <c r="N79" s="5">
        <f>SUM($M$80:$M$84)</f>
        <v>19.310000000000002</v>
      </c>
    </row>
    <row r="80" spans="1:14" x14ac:dyDescent="0.3">
      <c r="A80" s="23" t="s">
        <v>582</v>
      </c>
      <c r="B80" s="70" t="s">
        <v>517</v>
      </c>
      <c r="C80" s="71"/>
      <c r="D80" s="71"/>
      <c r="E80" s="72"/>
      <c r="F80" s="5"/>
      <c r="G80" s="26">
        <v>1</v>
      </c>
      <c r="H80" s="5">
        <v>2.2999999999999998</v>
      </c>
      <c r="I80" s="5">
        <v>2.2999999999999998</v>
      </c>
      <c r="J80" s="5"/>
      <c r="K80" s="5">
        <f>IF(COUNTA(H80:J80)=2,ROUND(PRODUCT(H80:J80),2),"")</f>
        <v>5.29</v>
      </c>
      <c r="L80" s="5" t="str">
        <f>IF(OR(AND(COUNTA(H80:J80)=3,K80=""),AND(COUNTA(H80:J80)=1,K80&lt;&gt;"")),ROUND(PRODUCT(H80:K80),2),"")</f>
        <v/>
      </c>
      <c r="M80" s="5">
        <f>IF(L80&lt;&gt;"",ROUND(PRODUCT(F80,G80,L80),2),IF(K80&lt;&gt;"",ROUND(PRODUCT(F80,G80,K80),2),ROUND(PRODUCT(F80:J80),2)))</f>
        <v>5.29</v>
      </c>
      <c r="N80" s="5"/>
    </row>
    <row r="81" spans="1:14" x14ac:dyDescent="0.3">
      <c r="A81" s="23" t="s">
        <v>583</v>
      </c>
      <c r="B81" s="70" t="s">
        <v>517</v>
      </c>
      <c r="C81" s="71"/>
      <c r="D81" s="71"/>
      <c r="E81" s="72"/>
      <c r="F81" s="5"/>
      <c r="G81" s="26">
        <v>1</v>
      </c>
      <c r="H81" s="5">
        <v>2.2999999999999998</v>
      </c>
      <c r="I81" s="5">
        <v>2.88</v>
      </c>
      <c r="J81" s="5"/>
      <c r="K81" s="5">
        <f>IF(COUNTA(H81:J81)=2,ROUND(PRODUCT(H81:J81),2),"")</f>
        <v>6.62</v>
      </c>
      <c r="L81" s="5" t="str">
        <f>IF(OR(AND(COUNTA(H81:J81)=3,K81=""),AND(COUNTA(H81:J81)=1,K81&lt;&gt;"")),ROUND(PRODUCT(H81:K81),2),"")</f>
        <v/>
      </c>
      <c r="M81" s="5">
        <f>IF(L81&lt;&gt;"",ROUND(PRODUCT(F81,G81,L81),2),IF(K81&lt;&gt;"",ROUND(PRODUCT(F81,G81,K81),2),ROUND(PRODUCT(F81:J81),2)))</f>
        <v>6.62</v>
      </c>
      <c r="N81" s="5"/>
    </row>
    <row r="82" spans="1:14" x14ac:dyDescent="0.3">
      <c r="A82" s="23" t="s">
        <v>584</v>
      </c>
      <c r="B82" s="70" t="s">
        <v>517</v>
      </c>
      <c r="C82" s="71"/>
      <c r="D82" s="71"/>
      <c r="E82" s="72"/>
      <c r="F82" s="5"/>
      <c r="G82" s="26">
        <v>2</v>
      </c>
      <c r="H82" s="5">
        <v>2.2999999999999998</v>
      </c>
      <c r="I82" s="5">
        <v>2.2999999999999998</v>
      </c>
      <c r="J82" s="5"/>
      <c r="K82" s="5">
        <f>IF(COUNTA(H82:J82)=2,ROUND(PRODUCT(H82:J82),2),"")</f>
        <v>5.29</v>
      </c>
      <c r="L82" s="5" t="str">
        <f>IF(OR(AND(COUNTA(H82:J82)=3,K82=""),AND(COUNTA(H82:J82)=1,K82&lt;&gt;"")),ROUND(PRODUCT(H82:K82),2),"")</f>
        <v/>
      </c>
      <c r="M82" s="5">
        <f>IF(L82&lt;&gt;"",ROUND(PRODUCT(F82,G82,L82),2),IF(K82&lt;&gt;"",ROUND(PRODUCT(F82,G82,K82),2),ROUND(PRODUCT(F82:J82),2)))</f>
        <v>10.58</v>
      </c>
      <c r="N82" s="5"/>
    </row>
    <row r="83" spans="1:14" x14ac:dyDescent="0.3">
      <c r="A83" s="23" t="s">
        <v>585</v>
      </c>
      <c r="B83" s="70" t="s">
        <v>517</v>
      </c>
      <c r="C83" s="71"/>
      <c r="D83" s="71"/>
      <c r="E83" s="72"/>
      <c r="F83" s="5"/>
      <c r="G83" s="26">
        <v>-3</v>
      </c>
      <c r="H83" s="5">
        <v>1</v>
      </c>
      <c r="I83" s="5">
        <v>0.5</v>
      </c>
      <c r="J83" s="5"/>
      <c r="K83" s="5">
        <f>IF(COUNTA(H83:J83)=2,ROUND(PRODUCT(H83:J83),2),"")</f>
        <v>0.5</v>
      </c>
      <c r="L83" s="5" t="str">
        <f>IF(OR(AND(COUNTA(H83:J83)=3,K83=""),AND(COUNTA(H83:J83)=1,K83&lt;&gt;"")),ROUND(PRODUCT(H83:K83),2),"")</f>
        <v/>
      </c>
      <c r="M83" s="5">
        <f>IF(L83&lt;&gt;"",ROUND(PRODUCT(F83,G83,L83),2),IF(K83&lt;&gt;"",ROUND(PRODUCT(F83,G83,K83),2),ROUND(PRODUCT(F83:J83),2)))</f>
        <v>-1.5</v>
      </c>
      <c r="N83" s="5"/>
    </row>
    <row r="84" spans="1:14" x14ac:dyDescent="0.3">
      <c r="A84" s="23" t="s">
        <v>586</v>
      </c>
      <c r="B84" s="70" t="s">
        <v>517</v>
      </c>
      <c r="C84" s="71"/>
      <c r="D84" s="71"/>
      <c r="E84" s="72"/>
      <c r="F84" s="5"/>
      <c r="G84" s="26">
        <v>-1</v>
      </c>
      <c r="H84" s="5">
        <v>0.8</v>
      </c>
      <c r="I84" s="5">
        <v>2.1</v>
      </c>
      <c r="J84" s="5"/>
      <c r="K84" s="5">
        <f>IF(COUNTA(H84:J84)=2,ROUND(PRODUCT(H84:J84),2),"")</f>
        <v>1.68</v>
      </c>
      <c r="L84" s="5" t="str">
        <f>IF(OR(AND(COUNTA(H84:J84)=3,K84=""),AND(COUNTA(H84:J84)=1,K84&lt;&gt;"")),ROUND(PRODUCT(H84:K84),2),"")</f>
        <v/>
      </c>
      <c r="M84" s="5">
        <f>IF(L84&lt;&gt;"",ROUND(PRODUCT(F84,G84,L84),2),IF(K84&lt;&gt;"",ROUND(PRODUCT(F84,G84,K84),2),ROUND(PRODUCT(F84:J84),2)))</f>
        <v>-1.68</v>
      </c>
      <c r="N84" s="5"/>
    </row>
    <row r="85" spans="1:14" ht="43.2" x14ac:dyDescent="0.3">
      <c r="A85" s="23" t="s">
        <v>205</v>
      </c>
      <c r="B85" s="23">
        <v>101161</v>
      </c>
      <c r="C85" s="23" t="str">
        <f>VLOOKUP(B85,CPU!$B:$J,2,FALSE)</f>
        <v>SINAPI</v>
      </c>
      <c r="D85" s="24" t="str">
        <f>VLOOKUP(B85,CPU!$B:$J,3,FALSE)</f>
        <v>ALVENARIA DE VEDAÇÃO COM ELEMENTO VAZADO DE CONCRETO (COBOGÓ) DE 7X50X50CM E ARGAMASSA DE ASSENTAMENTO COM PREPARO EM BETONEIRA. AF_05/2020</v>
      </c>
      <c r="E85" s="23" t="str">
        <f>VLOOKUP(B85,CPU!$B:$J,4,FALSE)</f>
        <v>M2</v>
      </c>
      <c r="F85" s="23"/>
      <c r="G85" s="23"/>
      <c r="H85" s="23"/>
      <c r="I85" s="23"/>
      <c r="J85" s="23"/>
      <c r="K85" s="23"/>
      <c r="L85" s="23"/>
      <c r="M85" s="23"/>
      <c r="N85" s="5">
        <f>SUM($M$86:$M$86)</f>
        <v>1.5</v>
      </c>
    </row>
    <row r="86" spans="1:14" x14ac:dyDescent="0.3">
      <c r="A86" s="23" t="s">
        <v>587</v>
      </c>
      <c r="B86" s="70" t="s">
        <v>517</v>
      </c>
      <c r="C86" s="71"/>
      <c r="D86" s="71"/>
      <c r="E86" s="72"/>
      <c r="F86" s="5"/>
      <c r="G86" s="26">
        <v>3</v>
      </c>
      <c r="H86" s="5">
        <v>1</v>
      </c>
      <c r="I86" s="5">
        <v>0.5</v>
      </c>
      <c r="J86" s="5"/>
      <c r="K86" s="5">
        <f>IF(COUNTA(H86:J86)=2,ROUND(PRODUCT(H86:J86),2),"")</f>
        <v>0.5</v>
      </c>
      <c r="L86" s="5" t="str">
        <f>IF(OR(AND(COUNTA(H86:J86)=3,K86=""),AND(COUNTA(H86:J86)=1,K86&lt;&gt;"")),ROUND(PRODUCT(H86:K86),2),"")</f>
        <v/>
      </c>
      <c r="M86" s="5">
        <f>IF(L86&lt;&gt;"",ROUND(PRODUCT(F86,G86,L86),2),IF(K86&lt;&gt;"",ROUND(PRODUCT(F86,G86,K86),2),ROUND(PRODUCT(F86:J86),2)))</f>
        <v>1.5</v>
      </c>
      <c r="N86" s="5"/>
    </row>
    <row r="87" spans="1:14" x14ac:dyDescent="0.3">
      <c r="A87" s="15" t="s">
        <v>28</v>
      </c>
      <c r="B87" s="48" t="s">
        <v>685</v>
      </c>
      <c r="C87" s="49"/>
      <c r="D87" s="49"/>
      <c r="E87" s="49"/>
      <c r="F87" s="49"/>
      <c r="G87" s="49"/>
      <c r="H87" s="49"/>
      <c r="I87" s="49"/>
      <c r="J87" s="49"/>
      <c r="K87" s="49"/>
      <c r="L87" s="49"/>
      <c r="M87" s="49"/>
      <c r="N87" s="50"/>
    </row>
    <row r="88" spans="1:14" ht="28.8" x14ac:dyDescent="0.3">
      <c r="A88" s="23" t="s">
        <v>206</v>
      </c>
      <c r="B88" s="23" t="s">
        <v>588</v>
      </c>
      <c r="C88" s="23" t="str">
        <f>VLOOKUP(B88,CPU!$B:$J,2,FALSE)</f>
        <v>PRÓPRIA</v>
      </c>
      <c r="D88" s="24" t="str">
        <f>VLOOKUP(B88,CPU!$B:$J,3,FALSE)</f>
        <v>TELHAMENTO COM TELHA CERÂMICA CAPA-CANAL, TIPO COLONIAL, COM ATÉ 2 ÁGUAS, INCLUSO TRANSPORTE VERTICAL</v>
      </c>
      <c r="E88" s="23" t="str">
        <f>VLOOKUP(B88,CPU!$B:$J,4,FALSE)</f>
        <v>M²</v>
      </c>
      <c r="F88" s="23"/>
      <c r="G88" s="23"/>
      <c r="H88" s="23"/>
      <c r="I88" s="23"/>
      <c r="J88" s="23"/>
      <c r="K88" s="23"/>
      <c r="L88" s="23"/>
      <c r="M88" s="23"/>
      <c r="N88" s="5">
        <f>SUM($M$89:$M$89)</f>
        <v>10.23</v>
      </c>
    </row>
    <row r="89" spans="1:14" x14ac:dyDescent="0.3">
      <c r="A89" s="23" t="s">
        <v>589</v>
      </c>
      <c r="B89" s="70" t="s">
        <v>517</v>
      </c>
      <c r="C89" s="71"/>
      <c r="D89" s="71"/>
      <c r="E89" s="72"/>
      <c r="F89" s="5"/>
      <c r="G89" s="26"/>
      <c r="H89" s="5">
        <v>3.1</v>
      </c>
      <c r="I89" s="5">
        <v>3.3</v>
      </c>
      <c r="J89" s="5"/>
      <c r="K89" s="5">
        <f>IF(COUNTA(H89:J89)=2,ROUND(PRODUCT(H89:J89),2),"")</f>
        <v>10.23</v>
      </c>
      <c r="L89" s="5" t="str">
        <f>IF(OR(AND(COUNTA(H89:J89)=3,K89=""),AND(COUNTA(H89:J89)=1,K89&lt;&gt;"")),ROUND(PRODUCT(H89:K89),2),"")</f>
        <v/>
      </c>
      <c r="M89" s="5">
        <f>IF(L89&lt;&gt;"",ROUND(PRODUCT(F89,G89,L89),2),IF(K89&lt;&gt;"",ROUND(PRODUCT(F89,G89,K89),2),ROUND(PRODUCT(F89:J89),2)))</f>
        <v>10.23</v>
      </c>
      <c r="N89" s="5"/>
    </row>
    <row r="90" spans="1:14" ht="28.8" x14ac:dyDescent="0.3">
      <c r="A90" s="23" t="s">
        <v>207</v>
      </c>
      <c r="B90" s="23" t="s">
        <v>590</v>
      </c>
      <c r="C90" s="23" t="str">
        <f>VLOOKUP(B90,CPU!$B:$J,2,FALSE)</f>
        <v>PRÓPRIA</v>
      </c>
      <c r="D90" s="24" t="str">
        <f>VLOOKUP(B90,CPU!$B:$J,3,FALSE)</f>
        <v>TRAMA DE MADEIRA COMPOSTA POR RIPAS, CAIBROS E TERÇAS PARA TELHADOS DE ATÉ 2 ÁGUAS PARA TELHA CERÂMICA CAPA-CANAL, INCLUSO TRANSPORTE VERTICAL</v>
      </c>
      <c r="E90" s="23" t="str">
        <f>VLOOKUP(B90,CPU!$B:$J,4,FALSE)</f>
        <v>M²</v>
      </c>
      <c r="F90" s="23"/>
      <c r="G90" s="23"/>
      <c r="H90" s="23"/>
      <c r="I90" s="23"/>
      <c r="J90" s="23"/>
      <c r="K90" s="23"/>
      <c r="L90" s="23"/>
      <c r="M90" s="23"/>
      <c r="N90" s="5">
        <f>SUM($M$91:$M$91)</f>
        <v>10.23</v>
      </c>
    </row>
    <row r="91" spans="1:14" x14ac:dyDescent="0.3">
      <c r="A91" s="23" t="s">
        <v>591</v>
      </c>
      <c r="B91" s="70" t="s">
        <v>517</v>
      </c>
      <c r="C91" s="71"/>
      <c r="D91" s="71"/>
      <c r="E91" s="72"/>
      <c r="F91" s="5"/>
      <c r="G91" s="26"/>
      <c r="H91" s="5">
        <v>3.1</v>
      </c>
      <c r="I91" s="5">
        <v>3.3</v>
      </c>
      <c r="J91" s="5"/>
      <c r="K91" s="5">
        <f>IF(COUNTA(H91:J91)=2,ROUND(PRODUCT(H91:J91),2),"")</f>
        <v>10.23</v>
      </c>
      <c r="L91" s="5" t="str">
        <f>IF(OR(AND(COUNTA(H91:J91)=3,K91=""),AND(COUNTA(H91:J91)=1,K91&lt;&gt;"")),ROUND(PRODUCT(H91:K91),2),"")</f>
        <v/>
      </c>
      <c r="M91" s="5">
        <f>IF(L91&lt;&gt;"",ROUND(PRODUCT(F91,G91,L91),2),IF(K91&lt;&gt;"",ROUND(PRODUCT(F91,G91,K91),2),ROUND(PRODUCT(F91:J91),2)))</f>
        <v>10.23</v>
      </c>
      <c r="N91" s="5"/>
    </row>
    <row r="92" spans="1:14" x14ac:dyDescent="0.3">
      <c r="A92" s="15" t="s">
        <v>29</v>
      </c>
      <c r="B92" s="48" t="s">
        <v>592</v>
      </c>
      <c r="C92" s="49"/>
      <c r="D92" s="49"/>
      <c r="E92" s="49"/>
      <c r="F92" s="49"/>
      <c r="G92" s="49"/>
      <c r="H92" s="49"/>
      <c r="I92" s="49"/>
      <c r="J92" s="49"/>
      <c r="K92" s="49"/>
      <c r="L92" s="49"/>
      <c r="M92" s="49"/>
      <c r="N92" s="50"/>
    </row>
    <row r="93" spans="1:14" ht="28.8" x14ac:dyDescent="0.3">
      <c r="A93" s="23" t="s">
        <v>208</v>
      </c>
      <c r="B93" s="23">
        <v>96617</v>
      </c>
      <c r="C93" s="23" t="str">
        <f>VLOOKUP(B93,CPU!$B:$J,2,FALSE)</f>
        <v>SINAPI</v>
      </c>
      <c r="D93" s="24" t="str">
        <f>VLOOKUP(B93,CPU!$B:$J,3,FALSE)</f>
        <v>LASTRO DE CONCRETO MAGRO, APLICADO EM BLOCOS DE COROAMENTO OU SAPATAS, ESPESSURA DE 3 CM. AF_01/2024</v>
      </c>
      <c r="E93" s="23" t="str">
        <f>VLOOKUP(B93,CPU!$B:$J,4,FALSE)</f>
        <v>M2</v>
      </c>
      <c r="F93" s="23"/>
      <c r="G93" s="23"/>
      <c r="H93" s="23"/>
      <c r="I93" s="23"/>
      <c r="J93" s="23"/>
      <c r="K93" s="23"/>
      <c r="L93" s="23"/>
      <c r="M93" s="23"/>
      <c r="N93" s="5">
        <f>SUM($M$94:$M$94)</f>
        <v>4</v>
      </c>
    </row>
    <row r="94" spans="1:14" x14ac:dyDescent="0.3">
      <c r="A94" s="23" t="s">
        <v>593</v>
      </c>
      <c r="B94" s="70" t="s">
        <v>517</v>
      </c>
      <c r="C94" s="71"/>
      <c r="D94" s="71"/>
      <c r="E94" s="72"/>
      <c r="F94" s="5"/>
      <c r="G94" s="26"/>
      <c r="H94" s="5">
        <v>2</v>
      </c>
      <c r="I94" s="5">
        <v>2</v>
      </c>
      <c r="J94" s="5"/>
      <c r="K94" s="5">
        <f>IF(COUNTA(H94:J94)=2,ROUND(PRODUCT(H94:J94),2),"")</f>
        <v>4</v>
      </c>
      <c r="L94" s="5" t="str">
        <f>IF(OR(AND(COUNTA(H94:J94)=3,K94=""),AND(COUNTA(H94:J94)=1,K94&lt;&gt;"")),ROUND(PRODUCT(H94:K94),2),"")</f>
        <v/>
      </c>
      <c r="M94" s="5">
        <f>IF(L94&lt;&gt;"",ROUND(PRODUCT(F94,G94,L94),2),IF(K94&lt;&gt;"",ROUND(PRODUCT(F94,G94,K94),2),ROUND(PRODUCT(F94:J94),2)))</f>
        <v>4</v>
      </c>
      <c r="N94" s="5"/>
    </row>
    <row r="95" spans="1:14" ht="28.8" x14ac:dyDescent="0.3">
      <c r="A95" s="23" t="s">
        <v>209</v>
      </c>
      <c r="B95" s="23">
        <v>101749</v>
      </c>
      <c r="C95" s="23" t="str">
        <f>VLOOKUP(B95,CPU!$B:$J,2,FALSE)</f>
        <v>SINAPI</v>
      </c>
      <c r="D95" s="24" t="str">
        <f>VLOOKUP(B95,CPU!$B:$J,3,FALSE)</f>
        <v>PISO CIMENTADO, TRAÇO 1:3 (CIMENTO E AREIA), ACABAMENTO LISO, ESPESSURA 4,0 CM, PREPARO MECÂNICO DA ARGAMASSA. AF_09/2020</v>
      </c>
      <c r="E95" s="23" t="str">
        <f>VLOOKUP(B95,CPU!$B:$J,4,FALSE)</f>
        <v>M2</v>
      </c>
      <c r="F95" s="23"/>
      <c r="G95" s="23"/>
      <c r="H95" s="23"/>
      <c r="I95" s="23"/>
      <c r="J95" s="23"/>
      <c r="K95" s="23"/>
      <c r="L95" s="23"/>
      <c r="M95" s="23"/>
      <c r="N95" s="5">
        <f>SUM($M$96:$M$96)</f>
        <v>4</v>
      </c>
    </row>
    <row r="96" spans="1:14" x14ac:dyDescent="0.3">
      <c r="A96" s="23" t="s">
        <v>594</v>
      </c>
      <c r="B96" s="70" t="s">
        <v>517</v>
      </c>
      <c r="C96" s="71"/>
      <c r="D96" s="71"/>
      <c r="E96" s="72"/>
      <c r="F96" s="5"/>
      <c r="G96" s="26"/>
      <c r="H96" s="5">
        <v>2</v>
      </c>
      <c r="I96" s="5">
        <v>2</v>
      </c>
      <c r="J96" s="5"/>
      <c r="K96" s="5">
        <f>IF(COUNTA(H96:J96)=2,ROUND(PRODUCT(H96:J96),2),"")</f>
        <v>4</v>
      </c>
      <c r="L96" s="5" t="str">
        <f>IF(OR(AND(COUNTA(H96:J96)=3,K96=""),AND(COUNTA(H96:J96)=1,K96&lt;&gt;"")),ROUND(PRODUCT(H96:K96),2),"")</f>
        <v/>
      </c>
      <c r="M96" s="5">
        <f>IF(L96&lt;&gt;"",ROUND(PRODUCT(F96,G96,L96),2),IF(K96&lt;&gt;"",ROUND(PRODUCT(F96,G96,K96),2),ROUND(PRODUCT(F96:J96),2)))</f>
        <v>4</v>
      </c>
      <c r="N96" s="5"/>
    </row>
    <row r="97" spans="1:14" ht="43.2" x14ac:dyDescent="0.3">
      <c r="A97" s="23" t="s">
        <v>210</v>
      </c>
      <c r="B97" s="23">
        <v>94994</v>
      </c>
      <c r="C97" s="23" t="str">
        <f>VLOOKUP(B97,CPU!$B:$J,2,FALSE)</f>
        <v>SINAPI</v>
      </c>
      <c r="D97" s="24" t="str">
        <f>VLOOKUP(B97,CPU!$B:$J,3,FALSE)</f>
        <v>EXECUÇÃO DE PASSEIO (CALÇADA) OU PISO DE CONCRETO COM CONCRETO MOLDADO IN LOCO, FEITO EM OBRA, ACABAMENTO CONVENCIONAL, ESPESSURA 8 CM, ARMADO. AF_08/2022</v>
      </c>
      <c r="E97" s="23" t="str">
        <f>VLOOKUP(B97,CPU!$B:$J,4,FALSE)</f>
        <v>M2</v>
      </c>
      <c r="F97" s="23"/>
      <c r="G97" s="23"/>
      <c r="H97" s="23"/>
      <c r="I97" s="23"/>
      <c r="J97" s="23"/>
      <c r="K97" s="23"/>
      <c r="L97" s="23"/>
      <c r="M97" s="23"/>
      <c r="N97" s="5">
        <f>SUM($M$98:$M$99)</f>
        <v>5.6</v>
      </c>
    </row>
    <row r="98" spans="1:14" x14ac:dyDescent="0.3">
      <c r="A98" s="23" t="s">
        <v>595</v>
      </c>
      <c r="B98" s="70" t="s">
        <v>517</v>
      </c>
      <c r="C98" s="71"/>
      <c r="D98" s="71"/>
      <c r="E98" s="72"/>
      <c r="F98" s="5"/>
      <c r="G98" s="26">
        <v>2</v>
      </c>
      <c r="H98" s="5">
        <v>3.3</v>
      </c>
      <c r="I98" s="5">
        <v>0.5</v>
      </c>
      <c r="J98" s="5"/>
      <c r="K98" s="5">
        <f>IF(COUNTA(H98:J98)=2,ROUND(PRODUCT(H98:J98),2),"")</f>
        <v>1.65</v>
      </c>
      <c r="L98" s="5" t="str">
        <f>IF(OR(AND(COUNTA(H98:J98)=3,K98=""),AND(COUNTA(H98:J98)=1,K98&lt;&gt;"")),ROUND(PRODUCT(H98:K98),2),"")</f>
        <v/>
      </c>
      <c r="M98" s="5">
        <f>IF(L98&lt;&gt;"",ROUND(PRODUCT(F98,G98,L98),2),IF(K98&lt;&gt;"",ROUND(PRODUCT(F98,G98,K98),2),ROUND(PRODUCT(F98:J98),2)))</f>
        <v>3.3</v>
      </c>
      <c r="N98" s="5"/>
    </row>
    <row r="99" spans="1:14" x14ac:dyDescent="0.3">
      <c r="A99" s="23" t="s">
        <v>596</v>
      </c>
      <c r="B99" s="70" t="s">
        <v>517</v>
      </c>
      <c r="C99" s="71"/>
      <c r="D99" s="71"/>
      <c r="E99" s="72"/>
      <c r="F99" s="5"/>
      <c r="G99" s="26">
        <v>2</v>
      </c>
      <c r="H99" s="5">
        <v>2.2999999999999998</v>
      </c>
      <c r="I99" s="5">
        <v>0.5</v>
      </c>
      <c r="J99" s="5"/>
      <c r="K99" s="5">
        <f>IF(COUNTA(H99:J99)=2,ROUND(PRODUCT(H99:J99),2),"")</f>
        <v>1.1499999999999999</v>
      </c>
      <c r="L99" s="5" t="str">
        <f>IF(OR(AND(COUNTA(H99:J99)=3,K99=""),AND(COUNTA(H99:J99)=1,K99&lt;&gt;"")),ROUND(PRODUCT(H99:K99),2),"")</f>
        <v/>
      </c>
      <c r="M99" s="5">
        <f>IF(L99&lt;&gt;"",ROUND(PRODUCT(F99,G99,L99),2),IF(K99&lt;&gt;"",ROUND(PRODUCT(F99,G99,K99),2),ROUND(PRODUCT(F99:J99),2)))</f>
        <v>2.2999999999999998</v>
      </c>
      <c r="N99" s="5"/>
    </row>
    <row r="100" spans="1:14" x14ac:dyDescent="0.3">
      <c r="A100" s="15" t="s">
        <v>30</v>
      </c>
      <c r="B100" s="48" t="s">
        <v>597</v>
      </c>
      <c r="C100" s="49"/>
      <c r="D100" s="49"/>
      <c r="E100" s="49"/>
      <c r="F100" s="49"/>
      <c r="G100" s="49"/>
      <c r="H100" s="49"/>
      <c r="I100" s="49"/>
      <c r="J100" s="49"/>
      <c r="K100" s="49"/>
      <c r="L100" s="49"/>
      <c r="M100" s="49"/>
      <c r="N100" s="50"/>
    </row>
    <row r="101" spans="1:14" ht="43.2" x14ac:dyDescent="0.3">
      <c r="A101" s="23" t="s">
        <v>211</v>
      </c>
      <c r="B101" s="23">
        <v>87904</v>
      </c>
      <c r="C101" s="23" t="str">
        <f>VLOOKUP(B101,CPU!$B:$J,2,FALSE)</f>
        <v>SINAPI</v>
      </c>
      <c r="D101" s="24" t="str">
        <f>VLOOKUP(B101,CPU!$B:$J,3,FALSE)</f>
        <v>CHAPISCO APLICADO EM ALVENARIA (COM PRESENÇA DE VÃOS) E ESTRUTURAS DE CONCRETO DE FACHADA, COM COLHER DE PEDREIRO. ARGAMASSA TRAÇO 1:3 COM PREPARO MANUAL. AF_10/2022</v>
      </c>
      <c r="E101" s="23" t="str">
        <f>VLOOKUP(B101,CPU!$B:$J,4,FALSE)</f>
        <v>M2</v>
      </c>
      <c r="F101" s="23"/>
      <c r="G101" s="23"/>
      <c r="H101" s="23"/>
      <c r="I101" s="23"/>
      <c r="J101" s="23"/>
      <c r="K101" s="23"/>
      <c r="L101" s="23"/>
      <c r="M101" s="23"/>
      <c r="N101" s="5">
        <f>SUM($M$102:$M$102)</f>
        <v>38.619999999999997</v>
      </c>
    </row>
    <row r="102" spans="1:14" x14ac:dyDescent="0.3">
      <c r="A102" s="23" t="s">
        <v>598</v>
      </c>
      <c r="B102" s="70" t="s">
        <v>599</v>
      </c>
      <c r="C102" s="71"/>
      <c r="D102" s="71"/>
      <c r="E102" s="72"/>
      <c r="F102" s="5"/>
      <c r="G102" s="26">
        <v>2</v>
      </c>
      <c r="H102" s="5"/>
      <c r="I102" s="5"/>
      <c r="J102" s="5"/>
      <c r="K102" s="5">
        <v>19.309999999999999</v>
      </c>
      <c r="L102" s="5" t="str">
        <f>IF(OR(AND(COUNTA(H102:J102)=3,K102=""),AND(COUNTA(H102:J102)=1,K102&lt;&gt;"")),ROUND(PRODUCT(H102:K102),2),"")</f>
        <v/>
      </c>
      <c r="M102" s="5">
        <f>IF(L102&lt;&gt;"",ROUND(PRODUCT(F102,G102,L102),2),IF(K102&lt;&gt;"",ROUND(PRODUCT(F102,G102,K102),2),ROUND(PRODUCT(F102:J102),2)))</f>
        <v>38.619999999999997</v>
      </c>
      <c r="N102" s="5"/>
    </row>
    <row r="103" spans="1:14" ht="43.2" x14ac:dyDescent="0.3">
      <c r="A103" s="23" t="s">
        <v>212</v>
      </c>
      <c r="B103" s="23">
        <v>87530</v>
      </c>
      <c r="C103" s="23" t="str">
        <f>VLOOKUP(B103,CPU!$B:$J,2,FALSE)</f>
        <v>SINAPI</v>
      </c>
      <c r="D103" s="24" t="str">
        <f>VLOOKUP(B103,CPU!$B:$J,3,FALSE)</f>
        <v>MASSA ÚNICA, EM ARGAMASSA TRAÇO 1:2:8, PREPARO MANUAL, APLICADA MANUALMENTE EM PAREDES INTERNAS DE AMBIENTES COM ÁREA ENTRE 5M² E 10M², E = 17,5MM, COM TALISCAS. AF_03/2024</v>
      </c>
      <c r="E103" s="23" t="str">
        <f>VLOOKUP(B103,CPU!$B:$J,4,FALSE)</f>
        <v>M2</v>
      </c>
      <c r="F103" s="23"/>
      <c r="G103" s="23"/>
      <c r="H103" s="23"/>
      <c r="I103" s="23"/>
      <c r="J103" s="23"/>
      <c r="K103" s="23"/>
      <c r="L103" s="23"/>
      <c r="M103" s="23"/>
      <c r="N103" s="5">
        <f>SUM($M$104:$M$104)</f>
        <v>38.619999999999997</v>
      </c>
    </row>
    <row r="104" spans="1:14" x14ac:dyDescent="0.3">
      <c r="A104" s="23" t="s">
        <v>600</v>
      </c>
      <c r="B104" s="70" t="s">
        <v>599</v>
      </c>
      <c r="C104" s="71"/>
      <c r="D104" s="71"/>
      <c r="E104" s="72"/>
      <c r="F104" s="5"/>
      <c r="G104" s="26">
        <v>2</v>
      </c>
      <c r="H104" s="5"/>
      <c r="I104" s="5"/>
      <c r="J104" s="5"/>
      <c r="K104" s="5">
        <v>19.309999999999999</v>
      </c>
      <c r="L104" s="5" t="str">
        <f>IF(OR(AND(COUNTA(H104:J104)=3,K104=""),AND(COUNTA(H104:J104)=1,K104&lt;&gt;"")),ROUND(PRODUCT(H104:K104),2),"")</f>
        <v/>
      </c>
      <c r="M104" s="5">
        <f>IF(L104&lt;&gt;"",ROUND(PRODUCT(F104,G104,L104),2),IF(K104&lt;&gt;"",ROUND(PRODUCT(F104,G104,K104),2),ROUND(PRODUCT(F104:J104),2)))</f>
        <v>38.619999999999997</v>
      </c>
      <c r="N104" s="5"/>
    </row>
    <row r="105" spans="1:14" x14ac:dyDescent="0.3">
      <c r="A105" s="15" t="s">
        <v>31</v>
      </c>
      <c r="B105" s="48" t="s">
        <v>601</v>
      </c>
      <c r="C105" s="49"/>
      <c r="D105" s="49"/>
      <c r="E105" s="49"/>
      <c r="F105" s="49"/>
      <c r="G105" s="49"/>
      <c r="H105" s="49"/>
      <c r="I105" s="49"/>
      <c r="J105" s="49"/>
      <c r="K105" s="49"/>
      <c r="L105" s="49"/>
      <c r="M105" s="49"/>
      <c r="N105" s="50"/>
    </row>
    <row r="106" spans="1:14" x14ac:dyDescent="0.3">
      <c r="A106" s="23" t="s">
        <v>213</v>
      </c>
      <c r="B106" s="23">
        <v>100701</v>
      </c>
      <c r="C106" s="23" t="str">
        <f>VLOOKUP(B106,CPU!$B:$J,2,FALSE)</f>
        <v>SINAPI</v>
      </c>
      <c r="D106" s="24" t="str">
        <f>VLOOKUP(B106,CPU!$B:$J,3,FALSE)</f>
        <v>PORTA DE FERRO, DE ABRIR, TIPO GRADE COM CHAPA, COM GUARNIÇÕES. AF_12/2019</v>
      </c>
      <c r="E106" s="23" t="str">
        <f>VLOOKUP(B106,CPU!$B:$J,4,FALSE)</f>
        <v>M2</v>
      </c>
      <c r="F106" s="23"/>
      <c r="G106" s="23"/>
      <c r="H106" s="23"/>
      <c r="I106" s="23"/>
      <c r="J106" s="23"/>
      <c r="K106" s="23"/>
      <c r="L106" s="23"/>
      <c r="M106" s="23"/>
      <c r="N106" s="5">
        <f>SUM($M$107:$M$107)</f>
        <v>1.68</v>
      </c>
    </row>
    <row r="107" spans="1:14" x14ac:dyDescent="0.3">
      <c r="A107" s="23" t="s">
        <v>602</v>
      </c>
      <c r="B107" s="70" t="s">
        <v>517</v>
      </c>
      <c r="C107" s="71"/>
      <c r="D107" s="71"/>
      <c r="E107" s="72"/>
      <c r="F107" s="5"/>
      <c r="G107" s="26">
        <v>1</v>
      </c>
      <c r="H107" s="5"/>
      <c r="I107" s="5">
        <v>0.8</v>
      </c>
      <c r="J107" s="5">
        <v>2.1</v>
      </c>
      <c r="K107" s="5">
        <f>IF(COUNTA(H107:J107)=2,ROUND(PRODUCT(H107:J107),2),"")</f>
        <v>1.68</v>
      </c>
      <c r="L107" s="5" t="str">
        <f>IF(OR(AND(COUNTA(H107:J107)=3,K107=""),AND(COUNTA(H107:J107)=1,K107&lt;&gt;"")),ROUND(PRODUCT(H107:K107),2),"")</f>
        <v/>
      </c>
      <c r="M107" s="5">
        <f>IF(L107&lt;&gt;"",ROUND(PRODUCT(F107,G107,L107),2),IF(K107&lt;&gt;"",ROUND(PRODUCT(F107,G107,K107),2),ROUND(PRODUCT(F107:J107),2)))</f>
        <v>1.68</v>
      </c>
      <c r="N107" s="5"/>
    </row>
    <row r="108" spans="1:14" x14ac:dyDescent="0.3">
      <c r="A108" s="23" t="s">
        <v>214</v>
      </c>
      <c r="B108" s="23" t="s">
        <v>603</v>
      </c>
      <c r="C108" s="23" t="str">
        <f>VLOOKUP(B108,CPU!$B:$J,2,FALSE)</f>
        <v>PRÓPRIA</v>
      </c>
      <c r="D108" s="24" t="str">
        <f>VLOOKUP(B108,CPU!$B:$J,3,FALSE)</f>
        <v>PORTÃO DE FERRO EM BARRA CHATA TIPO TIJOLINHO (REF: C1999-SEINFRA 28)</v>
      </c>
      <c r="E108" s="23" t="str">
        <f>VLOOKUP(B108,CPU!$B:$J,4,FALSE)</f>
        <v>M2</v>
      </c>
      <c r="F108" s="23"/>
      <c r="G108" s="23"/>
      <c r="H108" s="23"/>
      <c r="I108" s="23"/>
      <c r="J108" s="23"/>
      <c r="K108" s="23"/>
      <c r="L108" s="23"/>
      <c r="M108" s="23"/>
      <c r="N108" s="5">
        <f>SUM($M$109:$M$109)</f>
        <v>6</v>
      </c>
    </row>
    <row r="109" spans="1:14" x14ac:dyDescent="0.3">
      <c r="A109" s="23" t="s">
        <v>604</v>
      </c>
      <c r="B109" s="70" t="s">
        <v>517</v>
      </c>
      <c r="C109" s="71"/>
      <c r="D109" s="71"/>
      <c r="E109" s="72"/>
      <c r="F109" s="5"/>
      <c r="G109" s="26"/>
      <c r="H109" s="5"/>
      <c r="I109" s="5">
        <v>3</v>
      </c>
      <c r="J109" s="5">
        <v>2</v>
      </c>
      <c r="K109" s="5">
        <f>IF(COUNTA(H109:J109)=2,ROUND(PRODUCT(H109:J109),2),"")</f>
        <v>6</v>
      </c>
      <c r="L109" s="5" t="str">
        <f>IF(OR(AND(COUNTA(H109:J109)=3,K109=""),AND(COUNTA(H109:J109)=1,K109&lt;&gt;"")),ROUND(PRODUCT(H109:K109),2),"")</f>
        <v/>
      </c>
      <c r="M109" s="5">
        <f>IF(L109&lt;&gt;"",ROUND(PRODUCT(F109,G109,L109),2),IF(K109&lt;&gt;"",ROUND(PRODUCT(F109,G109,K109),2),ROUND(PRODUCT(F109:J109),2)))</f>
        <v>6</v>
      </c>
      <c r="N109" s="5"/>
    </row>
    <row r="110" spans="1:14" x14ac:dyDescent="0.3">
      <c r="A110" s="15" t="s">
        <v>32</v>
      </c>
      <c r="B110" s="48" t="s">
        <v>605</v>
      </c>
      <c r="C110" s="49"/>
      <c r="D110" s="49"/>
      <c r="E110" s="49"/>
      <c r="F110" s="49"/>
      <c r="G110" s="49"/>
      <c r="H110" s="49"/>
      <c r="I110" s="49"/>
      <c r="J110" s="49"/>
      <c r="K110" s="49"/>
      <c r="L110" s="49"/>
      <c r="M110" s="49"/>
      <c r="N110" s="50"/>
    </row>
    <row r="111" spans="1:14" x14ac:dyDescent="0.3">
      <c r="A111" s="23" t="s">
        <v>215</v>
      </c>
      <c r="B111" s="23" t="s">
        <v>606</v>
      </c>
      <c r="C111" s="23" t="str">
        <f>VLOOKUP(B111,CPU!$B:$J,2,FALSE)</f>
        <v>PRÓPRIA</v>
      </c>
      <c r="D111" s="24" t="str">
        <f>VLOOKUP(B111,CPU!$B:$J,3,FALSE)</f>
        <v>CAIAÇÃO EM TRES DEMÃOS EM PAREDES (REF: C0589-SEINFRA 28)</v>
      </c>
      <c r="E111" s="23" t="str">
        <f>VLOOKUP(B111,CPU!$B:$J,4,FALSE)</f>
        <v>M2</v>
      </c>
      <c r="F111" s="23"/>
      <c r="G111" s="23"/>
      <c r="H111" s="23"/>
      <c r="I111" s="23"/>
      <c r="J111" s="23"/>
      <c r="K111" s="23"/>
      <c r="L111" s="23"/>
      <c r="M111" s="23"/>
      <c r="N111" s="5">
        <f>SUM($M$112:$M$112)</f>
        <v>38.619999999999997</v>
      </c>
    </row>
    <row r="112" spans="1:14" x14ac:dyDescent="0.3">
      <c r="A112" s="23" t="s">
        <v>607</v>
      </c>
      <c r="B112" s="70" t="s">
        <v>599</v>
      </c>
      <c r="C112" s="71"/>
      <c r="D112" s="71"/>
      <c r="E112" s="72"/>
      <c r="F112" s="5"/>
      <c r="G112" s="26">
        <v>2</v>
      </c>
      <c r="H112" s="5"/>
      <c r="I112" s="5"/>
      <c r="J112" s="5"/>
      <c r="K112" s="5">
        <v>19.309999999999999</v>
      </c>
      <c r="L112" s="5" t="str">
        <f>IF(OR(AND(COUNTA(H112:J112)=3,K112=""),AND(COUNTA(H112:J112)=1,K112&lt;&gt;"")),ROUND(PRODUCT(H112:K112),2),"")</f>
        <v/>
      </c>
      <c r="M112" s="5">
        <f>IF(L112&lt;&gt;"",ROUND(PRODUCT(F112,G112,L112),2),IF(K112&lt;&gt;"",ROUND(PRODUCT(F112,G112,K112),2),ROUND(PRODUCT(F112:J112),2)))</f>
        <v>38.619999999999997</v>
      </c>
      <c r="N112" s="5"/>
    </row>
    <row r="113" spans="1:14" ht="43.2" x14ac:dyDescent="0.3">
      <c r="A113" s="23" t="s">
        <v>216</v>
      </c>
      <c r="B113" s="23">
        <v>100758</v>
      </c>
      <c r="C113" s="23" t="str">
        <f>VLOOKUP(B113,CPU!$B:$J,2,FALSE)</f>
        <v>SINAPI</v>
      </c>
      <c r="D113" s="24" t="str">
        <f>VLOOKUP(B113,CPU!$B:$J,3,FALSE)</f>
        <v>PINTURA COM TINTA ALQUÍDICA DE ACABAMENTO (ESMALTE SINTÉTICO ACETINADO) APLICADA A ROLO OU PINCEL SOBRE SUPERFÍCIES METÁLICAS (EXCETO PERFIL) EXECUTADO EM OBRA (02 DEMÃOS). AF_01/2020</v>
      </c>
      <c r="E113" s="23" t="str">
        <f>VLOOKUP(B113,CPU!$B:$J,4,FALSE)</f>
        <v>M2</v>
      </c>
      <c r="F113" s="23"/>
      <c r="G113" s="23"/>
      <c r="H113" s="23"/>
      <c r="I113" s="23"/>
      <c r="J113" s="23"/>
      <c r="K113" s="23"/>
      <c r="L113" s="23"/>
      <c r="M113" s="23"/>
      <c r="N113" s="5">
        <f>SUM($M$114:$M$114)</f>
        <v>3.36</v>
      </c>
    </row>
    <row r="114" spans="1:14" x14ac:dyDescent="0.3">
      <c r="A114" s="23" t="s">
        <v>608</v>
      </c>
      <c r="B114" s="70" t="s">
        <v>609</v>
      </c>
      <c r="C114" s="71"/>
      <c r="D114" s="71"/>
      <c r="E114" s="72"/>
      <c r="F114" s="5"/>
      <c r="G114" s="26">
        <v>2</v>
      </c>
      <c r="H114" s="5"/>
      <c r="I114" s="5">
        <v>0.8</v>
      </c>
      <c r="J114" s="5">
        <v>2.1</v>
      </c>
      <c r="K114" s="5">
        <f>IF(COUNTA(H114:J114)=2,ROUND(PRODUCT(H114:J114),2),"")</f>
        <v>1.68</v>
      </c>
      <c r="L114" s="5" t="str">
        <f>IF(OR(AND(COUNTA(H114:J114)=3,K114=""),AND(COUNTA(H114:J114)=1,K114&lt;&gt;"")),ROUND(PRODUCT(H114:K114),2),"")</f>
        <v/>
      </c>
      <c r="M114" s="5">
        <f>IF(L114&lt;&gt;"",ROUND(PRODUCT(F114,G114,L114),2),IF(K114&lt;&gt;"",ROUND(PRODUCT(F114,G114,K114),2),ROUND(PRODUCT(F114:J114),2)))</f>
        <v>3.36</v>
      </c>
      <c r="N114" s="5"/>
    </row>
    <row r="115" spans="1:14" x14ac:dyDescent="0.3">
      <c r="A115" s="15" t="s">
        <v>33</v>
      </c>
      <c r="B115" s="48" t="s">
        <v>610</v>
      </c>
      <c r="C115" s="49"/>
      <c r="D115" s="49"/>
      <c r="E115" s="49"/>
      <c r="F115" s="49"/>
      <c r="G115" s="49"/>
      <c r="H115" s="49"/>
      <c r="I115" s="49"/>
      <c r="J115" s="49"/>
      <c r="K115" s="49"/>
      <c r="L115" s="49"/>
      <c r="M115" s="49"/>
      <c r="N115" s="50"/>
    </row>
    <row r="116" spans="1:14" ht="43.2" x14ac:dyDescent="0.3">
      <c r="A116" s="23" t="s">
        <v>217</v>
      </c>
      <c r="B116" s="23">
        <v>101197</v>
      </c>
      <c r="C116" s="23" t="str">
        <f>VLOOKUP(B116,CPU!$B:$J,2,FALSE)</f>
        <v>SINAPI</v>
      </c>
      <c r="D116" s="24" t="str">
        <f>VLOOKUP(B116,CPU!$B:$J,3,FALSE)</f>
        <v>CERCA COM MOURÕES DE CONCRETO, SEÇÃO "T" PONTA INCLINADA, 10X10 CM, ESPAÇAMENTO DE 2,5 M, CRAVADOS 0,5 M, COM 11 FIOS DE ARAME FARPADO Nº 14 - FORNECIMENTO E INSTALAÇÃO. AF_05/2020</v>
      </c>
      <c r="E116" s="23" t="str">
        <f>VLOOKUP(B116,CPU!$B:$J,4,FALSE)</f>
        <v>M</v>
      </c>
      <c r="F116" s="23"/>
      <c r="G116" s="23"/>
      <c r="H116" s="23"/>
      <c r="I116" s="23"/>
      <c r="J116" s="23"/>
      <c r="K116" s="23"/>
      <c r="L116" s="23"/>
      <c r="M116" s="23"/>
      <c r="N116" s="5">
        <f>SUM($M$117:$M$118)</f>
        <v>37</v>
      </c>
    </row>
    <row r="117" spans="1:14" x14ac:dyDescent="0.3">
      <c r="A117" s="23" t="s">
        <v>611</v>
      </c>
      <c r="B117" s="70" t="s">
        <v>517</v>
      </c>
      <c r="C117" s="71"/>
      <c r="D117" s="71"/>
      <c r="E117" s="72"/>
      <c r="F117" s="5"/>
      <c r="G117" s="26">
        <v>4</v>
      </c>
      <c r="H117" s="5">
        <v>10</v>
      </c>
      <c r="I117" s="5"/>
      <c r="J117" s="5"/>
      <c r="K117" s="5" t="str">
        <f>IF(COUNTA(H117:J117)=2,ROUND(PRODUCT(H117:J117),2),"")</f>
        <v/>
      </c>
      <c r="L117" s="5" t="str">
        <f>IF(OR(AND(COUNTA(H117:J117)=3,K117=""),AND(COUNTA(H117:J117)=1,K117&lt;&gt;"")),ROUND(PRODUCT(H117:K117),2),"")</f>
        <v/>
      </c>
      <c r="M117" s="5">
        <f>IF(L117&lt;&gt;"",ROUND(PRODUCT(F117,G117,L117),2),IF(K117&lt;&gt;"",ROUND(PRODUCT(F117,G117,K117),2),ROUND(PRODUCT(F117:J117),2)))</f>
        <v>40</v>
      </c>
      <c r="N117" s="5"/>
    </row>
    <row r="118" spans="1:14" x14ac:dyDescent="0.3">
      <c r="A118" s="23" t="s">
        <v>612</v>
      </c>
      <c r="B118" s="70" t="s">
        <v>613</v>
      </c>
      <c r="C118" s="71"/>
      <c r="D118" s="71"/>
      <c r="E118" s="72"/>
      <c r="F118" s="5"/>
      <c r="G118" s="26">
        <v>-1</v>
      </c>
      <c r="H118" s="5">
        <v>3</v>
      </c>
      <c r="I118" s="5"/>
      <c r="J118" s="5"/>
      <c r="K118" s="5" t="str">
        <f>IF(COUNTA(H118:J118)=2,ROUND(PRODUCT(H118:J118),2),"")</f>
        <v/>
      </c>
      <c r="L118" s="5" t="str">
        <f>IF(OR(AND(COUNTA(H118:J118)=3,K118=""),AND(COUNTA(H118:J118)=1,K118&lt;&gt;"")),ROUND(PRODUCT(H118:K118),2),"")</f>
        <v/>
      </c>
      <c r="M118" s="5">
        <f>IF(L118&lt;&gt;"",ROUND(PRODUCT(F118,G118,L118),2),IF(K118&lt;&gt;"",ROUND(PRODUCT(F118,G118,K118),2),ROUND(PRODUCT(F118:J118),2)))</f>
        <v>-3</v>
      </c>
      <c r="N118" s="5"/>
    </row>
    <row r="119" spans="1:14" x14ac:dyDescent="0.3">
      <c r="A119" s="12" t="s">
        <v>34</v>
      </c>
      <c r="B119" s="51" t="s">
        <v>614</v>
      </c>
      <c r="C119" s="52"/>
      <c r="D119" s="52"/>
      <c r="E119" s="52"/>
      <c r="F119" s="52"/>
      <c r="G119" s="52"/>
      <c r="H119" s="52"/>
      <c r="I119" s="52"/>
      <c r="J119" s="52"/>
      <c r="K119" s="52"/>
      <c r="L119" s="52"/>
      <c r="M119" s="52"/>
      <c r="N119" s="53"/>
    </row>
    <row r="120" spans="1:14" ht="43.2" x14ac:dyDescent="0.3">
      <c r="A120" s="23" t="s">
        <v>218</v>
      </c>
      <c r="B120" s="23" t="s">
        <v>615</v>
      </c>
      <c r="C120" s="23" t="str">
        <f>VLOOKUP(B120,CPU!$B:$J,2,FALSE)</f>
        <v>PRÓPRIA</v>
      </c>
      <c r="D120" s="24" t="str">
        <f>VLOOKUP(B120,CPU!$B:$J,3,FALSE)</f>
        <v>FORNECIMENTO E INSTALAÇÃO DE KIT DE BOMBEAMENTO SOLAR P/ POÇO COM PROFUNDIDADE DE 100 A 120 M, INCLUSO BOMBA 3CV, INVERSOR, PAINÉIS, QUADRO DE COMANDO, DISJUNTORES, CABOS E CONEXÕES E ESTRUTURA TIPO SOLO</v>
      </c>
      <c r="E120" s="23" t="str">
        <f>VLOOKUP(B120,CPU!$B:$J,4,FALSE)</f>
        <v>UND</v>
      </c>
      <c r="F120" s="23"/>
      <c r="G120" s="23"/>
      <c r="H120" s="23"/>
      <c r="I120" s="23"/>
      <c r="J120" s="23"/>
      <c r="K120" s="23"/>
      <c r="L120" s="23"/>
      <c r="M120" s="23"/>
      <c r="N120" s="5">
        <f>SUM($M$121:$M$121)</f>
        <v>1</v>
      </c>
    </row>
    <row r="121" spans="1:14" x14ac:dyDescent="0.3">
      <c r="A121" s="23" t="s">
        <v>616</v>
      </c>
      <c r="B121" s="70" t="s">
        <v>517</v>
      </c>
      <c r="C121" s="71"/>
      <c r="D121" s="71"/>
      <c r="E121" s="72"/>
      <c r="F121" s="5">
        <v>1</v>
      </c>
      <c r="G121" s="26"/>
      <c r="H121" s="5"/>
      <c r="I121" s="5"/>
      <c r="J121" s="5"/>
      <c r="K121" s="5" t="str">
        <f>IF(COUNTA(H121:J121)=2,ROUND(PRODUCT(H121:J121),2),"")</f>
        <v/>
      </c>
      <c r="L121" s="5" t="str">
        <f>IF(OR(AND(COUNTA(H121:J121)=3,K121=""),AND(COUNTA(H121:J121)=1,K121&lt;&gt;"")),ROUND(PRODUCT(H121:K121),2),"")</f>
        <v/>
      </c>
      <c r="M121" s="5">
        <f>IF(L121&lt;&gt;"",ROUND(PRODUCT(F121,G121,L121),2),IF(K121&lt;&gt;"",ROUND(PRODUCT(F121,G121,K121),2),ROUND(PRODUCT(F121:J121),2)))</f>
        <v>1</v>
      </c>
      <c r="N121" s="5"/>
    </row>
    <row r="122" spans="1:14" x14ac:dyDescent="0.3">
      <c r="A122" s="23" t="s">
        <v>219</v>
      </c>
      <c r="B122" s="23" t="s">
        <v>617</v>
      </c>
      <c r="C122" s="23" t="str">
        <f>VLOOKUP(B122,CPU!$B:$J,2,FALSE)</f>
        <v>PRÓPRIA</v>
      </c>
      <c r="D122" s="24" t="str">
        <f>VLOOKUP(B122,CPU!$B:$J,3,FALSE)</f>
        <v>FORNECIMENTO E INSTALAÇÃO DE CABO CHATO SUBMERSO DE 3 X 6 MM²</v>
      </c>
      <c r="E122" s="23" t="str">
        <f>VLOOKUP(B122,CPU!$B:$J,4,FALSE)</f>
        <v>M</v>
      </c>
      <c r="F122" s="23"/>
      <c r="G122" s="23"/>
      <c r="H122" s="23"/>
      <c r="I122" s="23"/>
      <c r="J122" s="23"/>
      <c r="K122" s="23"/>
      <c r="L122" s="23"/>
      <c r="M122" s="23"/>
      <c r="N122" s="5">
        <f>SUM($M$123:$M$123)</f>
        <v>120</v>
      </c>
    </row>
    <row r="123" spans="1:14" x14ac:dyDescent="0.3">
      <c r="A123" s="23" t="s">
        <v>618</v>
      </c>
      <c r="B123" s="70" t="s">
        <v>517</v>
      </c>
      <c r="C123" s="71"/>
      <c r="D123" s="71"/>
      <c r="E123" s="72"/>
      <c r="F123" s="5">
        <v>120</v>
      </c>
      <c r="G123" s="26"/>
      <c r="H123" s="5"/>
      <c r="I123" s="5"/>
      <c r="J123" s="5"/>
      <c r="K123" s="5" t="str">
        <f>IF(COUNTA(H123:J123)=2,ROUND(PRODUCT(H123:J123),2),"")</f>
        <v/>
      </c>
      <c r="L123" s="5" t="str">
        <f>IF(OR(AND(COUNTA(H123:J123)=3,K123=""),AND(COUNTA(H123:J123)=1,K123&lt;&gt;"")),ROUND(PRODUCT(H123:K123),2),"")</f>
        <v/>
      </c>
      <c r="M123" s="5">
        <f>IF(L123&lt;&gt;"",ROUND(PRODUCT(F123,G123,L123),2),IF(K123&lt;&gt;"",ROUND(PRODUCT(F123,G123,K123),2),ROUND(PRODUCT(F123:J123),2)))</f>
        <v>120</v>
      </c>
      <c r="N123" s="5"/>
    </row>
    <row r="124" spans="1:14" x14ac:dyDescent="0.3">
      <c r="A124" s="12" t="s">
        <v>35</v>
      </c>
      <c r="B124" s="51" t="s">
        <v>619</v>
      </c>
      <c r="C124" s="52"/>
      <c r="D124" s="52"/>
      <c r="E124" s="52"/>
      <c r="F124" s="52"/>
      <c r="G124" s="52"/>
      <c r="H124" s="52"/>
      <c r="I124" s="52"/>
      <c r="J124" s="52"/>
      <c r="K124" s="52"/>
      <c r="L124" s="52"/>
      <c r="M124" s="52"/>
      <c r="N124" s="53"/>
    </row>
    <row r="125" spans="1:14" x14ac:dyDescent="0.3">
      <c r="A125" s="15" t="s">
        <v>36</v>
      </c>
      <c r="B125" s="48" t="s">
        <v>563</v>
      </c>
      <c r="C125" s="49"/>
      <c r="D125" s="49"/>
      <c r="E125" s="49"/>
      <c r="F125" s="49"/>
      <c r="G125" s="49"/>
      <c r="H125" s="49"/>
      <c r="I125" s="49"/>
      <c r="J125" s="49"/>
      <c r="K125" s="49"/>
      <c r="L125" s="49"/>
      <c r="M125" s="49"/>
      <c r="N125" s="50"/>
    </row>
    <row r="126" spans="1:14" x14ac:dyDescent="0.3">
      <c r="A126" s="23" t="s">
        <v>220</v>
      </c>
      <c r="B126" s="23">
        <v>93358</v>
      </c>
      <c r="C126" s="23" t="str">
        <f>VLOOKUP(B126,CPU!$B:$J,2,FALSE)</f>
        <v>SINAPI</v>
      </c>
      <c r="D126" s="24" t="str">
        <f>VLOOKUP(B126,CPU!$B:$J,3,FALSE)</f>
        <v>ESCAVAÇÃO MANUAL DE VALA. AF_09/2024</v>
      </c>
      <c r="E126" s="23" t="str">
        <f>VLOOKUP(B126,CPU!$B:$J,4,FALSE)</f>
        <v>M3</v>
      </c>
      <c r="F126" s="23"/>
      <c r="G126" s="23"/>
      <c r="H126" s="23"/>
      <c r="I126" s="23"/>
      <c r="J126" s="23"/>
      <c r="K126" s="23"/>
      <c r="L126" s="23"/>
      <c r="M126" s="23"/>
      <c r="N126" s="5">
        <f>SUM($M$127:$M$127)</f>
        <v>3.23</v>
      </c>
    </row>
    <row r="127" spans="1:14" x14ac:dyDescent="0.3">
      <c r="A127" s="23" t="s">
        <v>620</v>
      </c>
      <c r="B127" s="70" t="s">
        <v>517</v>
      </c>
      <c r="C127" s="71"/>
      <c r="D127" s="71"/>
      <c r="E127" s="72"/>
      <c r="F127" s="5"/>
      <c r="G127" s="26"/>
      <c r="H127" s="5">
        <v>3.6</v>
      </c>
      <c r="I127" s="5">
        <v>0.7</v>
      </c>
      <c r="J127" s="5">
        <v>1.28</v>
      </c>
      <c r="K127" s="5" t="str">
        <f>IF(COUNTA(H127:J127)=2,ROUND(PRODUCT(H127:J127),2),"")</f>
        <v/>
      </c>
      <c r="L127" s="5">
        <f>IF(OR(AND(COUNTA(H127:J127)=3,K127=""),AND(COUNTA(H127:J127)=1,K127&lt;&gt;"")),ROUND(PRODUCT(H127:K127),2),"")</f>
        <v>3.23</v>
      </c>
      <c r="M127" s="5">
        <f>IF(L127&lt;&gt;"",ROUND(PRODUCT(F127,G127,L127),2),IF(K127&lt;&gt;"",ROUND(PRODUCT(F127,G127,K127),2),ROUND(PRODUCT(F127:J127),2)))</f>
        <v>3.23</v>
      </c>
      <c r="N127" s="5"/>
    </row>
    <row r="128" spans="1:14" x14ac:dyDescent="0.3">
      <c r="A128" s="23" t="s">
        <v>221</v>
      </c>
      <c r="B128" s="23" t="s">
        <v>621</v>
      </c>
      <c r="C128" s="23" t="str">
        <f>VLOOKUP(B128,CPU!$B:$J,2,FALSE)</f>
        <v>PRÓPRIA</v>
      </c>
      <c r="D128" s="24" t="str">
        <f>VLOOKUP(B128,CPU!$B:$J,3,FALSE)</f>
        <v>REATERRO DE VALA COM COMPACTAÇÃO MANUAL</v>
      </c>
      <c r="E128" s="23" t="str">
        <f>VLOOKUP(B128,CPU!$B:$J,4,FALSE)</f>
        <v>M³</v>
      </c>
      <c r="F128" s="23"/>
      <c r="G128" s="23"/>
      <c r="H128" s="23"/>
      <c r="I128" s="23"/>
      <c r="J128" s="23"/>
      <c r="K128" s="23"/>
      <c r="L128" s="23"/>
      <c r="M128" s="23"/>
      <c r="N128" s="5">
        <f>SUM($M$129:$M$129)</f>
        <v>3.23</v>
      </c>
    </row>
    <row r="129" spans="1:14" x14ac:dyDescent="0.3">
      <c r="A129" s="23" t="s">
        <v>622</v>
      </c>
      <c r="B129" s="70" t="s">
        <v>517</v>
      </c>
      <c r="C129" s="71"/>
      <c r="D129" s="71"/>
      <c r="E129" s="72"/>
      <c r="F129" s="5"/>
      <c r="G129" s="26"/>
      <c r="H129" s="5">
        <v>3.6</v>
      </c>
      <c r="I129" s="5">
        <v>0.7</v>
      </c>
      <c r="J129" s="5">
        <v>1.28</v>
      </c>
      <c r="K129" s="5" t="str">
        <f>IF(COUNTA(H129:J129)=2,ROUND(PRODUCT(H129:J129),2),"")</f>
        <v/>
      </c>
      <c r="L129" s="5">
        <f>IF(OR(AND(COUNTA(H129:J129)=3,K129=""),AND(COUNTA(H129:J129)=1,K129&lt;&gt;"")),ROUND(PRODUCT(H129:K129),2),"")</f>
        <v>3.23</v>
      </c>
      <c r="M129" s="5">
        <f>IF(L129&lt;&gt;"",ROUND(PRODUCT(F129,G129,L129),2),IF(K129&lt;&gt;"",ROUND(PRODUCT(F129,G129,K129),2),ROUND(PRODUCT(F129:J129),2)))</f>
        <v>3.23</v>
      </c>
      <c r="N129" s="5"/>
    </row>
    <row r="130" spans="1:14" x14ac:dyDescent="0.3">
      <c r="A130" s="15" t="s">
        <v>37</v>
      </c>
      <c r="B130" s="48" t="s">
        <v>566</v>
      </c>
      <c r="C130" s="49"/>
      <c r="D130" s="49"/>
      <c r="E130" s="49"/>
      <c r="F130" s="49"/>
      <c r="G130" s="49"/>
      <c r="H130" s="49"/>
      <c r="I130" s="49"/>
      <c r="J130" s="49"/>
      <c r="K130" s="49"/>
      <c r="L130" s="49"/>
      <c r="M130" s="49"/>
      <c r="N130" s="50"/>
    </row>
    <row r="131" spans="1:14" x14ac:dyDescent="0.3">
      <c r="A131" s="23" t="s">
        <v>222</v>
      </c>
      <c r="B131" s="23" t="s">
        <v>623</v>
      </c>
      <c r="C131" s="23" t="str">
        <f>VLOOKUP(B131,CPU!$B:$J,2,FALSE)</f>
        <v>PRÓPRIA</v>
      </c>
      <c r="D131" s="24" t="str">
        <f>VLOOKUP(B131,CPU!$B:$J,3,FALSE)</f>
        <v>BLOCO DE ANCORAGEM EM CONCRETO SIMPLES FCK=10MPA (REF: C3403-SEINFRA 28)</v>
      </c>
      <c r="E131" s="23" t="str">
        <f>VLOOKUP(B131,CPU!$B:$J,4,FALSE)</f>
        <v>M3</v>
      </c>
      <c r="F131" s="23"/>
      <c r="G131" s="23"/>
      <c r="H131" s="23"/>
      <c r="I131" s="23"/>
      <c r="J131" s="23"/>
      <c r="K131" s="23"/>
      <c r="L131" s="23"/>
      <c r="M131" s="23"/>
      <c r="N131" s="5">
        <f>SUM($M$132:$M$132)</f>
        <v>0.26</v>
      </c>
    </row>
    <row r="132" spans="1:14" x14ac:dyDescent="0.3">
      <c r="A132" s="23" t="s">
        <v>624</v>
      </c>
      <c r="B132" s="70" t="s">
        <v>517</v>
      </c>
      <c r="C132" s="71"/>
      <c r="D132" s="71"/>
      <c r="E132" s="72"/>
      <c r="F132" s="5"/>
      <c r="G132" s="26">
        <v>2</v>
      </c>
      <c r="H132" s="5">
        <v>0.5</v>
      </c>
      <c r="I132" s="5">
        <v>0.5</v>
      </c>
      <c r="J132" s="5">
        <v>0.5</v>
      </c>
      <c r="K132" s="5" t="str">
        <f>IF(COUNTA(H132:J132)=2,ROUND(PRODUCT(H132:J132),2),"")</f>
        <v/>
      </c>
      <c r="L132" s="5">
        <f>IF(OR(AND(COUNTA(H132:J132)=3,K132=""),AND(COUNTA(H132:J132)=1,K132&lt;&gt;"")),ROUND(PRODUCT(H132:K132),2),"")</f>
        <v>0.13</v>
      </c>
      <c r="M132" s="5">
        <f>IF(L132&lt;&gt;"",ROUND(PRODUCT(F132,G132,L132),2),IF(K132&lt;&gt;"",ROUND(PRODUCT(F132,G132,K132),2),ROUND(PRODUCT(F132:J132),2)))</f>
        <v>0.26</v>
      </c>
      <c r="N132" s="5"/>
    </row>
    <row r="133" spans="1:14" x14ac:dyDescent="0.3">
      <c r="A133" s="15" t="s">
        <v>38</v>
      </c>
      <c r="B133" s="48" t="s">
        <v>625</v>
      </c>
      <c r="C133" s="49"/>
      <c r="D133" s="49"/>
      <c r="E133" s="49"/>
      <c r="F133" s="49"/>
      <c r="G133" s="49"/>
      <c r="H133" s="49"/>
      <c r="I133" s="49"/>
      <c r="J133" s="49"/>
      <c r="K133" s="49"/>
      <c r="L133" s="49"/>
      <c r="M133" s="49"/>
      <c r="N133" s="50"/>
    </row>
    <row r="134" spans="1:14" ht="28.8" x14ac:dyDescent="0.3">
      <c r="A134" s="23" t="s">
        <v>223</v>
      </c>
      <c r="B134" s="23">
        <v>94498</v>
      </c>
      <c r="C134" s="23" t="str">
        <f>VLOOKUP(B134,CPU!$B:$J,2,FALSE)</f>
        <v>SINAPI</v>
      </c>
      <c r="D134" s="24" t="str">
        <f>VLOOKUP(B134,CPU!$B:$J,3,FALSE)</f>
        <v>REGISTRO DE GAVETA BRUTO, LATÃO, ROSCÁVEL, 2" - FORNECIMENTO E INSTALAÇÃO. AF_08/2021</v>
      </c>
      <c r="E134" s="23" t="str">
        <f>VLOOKUP(B134,CPU!$B:$J,4,FALSE)</f>
        <v>UN</v>
      </c>
      <c r="F134" s="23"/>
      <c r="G134" s="23"/>
      <c r="H134" s="23"/>
      <c r="I134" s="23"/>
      <c r="J134" s="23"/>
      <c r="K134" s="23"/>
      <c r="L134" s="23"/>
      <c r="M134" s="23"/>
      <c r="N134" s="5">
        <f>SUM($M$135:$M$135)</f>
        <v>1</v>
      </c>
    </row>
    <row r="135" spans="1:14" x14ac:dyDescent="0.3">
      <c r="A135" s="23" t="s">
        <v>626</v>
      </c>
      <c r="B135" s="70" t="s">
        <v>517</v>
      </c>
      <c r="C135" s="71"/>
      <c r="D135" s="71"/>
      <c r="E135" s="72"/>
      <c r="F135" s="5">
        <v>1</v>
      </c>
      <c r="G135" s="26"/>
      <c r="H135" s="5"/>
      <c r="I135" s="5"/>
      <c r="J135" s="5"/>
      <c r="K135" s="5" t="str">
        <f>IF(COUNTA(H135:J135)=2,ROUND(PRODUCT(H135:J135),2),"")</f>
        <v/>
      </c>
      <c r="L135" s="5" t="str">
        <f>IF(OR(AND(COUNTA(H135:J135)=3,K135=""),AND(COUNTA(H135:J135)=1,K135&lt;&gt;"")),ROUND(PRODUCT(H135:K135),2),"")</f>
        <v/>
      </c>
      <c r="M135" s="5">
        <f>IF(L135&lt;&gt;"",ROUND(PRODUCT(F135,G135,L135),2),IF(K135&lt;&gt;"",ROUND(PRODUCT(F135,G135,K135),2),ROUND(PRODUCT(F135:J135),2)))</f>
        <v>1</v>
      </c>
      <c r="N135" s="5"/>
    </row>
    <row r="136" spans="1:14" ht="28.8" x14ac:dyDescent="0.3">
      <c r="A136" s="23" t="s">
        <v>224</v>
      </c>
      <c r="B136" s="23" t="s">
        <v>627</v>
      </c>
      <c r="C136" s="23" t="str">
        <f>VLOOKUP(B136,CPU!$B:$J,2,FALSE)</f>
        <v>PRÓPRIA</v>
      </c>
      <c r="D136" s="24" t="str">
        <f>VLOOKUP(B136,CPU!$B:$J,3,FALSE)</f>
        <v>AQUISIÇÃO E ASSENTAMENTO DE TUBO RÍGIDO PVC, CLASSE 12, DN 50 MM, INCLUSO CONEXÕES</v>
      </c>
      <c r="E136" s="23" t="str">
        <f>VLOOKUP(B136,CPU!$B:$J,4,FALSE)</f>
        <v>M</v>
      </c>
      <c r="F136" s="23"/>
      <c r="G136" s="23"/>
      <c r="H136" s="23"/>
      <c r="I136" s="23"/>
      <c r="J136" s="23"/>
      <c r="K136" s="23"/>
      <c r="L136" s="23"/>
      <c r="M136" s="23"/>
      <c r="N136" s="5">
        <f>SUM($M$137:$M$137)</f>
        <v>16</v>
      </c>
    </row>
    <row r="137" spans="1:14" x14ac:dyDescent="0.3">
      <c r="A137" s="23" t="s">
        <v>628</v>
      </c>
      <c r="B137" s="70" t="s">
        <v>517</v>
      </c>
      <c r="C137" s="71"/>
      <c r="D137" s="71"/>
      <c r="E137" s="72"/>
      <c r="F137" s="5">
        <v>16</v>
      </c>
      <c r="G137" s="26"/>
      <c r="H137" s="5"/>
      <c r="I137" s="5"/>
      <c r="J137" s="5"/>
      <c r="K137" s="5" t="str">
        <f>IF(COUNTA(H137:J137)=2,ROUND(PRODUCT(H137:J137),2),"")</f>
        <v/>
      </c>
      <c r="L137" s="5" t="str">
        <f>IF(OR(AND(COUNTA(H137:J137)=3,K137=""),AND(COUNTA(H137:J137)=1,K137&lt;&gt;"")),ROUND(PRODUCT(H137:K137),2),"")</f>
        <v/>
      </c>
      <c r="M137" s="5">
        <f>IF(L137&lt;&gt;"",ROUND(PRODUCT(F137,G137,L137),2),IF(K137&lt;&gt;"",ROUND(PRODUCT(F137,G137,K137),2),ROUND(PRODUCT(F137:J137),2)))</f>
        <v>16</v>
      </c>
      <c r="N137" s="5"/>
    </row>
    <row r="138" spans="1:14" x14ac:dyDescent="0.3">
      <c r="A138" s="12" t="s">
        <v>39</v>
      </c>
      <c r="B138" s="51" t="s">
        <v>629</v>
      </c>
      <c r="C138" s="52"/>
      <c r="D138" s="52"/>
      <c r="E138" s="52"/>
      <c r="F138" s="52"/>
      <c r="G138" s="52"/>
      <c r="H138" s="52"/>
      <c r="I138" s="52"/>
      <c r="J138" s="52"/>
      <c r="K138" s="52"/>
      <c r="L138" s="52"/>
      <c r="M138" s="52"/>
      <c r="N138" s="53"/>
    </row>
    <row r="139" spans="1:14" ht="72" x14ac:dyDescent="0.3">
      <c r="A139" s="23" t="s">
        <v>225</v>
      </c>
      <c r="B139" s="23" t="s">
        <v>630</v>
      </c>
      <c r="C139" s="23" t="str">
        <f>VLOOKUP(B139,CPU!$B:$J,2,FALSE)</f>
        <v>PRÓPRIA</v>
      </c>
      <c r="D139" s="24" t="str">
        <f>VLOOKUP(B139,CPU!$B:$J,3,FALSE)</f>
        <v>FORNECIMENTO E INSTALAÇÃO DE RESERVATÓRIO ELEVADO C/ CAIXA D'AGUA EM POLIESTER REFORCADO COM FIBRA DE VIDRO DE 10.000 LITROS, APOIADO EM ESTRUTURA PRÉ-MOLDADA EM CONCRETO, COMPOSTA DE CAPITEL P/APOIO DA CAIXA E PILAR C/ALTURA ÚTIL = 10,00M, INCLUSO FRETE E MONTAGEM NO LOCAL, COM FUNDAÇÃO EM CONCRETO SIMPLES FCK=20MPA</v>
      </c>
      <c r="E139" s="23" t="str">
        <f>VLOOKUP(B139,CPU!$B:$J,4,FALSE)</f>
        <v>UND</v>
      </c>
      <c r="F139" s="23"/>
      <c r="G139" s="23"/>
      <c r="H139" s="23"/>
      <c r="I139" s="23"/>
      <c r="J139" s="23"/>
      <c r="K139" s="23"/>
      <c r="L139" s="23"/>
      <c r="M139" s="23"/>
      <c r="N139" s="5">
        <f>SUM($M$140:$M$140)</f>
        <v>2</v>
      </c>
    </row>
    <row r="140" spans="1:14" x14ac:dyDescent="0.3">
      <c r="A140" s="23" t="s">
        <v>631</v>
      </c>
      <c r="B140" s="70" t="s">
        <v>517</v>
      </c>
      <c r="C140" s="71"/>
      <c r="D140" s="71"/>
      <c r="E140" s="72"/>
      <c r="F140" s="5">
        <v>2</v>
      </c>
      <c r="G140" s="26"/>
      <c r="H140" s="5"/>
      <c r="I140" s="5"/>
      <c r="J140" s="5"/>
      <c r="K140" s="5" t="str">
        <f>IF(COUNTA(H140:J140)=2,ROUND(PRODUCT(H140:J140),2),"")</f>
        <v/>
      </c>
      <c r="L140" s="5" t="str">
        <f>IF(OR(AND(COUNTA(H140:J140)=3,K140=""),AND(COUNTA(H140:J140)=1,K140&lt;&gt;"")),ROUND(PRODUCT(H140:K140),2),"")</f>
        <v/>
      </c>
      <c r="M140" s="5">
        <f>IF(L140&lt;&gt;"",ROUND(PRODUCT(F140,G140,L140),2),IF(K140&lt;&gt;"",ROUND(PRODUCT(F140,G140,K140),2),ROUND(PRODUCT(F140:J140),2)))</f>
        <v>2</v>
      </c>
      <c r="N140" s="5"/>
    </row>
    <row r="141" spans="1:14" ht="28.8" x14ac:dyDescent="0.3">
      <c r="A141" s="23" t="s">
        <v>226</v>
      </c>
      <c r="B141" s="23">
        <v>94498</v>
      </c>
      <c r="C141" s="23" t="str">
        <f>VLOOKUP(B141,CPU!$B:$J,2,FALSE)</f>
        <v>SINAPI</v>
      </c>
      <c r="D141" s="24" t="str">
        <f>VLOOKUP(B141,CPU!$B:$J,3,FALSE)</f>
        <v>REGISTRO DE GAVETA BRUTO, LATÃO, ROSCÁVEL, 2" - FORNECIMENTO E INSTALAÇÃO. AF_08/2021</v>
      </c>
      <c r="E141" s="23" t="str">
        <f>VLOOKUP(B141,CPU!$B:$J,4,FALSE)</f>
        <v>UN</v>
      </c>
      <c r="F141" s="23"/>
      <c r="G141" s="23"/>
      <c r="H141" s="23"/>
      <c r="I141" s="23"/>
      <c r="J141" s="23"/>
      <c r="K141" s="23"/>
      <c r="L141" s="23"/>
      <c r="M141" s="23"/>
      <c r="N141" s="5">
        <f>SUM($M$142:$M$142)</f>
        <v>3</v>
      </c>
    </row>
    <row r="142" spans="1:14" x14ac:dyDescent="0.3">
      <c r="A142" s="23" t="s">
        <v>632</v>
      </c>
      <c r="B142" s="70" t="s">
        <v>517</v>
      </c>
      <c r="C142" s="71"/>
      <c r="D142" s="71"/>
      <c r="E142" s="72"/>
      <c r="F142" s="5">
        <v>3</v>
      </c>
      <c r="G142" s="26"/>
      <c r="H142" s="5"/>
      <c r="I142" s="5"/>
      <c r="J142" s="5"/>
      <c r="K142" s="5" t="str">
        <f>IF(COUNTA(H142:J142)=2,ROUND(PRODUCT(H142:J142),2),"")</f>
        <v/>
      </c>
      <c r="L142" s="5" t="str">
        <f>IF(OR(AND(COUNTA(H142:J142)=3,K142=""),AND(COUNTA(H142:J142)=1,K142&lt;&gt;"")),ROUND(PRODUCT(H142:K142),2),"")</f>
        <v/>
      </c>
      <c r="M142" s="5">
        <f>IF(L142&lt;&gt;"",ROUND(PRODUCT(F142,G142,L142),2),IF(K142&lt;&gt;"",ROUND(PRODUCT(F142,G142,K142),2),ROUND(PRODUCT(F142:J142),2)))</f>
        <v>3</v>
      </c>
      <c r="N142" s="5"/>
    </row>
    <row r="143" spans="1:14" ht="28.8" x14ac:dyDescent="0.3">
      <c r="A143" s="23" t="s">
        <v>227</v>
      </c>
      <c r="B143" s="23" t="s">
        <v>640</v>
      </c>
      <c r="C143" s="23" t="str">
        <f>VLOOKUP(B143,CPU!$B:$J,2,FALSE)</f>
        <v>PRÓPRIA</v>
      </c>
      <c r="D143" s="24" t="str">
        <f>VLOOKUP(B143,CPU!$B:$J,3,FALSE)</f>
        <v>AQUISIÇÃO E ASSENTAMENTO DE TUBO RÍGIDO PVC, CLASSE 12, DN 60 MM, INCLUSO CONEXÕES</v>
      </c>
      <c r="E143" s="23" t="str">
        <f>VLOOKUP(B143,CPU!$B:$J,4,FALSE)</f>
        <v>M</v>
      </c>
      <c r="F143" s="23"/>
      <c r="G143" s="23"/>
      <c r="H143" s="23"/>
      <c r="I143" s="23"/>
      <c r="J143" s="23"/>
      <c r="K143" s="23"/>
      <c r="L143" s="23"/>
      <c r="M143" s="23"/>
      <c r="N143" s="5">
        <f>SUM($M$144:$M$144)</f>
        <v>25</v>
      </c>
    </row>
    <row r="144" spans="1:14" x14ac:dyDescent="0.3">
      <c r="A144" s="23" t="s">
        <v>633</v>
      </c>
      <c r="B144" s="70" t="s">
        <v>1618</v>
      </c>
      <c r="C144" s="71"/>
      <c r="D144" s="71"/>
      <c r="E144" s="72"/>
      <c r="F144" s="5">
        <v>25</v>
      </c>
      <c r="G144" s="26"/>
      <c r="H144" s="5"/>
      <c r="I144" s="5"/>
      <c r="J144" s="5"/>
      <c r="K144" s="5" t="str">
        <f>IF(COUNTA(H144:J144)=2,ROUND(PRODUCT(H144:J144),2),"")</f>
        <v/>
      </c>
      <c r="L144" s="5" t="str">
        <f>IF(OR(AND(COUNTA(H144:J144)=3,K144=""),AND(COUNTA(H144:J144)=1,K144&lt;&gt;"")),ROUND(PRODUCT(H144:K144),2),"")</f>
        <v/>
      </c>
      <c r="M144" s="5">
        <f>IF(L144&lt;&gt;"",ROUND(PRODUCT(F144,G144,L144),2),IF(K144&lt;&gt;"",ROUND(PRODUCT(F144,G144,K144),2),ROUND(PRODUCT(F144:J144),2)))</f>
        <v>25</v>
      </c>
      <c r="N144" s="5"/>
    </row>
    <row r="145" spans="1:14" x14ac:dyDescent="0.3">
      <c r="A145" s="12" t="s">
        <v>40</v>
      </c>
      <c r="B145" s="51" t="s">
        <v>634</v>
      </c>
      <c r="C145" s="52"/>
      <c r="D145" s="52"/>
      <c r="E145" s="52"/>
      <c r="F145" s="52"/>
      <c r="G145" s="52"/>
      <c r="H145" s="52"/>
      <c r="I145" s="52"/>
      <c r="J145" s="52"/>
      <c r="K145" s="52"/>
      <c r="L145" s="52"/>
      <c r="M145" s="52"/>
      <c r="N145" s="53"/>
    </row>
    <row r="146" spans="1:14" x14ac:dyDescent="0.3">
      <c r="A146" s="15" t="s">
        <v>41</v>
      </c>
      <c r="B146" s="48" t="s">
        <v>563</v>
      </c>
      <c r="C146" s="49"/>
      <c r="D146" s="49"/>
      <c r="E146" s="49"/>
      <c r="F146" s="49"/>
      <c r="G146" s="49"/>
      <c r="H146" s="49"/>
      <c r="I146" s="49"/>
      <c r="J146" s="49"/>
      <c r="K146" s="49"/>
      <c r="L146" s="49"/>
      <c r="M146" s="49"/>
      <c r="N146" s="50"/>
    </row>
    <row r="147" spans="1:14" ht="57.6" x14ac:dyDescent="0.3">
      <c r="A147" s="23" t="s">
        <v>228</v>
      </c>
      <c r="B147" s="23">
        <v>102314</v>
      </c>
      <c r="C147" s="23" t="str">
        <f>VLOOKUP(B147,CPU!$B:$J,2,FALSE)</f>
        <v>SINAPI</v>
      </c>
      <c r="D147" s="24" t="str">
        <f>VLOOKUP(B147,CPU!$B:$J,3,FALSE)</f>
        <v>ESCAVAÇÃO MECANIZADA DE VALA COM PROF. ATÉ 1,5 M (MÉDIA MONTANTE E JUSANTE/UMA COMPOSIÇÃO POR TRECHO),COM ESCAVADEIRA (0,8 M3), LARG. MENOR QUE 1,5 M, EM SOLO DE 2A CATEGORIA, LOCAIS COM BAIXO NÍVEL DE INTERFERÊNCIA. AF_09/2024</v>
      </c>
      <c r="E147" s="23" t="str">
        <f>VLOOKUP(B147,CPU!$B:$J,4,FALSE)</f>
        <v>M3</v>
      </c>
      <c r="F147" s="23"/>
      <c r="G147" s="23"/>
      <c r="H147" s="23"/>
      <c r="I147" s="23"/>
      <c r="J147" s="23"/>
      <c r="K147" s="23"/>
      <c r="L147" s="23"/>
      <c r="M147" s="23"/>
      <c r="N147" s="5">
        <f>SUM($M$148:$M$149)</f>
        <v>3411.84</v>
      </c>
    </row>
    <row r="148" spans="1:14" x14ac:dyDescent="0.3">
      <c r="A148" s="23" t="s">
        <v>635</v>
      </c>
      <c r="B148" s="70" t="s">
        <v>517</v>
      </c>
      <c r="C148" s="71"/>
      <c r="D148" s="71"/>
      <c r="E148" s="72"/>
      <c r="F148" s="5"/>
      <c r="G148" s="26"/>
      <c r="H148" s="5">
        <v>8412</v>
      </c>
      <c r="I148" s="5">
        <v>0.5</v>
      </c>
      <c r="J148" s="5">
        <v>0.8</v>
      </c>
      <c r="K148" s="5" t="str">
        <f>IF(COUNTA(H148:J148)=2,ROUND(PRODUCT(H148:J148),2),"")</f>
        <v/>
      </c>
      <c r="L148" s="5">
        <f>IF(OR(AND(COUNTA(H148:J148)=3,K148=""),AND(COUNTA(H148:J148)=1,K148&lt;&gt;"")),ROUND(PRODUCT(H148:K148),2),"")</f>
        <v>3364.8</v>
      </c>
      <c r="M148" s="5">
        <f>IF(L148&lt;&gt;"",ROUND(PRODUCT(F148,G148,L148),2),IF(K148&lt;&gt;"",ROUND(PRODUCT(F148,G148,K148),2),ROUND(PRODUCT(F148:J148),2)))</f>
        <v>3364.8</v>
      </c>
      <c r="N148" s="5"/>
    </row>
    <row r="149" spans="1:14" x14ac:dyDescent="0.3">
      <c r="A149" s="23" t="s">
        <v>636</v>
      </c>
      <c r="B149" s="70" t="s">
        <v>517</v>
      </c>
      <c r="C149" s="71"/>
      <c r="D149" s="71"/>
      <c r="E149" s="72"/>
      <c r="F149" s="5"/>
      <c r="G149" s="26">
        <v>56</v>
      </c>
      <c r="H149" s="5">
        <v>7</v>
      </c>
      <c r="I149" s="5">
        <v>0.3</v>
      </c>
      <c r="J149" s="5">
        <v>0.4</v>
      </c>
      <c r="K149" s="5" t="str">
        <f>IF(COUNTA(H149:J149)=2,ROUND(PRODUCT(H149:J149),2),"")</f>
        <v/>
      </c>
      <c r="L149" s="5">
        <f>IF(OR(AND(COUNTA(H149:J149)=3,K149=""),AND(COUNTA(H149:J149)=1,K149&lt;&gt;"")),ROUND(PRODUCT(H149:K149),2),"")</f>
        <v>0.84</v>
      </c>
      <c r="M149" s="5">
        <f>IF(L149&lt;&gt;"",ROUND(PRODUCT(F149,G149,L149),2),IF(K149&lt;&gt;"",ROUND(PRODUCT(F149,G149,K149),2),ROUND(PRODUCT(F149:J149),2)))</f>
        <v>47.04</v>
      </c>
      <c r="N149" s="5"/>
    </row>
    <row r="150" spans="1:14" ht="57.6" x14ac:dyDescent="0.3">
      <c r="A150" s="23" t="s">
        <v>229</v>
      </c>
      <c r="B150" s="23" t="s">
        <v>637</v>
      </c>
      <c r="C150" s="23" t="str">
        <f>VLOOKUP(B150,CPU!$B:$J,2,FALSE)</f>
        <v>PRÓPRIA</v>
      </c>
      <c r="D150" s="24" t="str">
        <f>VLOOKUP(B150,CPU!$B:$J,3,FALSE)</f>
        <v>REATERRO MECANIZADO DE VALA COM RETROESCAVADEIRA (CAPACIDADE DA CAÇAMBA DA RETRO: 0,26 M³/POTÊNCIA: 88 HP), LARGURA ATÉ 0,8 M, PROFUNDIDADE ATÉ 1,5 M, COM SOLO (SEM SUBSTITUIÇÃO) DE 1ª CATEGORIA. AF_08/2023 (REF: 104733-SINAPI-05/2025)</v>
      </c>
      <c r="E150" s="23" t="str">
        <f>VLOOKUP(B150,CPU!$B:$J,4,FALSE)</f>
        <v>M3</v>
      </c>
      <c r="F150" s="23"/>
      <c r="G150" s="23"/>
      <c r="H150" s="23"/>
      <c r="I150" s="23"/>
      <c r="J150" s="23"/>
      <c r="K150" s="23"/>
      <c r="L150" s="23"/>
      <c r="M150" s="23"/>
      <c r="N150" s="5">
        <f>SUM($M$151:$M$152)</f>
        <v>3411.84</v>
      </c>
    </row>
    <row r="151" spans="1:14" x14ac:dyDescent="0.3">
      <c r="A151" s="23" t="s">
        <v>638</v>
      </c>
      <c r="B151" s="70" t="s">
        <v>517</v>
      </c>
      <c r="C151" s="71"/>
      <c r="D151" s="71"/>
      <c r="E151" s="72"/>
      <c r="F151" s="5"/>
      <c r="G151" s="26"/>
      <c r="H151" s="5">
        <v>8412</v>
      </c>
      <c r="I151" s="5">
        <v>0.5</v>
      </c>
      <c r="J151" s="5">
        <v>0.8</v>
      </c>
      <c r="K151" s="5" t="str">
        <f>IF(COUNTA(H151:J151)=2,ROUND(PRODUCT(H151:J151),2),"")</f>
        <v/>
      </c>
      <c r="L151" s="5">
        <f>IF(OR(AND(COUNTA(H151:J151)=3,K151=""),AND(COUNTA(H151:J151)=1,K151&lt;&gt;"")),ROUND(PRODUCT(H151:K151),2),"")</f>
        <v>3364.8</v>
      </c>
      <c r="M151" s="5">
        <f>IF(L151&lt;&gt;"",ROUND(PRODUCT(F151,G151,L151),2),IF(K151&lt;&gt;"",ROUND(PRODUCT(F151,G151,K151),2),ROUND(PRODUCT(F151:J151),2)))</f>
        <v>3364.8</v>
      </c>
      <c r="N151" s="5"/>
    </row>
    <row r="152" spans="1:14" x14ac:dyDescent="0.3">
      <c r="A152" s="23" t="s">
        <v>639</v>
      </c>
      <c r="B152" s="70" t="s">
        <v>517</v>
      </c>
      <c r="C152" s="71"/>
      <c r="D152" s="71"/>
      <c r="E152" s="72"/>
      <c r="F152" s="5"/>
      <c r="G152" s="26">
        <v>56</v>
      </c>
      <c r="H152" s="5">
        <v>7</v>
      </c>
      <c r="I152" s="5">
        <v>0.3</v>
      </c>
      <c r="J152" s="5">
        <v>0.4</v>
      </c>
      <c r="K152" s="5" t="str">
        <f>IF(COUNTA(H152:J152)=2,ROUND(PRODUCT(H152:J152),2),"")</f>
        <v/>
      </c>
      <c r="L152" s="5">
        <f>IF(OR(AND(COUNTA(H152:J152)=3,K152=""),AND(COUNTA(H152:J152)=1,K152&lt;&gt;"")),ROUND(PRODUCT(H152:K152),2),"")</f>
        <v>0.84</v>
      </c>
      <c r="M152" s="5">
        <f>IF(L152&lt;&gt;"",ROUND(PRODUCT(F152,G152,L152),2),IF(K152&lt;&gt;"",ROUND(PRODUCT(F152,G152,K152),2),ROUND(PRODUCT(F152:J152),2)))</f>
        <v>47.04</v>
      </c>
      <c r="N152" s="5"/>
    </row>
    <row r="153" spans="1:14" x14ac:dyDescent="0.3">
      <c r="A153" s="15" t="s">
        <v>42</v>
      </c>
      <c r="B153" s="48" t="s">
        <v>625</v>
      </c>
      <c r="C153" s="49"/>
      <c r="D153" s="49"/>
      <c r="E153" s="49"/>
      <c r="F153" s="49"/>
      <c r="G153" s="49"/>
      <c r="H153" s="49"/>
      <c r="I153" s="49"/>
      <c r="J153" s="49"/>
      <c r="K153" s="49"/>
      <c r="L153" s="49"/>
      <c r="M153" s="49"/>
      <c r="N153" s="50"/>
    </row>
    <row r="154" spans="1:14" ht="28.8" x14ac:dyDescent="0.3">
      <c r="A154" s="23" t="s">
        <v>230</v>
      </c>
      <c r="B154" s="23" t="s">
        <v>640</v>
      </c>
      <c r="C154" s="23" t="str">
        <f>VLOOKUP(B154,CPU!$B:$J,2,FALSE)</f>
        <v>PRÓPRIA</v>
      </c>
      <c r="D154" s="24" t="str">
        <f>VLOOKUP(B154,CPU!$B:$J,3,FALSE)</f>
        <v>AQUISIÇÃO E ASSENTAMENTO DE TUBO RÍGIDO PVC, CLASSE 12, DN 60 MM, INCLUSO CONEXÕES</v>
      </c>
      <c r="E154" s="23" t="str">
        <f>VLOOKUP(B154,CPU!$B:$J,4,FALSE)</f>
        <v>M</v>
      </c>
      <c r="F154" s="23"/>
      <c r="G154" s="23"/>
      <c r="H154" s="23"/>
      <c r="I154" s="23"/>
      <c r="J154" s="23"/>
      <c r="K154" s="23"/>
      <c r="L154" s="23"/>
      <c r="M154" s="23"/>
      <c r="N154" s="5">
        <f>SUM($M$155:$M$155)</f>
        <v>8412</v>
      </c>
    </row>
    <row r="155" spans="1:14" x14ac:dyDescent="0.3">
      <c r="A155" s="23" t="s">
        <v>641</v>
      </c>
      <c r="B155" s="70" t="s">
        <v>517</v>
      </c>
      <c r="C155" s="71"/>
      <c r="D155" s="71"/>
      <c r="E155" s="72"/>
      <c r="F155" s="5">
        <v>8412</v>
      </c>
      <c r="G155" s="26"/>
      <c r="H155" s="5"/>
      <c r="I155" s="5"/>
      <c r="J155" s="5"/>
      <c r="K155" s="5" t="str">
        <f>IF(COUNTA(H155:J155)=2,ROUND(PRODUCT(H155:J155),2),"")</f>
        <v/>
      </c>
      <c r="L155" s="5" t="str">
        <f>IF(OR(AND(COUNTA(H155:J155)=3,K155=""),AND(COUNTA(H155:J155)=1,K155&lt;&gt;"")),ROUND(PRODUCT(H155:K155),2),"")</f>
        <v/>
      </c>
      <c r="M155" s="5">
        <f>IF(L155&lt;&gt;"",ROUND(PRODUCT(F155,G155,L155),2),IF(K155&lt;&gt;"",ROUND(PRODUCT(F155,G155,K155),2),ROUND(PRODUCT(F155:J155),2)))</f>
        <v>8412</v>
      </c>
      <c r="N155" s="5"/>
    </row>
    <row r="156" spans="1:14" x14ac:dyDescent="0.3">
      <c r="A156" s="23" t="s">
        <v>231</v>
      </c>
      <c r="B156" s="23" t="s">
        <v>642</v>
      </c>
      <c r="C156" s="23" t="str">
        <f>VLOOKUP(B156,CPU!$B:$J,2,FALSE)</f>
        <v>PRÓPRIA</v>
      </c>
      <c r="D156" s="24" t="str">
        <f>VLOOKUP(B156,CPU!$B:$J,3,FALSE)</f>
        <v>LIGAÇÃO DOMICILIAR</v>
      </c>
      <c r="E156" s="23" t="str">
        <f>VLOOKUP(B156,CPU!$B:$J,4,FALSE)</f>
        <v>UND</v>
      </c>
      <c r="F156" s="23"/>
      <c r="G156" s="23"/>
      <c r="H156" s="23"/>
      <c r="I156" s="23"/>
      <c r="J156" s="23"/>
      <c r="K156" s="23"/>
      <c r="L156" s="23"/>
      <c r="M156" s="23"/>
      <c r="N156" s="5">
        <f>SUM($M$157:$M$157)</f>
        <v>56</v>
      </c>
    </row>
    <row r="157" spans="1:14" x14ac:dyDescent="0.3">
      <c r="A157" s="23" t="s">
        <v>643</v>
      </c>
      <c r="B157" s="70" t="s">
        <v>517</v>
      </c>
      <c r="C157" s="71"/>
      <c r="D157" s="71"/>
      <c r="E157" s="72"/>
      <c r="F157" s="5">
        <v>56</v>
      </c>
      <c r="G157" s="26"/>
      <c r="H157" s="5"/>
      <c r="I157" s="5"/>
      <c r="J157" s="5"/>
      <c r="K157" s="5" t="str">
        <f>IF(COUNTA(H157:J157)=2,ROUND(PRODUCT(H157:J157),2),"")</f>
        <v/>
      </c>
      <c r="L157" s="5" t="str">
        <f>IF(OR(AND(COUNTA(H157:J157)=3,K157=""),AND(COUNTA(H157:J157)=1,K157&lt;&gt;"")),ROUND(PRODUCT(H157:K157),2),"")</f>
        <v/>
      </c>
      <c r="M157" s="5">
        <f>IF(L157&lt;&gt;"",ROUND(PRODUCT(F157,G157,L157),2),IF(K157&lt;&gt;"",ROUND(PRODUCT(F157,G157,K157),2),ROUND(PRODUCT(F157:J157),2)))</f>
        <v>56</v>
      </c>
      <c r="N157" s="5"/>
    </row>
    <row r="158" spans="1:14" x14ac:dyDescent="0.3">
      <c r="A158" s="9">
        <v>3</v>
      </c>
      <c r="B158" s="54" t="s">
        <v>644</v>
      </c>
      <c r="C158" s="55"/>
      <c r="D158" s="55"/>
      <c r="E158" s="55"/>
      <c r="F158" s="55"/>
      <c r="G158" s="55"/>
      <c r="H158" s="55"/>
      <c r="I158" s="55"/>
      <c r="J158" s="55"/>
      <c r="K158" s="55"/>
      <c r="L158" s="55"/>
      <c r="M158" s="55"/>
      <c r="N158" s="56"/>
    </row>
    <row r="159" spans="1:14" x14ac:dyDescent="0.3">
      <c r="A159" s="12" t="s">
        <v>43</v>
      </c>
      <c r="B159" s="51" t="s">
        <v>521</v>
      </c>
      <c r="C159" s="52"/>
      <c r="D159" s="52"/>
      <c r="E159" s="52"/>
      <c r="F159" s="52"/>
      <c r="G159" s="52"/>
      <c r="H159" s="52"/>
      <c r="I159" s="52"/>
      <c r="J159" s="52"/>
      <c r="K159" s="52"/>
      <c r="L159" s="52"/>
      <c r="M159" s="52"/>
      <c r="N159" s="53"/>
    </row>
    <row r="160" spans="1:14" x14ac:dyDescent="0.3">
      <c r="A160" s="23" t="s">
        <v>232</v>
      </c>
      <c r="B160" s="23" t="s">
        <v>522</v>
      </c>
      <c r="C160" s="23" t="str">
        <f>VLOOKUP(B160,CPU!$B:$J,2,FALSE)</f>
        <v>PRÓPRIA</v>
      </c>
      <c r="D160" s="24" t="str">
        <f>VLOOKUP(B160,CPU!$B:$J,3,FALSE)</f>
        <v>LOCAÇÃO DO POÇO COM ESTUDO GEOLÓGICO/HIDROGEOLÓGICO/GEOFÍSICO</v>
      </c>
      <c r="E160" s="23" t="str">
        <f>VLOOKUP(B160,CPU!$B:$J,4,FALSE)</f>
        <v>UN</v>
      </c>
      <c r="F160" s="23"/>
      <c r="G160" s="23"/>
      <c r="H160" s="23"/>
      <c r="I160" s="23"/>
      <c r="J160" s="23"/>
      <c r="K160" s="23"/>
      <c r="L160" s="23"/>
      <c r="M160" s="23"/>
      <c r="N160" s="5">
        <f>SUM($M$161:$M$161)</f>
        <v>1</v>
      </c>
    </row>
    <row r="161" spans="1:14" x14ac:dyDescent="0.3">
      <c r="A161" s="23" t="s">
        <v>645</v>
      </c>
      <c r="B161" s="70" t="s">
        <v>517</v>
      </c>
      <c r="C161" s="71"/>
      <c r="D161" s="71"/>
      <c r="E161" s="72"/>
      <c r="F161" s="5">
        <v>1</v>
      </c>
      <c r="G161" s="26"/>
      <c r="H161" s="5"/>
      <c r="I161" s="5"/>
      <c r="J161" s="5"/>
      <c r="K161" s="5" t="str">
        <f>IF(COUNTA(H161:J161)=2,ROUND(PRODUCT(H161:J161),2),"")</f>
        <v/>
      </c>
      <c r="L161" s="5" t="str">
        <f>IF(OR(AND(COUNTA(H161:J161)=3,K161=""),AND(COUNTA(H161:J161)=1,K161&lt;&gt;"")),ROUND(PRODUCT(H161:K161),2),"")</f>
        <v/>
      </c>
      <c r="M161" s="5">
        <f>IF(L161&lt;&gt;"",ROUND(PRODUCT(F161,G161,L161),2),IF(K161&lt;&gt;"",ROUND(PRODUCT(F161,G161,K161),2),ROUND(PRODUCT(F161:J161),2)))</f>
        <v>1</v>
      </c>
      <c r="N161" s="5"/>
    </row>
    <row r="162" spans="1:14" x14ac:dyDescent="0.3">
      <c r="A162" s="23" t="s">
        <v>233</v>
      </c>
      <c r="B162" s="23" t="s">
        <v>524</v>
      </c>
      <c r="C162" s="23" t="str">
        <f>VLOOKUP(B162,CPU!$B:$J,2,FALSE)</f>
        <v>PRÓPRIA</v>
      </c>
      <c r="D162" s="24" t="str">
        <f>VLOOKUP(B162,CPU!$B:$J,3,FALSE)</f>
        <v>TRANSPORTE DE MÁQUINAS E EQUIPAMENTOS</v>
      </c>
      <c r="E162" s="23" t="str">
        <f>VLOOKUP(B162,CPU!$B:$J,4,FALSE)</f>
        <v>KM</v>
      </c>
      <c r="F162" s="23"/>
      <c r="G162" s="23"/>
      <c r="H162" s="23"/>
      <c r="I162" s="23"/>
      <c r="J162" s="23"/>
      <c r="K162" s="23"/>
      <c r="L162" s="23"/>
      <c r="M162" s="23"/>
      <c r="N162" s="5">
        <f>SUM($M$163:$M$163)</f>
        <v>47.3</v>
      </c>
    </row>
    <row r="163" spans="1:14" x14ac:dyDescent="0.3">
      <c r="A163" s="23" t="s">
        <v>646</v>
      </c>
      <c r="B163" s="70" t="s">
        <v>647</v>
      </c>
      <c r="C163" s="71"/>
      <c r="D163" s="71"/>
      <c r="E163" s="72"/>
      <c r="F163" s="5">
        <v>47.3</v>
      </c>
      <c r="G163" s="26"/>
      <c r="H163" s="5"/>
      <c r="I163" s="5"/>
      <c r="J163" s="5"/>
      <c r="K163" s="5" t="str">
        <f>IF(COUNTA(H163:J163)=2,ROUND(PRODUCT(H163:J163),2),"")</f>
        <v/>
      </c>
      <c r="L163" s="5" t="str">
        <f>IF(OR(AND(COUNTA(H163:J163)=3,K163=""),AND(COUNTA(H163:J163)=1,K163&lt;&gt;"")),ROUND(PRODUCT(H163:K163),2),"")</f>
        <v/>
      </c>
      <c r="M163" s="5">
        <f>IF(L163&lt;&gt;"",ROUND(PRODUCT(F163,G163,L163),2),IF(K163&lt;&gt;"",ROUND(PRODUCT(F163,G163,K163),2),ROUND(PRODUCT(F163:J163),2)))</f>
        <v>47.3</v>
      </c>
      <c r="N163" s="5"/>
    </row>
    <row r="164" spans="1:14" x14ac:dyDescent="0.3">
      <c r="A164" s="23" t="s">
        <v>234</v>
      </c>
      <c r="B164" s="23" t="s">
        <v>524</v>
      </c>
      <c r="C164" s="23" t="str">
        <f>VLOOKUP(B164,CPU!$B:$J,2,FALSE)</f>
        <v>PRÓPRIA</v>
      </c>
      <c r="D164" s="24" t="str">
        <f>VLOOKUP(B164,CPU!$B:$J,3,FALSE)</f>
        <v>TRANSPORTE DE MÁQUINAS E EQUIPAMENTOS</v>
      </c>
      <c r="E164" s="23" t="str">
        <f>VLOOKUP(B164,CPU!$B:$J,4,FALSE)</f>
        <v>KM</v>
      </c>
      <c r="F164" s="23"/>
      <c r="G164" s="23"/>
      <c r="H164" s="23"/>
      <c r="I164" s="23"/>
      <c r="J164" s="23"/>
      <c r="K164" s="23"/>
      <c r="L164" s="23"/>
      <c r="M164" s="23"/>
      <c r="N164" s="5">
        <f>SUM($M$165:$M$165)</f>
        <v>47.3</v>
      </c>
    </row>
    <row r="165" spans="1:14" x14ac:dyDescent="0.3">
      <c r="A165" s="23" t="s">
        <v>648</v>
      </c>
      <c r="B165" s="70" t="s">
        <v>649</v>
      </c>
      <c r="C165" s="71"/>
      <c r="D165" s="71"/>
      <c r="E165" s="72"/>
      <c r="F165" s="5">
        <v>47.3</v>
      </c>
      <c r="G165" s="26"/>
      <c r="H165" s="5"/>
      <c r="I165" s="5"/>
      <c r="J165" s="5"/>
      <c r="K165" s="5" t="str">
        <f>IF(COUNTA(H165:J165)=2,ROUND(PRODUCT(H165:J165),2),"")</f>
        <v/>
      </c>
      <c r="L165" s="5" t="str">
        <f>IF(OR(AND(COUNTA(H165:J165)=3,K165=""),AND(COUNTA(H165:J165)=1,K165&lt;&gt;"")),ROUND(PRODUCT(H165:K165),2),"")</f>
        <v/>
      </c>
      <c r="M165" s="5">
        <f>IF(L165&lt;&gt;"",ROUND(PRODUCT(F165,G165,L165),2),IF(K165&lt;&gt;"",ROUND(PRODUCT(F165,G165,K165),2),ROUND(PRODUCT(F165:J165),2)))</f>
        <v>47.3</v>
      </c>
      <c r="N165" s="5"/>
    </row>
    <row r="166" spans="1:14" x14ac:dyDescent="0.3">
      <c r="A166" s="23" t="s">
        <v>235</v>
      </c>
      <c r="B166" s="23" t="s">
        <v>528</v>
      </c>
      <c r="C166" s="23" t="str">
        <f>VLOOKUP(B166,CPU!$B:$J,2,FALSE)</f>
        <v>PRÓPRIA</v>
      </c>
      <c r="D166" s="24" t="str">
        <f>VLOOKUP(B166,CPU!$B:$J,3,FALSE)</f>
        <v>PERFILAGEM ÓTICA</v>
      </c>
      <c r="E166" s="23" t="str">
        <f>VLOOKUP(B166,CPU!$B:$J,4,FALSE)</f>
        <v>UN</v>
      </c>
      <c r="F166" s="23"/>
      <c r="G166" s="23"/>
      <c r="H166" s="23"/>
      <c r="I166" s="23"/>
      <c r="J166" s="23"/>
      <c r="K166" s="23"/>
      <c r="L166" s="23"/>
      <c r="M166" s="23"/>
      <c r="N166" s="5">
        <f>SUM($M$167:$M$167)</f>
        <v>1</v>
      </c>
    </row>
    <row r="167" spans="1:14" x14ac:dyDescent="0.3">
      <c r="A167" s="23" t="s">
        <v>650</v>
      </c>
      <c r="B167" s="70" t="s">
        <v>517</v>
      </c>
      <c r="C167" s="71"/>
      <c r="D167" s="71"/>
      <c r="E167" s="72"/>
      <c r="F167" s="5">
        <v>1</v>
      </c>
      <c r="G167" s="26"/>
      <c r="H167" s="5"/>
      <c r="I167" s="5"/>
      <c r="J167" s="5"/>
      <c r="K167" s="5" t="str">
        <f>IF(COUNTA(H167:J167)=2,ROUND(PRODUCT(H167:J167),2),"")</f>
        <v/>
      </c>
      <c r="L167" s="5" t="str">
        <f>IF(OR(AND(COUNTA(H167:J167)=3,K167=""),AND(COUNTA(H167:J167)=1,K167&lt;&gt;"")),ROUND(PRODUCT(H167:K167),2),"")</f>
        <v/>
      </c>
      <c r="M167" s="5">
        <f>IF(L167&lt;&gt;"",ROUND(PRODUCT(F167,G167,L167),2),IF(K167&lt;&gt;"",ROUND(PRODUCT(F167,G167,K167),2),ROUND(PRODUCT(F167:J167),2)))</f>
        <v>1</v>
      </c>
      <c r="N167" s="5"/>
    </row>
    <row r="168" spans="1:14" x14ac:dyDescent="0.3">
      <c r="A168" s="23" t="s">
        <v>236</v>
      </c>
      <c r="B168" s="23" t="s">
        <v>530</v>
      </c>
      <c r="C168" s="23" t="str">
        <f>VLOOKUP(B168,CPU!$B:$J,2,FALSE)</f>
        <v>PRÓPRIA</v>
      </c>
      <c r="D168" s="24" t="str">
        <f>VLOOKUP(B168,CPU!$B:$J,3,FALSE)</f>
        <v>PERFURAÇÃO EM ROCHA SEDIMENTAR DN 10" (REF: 06230/ORSE-ORSE-04/2025)</v>
      </c>
      <c r="E168" s="23" t="str">
        <f>VLOOKUP(B168,CPU!$B:$J,4,FALSE)</f>
        <v>M</v>
      </c>
      <c r="F168" s="23"/>
      <c r="G168" s="23"/>
      <c r="H168" s="23"/>
      <c r="I168" s="23"/>
      <c r="J168" s="23"/>
      <c r="K168" s="23"/>
      <c r="L168" s="23"/>
      <c r="M168" s="23"/>
      <c r="N168" s="5">
        <f>SUM($M$169:$M$169)</f>
        <v>20</v>
      </c>
    </row>
    <row r="169" spans="1:14" x14ac:dyDescent="0.3">
      <c r="A169" s="23" t="s">
        <v>651</v>
      </c>
      <c r="B169" s="70" t="s">
        <v>532</v>
      </c>
      <c r="C169" s="71"/>
      <c r="D169" s="71"/>
      <c r="E169" s="72"/>
      <c r="F169" s="5">
        <v>20</v>
      </c>
      <c r="G169" s="26"/>
      <c r="H169" s="5"/>
      <c r="I169" s="5"/>
      <c r="J169" s="5"/>
      <c r="K169" s="5" t="str">
        <f>IF(COUNTA(H169:J169)=2,ROUND(PRODUCT(H169:J169),2),"")</f>
        <v/>
      </c>
      <c r="L169" s="5" t="str">
        <f>IF(OR(AND(COUNTA(H169:J169)=3,K169=""),AND(COUNTA(H169:J169)=1,K169&lt;&gt;"")),ROUND(PRODUCT(H169:K169),2),"")</f>
        <v/>
      </c>
      <c r="M169" s="5">
        <f>IF(L169&lt;&gt;"",ROUND(PRODUCT(F169,G169,L169),2),IF(K169&lt;&gt;"",ROUND(PRODUCT(F169,G169,K169),2),ROUND(PRODUCT(F169:J169),2)))</f>
        <v>20</v>
      </c>
      <c r="N169" s="5"/>
    </row>
    <row r="170" spans="1:14" x14ac:dyDescent="0.3">
      <c r="A170" s="23" t="s">
        <v>237</v>
      </c>
      <c r="B170" s="23" t="s">
        <v>533</v>
      </c>
      <c r="C170" s="23" t="str">
        <f>VLOOKUP(B170,CPU!$B:$J,2,FALSE)</f>
        <v>PRÓPRIA</v>
      </c>
      <c r="D170" s="24" t="str">
        <f>VLOOKUP(B170,CPU!$B:$J,3,FALSE)</f>
        <v>PERFURAÇÃO EM ROCHA CRISTALINA DN 6" (REF: 06237/ORSE-ORSE-04/2025)</v>
      </c>
      <c r="E170" s="23" t="str">
        <f>VLOOKUP(B170,CPU!$B:$J,4,FALSE)</f>
        <v>M</v>
      </c>
      <c r="F170" s="23"/>
      <c r="G170" s="23"/>
      <c r="H170" s="23"/>
      <c r="I170" s="23"/>
      <c r="J170" s="23"/>
      <c r="K170" s="23"/>
      <c r="L170" s="23"/>
      <c r="M170" s="23"/>
      <c r="N170" s="5">
        <f>SUM($M$171:$M$171)</f>
        <v>100</v>
      </c>
    </row>
    <row r="171" spans="1:14" x14ac:dyDescent="0.3">
      <c r="A171" s="23" t="s">
        <v>652</v>
      </c>
      <c r="B171" s="70" t="s">
        <v>532</v>
      </c>
      <c r="C171" s="71"/>
      <c r="D171" s="71"/>
      <c r="E171" s="72"/>
      <c r="F171" s="5">
        <v>100</v>
      </c>
      <c r="G171" s="26"/>
      <c r="H171" s="5"/>
      <c r="I171" s="5"/>
      <c r="J171" s="5"/>
      <c r="K171" s="5" t="str">
        <f>IF(COUNTA(H171:J171)=2,ROUND(PRODUCT(H171:J171),2),"")</f>
        <v/>
      </c>
      <c r="L171" s="5" t="str">
        <f>IF(OR(AND(COUNTA(H171:J171)=3,K171=""),AND(COUNTA(H171:J171)=1,K171&lt;&gt;"")),ROUND(PRODUCT(H171:K171),2),"")</f>
        <v/>
      </c>
      <c r="M171" s="5">
        <f>IF(L171&lt;&gt;"",ROUND(PRODUCT(F171,G171,L171),2),IF(K171&lt;&gt;"",ROUND(PRODUCT(F171,G171,K171),2),ROUND(PRODUCT(F171:J171),2)))</f>
        <v>100</v>
      </c>
      <c r="N171" s="5"/>
    </row>
    <row r="172" spans="1:14" x14ac:dyDescent="0.3">
      <c r="A172" s="23" t="s">
        <v>238</v>
      </c>
      <c r="B172" s="23" t="s">
        <v>535</v>
      </c>
      <c r="C172" s="23" t="str">
        <f>VLOOKUP(B172,CPU!$B:$J,2,FALSE)</f>
        <v>PRÓPRIA</v>
      </c>
      <c r="D172" s="24" t="str">
        <f>VLOOKUP(B172,CPU!$B:$J,3,FALSE)</f>
        <v>CIMENTAÇÃO SANITÁRIA</v>
      </c>
      <c r="E172" s="23" t="str">
        <f>VLOOKUP(B172,CPU!$B:$J,4,FALSE)</f>
        <v>M</v>
      </c>
      <c r="F172" s="23"/>
      <c r="G172" s="23"/>
      <c r="H172" s="23"/>
      <c r="I172" s="23"/>
      <c r="J172" s="23"/>
      <c r="K172" s="23"/>
      <c r="L172" s="23"/>
      <c r="M172" s="23"/>
      <c r="N172" s="5">
        <f>SUM($M$173:$M$173)</f>
        <v>10</v>
      </c>
    </row>
    <row r="173" spans="1:14" x14ac:dyDescent="0.3">
      <c r="A173" s="23" t="s">
        <v>653</v>
      </c>
      <c r="B173" s="70" t="s">
        <v>517</v>
      </c>
      <c r="C173" s="71"/>
      <c r="D173" s="71"/>
      <c r="E173" s="72"/>
      <c r="F173" s="5">
        <v>10</v>
      </c>
      <c r="G173" s="26"/>
      <c r="H173" s="5"/>
      <c r="I173" s="5"/>
      <c r="J173" s="5"/>
      <c r="K173" s="5" t="str">
        <f>IF(COUNTA(H173:J173)=2,ROUND(PRODUCT(H173:J173),2),"")</f>
        <v/>
      </c>
      <c r="L173" s="5" t="str">
        <f>IF(OR(AND(COUNTA(H173:J173)=3,K173=""),AND(COUNTA(H173:J173)=1,K173&lt;&gt;"")),ROUND(PRODUCT(H173:K173),2),"")</f>
        <v/>
      </c>
      <c r="M173" s="5">
        <f>IF(L173&lt;&gt;"",ROUND(PRODUCT(F173,G173,L173),2),IF(K173&lt;&gt;"",ROUND(PRODUCT(F173,G173,K173),2),ROUND(PRODUCT(F173:J173),2)))</f>
        <v>10</v>
      </c>
      <c r="N173" s="5"/>
    </row>
    <row r="174" spans="1:14" x14ac:dyDescent="0.3">
      <c r="A174" s="23" t="s">
        <v>239</v>
      </c>
      <c r="B174" s="23" t="s">
        <v>537</v>
      </c>
      <c r="C174" s="23" t="str">
        <f>VLOOKUP(B174,CPU!$B:$J,2,FALSE)</f>
        <v>PRÓPRIA</v>
      </c>
      <c r="D174" s="24" t="str">
        <f>VLOOKUP(B174,CPU!$B:$J,3,FALSE)</f>
        <v>LAJE DE PROTEÇÃO EM CONCRETO (1,0 M X 1,0 M X 0,15 M)</v>
      </c>
      <c r="E174" s="23" t="str">
        <f>VLOOKUP(B174,CPU!$B:$J,4,FALSE)</f>
        <v>M³</v>
      </c>
      <c r="F174" s="23"/>
      <c r="G174" s="23"/>
      <c r="H174" s="23"/>
      <c r="I174" s="23"/>
      <c r="J174" s="23"/>
      <c r="K174" s="23"/>
      <c r="L174" s="23"/>
      <c r="M174" s="23"/>
      <c r="N174" s="5">
        <f>SUM($M$175:$M$175)</f>
        <v>0.15</v>
      </c>
    </row>
    <row r="175" spans="1:14" x14ac:dyDescent="0.3">
      <c r="A175" s="23" t="s">
        <v>654</v>
      </c>
      <c r="B175" s="70" t="s">
        <v>517</v>
      </c>
      <c r="C175" s="71"/>
      <c r="D175" s="71"/>
      <c r="E175" s="72"/>
      <c r="F175" s="5"/>
      <c r="G175" s="26"/>
      <c r="H175" s="5">
        <v>1</v>
      </c>
      <c r="I175" s="5">
        <v>1</v>
      </c>
      <c r="J175" s="5">
        <v>0.15</v>
      </c>
      <c r="K175" s="5" t="str">
        <f>IF(COUNTA(H175:J175)=2,ROUND(PRODUCT(H175:J175),2),"")</f>
        <v/>
      </c>
      <c r="L175" s="5">
        <f>IF(OR(AND(COUNTA(H175:J175)=3,K175=""),AND(COUNTA(H175:J175)=1,K175&lt;&gt;"")),ROUND(PRODUCT(H175:K175),2),"")</f>
        <v>0.15</v>
      </c>
      <c r="M175" s="5">
        <f>IF(L175&lt;&gt;"",ROUND(PRODUCT(F175,G175,L175),2),IF(K175&lt;&gt;"",ROUND(PRODUCT(F175,G175,K175),2),ROUND(PRODUCT(F175:J175),2)))</f>
        <v>0.15</v>
      </c>
      <c r="N175" s="5"/>
    </row>
    <row r="176" spans="1:14" x14ac:dyDescent="0.3">
      <c r="A176" s="23" t="s">
        <v>240</v>
      </c>
      <c r="B176" s="23" t="s">
        <v>539</v>
      </c>
      <c r="C176" s="23" t="str">
        <f>VLOOKUP(B176,CPU!$B:$J,2,FALSE)</f>
        <v>PRÓPRIA</v>
      </c>
      <c r="D176" s="24" t="str">
        <f>VLOOKUP(B176,CPU!$B:$J,3,FALSE)</f>
        <v>DESENVOLVIMENTO COM BOMBA SUBMERSA</v>
      </c>
      <c r="E176" s="23" t="str">
        <f>VLOOKUP(B176,CPU!$B:$J,4,FALSE)</f>
        <v>H</v>
      </c>
      <c r="F176" s="23"/>
      <c r="G176" s="23"/>
      <c r="H176" s="23"/>
      <c r="I176" s="23"/>
      <c r="J176" s="23"/>
      <c r="K176" s="23"/>
      <c r="L176" s="23"/>
      <c r="M176" s="23"/>
      <c r="N176" s="5">
        <f>SUM($M$177:$M$177)</f>
        <v>6</v>
      </c>
    </row>
    <row r="177" spans="1:14" x14ac:dyDescent="0.3">
      <c r="A177" s="23" t="s">
        <v>655</v>
      </c>
      <c r="B177" s="70" t="s">
        <v>517</v>
      </c>
      <c r="C177" s="71"/>
      <c r="D177" s="71"/>
      <c r="E177" s="72"/>
      <c r="F177" s="5">
        <v>6</v>
      </c>
      <c r="G177" s="26"/>
      <c r="H177" s="5"/>
      <c r="I177" s="5"/>
      <c r="J177" s="5"/>
      <c r="K177" s="5" t="str">
        <f>IF(COUNTA(H177:J177)=2,ROUND(PRODUCT(H177:J177),2),"")</f>
        <v/>
      </c>
      <c r="L177" s="5" t="str">
        <f>IF(OR(AND(COUNTA(H177:J177)=3,K177=""),AND(COUNTA(H177:J177)=1,K177&lt;&gt;"")),ROUND(PRODUCT(H177:K177),2),"")</f>
        <v/>
      </c>
      <c r="M177" s="5">
        <f>IF(L177&lt;&gt;"",ROUND(PRODUCT(F177,G177,L177),2),IF(K177&lt;&gt;"",ROUND(PRODUCT(F177,G177,K177),2),ROUND(PRODUCT(F177:J177),2)))</f>
        <v>6</v>
      </c>
      <c r="N177" s="5"/>
    </row>
    <row r="178" spans="1:14" x14ac:dyDescent="0.3">
      <c r="A178" s="23" t="s">
        <v>241</v>
      </c>
      <c r="B178" s="23" t="s">
        <v>541</v>
      </c>
      <c r="C178" s="23" t="str">
        <f>VLOOKUP(B178,CPU!$B:$J,2,FALSE)</f>
        <v>PRÓPRIA</v>
      </c>
      <c r="D178" s="24" t="str">
        <f>VLOOKUP(B178,CPU!$B:$J,3,FALSE)</f>
        <v>TESTE VAZÃO COM BOMBA SUBMERSA</v>
      </c>
      <c r="E178" s="23" t="str">
        <f>VLOOKUP(B178,CPU!$B:$J,4,FALSE)</f>
        <v>H</v>
      </c>
      <c r="F178" s="23"/>
      <c r="G178" s="23"/>
      <c r="H178" s="23"/>
      <c r="I178" s="23"/>
      <c r="J178" s="23"/>
      <c r="K178" s="23"/>
      <c r="L178" s="23"/>
      <c r="M178" s="23"/>
      <c r="N178" s="5">
        <f>SUM($M$179:$M$179)</f>
        <v>24</v>
      </c>
    </row>
    <row r="179" spans="1:14" x14ac:dyDescent="0.3">
      <c r="A179" s="23" t="s">
        <v>656</v>
      </c>
      <c r="B179" s="70" t="s">
        <v>517</v>
      </c>
      <c r="C179" s="71"/>
      <c r="D179" s="71"/>
      <c r="E179" s="72"/>
      <c r="F179" s="5">
        <v>24</v>
      </c>
      <c r="G179" s="26"/>
      <c r="H179" s="5"/>
      <c r="I179" s="5"/>
      <c r="J179" s="5"/>
      <c r="K179" s="5" t="str">
        <f>IF(COUNTA(H179:J179)=2,ROUND(PRODUCT(H179:J179),2),"")</f>
        <v/>
      </c>
      <c r="L179" s="5" t="str">
        <f>IF(OR(AND(COUNTA(H179:J179)=3,K179=""),AND(COUNTA(H179:J179)=1,K179&lt;&gt;"")),ROUND(PRODUCT(H179:K179),2),"")</f>
        <v/>
      </c>
      <c r="M179" s="5">
        <f>IF(L179&lt;&gt;"",ROUND(PRODUCT(F179,G179,L179),2),IF(K179&lt;&gt;"",ROUND(PRODUCT(F179,G179,K179),2),ROUND(PRODUCT(F179:J179),2)))</f>
        <v>24</v>
      </c>
      <c r="N179" s="5"/>
    </row>
    <row r="180" spans="1:14" x14ac:dyDescent="0.3">
      <c r="A180" s="23" t="s">
        <v>242</v>
      </c>
      <c r="B180" s="23" t="s">
        <v>543</v>
      </c>
      <c r="C180" s="23" t="str">
        <f>VLOOKUP(B180,CPU!$B:$J,2,FALSE)</f>
        <v>PRÓPRIA</v>
      </c>
      <c r="D180" s="24" t="str">
        <f>VLOOKUP(B180,CPU!$B:$J,3,FALSE)</f>
        <v>DESINFECÇÃO</v>
      </c>
      <c r="E180" s="23" t="str">
        <f>VLOOKUP(B180,CPU!$B:$J,4,FALSE)</f>
        <v>H</v>
      </c>
      <c r="F180" s="23"/>
      <c r="G180" s="23"/>
      <c r="H180" s="23"/>
      <c r="I180" s="23"/>
      <c r="J180" s="23"/>
      <c r="K180" s="23"/>
      <c r="L180" s="23"/>
      <c r="M180" s="23"/>
      <c r="N180" s="5">
        <f>SUM($M$181:$M$181)</f>
        <v>4</v>
      </c>
    </row>
    <row r="181" spans="1:14" x14ac:dyDescent="0.3">
      <c r="A181" s="23" t="s">
        <v>657</v>
      </c>
      <c r="B181" s="70" t="s">
        <v>517</v>
      </c>
      <c r="C181" s="71"/>
      <c r="D181" s="71"/>
      <c r="E181" s="72"/>
      <c r="F181" s="5">
        <v>4</v>
      </c>
      <c r="G181" s="26"/>
      <c r="H181" s="5"/>
      <c r="I181" s="5"/>
      <c r="J181" s="5"/>
      <c r="K181" s="5" t="str">
        <f>IF(COUNTA(H181:J181)=2,ROUND(PRODUCT(H181:J181),2),"")</f>
        <v/>
      </c>
      <c r="L181" s="5" t="str">
        <f>IF(OR(AND(COUNTA(H181:J181)=3,K181=""),AND(COUNTA(H181:J181)=1,K181&lt;&gt;"")),ROUND(PRODUCT(H181:K181),2),"")</f>
        <v/>
      </c>
      <c r="M181" s="5">
        <f>IF(L181&lt;&gt;"",ROUND(PRODUCT(F181,G181,L181),2),IF(K181&lt;&gt;"",ROUND(PRODUCT(F181,G181,K181),2),ROUND(PRODUCT(F181:J181),2)))</f>
        <v>4</v>
      </c>
      <c r="N181" s="5"/>
    </row>
    <row r="182" spans="1:14" x14ac:dyDescent="0.3">
      <c r="A182" s="23" t="s">
        <v>243</v>
      </c>
      <c r="B182" s="23" t="s">
        <v>545</v>
      </c>
      <c r="C182" s="23" t="str">
        <f>VLOOKUP(B182,CPU!$B:$J,2,FALSE)</f>
        <v>PRÓPRIA</v>
      </c>
      <c r="D182" s="24" t="str">
        <f>VLOOKUP(B182,CPU!$B:$J,3,FALSE)</f>
        <v>RELATÓRIO TÉCNICO</v>
      </c>
      <c r="E182" s="23" t="str">
        <f>VLOOKUP(B182,CPU!$B:$J,4,FALSE)</f>
        <v>UN</v>
      </c>
      <c r="F182" s="23"/>
      <c r="G182" s="23"/>
      <c r="H182" s="23"/>
      <c r="I182" s="23"/>
      <c r="J182" s="23"/>
      <c r="K182" s="23"/>
      <c r="L182" s="23"/>
      <c r="M182" s="23"/>
      <c r="N182" s="5">
        <f>SUM($M$183:$M$183)</f>
        <v>1</v>
      </c>
    </row>
    <row r="183" spans="1:14" x14ac:dyDescent="0.3">
      <c r="A183" s="23" t="s">
        <v>658</v>
      </c>
      <c r="B183" s="70" t="s">
        <v>517</v>
      </c>
      <c r="C183" s="71"/>
      <c r="D183" s="71"/>
      <c r="E183" s="72"/>
      <c r="F183" s="5">
        <v>1</v>
      </c>
      <c r="G183" s="26"/>
      <c r="H183" s="5"/>
      <c r="I183" s="5"/>
      <c r="J183" s="5"/>
      <c r="K183" s="5" t="str">
        <f>IF(COUNTA(H183:J183)=2,ROUND(PRODUCT(H183:J183),2),"")</f>
        <v/>
      </c>
      <c r="L183" s="5" t="str">
        <f>IF(OR(AND(COUNTA(H183:J183)=3,K183=""),AND(COUNTA(H183:J183)=1,K183&lt;&gt;"")),ROUND(PRODUCT(H183:K183),2),"")</f>
        <v/>
      </c>
      <c r="M183" s="5">
        <f>IF(L183&lt;&gt;"",ROUND(PRODUCT(F183,G183,L183),2),IF(K183&lt;&gt;"",ROUND(PRODUCT(F183,G183,K183),2),ROUND(PRODUCT(F183:J183),2)))</f>
        <v>1</v>
      </c>
      <c r="N183" s="5"/>
    </row>
    <row r="184" spans="1:14" x14ac:dyDescent="0.3">
      <c r="A184" s="23" t="s">
        <v>244</v>
      </c>
      <c r="B184" s="23" t="s">
        <v>547</v>
      </c>
      <c r="C184" s="23" t="str">
        <f>VLOOKUP(B184,CPU!$B:$J,2,FALSE)</f>
        <v>PRÓPRIA</v>
      </c>
      <c r="D184" s="24" t="str">
        <f>VLOOKUP(B184,CPU!$B:$J,3,FALSE)</f>
        <v>ANÁLISE FÍSICO-QUÍMICA DA ÁGUA</v>
      </c>
      <c r="E184" s="23" t="str">
        <f>VLOOKUP(B184,CPU!$B:$J,4,FALSE)</f>
        <v>UN</v>
      </c>
      <c r="F184" s="23"/>
      <c r="G184" s="23"/>
      <c r="H184" s="23"/>
      <c r="I184" s="23"/>
      <c r="J184" s="23"/>
      <c r="K184" s="23"/>
      <c r="L184" s="23"/>
      <c r="M184" s="23"/>
      <c r="N184" s="5">
        <f>SUM($M$185:$M$185)</f>
        <v>1</v>
      </c>
    </row>
    <row r="185" spans="1:14" x14ac:dyDescent="0.3">
      <c r="A185" s="23" t="s">
        <v>659</v>
      </c>
      <c r="B185" s="70" t="s">
        <v>517</v>
      </c>
      <c r="C185" s="71"/>
      <c r="D185" s="71"/>
      <c r="E185" s="72"/>
      <c r="F185" s="5">
        <v>1</v>
      </c>
      <c r="G185" s="26"/>
      <c r="H185" s="5"/>
      <c r="I185" s="5"/>
      <c r="J185" s="5"/>
      <c r="K185" s="5" t="str">
        <f>IF(COUNTA(H185:J185)=2,ROUND(PRODUCT(H185:J185),2),"")</f>
        <v/>
      </c>
      <c r="L185" s="5" t="str">
        <f>IF(OR(AND(COUNTA(H185:J185)=3,K185=""),AND(COUNTA(H185:J185)=1,K185&lt;&gt;"")),ROUND(PRODUCT(H185:K185),2),"")</f>
        <v/>
      </c>
      <c r="M185" s="5">
        <f>IF(L185&lt;&gt;"",ROUND(PRODUCT(F185,G185,L185),2),IF(K185&lt;&gt;"",ROUND(PRODUCT(F185,G185,K185),2),ROUND(PRODUCT(F185:J185),2)))</f>
        <v>1</v>
      </c>
      <c r="N185" s="5"/>
    </row>
    <row r="186" spans="1:14" x14ac:dyDescent="0.3">
      <c r="A186" s="23" t="s">
        <v>245</v>
      </c>
      <c r="B186" s="23" t="s">
        <v>549</v>
      </c>
      <c r="C186" s="23" t="str">
        <f>VLOOKUP(B186,CPU!$B:$J,2,FALSE)</f>
        <v>PRÓPRIA</v>
      </c>
      <c r="D186" s="24" t="str">
        <f>VLOOKUP(B186,CPU!$B:$J,3,FALSE)</f>
        <v>FORNECIMENTO E INSTALAÇÃO DE REVESTIMENTO GEOMECÂNICO STANDART DN-154-S</v>
      </c>
      <c r="E186" s="23" t="str">
        <f>VLOOKUP(B186,CPU!$B:$J,4,FALSE)</f>
        <v>M</v>
      </c>
      <c r="F186" s="23"/>
      <c r="G186" s="23"/>
      <c r="H186" s="23"/>
      <c r="I186" s="23"/>
      <c r="J186" s="23"/>
      <c r="K186" s="23"/>
      <c r="L186" s="23"/>
      <c r="M186" s="23"/>
      <c r="N186" s="5">
        <f>SUM($M$187:$M$187)</f>
        <v>21</v>
      </c>
    </row>
    <row r="187" spans="1:14" x14ac:dyDescent="0.3">
      <c r="A187" s="23" t="s">
        <v>660</v>
      </c>
      <c r="B187" s="70" t="s">
        <v>532</v>
      </c>
      <c r="C187" s="71"/>
      <c r="D187" s="71"/>
      <c r="E187" s="72"/>
      <c r="F187" s="5">
        <v>21</v>
      </c>
      <c r="G187" s="26"/>
      <c r="H187" s="5"/>
      <c r="I187" s="5"/>
      <c r="J187" s="5"/>
      <c r="K187" s="5" t="str">
        <f>IF(COUNTA(H187:J187)=2,ROUND(PRODUCT(H187:J187),2),"")</f>
        <v/>
      </c>
      <c r="L187" s="5" t="str">
        <f>IF(OR(AND(COUNTA(H187:J187)=3,K187=""),AND(COUNTA(H187:J187)=1,K187&lt;&gt;"")),ROUND(PRODUCT(H187:K187),2),"")</f>
        <v/>
      </c>
      <c r="M187" s="5">
        <f>IF(L187&lt;&gt;"",ROUND(PRODUCT(F187,G187,L187),2),IF(K187&lt;&gt;"",ROUND(PRODUCT(F187,G187,K187),2),ROUND(PRODUCT(F187:J187),2)))</f>
        <v>21</v>
      </c>
      <c r="N187" s="5"/>
    </row>
    <row r="188" spans="1:14" x14ac:dyDescent="0.3">
      <c r="A188" s="23" t="s">
        <v>246</v>
      </c>
      <c r="B188" s="23" t="s">
        <v>551</v>
      </c>
      <c r="C188" s="23" t="str">
        <f>VLOOKUP(B188,CPU!$B:$J,2,FALSE)</f>
        <v>PRÓPRIA</v>
      </c>
      <c r="D188" s="24" t="str">
        <f>VLOOKUP(B188,CPU!$B:$J,3,FALSE)</f>
        <v>FORNECIMENTO E INSTALAÇÃO DE TAMPA PARA POÇO</v>
      </c>
      <c r="E188" s="23" t="str">
        <f>VLOOKUP(B188,CPU!$B:$J,4,FALSE)</f>
        <v>UN</v>
      </c>
      <c r="F188" s="23"/>
      <c r="G188" s="23"/>
      <c r="H188" s="23"/>
      <c r="I188" s="23"/>
      <c r="J188" s="23"/>
      <c r="K188" s="23"/>
      <c r="L188" s="23"/>
      <c r="M188" s="23"/>
      <c r="N188" s="5">
        <f>SUM($M$189:$M$189)</f>
        <v>1</v>
      </c>
    </row>
    <row r="189" spans="1:14" x14ac:dyDescent="0.3">
      <c r="A189" s="23" t="s">
        <v>661</v>
      </c>
      <c r="B189" s="70" t="s">
        <v>517</v>
      </c>
      <c r="C189" s="71"/>
      <c r="D189" s="71"/>
      <c r="E189" s="72"/>
      <c r="F189" s="5">
        <v>1</v>
      </c>
      <c r="G189" s="26"/>
      <c r="H189" s="5"/>
      <c r="I189" s="5"/>
      <c r="J189" s="5"/>
      <c r="K189" s="5" t="str">
        <f>IF(COUNTA(H189:J189)=2,ROUND(PRODUCT(H189:J189),2),"")</f>
        <v/>
      </c>
      <c r="L189" s="5" t="str">
        <f>IF(OR(AND(COUNTA(H189:J189)=3,K189=""),AND(COUNTA(H189:J189)=1,K189&lt;&gt;"")),ROUND(PRODUCT(H189:K189),2),"")</f>
        <v/>
      </c>
      <c r="M189" s="5">
        <f>IF(L189&lt;&gt;"",ROUND(PRODUCT(F189,G189,L189),2),IF(K189&lt;&gt;"",ROUND(PRODUCT(F189,G189,K189),2),ROUND(PRODUCT(F189:J189),2)))</f>
        <v>1</v>
      </c>
      <c r="N189" s="5"/>
    </row>
    <row r="190" spans="1:14" x14ac:dyDescent="0.3">
      <c r="A190" s="12" t="s">
        <v>44</v>
      </c>
      <c r="B190" s="51" t="s">
        <v>553</v>
      </c>
      <c r="C190" s="52"/>
      <c r="D190" s="52"/>
      <c r="E190" s="52"/>
      <c r="F190" s="52"/>
      <c r="G190" s="52"/>
      <c r="H190" s="52"/>
      <c r="I190" s="52"/>
      <c r="J190" s="52"/>
      <c r="K190" s="52"/>
      <c r="L190" s="52"/>
      <c r="M190" s="52"/>
      <c r="N190" s="53"/>
    </row>
    <row r="191" spans="1:14" x14ac:dyDescent="0.3">
      <c r="A191" s="23" t="s">
        <v>247</v>
      </c>
      <c r="B191" s="23" t="s">
        <v>554</v>
      </c>
      <c r="C191" s="23" t="str">
        <f>VLOOKUP(B191,CPU!$B:$J,2,FALSE)</f>
        <v>PRÓPRIA</v>
      </c>
      <c r="D191" s="24" t="str">
        <f>VLOOKUP(B191,CPU!$B:$J,3,FALSE)</f>
        <v>FORNECIMENTO E INSTALAÇÃO DE TUBO EDUTOR DE PVC DE 1.1/2'' COM LUVA</v>
      </c>
      <c r="E191" s="23" t="str">
        <f>VLOOKUP(B191,CPU!$B:$J,4,FALSE)</f>
        <v>M</v>
      </c>
      <c r="F191" s="23"/>
      <c r="G191" s="23"/>
      <c r="H191" s="23"/>
      <c r="I191" s="23"/>
      <c r="J191" s="23"/>
      <c r="K191" s="23"/>
      <c r="L191" s="23"/>
      <c r="M191" s="23"/>
      <c r="N191" s="5">
        <f>SUM($M$192:$M$192)</f>
        <v>110</v>
      </c>
    </row>
    <row r="192" spans="1:14" x14ac:dyDescent="0.3">
      <c r="A192" s="23" t="s">
        <v>662</v>
      </c>
      <c r="B192" s="70" t="s">
        <v>517</v>
      </c>
      <c r="C192" s="71"/>
      <c r="D192" s="71"/>
      <c r="E192" s="72"/>
      <c r="F192" s="5">
        <v>110</v>
      </c>
      <c r="G192" s="26"/>
      <c r="H192" s="5"/>
      <c r="I192" s="5"/>
      <c r="J192" s="5"/>
      <c r="K192" s="5" t="str">
        <f>IF(COUNTA(H192:J192)=2,ROUND(PRODUCT(H192:J192),2),"")</f>
        <v/>
      </c>
      <c r="L192" s="5" t="str">
        <f>IF(OR(AND(COUNTA(H192:J192)=3,K192=""),AND(COUNTA(H192:J192)=1,K192&lt;&gt;"")),ROUND(PRODUCT(H192:K192),2),"")</f>
        <v/>
      </c>
      <c r="M192" s="5">
        <f>IF(L192&lt;&gt;"",ROUND(PRODUCT(F192,G192,L192),2),IF(K192&lt;&gt;"",ROUND(PRODUCT(F192,G192,K192),2),ROUND(PRODUCT(F192:J192),2)))</f>
        <v>110</v>
      </c>
      <c r="N192" s="5"/>
    </row>
    <row r="193" spans="1:14" x14ac:dyDescent="0.3">
      <c r="A193" s="23" t="s">
        <v>248</v>
      </c>
      <c r="B193" s="23" t="s">
        <v>556</v>
      </c>
      <c r="C193" s="23" t="str">
        <f>VLOOKUP(B193,CPU!$B:$J,2,FALSE)</f>
        <v>PRÓPRIA</v>
      </c>
      <c r="D193" s="24" t="str">
        <f>VLOOKUP(B193,CPU!$B:$J,3,FALSE)</f>
        <v>BARRILETE (CURVAS E CONEXÕES)</v>
      </c>
      <c r="E193" s="23" t="str">
        <f>VLOOKUP(B193,CPU!$B:$J,4,FALSE)</f>
        <v>UN</v>
      </c>
      <c r="F193" s="23"/>
      <c r="G193" s="23"/>
      <c r="H193" s="23"/>
      <c r="I193" s="23"/>
      <c r="J193" s="23"/>
      <c r="K193" s="23"/>
      <c r="L193" s="23"/>
      <c r="M193" s="23"/>
      <c r="N193" s="5">
        <f>SUM($M$194:$M$194)</f>
        <v>1</v>
      </c>
    </row>
    <row r="194" spans="1:14" x14ac:dyDescent="0.3">
      <c r="A194" s="23" t="s">
        <v>663</v>
      </c>
      <c r="B194" s="70" t="s">
        <v>517</v>
      </c>
      <c r="C194" s="71"/>
      <c r="D194" s="71"/>
      <c r="E194" s="72"/>
      <c r="F194" s="5">
        <v>1</v>
      </c>
      <c r="G194" s="26"/>
      <c r="H194" s="5"/>
      <c r="I194" s="5"/>
      <c r="J194" s="5"/>
      <c r="K194" s="5" t="str">
        <f>IF(COUNTA(H194:J194)=2,ROUND(PRODUCT(H194:J194),2),"")</f>
        <v/>
      </c>
      <c r="L194" s="5" t="str">
        <f>IF(OR(AND(COUNTA(H194:J194)=3,K194=""),AND(COUNTA(H194:J194)=1,K194&lt;&gt;"")),ROUND(PRODUCT(H194:K194),2),"")</f>
        <v/>
      </c>
      <c r="M194" s="5">
        <f>IF(L194&lt;&gt;"",ROUND(PRODUCT(F194,G194,L194),2),IF(K194&lt;&gt;"",ROUND(PRODUCT(F194,G194,K194),2),ROUND(PRODUCT(F194:J194),2)))</f>
        <v>1</v>
      </c>
      <c r="N194" s="5"/>
    </row>
    <row r="195" spans="1:14" x14ac:dyDescent="0.3">
      <c r="A195" s="23" t="s">
        <v>249</v>
      </c>
      <c r="B195" s="23" t="s">
        <v>558</v>
      </c>
      <c r="C195" s="23" t="str">
        <f>VLOOKUP(B195,CPU!$B:$J,2,FALSE)</f>
        <v>PRÓPRIA</v>
      </c>
      <c r="D195" s="24" t="str">
        <f>VLOOKUP(B195,CPU!$B:$J,3,FALSE)</f>
        <v>AQUISIÇÃO E INSTALAÇÃO DE DOSADOR DE CLORO</v>
      </c>
      <c r="E195" s="23" t="str">
        <f>VLOOKUP(B195,CPU!$B:$J,4,FALSE)</f>
        <v>UND</v>
      </c>
      <c r="F195" s="23"/>
      <c r="G195" s="23"/>
      <c r="H195" s="23"/>
      <c r="I195" s="23"/>
      <c r="J195" s="23"/>
      <c r="K195" s="23"/>
      <c r="L195" s="23"/>
      <c r="M195" s="23"/>
      <c r="N195" s="5">
        <f>SUM($M$196:$M$196)</f>
        <v>1</v>
      </c>
    </row>
    <row r="196" spans="1:14" x14ac:dyDescent="0.3">
      <c r="A196" s="23" t="s">
        <v>664</v>
      </c>
      <c r="B196" s="70" t="s">
        <v>517</v>
      </c>
      <c r="C196" s="71"/>
      <c r="D196" s="71"/>
      <c r="E196" s="72"/>
      <c r="F196" s="5">
        <v>1</v>
      </c>
      <c r="G196" s="26"/>
      <c r="H196" s="5"/>
      <c r="I196" s="5"/>
      <c r="J196" s="5"/>
      <c r="K196" s="5" t="str">
        <f>IF(COUNTA(H196:J196)=2,ROUND(PRODUCT(H196:J196),2),"")</f>
        <v/>
      </c>
      <c r="L196" s="5" t="str">
        <f>IF(OR(AND(COUNTA(H196:J196)=3,K196=""),AND(COUNTA(H196:J196)=1,K196&lt;&gt;"")),ROUND(PRODUCT(H196:K196),2),"")</f>
        <v/>
      </c>
      <c r="M196" s="5">
        <f>IF(L196&lt;&gt;"",ROUND(PRODUCT(F196,G196,L196),2),IF(K196&lt;&gt;"",ROUND(PRODUCT(F196,G196,K196),2),ROUND(PRODUCT(F196:J196),2)))</f>
        <v>1</v>
      </c>
      <c r="N196" s="5"/>
    </row>
    <row r="197" spans="1:14" x14ac:dyDescent="0.3">
      <c r="A197" s="12" t="s">
        <v>45</v>
      </c>
      <c r="B197" s="51" t="s">
        <v>560</v>
      </c>
      <c r="C197" s="52"/>
      <c r="D197" s="52"/>
      <c r="E197" s="52"/>
      <c r="F197" s="52"/>
      <c r="G197" s="52"/>
      <c r="H197" s="52"/>
      <c r="I197" s="52"/>
      <c r="J197" s="52"/>
      <c r="K197" s="52"/>
      <c r="L197" s="52"/>
      <c r="M197" s="52"/>
      <c r="N197" s="53"/>
    </row>
    <row r="198" spans="1:14" x14ac:dyDescent="0.3">
      <c r="A198" s="15" t="s">
        <v>46</v>
      </c>
      <c r="B198" s="48" t="s">
        <v>514</v>
      </c>
      <c r="C198" s="49"/>
      <c r="D198" s="49"/>
      <c r="E198" s="49"/>
      <c r="F198" s="49"/>
      <c r="G198" s="49"/>
      <c r="H198" s="49"/>
      <c r="I198" s="49"/>
      <c r="J198" s="49"/>
      <c r="K198" s="49"/>
      <c r="L198" s="49"/>
      <c r="M198" s="49"/>
      <c r="N198" s="50"/>
    </row>
    <row r="199" spans="1:14" x14ac:dyDescent="0.3">
      <c r="A199" s="23" t="s">
        <v>250</v>
      </c>
      <c r="B199" s="23">
        <v>98524</v>
      </c>
      <c r="C199" s="23" t="str">
        <f>VLOOKUP(B199,CPU!$B:$J,2,FALSE)</f>
        <v>SINAPI</v>
      </c>
      <c r="D199" s="24" t="str">
        <f>VLOOKUP(B199,CPU!$B:$J,3,FALSE)</f>
        <v>LIMPEZA MANUAL DE VEGETAÇÃO EM TERRENO COM ENXADA. AF_03/2024</v>
      </c>
      <c r="E199" s="23" t="str">
        <f>VLOOKUP(B199,CPU!$B:$J,4,FALSE)</f>
        <v>M2</v>
      </c>
      <c r="F199" s="23"/>
      <c r="G199" s="23"/>
      <c r="H199" s="23"/>
      <c r="I199" s="23"/>
      <c r="J199" s="23"/>
      <c r="K199" s="23"/>
      <c r="L199" s="23"/>
      <c r="M199" s="23"/>
      <c r="N199" s="5">
        <f>SUM($M$200:$M$200)</f>
        <v>100</v>
      </c>
    </row>
    <row r="200" spans="1:14" x14ac:dyDescent="0.3">
      <c r="A200" s="23" t="s">
        <v>665</v>
      </c>
      <c r="B200" s="70" t="s">
        <v>517</v>
      </c>
      <c r="C200" s="71"/>
      <c r="D200" s="71"/>
      <c r="E200" s="72"/>
      <c r="F200" s="5"/>
      <c r="G200" s="26"/>
      <c r="H200" s="5"/>
      <c r="I200" s="5">
        <v>10</v>
      </c>
      <c r="J200" s="5">
        <v>10</v>
      </c>
      <c r="K200" s="5">
        <f>IF(COUNTA(H200:J200)=2,ROUND(PRODUCT(H200:J200),2),"")</f>
        <v>100</v>
      </c>
      <c r="L200" s="5" t="str">
        <f>IF(OR(AND(COUNTA(H200:J200)=3,K200=""),AND(COUNTA(H200:J200)=1,K200&lt;&gt;"")),ROUND(PRODUCT(H200:K200),2),"")</f>
        <v/>
      </c>
      <c r="M200" s="5">
        <f>IF(L200&lt;&gt;"",ROUND(PRODUCT(F200,G200,L200),2),IF(K200&lt;&gt;"",ROUND(PRODUCT(F200,G200,K200),2),ROUND(PRODUCT(F200:J200),2)))</f>
        <v>100</v>
      </c>
      <c r="N200" s="5"/>
    </row>
    <row r="201" spans="1:14" ht="28.8" x14ac:dyDescent="0.3">
      <c r="A201" s="23" t="s">
        <v>251</v>
      </c>
      <c r="B201" s="23">
        <v>99059</v>
      </c>
      <c r="C201" s="23" t="str">
        <f>VLOOKUP(B201,CPU!$B:$J,2,FALSE)</f>
        <v>SINAPI</v>
      </c>
      <c r="D201" s="24" t="str">
        <f>VLOOKUP(B201,CPU!$B:$J,3,FALSE)</f>
        <v>LOCAÇÃO CONVENCIONAL DE OBRA, UTILIZANDO GABARITO DE TÁBUAS CORRIDAS PONTALETADAS A CADA 2,00M - 2 UTILIZAÇÕES. AF_03/2024</v>
      </c>
      <c r="E201" s="23" t="str">
        <f>VLOOKUP(B201,CPU!$B:$J,4,FALSE)</f>
        <v>M</v>
      </c>
      <c r="F201" s="23"/>
      <c r="G201" s="23"/>
      <c r="H201" s="23"/>
      <c r="I201" s="23"/>
      <c r="J201" s="23"/>
      <c r="K201" s="23"/>
      <c r="L201" s="23"/>
      <c r="M201" s="23"/>
      <c r="N201" s="5">
        <f>SUM($M$202:$M$202)</f>
        <v>10.199999999999999</v>
      </c>
    </row>
    <row r="202" spans="1:14" x14ac:dyDescent="0.3">
      <c r="A202" s="23" t="s">
        <v>666</v>
      </c>
      <c r="B202" s="70" t="s">
        <v>517</v>
      </c>
      <c r="C202" s="71"/>
      <c r="D202" s="71"/>
      <c r="E202" s="72"/>
      <c r="F202" s="5"/>
      <c r="G202" s="26">
        <v>1</v>
      </c>
      <c r="H202" s="5">
        <v>10.199999999999999</v>
      </c>
      <c r="I202" s="5"/>
      <c r="J202" s="5"/>
      <c r="K202" s="5" t="str">
        <f>IF(COUNTA(H202:J202)=2,ROUND(PRODUCT(H202:J202),2),"")</f>
        <v/>
      </c>
      <c r="L202" s="5" t="str">
        <f>IF(OR(AND(COUNTA(H202:J202)=3,K202=""),AND(COUNTA(H202:J202)=1,K202&lt;&gt;"")),ROUND(PRODUCT(H202:K202),2),"")</f>
        <v/>
      </c>
      <c r="M202" s="5">
        <f>IF(L202&lt;&gt;"",ROUND(PRODUCT(F202,G202,L202),2),IF(K202&lt;&gt;"",ROUND(PRODUCT(F202,G202,K202),2),ROUND(PRODUCT(F202:J202),2)))</f>
        <v>10.199999999999999</v>
      </c>
      <c r="N202" s="5"/>
    </row>
    <row r="203" spans="1:14" x14ac:dyDescent="0.3">
      <c r="A203" s="15" t="s">
        <v>47</v>
      </c>
      <c r="B203" s="48" t="s">
        <v>563</v>
      </c>
      <c r="C203" s="49"/>
      <c r="D203" s="49"/>
      <c r="E203" s="49"/>
      <c r="F203" s="49"/>
      <c r="G203" s="49"/>
      <c r="H203" s="49"/>
      <c r="I203" s="49"/>
      <c r="J203" s="49"/>
      <c r="K203" s="49"/>
      <c r="L203" s="49"/>
      <c r="M203" s="49"/>
      <c r="N203" s="50"/>
    </row>
    <row r="204" spans="1:14" x14ac:dyDescent="0.3">
      <c r="A204" s="23" t="s">
        <v>252</v>
      </c>
      <c r="B204" s="23">
        <v>93358</v>
      </c>
      <c r="C204" s="23" t="str">
        <f>VLOOKUP(B204,CPU!$B:$J,2,FALSE)</f>
        <v>SINAPI</v>
      </c>
      <c r="D204" s="24" t="str">
        <f>VLOOKUP(B204,CPU!$B:$J,3,FALSE)</f>
        <v>ESCAVAÇÃO MANUAL DE VALA. AF_09/2024</v>
      </c>
      <c r="E204" s="23" t="str">
        <f>VLOOKUP(B204,CPU!$B:$J,4,FALSE)</f>
        <v>M3</v>
      </c>
      <c r="F204" s="23"/>
      <c r="G204" s="23"/>
      <c r="H204" s="23"/>
      <c r="I204" s="23"/>
      <c r="J204" s="23"/>
      <c r="K204" s="23"/>
      <c r="L204" s="23"/>
      <c r="M204" s="23"/>
      <c r="N204" s="5">
        <f>SUM($M$205:$M$206)</f>
        <v>1.54</v>
      </c>
    </row>
    <row r="205" spans="1:14" x14ac:dyDescent="0.3">
      <c r="A205" s="23" t="s">
        <v>667</v>
      </c>
      <c r="B205" s="70" t="s">
        <v>517</v>
      </c>
      <c r="C205" s="71"/>
      <c r="D205" s="71"/>
      <c r="E205" s="72"/>
      <c r="F205" s="5"/>
      <c r="G205" s="26">
        <v>2</v>
      </c>
      <c r="H205" s="5">
        <v>2.2999999999999998</v>
      </c>
      <c r="I205" s="5">
        <v>0.3</v>
      </c>
      <c r="J205" s="5">
        <v>0.6</v>
      </c>
      <c r="K205" s="5" t="str">
        <f>IF(COUNTA(H205:J205)=2,ROUND(PRODUCT(H205:J205),2),"")</f>
        <v/>
      </c>
      <c r="L205" s="5">
        <f>IF(OR(AND(COUNTA(H205:J205)=3,K205=""),AND(COUNTA(H205:J205)=1,K205&lt;&gt;"")),ROUND(PRODUCT(H205:K205),2),"")</f>
        <v>0.41</v>
      </c>
      <c r="M205" s="5">
        <f>IF(L205&lt;&gt;"",ROUND(PRODUCT(F205,G205,L205),2),IF(K205&lt;&gt;"",ROUND(PRODUCT(F205,G205,K205),2),ROUND(PRODUCT(F205:J205),2)))</f>
        <v>0.82</v>
      </c>
      <c r="N205" s="5"/>
    </row>
    <row r="206" spans="1:14" x14ac:dyDescent="0.3">
      <c r="A206" s="23" t="s">
        <v>668</v>
      </c>
      <c r="B206" s="70" t="s">
        <v>517</v>
      </c>
      <c r="C206" s="71"/>
      <c r="D206" s="71"/>
      <c r="E206" s="72"/>
      <c r="F206" s="5"/>
      <c r="G206" s="26">
        <v>2</v>
      </c>
      <c r="H206" s="5">
        <v>2</v>
      </c>
      <c r="I206" s="5">
        <v>0.3</v>
      </c>
      <c r="J206" s="5">
        <v>0.6</v>
      </c>
      <c r="K206" s="5" t="str">
        <f>IF(COUNTA(H206:J206)=2,ROUND(PRODUCT(H206:J206),2),"")</f>
        <v/>
      </c>
      <c r="L206" s="5">
        <f>IF(OR(AND(COUNTA(H206:J206)=3,K206=""),AND(COUNTA(H206:J206)=1,K206&lt;&gt;"")),ROUND(PRODUCT(H206:K206),2),"")</f>
        <v>0.36</v>
      </c>
      <c r="M206" s="5">
        <f>IF(L206&lt;&gt;"",ROUND(PRODUCT(F206,G206,L206),2),IF(K206&lt;&gt;"",ROUND(PRODUCT(F206,G206,K206),2),ROUND(PRODUCT(F206:J206),2)))</f>
        <v>0.72</v>
      </c>
      <c r="N206" s="5"/>
    </row>
    <row r="207" spans="1:14" x14ac:dyDescent="0.3">
      <c r="A207" s="15" t="s">
        <v>48</v>
      </c>
      <c r="B207" s="48" t="s">
        <v>566</v>
      </c>
      <c r="C207" s="49"/>
      <c r="D207" s="49"/>
      <c r="E207" s="49"/>
      <c r="F207" s="49"/>
      <c r="G207" s="49"/>
      <c r="H207" s="49"/>
      <c r="I207" s="49"/>
      <c r="J207" s="49"/>
      <c r="K207" s="49"/>
      <c r="L207" s="49"/>
      <c r="M207" s="49"/>
      <c r="N207" s="50"/>
    </row>
    <row r="208" spans="1:14" ht="28.8" x14ac:dyDescent="0.3">
      <c r="A208" s="23" t="s">
        <v>253</v>
      </c>
      <c r="B208" s="23">
        <v>96617</v>
      </c>
      <c r="C208" s="23" t="str">
        <f>VLOOKUP(B208,CPU!$B:$J,2,FALSE)</f>
        <v>SINAPI</v>
      </c>
      <c r="D208" s="24" t="str">
        <f>VLOOKUP(B208,CPU!$B:$J,3,FALSE)</f>
        <v>LASTRO DE CONCRETO MAGRO, APLICADO EM BLOCOS DE COROAMENTO OU SAPATAS, ESPESSURA DE 3 CM. AF_01/2024</v>
      </c>
      <c r="E208" s="23" t="str">
        <f>VLOOKUP(B208,CPU!$B:$J,4,FALSE)</f>
        <v>M2</v>
      </c>
      <c r="F208" s="23"/>
      <c r="G208" s="23"/>
      <c r="H208" s="23"/>
      <c r="I208" s="23"/>
      <c r="J208" s="23"/>
      <c r="K208" s="23"/>
      <c r="L208" s="23"/>
      <c r="M208" s="23"/>
      <c r="N208" s="5">
        <f>SUM($M$209:$M$210)</f>
        <v>2.58</v>
      </c>
    </row>
    <row r="209" spans="1:14" x14ac:dyDescent="0.3">
      <c r="A209" s="23" t="s">
        <v>669</v>
      </c>
      <c r="B209" s="70" t="s">
        <v>517</v>
      </c>
      <c r="C209" s="71"/>
      <c r="D209" s="71"/>
      <c r="E209" s="72"/>
      <c r="F209" s="5"/>
      <c r="G209" s="26">
        <v>2</v>
      </c>
      <c r="H209" s="5">
        <v>2.2999999999999998</v>
      </c>
      <c r="I209" s="5">
        <v>0.3</v>
      </c>
      <c r="J209" s="5"/>
      <c r="K209" s="5">
        <f>IF(COUNTA(H209:J209)=2,ROUND(PRODUCT(H209:J209),2),"")</f>
        <v>0.69</v>
      </c>
      <c r="L209" s="5" t="str">
        <f>IF(OR(AND(COUNTA(H209:J209)=3,K209=""),AND(COUNTA(H209:J209)=1,K209&lt;&gt;"")),ROUND(PRODUCT(H209:K209),2),"")</f>
        <v/>
      </c>
      <c r="M209" s="5">
        <f>IF(L209&lt;&gt;"",ROUND(PRODUCT(F209,G209,L209),2),IF(K209&lt;&gt;"",ROUND(PRODUCT(F209,G209,K209),2),ROUND(PRODUCT(F209:J209),2)))</f>
        <v>1.38</v>
      </c>
      <c r="N209" s="5"/>
    </row>
    <row r="210" spans="1:14" x14ac:dyDescent="0.3">
      <c r="A210" s="23" t="s">
        <v>670</v>
      </c>
      <c r="B210" s="70" t="s">
        <v>517</v>
      </c>
      <c r="C210" s="71"/>
      <c r="D210" s="71"/>
      <c r="E210" s="72"/>
      <c r="F210" s="5"/>
      <c r="G210" s="26">
        <v>2</v>
      </c>
      <c r="H210" s="5">
        <v>2</v>
      </c>
      <c r="I210" s="5">
        <v>0.3</v>
      </c>
      <c r="J210" s="5"/>
      <c r="K210" s="5">
        <f>IF(COUNTA(H210:J210)=2,ROUND(PRODUCT(H210:J210),2),"")</f>
        <v>0.6</v>
      </c>
      <c r="L210" s="5" t="str">
        <f>IF(OR(AND(COUNTA(H210:J210)=3,K210=""),AND(COUNTA(H210:J210)=1,K210&lt;&gt;"")),ROUND(PRODUCT(H210:K210),2),"")</f>
        <v/>
      </c>
      <c r="M210" s="5">
        <f>IF(L210&lt;&gt;"",ROUND(PRODUCT(F210,G210,L210),2),IF(K210&lt;&gt;"",ROUND(PRODUCT(F210,G210,K210),2),ROUND(PRODUCT(F210:J210),2)))</f>
        <v>1.2</v>
      </c>
      <c r="N210" s="5"/>
    </row>
    <row r="211" spans="1:14" ht="28.8" x14ac:dyDescent="0.3">
      <c r="A211" s="23" t="s">
        <v>254</v>
      </c>
      <c r="B211" s="23">
        <v>103800</v>
      </c>
      <c r="C211" s="23" t="str">
        <f>VLOOKUP(B211,CPU!$B:$J,2,FALSE)</f>
        <v>SINAPI</v>
      </c>
      <c r="D211" s="24" t="str">
        <f>VLOOKUP(B211,CPU!$B:$J,3,FALSE)</f>
        <v>PEDRA ARGAMASSADA COM CIMENTO E AREIA 1:3, 40% DE ARGAMASSA EM VOLUME - AREIA E PEDRA DE MÃO COMERCIAIS - FORNECIMENTO E ASSENTAMENTO. AF_08/2022</v>
      </c>
      <c r="E211" s="23" t="str">
        <f>VLOOKUP(B211,CPU!$B:$J,4,FALSE)</f>
        <v>M3</v>
      </c>
      <c r="F211" s="23"/>
      <c r="G211" s="23"/>
      <c r="H211" s="23"/>
      <c r="I211" s="23"/>
      <c r="J211" s="23"/>
      <c r="K211" s="23"/>
      <c r="L211" s="23"/>
      <c r="M211" s="23"/>
      <c r="N211" s="5">
        <f>SUM($M$212:$M$213)</f>
        <v>1.04</v>
      </c>
    </row>
    <row r="212" spans="1:14" x14ac:dyDescent="0.3">
      <c r="A212" s="23" t="s">
        <v>671</v>
      </c>
      <c r="B212" s="70" t="s">
        <v>517</v>
      </c>
      <c r="C212" s="71"/>
      <c r="D212" s="71"/>
      <c r="E212" s="72"/>
      <c r="F212" s="5"/>
      <c r="G212" s="26">
        <v>2</v>
      </c>
      <c r="H212" s="5">
        <v>2.2999999999999998</v>
      </c>
      <c r="I212" s="5">
        <v>0.3</v>
      </c>
      <c r="J212" s="5">
        <v>0.4</v>
      </c>
      <c r="K212" s="5" t="str">
        <f>IF(COUNTA(H212:J212)=2,ROUND(PRODUCT(H212:J212),2),"")</f>
        <v/>
      </c>
      <c r="L212" s="5">
        <f>IF(OR(AND(COUNTA(H212:J212)=3,K212=""),AND(COUNTA(H212:J212)=1,K212&lt;&gt;"")),ROUND(PRODUCT(H212:K212),2),"")</f>
        <v>0.28000000000000003</v>
      </c>
      <c r="M212" s="5">
        <f>IF(L212&lt;&gt;"",ROUND(PRODUCT(F212,G212,L212),2),IF(K212&lt;&gt;"",ROUND(PRODUCT(F212,G212,K212),2),ROUND(PRODUCT(F212:J212),2)))</f>
        <v>0.56000000000000005</v>
      </c>
      <c r="N212" s="5"/>
    </row>
    <row r="213" spans="1:14" x14ac:dyDescent="0.3">
      <c r="A213" s="23" t="s">
        <v>672</v>
      </c>
      <c r="B213" s="70" t="s">
        <v>517</v>
      </c>
      <c r="C213" s="71"/>
      <c r="D213" s="71"/>
      <c r="E213" s="72"/>
      <c r="F213" s="5"/>
      <c r="G213" s="26">
        <v>2</v>
      </c>
      <c r="H213" s="5">
        <v>2</v>
      </c>
      <c r="I213" s="5">
        <v>0.3</v>
      </c>
      <c r="J213" s="5">
        <v>0.4</v>
      </c>
      <c r="K213" s="5" t="str">
        <f>IF(COUNTA(H213:J213)=2,ROUND(PRODUCT(H213:J213),2),"")</f>
        <v/>
      </c>
      <c r="L213" s="5">
        <f>IF(OR(AND(COUNTA(H213:J213)=3,K213=""),AND(COUNTA(H213:J213)=1,K213&lt;&gt;"")),ROUND(PRODUCT(H213:K213),2),"")</f>
        <v>0.24</v>
      </c>
      <c r="M213" s="5">
        <f>IF(L213&lt;&gt;"",ROUND(PRODUCT(F213,G213,L213),2),IF(K213&lt;&gt;"",ROUND(PRODUCT(F213,G213,K213),2),ROUND(PRODUCT(F213:J213),2)))</f>
        <v>0.48</v>
      </c>
      <c r="N213" s="5"/>
    </row>
    <row r="214" spans="1:14" ht="43.2" x14ac:dyDescent="0.3">
      <c r="A214" s="23" t="s">
        <v>255</v>
      </c>
      <c r="B214" s="23">
        <v>103335</v>
      </c>
      <c r="C214" s="23" t="str">
        <f>VLOOKUP(B214,CPU!$B:$J,2,FALSE)</f>
        <v>SINAPI</v>
      </c>
      <c r="D214" s="24" t="str">
        <f>VLOOKUP(B214,CPU!$B:$J,3,FALSE)</f>
        <v>ALVENARIA DE VEDAÇÃO DE BLOCOS CERÂMICOS FURADOS NA HORIZONTAL DE 14X9X19 CM (ESPESSURA 14 CM, BLOCO DEITADO) E ARGAMASSA DE ASSENTAMENTO COM PREPARO MANUAL. AF_12/2021</v>
      </c>
      <c r="E214" s="23" t="str">
        <f>VLOOKUP(B214,CPU!$B:$J,4,FALSE)</f>
        <v>M2</v>
      </c>
      <c r="F214" s="23"/>
      <c r="G214" s="23"/>
      <c r="H214" s="23"/>
      <c r="I214" s="23"/>
      <c r="J214" s="23"/>
      <c r="K214" s="23"/>
      <c r="L214" s="23"/>
      <c r="M214" s="23"/>
      <c r="N214" s="5">
        <f>SUM($M$215:$M$216)</f>
        <v>1.7200000000000002</v>
      </c>
    </row>
    <row r="215" spans="1:14" x14ac:dyDescent="0.3">
      <c r="A215" s="23" t="s">
        <v>673</v>
      </c>
      <c r="B215" s="70" t="s">
        <v>517</v>
      </c>
      <c r="C215" s="71"/>
      <c r="D215" s="71"/>
      <c r="E215" s="72"/>
      <c r="F215" s="5"/>
      <c r="G215" s="26">
        <v>2</v>
      </c>
      <c r="H215" s="5">
        <v>2.2999999999999998</v>
      </c>
      <c r="I215" s="5"/>
      <c r="J215" s="5">
        <v>0.2</v>
      </c>
      <c r="K215" s="5">
        <f>IF(COUNTA(H215:J215)=2,ROUND(PRODUCT(H215:J215),2),"")</f>
        <v>0.46</v>
      </c>
      <c r="L215" s="5" t="str">
        <f>IF(OR(AND(COUNTA(H215:J215)=3,K215=""),AND(COUNTA(H215:J215)=1,K215&lt;&gt;"")),ROUND(PRODUCT(H215:K215),2),"")</f>
        <v/>
      </c>
      <c r="M215" s="5">
        <f>IF(L215&lt;&gt;"",ROUND(PRODUCT(F215,G215,L215),2),IF(K215&lt;&gt;"",ROUND(PRODUCT(F215,G215,K215),2),ROUND(PRODUCT(F215:J215),2)))</f>
        <v>0.92</v>
      </c>
      <c r="N215" s="5"/>
    </row>
    <row r="216" spans="1:14" x14ac:dyDescent="0.3">
      <c r="A216" s="23" t="s">
        <v>674</v>
      </c>
      <c r="B216" s="70" t="s">
        <v>517</v>
      </c>
      <c r="C216" s="71"/>
      <c r="D216" s="71"/>
      <c r="E216" s="72"/>
      <c r="F216" s="5"/>
      <c r="G216" s="26">
        <v>2</v>
      </c>
      <c r="H216" s="5">
        <v>2</v>
      </c>
      <c r="I216" s="5"/>
      <c r="J216" s="5">
        <v>0.2</v>
      </c>
      <c r="K216" s="5">
        <f>IF(COUNTA(H216:J216)=2,ROUND(PRODUCT(H216:J216),2),"")</f>
        <v>0.4</v>
      </c>
      <c r="L216" s="5" t="str">
        <f>IF(OR(AND(COUNTA(H216:J216)=3,K216=""),AND(COUNTA(H216:J216)=1,K216&lt;&gt;"")),ROUND(PRODUCT(H216:K216),2),"")</f>
        <v/>
      </c>
      <c r="M216" s="5">
        <f>IF(L216&lt;&gt;"",ROUND(PRODUCT(F216,G216,L216),2),IF(K216&lt;&gt;"",ROUND(PRODUCT(F216,G216,K216),2),ROUND(PRODUCT(F216:J216),2)))</f>
        <v>0.8</v>
      </c>
      <c r="N216" s="5"/>
    </row>
    <row r="217" spans="1:14" x14ac:dyDescent="0.3">
      <c r="A217" s="15" t="s">
        <v>49</v>
      </c>
      <c r="B217" s="48" t="s">
        <v>573</v>
      </c>
      <c r="C217" s="49"/>
      <c r="D217" s="49"/>
      <c r="E217" s="49"/>
      <c r="F217" s="49"/>
      <c r="G217" s="49"/>
      <c r="H217" s="49"/>
      <c r="I217" s="49"/>
      <c r="J217" s="49"/>
      <c r="K217" s="49"/>
      <c r="L217" s="49"/>
      <c r="M217" s="49"/>
      <c r="N217" s="50"/>
    </row>
    <row r="218" spans="1:14" x14ac:dyDescent="0.3">
      <c r="A218" s="23" t="s">
        <v>256</v>
      </c>
      <c r="B218" s="23" t="s">
        <v>574</v>
      </c>
      <c r="C218" s="23" t="str">
        <f>VLOOKUP(B218,CPU!$B:$J,2,FALSE)</f>
        <v>PRÓPRIA</v>
      </c>
      <c r="D218" s="24" t="str">
        <f>VLOOKUP(B218,CPU!$B:$J,3,FALSE)</f>
        <v>CINTA DE AMARRAÇÃO DE ALVENARIA MOLDADA IN LOCO EM CONCRETO</v>
      </c>
      <c r="E218" s="23" t="str">
        <f>VLOOKUP(B218,CPU!$B:$J,4,FALSE)</f>
        <v>M</v>
      </c>
      <c r="F218" s="23"/>
      <c r="G218" s="23"/>
      <c r="H218" s="23"/>
      <c r="I218" s="23"/>
      <c r="J218" s="23"/>
      <c r="K218" s="23"/>
      <c r="L218" s="23"/>
      <c r="M218" s="23"/>
      <c r="N218" s="5">
        <f>SUM($M$219:$M$220)</f>
        <v>8.6</v>
      </c>
    </row>
    <row r="219" spans="1:14" x14ac:dyDescent="0.3">
      <c r="A219" s="23" t="s">
        <v>675</v>
      </c>
      <c r="B219" s="70" t="s">
        <v>517</v>
      </c>
      <c r="C219" s="71"/>
      <c r="D219" s="71"/>
      <c r="E219" s="72"/>
      <c r="F219" s="5"/>
      <c r="G219" s="26">
        <v>2</v>
      </c>
      <c r="H219" s="5">
        <v>2.2999999999999998</v>
      </c>
      <c r="I219" s="5"/>
      <c r="J219" s="5"/>
      <c r="K219" s="5" t="str">
        <f>IF(COUNTA(H219:J219)=2,ROUND(PRODUCT(H219:J219),2),"")</f>
        <v/>
      </c>
      <c r="L219" s="5" t="str">
        <f>IF(OR(AND(COUNTA(H219:J219)=3,K219=""),AND(COUNTA(H219:J219)=1,K219&lt;&gt;"")),ROUND(PRODUCT(H219:K219),2),"")</f>
        <v/>
      </c>
      <c r="M219" s="5">
        <f>IF(L219&lt;&gt;"",ROUND(PRODUCT(F219,G219,L219),2),IF(K219&lt;&gt;"",ROUND(PRODUCT(F219,G219,K219),2),ROUND(PRODUCT(F219:J219),2)))</f>
        <v>4.5999999999999996</v>
      </c>
      <c r="N219" s="5"/>
    </row>
    <row r="220" spans="1:14" x14ac:dyDescent="0.3">
      <c r="A220" s="23" t="s">
        <v>676</v>
      </c>
      <c r="B220" s="70" t="s">
        <v>517</v>
      </c>
      <c r="C220" s="71"/>
      <c r="D220" s="71"/>
      <c r="E220" s="72"/>
      <c r="F220" s="5"/>
      <c r="G220" s="26">
        <v>2</v>
      </c>
      <c r="H220" s="5">
        <v>2</v>
      </c>
      <c r="I220" s="5"/>
      <c r="J220" s="5"/>
      <c r="K220" s="5" t="str">
        <f>IF(COUNTA(H220:J220)=2,ROUND(PRODUCT(H220:J220),2),"")</f>
        <v/>
      </c>
      <c r="L220" s="5" t="str">
        <f>IF(OR(AND(COUNTA(H220:J220)=3,K220=""),AND(COUNTA(H220:J220)=1,K220&lt;&gt;"")),ROUND(PRODUCT(H220:K220),2),"")</f>
        <v/>
      </c>
      <c r="M220" s="5">
        <f>IF(L220&lt;&gt;"",ROUND(PRODUCT(F220,G220,L220),2),IF(K220&lt;&gt;"",ROUND(PRODUCT(F220,G220,K220),2),ROUND(PRODUCT(F220:J220),2)))</f>
        <v>4</v>
      </c>
      <c r="N220" s="5"/>
    </row>
    <row r="221" spans="1:14" ht="28.8" x14ac:dyDescent="0.3">
      <c r="A221" s="23" t="s">
        <v>257</v>
      </c>
      <c r="B221" s="23" t="s">
        <v>577</v>
      </c>
      <c r="C221" s="23" t="str">
        <f>VLOOKUP(B221,CPU!$B:$J,2,FALSE)</f>
        <v>PRÓPRIA</v>
      </c>
      <c r="D221" s="24" t="str">
        <f>VLOOKUP(B221,CPU!$B:$J,3,FALSE)</f>
        <v>(COMPOSIÇÃO REPRESENTATIVA) EXECUÇÃO DE ESTRUTURAS DE CONCRETO ARMADO, PARA EDIFICAÇÃO INSTITUCIONAL TÉRREA, FCK = 25 MPA</v>
      </c>
      <c r="E221" s="23" t="str">
        <f>VLOOKUP(B221,CPU!$B:$J,4,FALSE)</f>
        <v>M³</v>
      </c>
      <c r="F221" s="23"/>
      <c r="G221" s="23"/>
      <c r="H221" s="23"/>
      <c r="I221" s="23"/>
      <c r="J221" s="23"/>
      <c r="K221" s="23"/>
      <c r="L221" s="23"/>
      <c r="M221" s="23"/>
      <c r="N221" s="5">
        <f>SUM($M$222:$M$223)</f>
        <v>0.30000000000000004</v>
      </c>
    </row>
    <row r="222" spans="1:14" x14ac:dyDescent="0.3">
      <c r="A222" s="23" t="s">
        <v>677</v>
      </c>
      <c r="B222" s="70" t="s">
        <v>579</v>
      </c>
      <c r="C222" s="71"/>
      <c r="D222" s="71"/>
      <c r="E222" s="72"/>
      <c r="F222" s="5"/>
      <c r="G222" s="26">
        <v>2</v>
      </c>
      <c r="H222" s="5">
        <v>3.53</v>
      </c>
      <c r="I222" s="5">
        <v>0.15</v>
      </c>
      <c r="J222" s="5">
        <v>0.15</v>
      </c>
      <c r="K222" s="5" t="str">
        <f>IF(COUNTA(H222:J222)=2,ROUND(PRODUCT(H222:J222),2),"")</f>
        <v/>
      </c>
      <c r="L222" s="5">
        <f>IF(OR(AND(COUNTA(H222:J222)=3,K222=""),AND(COUNTA(H222:J222)=1,K222&lt;&gt;"")),ROUND(PRODUCT(H222:K222),2),"")</f>
        <v>0.08</v>
      </c>
      <c r="M222" s="5">
        <f>IF(L222&lt;&gt;"",ROUND(PRODUCT(F222,G222,L222),2),IF(K222&lt;&gt;"",ROUND(PRODUCT(F222,G222,K222),2),ROUND(PRODUCT(F222:J222),2)))</f>
        <v>0.16</v>
      </c>
      <c r="N222" s="5"/>
    </row>
    <row r="223" spans="1:14" x14ac:dyDescent="0.3">
      <c r="A223" s="23" t="s">
        <v>678</v>
      </c>
      <c r="B223" s="70" t="s">
        <v>579</v>
      </c>
      <c r="C223" s="71"/>
      <c r="D223" s="71"/>
      <c r="E223" s="72"/>
      <c r="F223" s="5"/>
      <c r="G223" s="26">
        <v>2</v>
      </c>
      <c r="H223" s="5">
        <v>2.95</v>
      </c>
      <c r="I223" s="5">
        <v>0.15</v>
      </c>
      <c r="J223" s="5">
        <v>0.15</v>
      </c>
      <c r="K223" s="5" t="str">
        <f>IF(COUNTA(H223:J223)=2,ROUND(PRODUCT(H223:J223),2),"")</f>
        <v/>
      </c>
      <c r="L223" s="5">
        <f>IF(OR(AND(COUNTA(H223:J223)=3,K223=""),AND(COUNTA(H223:J223)=1,K223&lt;&gt;"")),ROUND(PRODUCT(H223:K223),2),"")</f>
        <v>7.0000000000000007E-2</v>
      </c>
      <c r="M223" s="5">
        <f>IF(L223&lt;&gt;"",ROUND(PRODUCT(F223,G223,L223),2),IF(K223&lt;&gt;"",ROUND(PRODUCT(F223,G223,K223),2),ROUND(PRODUCT(F223:J223),2)))</f>
        <v>0.14000000000000001</v>
      </c>
      <c r="N223" s="5"/>
    </row>
    <row r="224" spans="1:14" x14ac:dyDescent="0.3">
      <c r="A224" s="15" t="s">
        <v>50</v>
      </c>
      <c r="B224" s="48" t="s">
        <v>581</v>
      </c>
      <c r="C224" s="49"/>
      <c r="D224" s="49"/>
      <c r="E224" s="49"/>
      <c r="F224" s="49"/>
      <c r="G224" s="49"/>
      <c r="H224" s="49"/>
      <c r="I224" s="49"/>
      <c r="J224" s="49"/>
      <c r="K224" s="49"/>
      <c r="L224" s="49"/>
      <c r="M224" s="49"/>
      <c r="N224" s="50"/>
    </row>
    <row r="225" spans="1:14" ht="43.2" x14ac:dyDescent="0.3">
      <c r="A225" s="23" t="s">
        <v>258</v>
      </c>
      <c r="B225" s="23">
        <v>103329</v>
      </c>
      <c r="C225" s="23" t="str">
        <f>VLOOKUP(B225,CPU!$B:$J,2,FALSE)</f>
        <v>SINAPI</v>
      </c>
      <c r="D225" s="24" t="str">
        <f>VLOOKUP(B225,CPU!$B:$J,3,FALSE)</f>
        <v>ALVENARIA DE VEDAÇÃO DE BLOCOS CERÂMICOS FURADOS NA HORIZONTAL DE 9X19X19 CM (ESPESSURA 9 CM) E ARGAMASSA DE ASSENTAMENTO COM PREPARO MANUAL. AF_12/2021</v>
      </c>
      <c r="E225" s="23" t="str">
        <f>VLOOKUP(B225,CPU!$B:$J,4,FALSE)</f>
        <v>M2</v>
      </c>
      <c r="F225" s="23"/>
      <c r="G225" s="23"/>
      <c r="H225" s="23"/>
      <c r="I225" s="23"/>
      <c r="J225" s="23"/>
      <c r="K225" s="23"/>
      <c r="L225" s="23"/>
      <c r="M225" s="23"/>
      <c r="N225" s="5">
        <f>SUM($M$226:$M$230)</f>
        <v>19.310000000000002</v>
      </c>
    </row>
    <row r="226" spans="1:14" x14ac:dyDescent="0.3">
      <c r="A226" s="23" t="s">
        <v>679</v>
      </c>
      <c r="B226" s="70" t="s">
        <v>517</v>
      </c>
      <c r="C226" s="71"/>
      <c r="D226" s="71"/>
      <c r="E226" s="72"/>
      <c r="F226" s="5"/>
      <c r="G226" s="26">
        <v>1</v>
      </c>
      <c r="H226" s="5">
        <v>2.2999999999999998</v>
      </c>
      <c r="I226" s="5">
        <v>2.2999999999999998</v>
      </c>
      <c r="J226" s="5"/>
      <c r="K226" s="5">
        <f>IF(COUNTA(H226:J226)=2,ROUND(PRODUCT(H226:J226),2),"")</f>
        <v>5.29</v>
      </c>
      <c r="L226" s="5" t="str">
        <f>IF(OR(AND(COUNTA(H226:J226)=3,K226=""),AND(COUNTA(H226:J226)=1,K226&lt;&gt;"")),ROUND(PRODUCT(H226:K226),2),"")</f>
        <v/>
      </c>
      <c r="M226" s="5">
        <f>IF(L226&lt;&gt;"",ROUND(PRODUCT(F226,G226,L226),2),IF(K226&lt;&gt;"",ROUND(PRODUCT(F226,G226,K226),2),ROUND(PRODUCT(F226:J226),2)))</f>
        <v>5.29</v>
      </c>
      <c r="N226" s="5"/>
    </row>
    <row r="227" spans="1:14" x14ac:dyDescent="0.3">
      <c r="A227" s="23" t="s">
        <v>680</v>
      </c>
      <c r="B227" s="70" t="s">
        <v>517</v>
      </c>
      <c r="C227" s="71"/>
      <c r="D227" s="71"/>
      <c r="E227" s="72"/>
      <c r="F227" s="5"/>
      <c r="G227" s="26">
        <v>1</v>
      </c>
      <c r="H227" s="5">
        <v>2.2999999999999998</v>
      </c>
      <c r="I227" s="5">
        <v>2.88</v>
      </c>
      <c r="J227" s="5"/>
      <c r="K227" s="5">
        <f>IF(COUNTA(H227:J227)=2,ROUND(PRODUCT(H227:J227),2),"")</f>
        <v>6.62</v>
      </c>
      <c r="L227" s="5" t="str">
        <f>IF(OR(AND(COUNTA(H227:J227)=3,K227=""),AND(COUNTA(H227:J227)=1,K227&lt;&gt;"")),ROUND(PRODUCT(H227:K227),2),"")</f>
        <v/>
      </c>
      <c r="M227" s="5">
        <f>IF(L227&lt;&gt;"",ROUND(PRODUCT(F227,G227,L227),2),IF(K227&lt;&gt;"",ROUND(PRODUCT(F227,G227,K227),2),ROUND(PRODUCT(F227:J227),2)))</f>
        <v>6.62</v>
      </c>
      <c r="N227" s="5"/>
    </row>
    <row r="228" spans="1:14" x14ac:dyDescent="0.3">
      <c r="A228" s="23" t="s">
        <v>681</v>
      </c>
      <c r="B228" s="70" t="s">
        <v>517</v>
      </c>
      <c r="C228" s="71"/>
      <c r="D228" s="71"/>
      <c r="E228" s="72"/>
      <c r="F228" s="5"/>
      <c r="G228" s="26">
        <v>2</v>
      </c>
      <c r="H228" s="5">
        <v>2.2999999999999998</v>
      </c>
      <c r="I228" s="5">
        <v>2.2999999999999998</v>
      </c>
      <c r="J228" s="5"/>
      <c r="K228" s="5">
        <f>IF(COUNTA(H228:J228)=2,ROUND(PRODUCT(H228:J228),2),"")</f>
        <v>5.29</v>
      </c>
      <c r="L228" s="5" t="str">
        <f>IF(OR(AND(COUNTA(H228:J228)=3,K228=""),AND(COUNTA(H228:J228)=1,K228&lt;&gt;"")),ROUND(PRODUCT(H228:K228),2),"")</f>
        <v/>
      </c>
      <c r="M228" s="5">
        <f>IF(L228&lt;&gt;"",ROUND(PRODUCT(F228,G228,L228),2),IF(K228&lt;&gt;"",ROUND(PRODUCT(F228,G228,K228),2),ROUND(PRODUCT(F228:J228),2)))</f>
        <v>10.58</v>
      </c>
      <c r="N228" s="5"/>
    </row>
    <row r="229" spans="1:14" x14ac:dyDescent="0.3">
      <c r="A229" s="23" t="s">
        <v>682</v>
      </c>
      <c r="B229" s="70" t="s">
        <v>517</v>
      </c>
      <c r="C229" s="71"/>
      <c r="D229" s="71"/>
      <c r="E229" s="72"/>
      <c r="F229" s="5"/>
      <c r="G229" s="26">
        <v>-3</v>
      </c>
      <c r="H229" s="5">
        <v>1</v>
      </c>
      <c r="I229" s="5">
        <v>0.5</v>
      </c>
      <c r="J229" s="5"/>
      <c r="K229" s="5">
        <f>IF(COUNTA(H229:J229)=2,ROUND(PRODUCT(H229:J229),2),"")</f>
        <v>0.5</v>
      </c>
      <c r="L229" s="5" t="str">
        <f>IF(OR(AND(COUNTA(H229:J229)=3,K229=""),AND(COUNTA(H229:J229)=1,K229&lt;&gt;"")),ROUND(PRODUCT(H229:K229),2),"")</f>
        <v/>
      </c>
      <c r="M229" s="5">
        <f>IF(L229&lt;&gt;"",ROUND(PRODUCT(F229,G229,L229),2),IF(K229&lt;&gt;"",ROUND(PRODUCT(F229,G229,K229),2),ROUND(PRODUCT(F229:J229),2)))</f>
        <v>-1.5</v>
      </c>
      <c r="N229" s="5"/>
    </row>
    <row r="230" spans="1:14" x14ac:dyDescent="0.3">
      <c r="A230" s="23" t="s">
        <v>683</v>
      </c>
      <c r="B230" s="70" t="s">
        <v>517</v>
      </c>
      <c r="C230" s="71"/>
      <c r="D230" s="71"/>
      <c r="E230" s="72"/>
      <c r="F230" s="5"/>
      <c r="G230" s="26">
        <v>-1</v>
      </c>
      <c r="H230" s="5">
        <v>0.8</v>
      </c>
      <c r="I230" s="5">
        <v>2.1</v>
      </c>
      <c r="J230" s="5"/>
      <c r="K230" s="5">
        <f>IF(COUNTA(H230:J230)=2,ROUND(PRODUCT(H230:J230),2),"")</f>
        <v>1.68</v>
      </c>
      <c r="L230" s="5" t="str">
        <f>IF(OR(AND(COUNTA(H230:J230)=3,K230=""),AND(COUNTA(H230:J230)=1,K230&lt;&gt;"")),ROUND(PRODUCT(H230:K230),2),"")</f>
        <v/>
      </c>
      <c r="M230" s="5">
        <f>IF(L230&lt;&gt;"",ROUND(PRODUCT(F230,G230,L230),2),IF(K230&lt;&gt;"",ROUND(PRODUCT(F230,G230,K230),2),ROUND(PRODUCT(F230:J230),2)))</f>
        <v>-1.68</v>
      </c>
      <c r="N230" s="5"/>
    </row>
    <row r="231" spans="1:14" ht="43.2" x14ac:dyDescent="0.3">
      <c r="A231" s="23" t="s">
        <v>259</v>
      </c>
      <c r="B231" s="23">
        <v>101161</v>
      </c>
      <c r="C231" s="23" t="str">
        <f>VLOOKUP(B231,CPU!$B:$J,2,FALSE)</f>
        <v>SINAPI</v>
      </c>
      <c r="D231" s="24" t="str">
        <f>VLOOKUP(B231,CPU!$B:$J,3,FALSE)</f>
        <v>ALVENARIA DE VEDAÇÃO COM ELEMENTO VAZADO DE CONCRETO (COBOGÓ) DE 7X50X50CM E ARGAMASSA DE ASSENTAMENTO COM PREPARO EM BETONEIRA. AF_05/2020</v>
      </c>
      <c r="E231" s="23" t="str">
        <f>VLOOKUP(B231,CPU!$B:$J,4,FALSE)</f>
        <v>M2</v>
      </c>
      <c r="F231" s="23"/>
      <c r="G231" s="23"/>
      <c r="H231" s="23"/>
      <c r="I231" s="23"/>
      <c r="J231" s="23"/>
      <c r="K231" s="23"/>
      <c r="L231" s="23"/>
      <c r="M231" s="23"/>
      <c r="N231" s="5">
        <f>SUM($M$232:$M$232)</f>
        <v>1.5</v>
      </c>
    </row>
    <row r="232" spans="1:14" x14ac:dyDescent="0.3">
      <c r="A232" s="23" t="s">
        <v>684</v>
      </c>
      <c r="B232" s="70" t="s">
        <v>517</v>
      </c>
      <c r="C232" s="71"/>
      <c r="D232" s="71"/>
      <c r="E232" s="72"/>
      <c r="F232" s="5"/>
      <c r="G232" s="26">
        <v>3</v>
      </c>
      <c r="H232" s="5">
        <v>1</v>
      </c>
      <c r="I232" s="5">
        <v>0.5</v>
      </c>
      <c r="J232" s="5"/>
      <c r="K232" s="5">
        <f>IF(COUNTA(H232:J232)=2,ROUND(PRODUCT(H232:J232),2),"")</f>
        <v>0.5</v>
      </c>
      <c r="L232" s="5" t="str">
        <f>IF(OR(AND(COUNTA(H232:J232)=3,K232=""),AND(COUNTA(H232:J232)=1,K232&lt;&gt;"")),ROUND(PRODUCT(H232:K232),2),"")</f>
        <v/>
      </c>
      <c r="M232" s="5">
        <f>IF(L232&lt;&gt;"",ROUND(PRODUCT(F232,G232,L232),2),IF(K232&lt;&gt;"",ROUND(PRODUCT(F232,G232,K232),2),ROUND(PRODUCT(F232:J232),2)))</f>
        <v>1.5</v>
      </c>
      <c r="N232" s="5"/>
    </row>
    <row r="233" spans="1:14" x14ac:dyDescent="0.3">
      <c r="A233" s="15" t="s">
        <v>51</v>
      </c>
      <c r="B233" s="48" t="s">
        <v>685</v>
      </c>
      <c r="C233" s="49"/>
      <c r="D233" s="49"/>
      <c r="E233" s="49"/>
      <c r="F233" s="49"/>
      <c r="G233" s="49"/>
      <c r="H233" s="49"/>
      <c r="I233" s="49"/>
      <c r="J233" s="49"/>
      <c r="K233" s="49"/>
      <c r="L233" s="49"/>
      <c r="M233" s="49"/>
      <c r="N233" s="50"/>
    </row>
    <row r="234" spans="1:14" ht="28.8" x14ac:dyDescent="0.3">
      <c r="A234" s="23" t="s">
        <v>260</v>
      </c>
      <c r="B234" s="23" t="s">
        <v>588</v>
      </c>
      <c r="C234" s="23" t="str">
        <f>VLOOKUP(B234,CPU!$B:$J,2,FALSE)</f>
        <v>PRÓPRIA</v>
      </c>
      <c r="D234" s="24" t="str">
        <f>VLOOKUP(B234,CPU!$B:$J,3,FALSE)</f>
        <v>TELHAMENTO COM TELHA CERÂMICA CAPA-CANAL, TIPO COLONIAL, COM ATÉ 2 ÁGUAS, INCLUSO TRANSPORTE VERTICAL</v>
      </c>
      <c r="E234" s="23" t="str">
        <f>VLOOKUP(B234,CPU!$B:$J,4,FALSE)</f>
        <v>M²</v>
      </c>
      <c r="F234" s="23"/>
      <c r="G234" s="23"/>
      <c r="H234" s="23"/>
      <c r="I234" s="23"/>
      <c r="J234" s="23"/>
      <c r="K234" s="23"/>
      <c r="L234" s="23"/>
      <c r="M234" s="23"/>
      <c r="N234" s="5">
        <f>SUM($M$235:$M$235)</f>
        <v>10.23</v>
      </c>
    </row>
    <row r="235" spans="1:14" x14ac:dyDescent="0.3">
      <c r="A235" s="23" t="s">
        <v>686</v>
      </c>
      <c r="B235" s="70" t="s">
        <v>517</v>
      </c>
      <c r="C235" s="71"/>
      <c r="D235" s="71"/>
      <c r="E235" s="72"/>
      <c r="F235" s="5"/>
      <c r="G235" s="26"/>
      <c r="H235" s="5">
        <v>3.1</v>
      </c>
      <c r="I235" s="5">
        <v>3.3</v>
      </c>
      <c r="J235" s="5"/>
      <c r="K235" s="5">
        <f>IF(COUNTA(H235:J235)=2,ROUND(PRODUCT(H235:J235),2),"")</f>
        <v>10.23</v>
      </c>
      <c r="L235" s="5" t="str">
        <f>IF(OR(AND(COUNTA(H235:J235)=3,K235=""),AND(COUNTA(H235:J235)=1,K235&lt;&gt;"")),ROUND(PRODUCT(H235:K235),2),"")</f>
        <v/>
      </c>
      <c r="M235" s="5">
        <f>IF(L235&lt;&gt;"",ROUND(PRODUCT(F235,G235,L235),2),IF(K235&lt;&gt;"",ROUND(PRODUCT(F235,G235,K235),2),ROUND(PRODUCT(F235:J235),2)))</f>
        <v>10.23</v>
      </c>
      <c r="N235" s="5"/>
    </row>
    <row r="236" spans="1:14" ht="28.8" x14ac:dyDescent="0.3">
      <c r="A236" s="23" t="s">
        <v>261</v>
      </c>
      <c r="B236" s="23" t="s">
        <v>590</v>
      </c>
      <c r="C236" s="23" t="str">
        <f>VLOOKUP(B236,CPU!$B:$J,2,FALSE)</f>
        <v>PRÓPRIA</v>
      </c>
      <c r="D236" s="24" t="str">
        <f>VLOOKUP(B236,CPU!$B:$J,3,FALSE)</f>
        <v>TRAMA DE MADEIRA COMPOSTA POR RIPAS, CAIBROS E TERÇAS PARA TELHADOS DE ATÉ 2 ÁGUAS PARA TELHA CERÂMICA CAPA-CANAL, INCLUSO TRANSPORTE VERTICAL</v>
      </c>
      <c r="E236" s="23" t="str">
        <f>VLOOKUP(B236,CPU!$B:$J,4,FALSE)</f>
        <v>M²</v>
      </c>
      <c r="F236" s="23"/>
      <c r="G236" s="23"/>
      <c r="H236" s="23"/>
      <c r="I236" s="23"/>
      <c r="J236" s="23"/>
      <c r="K236" s="23"/>
      <c r="L236" s="23"/>
      <c r="M236" s="23"/>
      <c r="N236" s="5">
        <f>SUM($M$237:$M$237)</f>
        <v>10.23</v>
      </c>
    </row>
    <row r="237" spans="1:14" x14ac:dyDescent="0.3">
      <c r="A237" s="23" t="s">
        <v>687</v>
      </c>
      <c r="B237" s="70" t="s">
        <v>517</v>
      </c>
      <c r="C237" s="71"/>
      <c r="D237" s="71"/>
      <c r="E237" s="72"/>
      <c r="F237" s="5"/>
      <c r="G237" s="26"/>
      <c r="H237" s="5">
        <v>3.1</v>
      </c>
      <c r="I237" s="5">
        <v>3.3</v>
      </c>
      <c r="J237" s="5"/>
      <c r="K237" s="5">
        <f>IF(COUNTA(H237:J237)=2,ROUND(PRODUCT(H237:J237),2),"")</f>
        <v>10.23</v>
      </c>
      <c r="L237" s="5" t="str">
        <f>IF(OR(AND(COUNTA(H237:J237)=3,K237=""),AND(COUNTA(H237:J237)=1,K237&lt;&gt;"")),ROUND(PRODUCT(H237:K237),2),"")</f>
        <v/>
      </c>
      <c r="M237" s="5">
        <f>IF(L237&lt;&gt;"",ROUND(PRODUCT(F237,G237,L237),2),IF(K237&lt;&gt;"",ROUND(PRODUCT(F237,G237,K237),2),ROUND(PRODUCT(F237:J237),2)))</f>
        <v>10.23</v>
      </c>
      <c r="N237" s="5"/>
    </row>
    <row r="238" spans="1:14" x14ac:dyDescent="0.3">
      <c r="A238" s="15" t="s">
        <v>52</v>
      </c>
      <c r="B238" s="48" t="s">
        <v>592</v>
      </c>
      <c r="C238" s="49"/>
      <c r="D238" s="49"/>
      <c r="E238" s="49"/>
      <c r="F238" s="49"/>
      <c r="G238" s="49"/>
      <c r="H238" s="49"/>
      <c r="I238" s="49"/>
      <c r="J238" s="49"/>
      <c r="K238" s="49"/>
      <c r="L238" s="49"/>
      <c r="M238" s="49"/>
      <c r="N238" s="50"/>
    </row>
    <row r="239" spans="1:14" ht="28.8" x14ac:dyDescent="0.3">
      <c r="A239" s="23" t="s">
        <v>262</v>
      </c>
      <c r="B239" s="23">
        <v>96617</v>
      </c>
      <c r="C239" s="23" t="str">
        <f>VLOOKUP(B239,CPU!$B:$J,2,FALSE)</f>
        <v>SINAPI</v>
      </c>
      <c r="D239" s="24" t="str">
        <f>VLOOKUP(B239,CPU!$B:$J,3,FALSE)</f>
        <v>LASTRO DE CONCRETO MAGRO, APLICADO EM BLOCOS DE COROAMENTO OU SAPATAS, ESPESSURA DE 3 CM. AF_01/2024</v>
      </c>
      <c r="E239" s="23" t="str">
        <f>VLOOKUP(B239,CPU!$B:$J,4,FALSE)</f>
        <v>M2</v>
      </c>
      <c r="F239" s="23"/>
      <c r="G239" s="23"/>
      <c r="H239" s="23"/>
      <c r="I239" s="23"/>
      <c r="J239" s="23"/>
      <c r="K239" s="23"/>
      <c r="L239" s="23"/>
      <c r="M239" s="23"/>
      <c r="N239" s="5">
        <f>SUM($M$240:$M$240)</f>
        <v>4</v>
      </c>
    </row>
    <row r="240" spans="1:14" x14ac:dyDescent="0.3">
      <c r="A240" s="23" t="s">
        <v>688</v>
      </c>
      <c r="B240" s="70" t="s">
        <v>517</v>
      </c>
      <c r="C240" s="71"/>
      <c r="D240" s="71"/>
      <c r="E240" s="72"/>
      <c r="F240" s="5"/>
      <c r="G240" s="26"/>
      <c r="H240" s="5">
        <v>2</v>
      </c>
      <c r="I240" s="5">
        <v>2</v>
      </c>
      <c r="J240" s="5"/>
      <c r="K240" s="5">
        <f>IF(COUNTA(H240:J240)=2,ROUND(PRODUCT(H240:J240),2),"")</f>
        <v>4</v>
      </c>
      <c r="L240" s="5" t="str">
        <f>IF(OR(AND(COUNTA(H240:J240)=3,K240=""),AND(COUNTA(H240:J240)=1,K240&lt;&gt;"")),ROUND(PRODUCT(H240:K240),2),"")</f>
        <v/>
      </c>
      <c r="M240" s="5">
        <f>IF(L240&lt;&gt;"",ROUND(PRODUCT(F240,G240,L240),2),IF(K240&lt;&gt;"",ROUND(PRODUCT(F240,G240,K240),2),ROUND(PRODUCT(F240:J240),2)))</f>
        <v>4</v>
      </c>
      <c r="N240" s="5"/>
    </row>
    <row r="241" spans="1:14" ht="28.8" x14ac:dyDescent="0.3">
      <c r="A241" s="23" t="s">
        <v>263</v>
      </c>
      <c r="B241" s="23">
        <v>101749</v>
      </c>
      <c r="C241" s="23" t="str">
        <f>VLOOKUP(B241,CPU!$B:$J,2,FALSE)</f>
        <v>SINAPI</v>
      </c>
      <c r="D241" s="24" t="str">
        <f>VLOOKUP(B241,CPU!$B:$J,3,FALSE)</f>
        <v>PISO CIMENTADO, TRAÇO 1:3 (CIMENTO E AREIA), ACABAMENTO LISO, ESPESSURA 4,0 CM, PREPARO MECÂNICO DA ARGAMASSA. AF_09/2020</v>
      </c>
      <c r="E241" s="23" t="str">
        <f>VLOOKUP(B241,CPU!$B:$J,4,FALSE)</f>
        <v>M2</v>
      </c>
      <c r="F241" s="23"/>
      <c r="G241" s="23"/>
      <c r="H241" s="23"/>
      <c r="I241" s="23"/>
      <c r="J241" s="23"/>
      <c r="K241" s="23"/>
      <c r="L241" s="23"/>
      <c r="M241" s="23"/>
      <c r="N241" s="5">
        <f>SUM($M$242:$M$242)</f>
        <v>4</v>
      </c>
    </row>
    <row r="242" spans="1:14" x14ac:dyDescent="0.3">
      <c r="A242" s="23" t="s">
        <v>689</v>
      </c>
      <c r="B242" s="70" t="s">
        <v>517</v>
      </c>
      <c r="C242" s="71"/>
      <c r="D242" s="71"/>
      <c r="E242" s="72"/>
      <c r="F242" s="5"/>
      <c r="G242" s="26"/>
      <c r="H242" s="5">
        <v>2</v>
      </c>
      <c r="I242" s="5">
        <v>2</v>
      </c>
      <c r="J242" s="5"/>
      <c r="K242" s="5">
        <f>IF(COUNTA(H242:J242)=2,ROUND(PRODUCT(H242:J242),2),"")</f>
        <v>4</v>
      </c>
      <c r="L242" s="5" t="str">
        <f>IF(OR(AND(COUNTA(H242:J242)=3,K242=""),AND(COUNTA(H242:J242)=1,K242&lt;&gt;"")),ROUND(PRODUCT(H242:K242),2),"")</f>
        <v/>
      </c>
      <c r="M242" s="5">
        <f>IF(L242&lt;&gt;"",ROUND(PRODUCT(F242,G242,L242),2),IF(K242&lt;&gt;"",ROUND(PRODUCT(F242,G242,K242),2),ROUND(PRODUCT(F242:J242),2)))</f>
        <v>4</v>
      </c>
      <c r="N242" s="5"/>
    </row>
    <row r="243" spans="1:14" ht="43.2" x14ac:dyDescent="0.3">
      <c r="A243" s="23" t="s">
        <v>264</v>
      </c>
      <c r="B243" s="23">
        <v>94994</v>
      </c>
      <c r="C243" s="23" t="str">
        <f>VLOOKUP(B243,CPU!$B:$J,2,FALSE)</f>
        <v>SINAPI</v>
      </c>
      <c r="D243" s="24" t="str">
        <f>VLOOKUP(B243,CPU!$B:$J,3,FALSE)</f>
        <v>EXECUÇÃO DE PASSEIO (CALÇADA) OU PISO DE CONCRETO COM CONCRETO MOLDADO IN LOCO, FEITO EM OBRA, ACABAMENTO CONVENCIONAL, ESPESSURA 8 CM, ARMADO. AF_08/2022</v>
      </c>
      <c r="E243" s="23" t="str">
        <f>VLOOKUP(B243,CPU!$B:$J,4,FALSE)</f>
        <v>M2</v>
      </c>
      <c r="F243" s="23"/>
      <c r="G243" s="23"/>
      <c r="H243" s="23"/>
      <c r="I243" s="23"/>
      <c r="J243" s="23"/>
      <c r="K243" s="23"/>
      <c r="L243" s="23"/>
      <c r="M243" s="23"/>
      <c r="N243" s="5">
        <f>SUM($M$244:$M$245)</f>
        <v>5.6</v>
      </c>
    </row>
    <row r="244" spans="1:14" x14ac:dyDescent="0.3">
      <c r="A244" s="23" t="s">
        <v>690</v>
      </c>
      <c r="B244" s="70" t="s">
        <v>517</v>
      </c>
      <c r="C244" s="71"/>
      <c r="D244" s="71"/>
      <c r="E244" s="72"/>
      <c r="F244" s="5"/>
      <c r="G244" s="26">
        <v>2</v>
      </c>
      <c r="H244" s="5">
        <v>3.3</v>
      </c>
      <c r="I244" s="5">
        <v>0.5</v>
      </c>
      <c r="J244" s="5"/>
      <c r="K244" s="5">
        <f>IF(COUNTA(H244:J244)=2,ROUND(PRODUCT(H244:J244),2),"")</f>
        <v>1.65</v>
      </c>
      <c r="L244" s="5" t="str">
        <f>IF(OR(AND(COUNTA(H244:J244)=3,K244=""),AND(COUNTA(H244:J244)=1,K244&lt;&gt;"")),ROUND(PRODUCT(H244:K244),2),"")</f>
        <v/>
      </c>
      <c r="M244" s="5">
        <f>IF(L244&lt;&gt;"",ROUND(PRODUCT(F244,G244,L244),2),IF(K244&lt;&gt;"",ROUND(PRODUCT(F244,G244,K244),2),ROUND(PRODUCT(F244:J244),2)))</f>
        <v>3.3</v>
      </c>
      <c r="N244" s="5"/>
    </row>
    <row r="245" spans="1:14" x14ac:dyDescent="0.3">
      <c r="A245" s="23" t="s">
        <v>691</v>
      </c>
      <c r="B245" s="70" t="s">
        <v>517</v>
      </c>
      <c r="C245" s="71"/>
      <c r="D245" s="71"/>
      <c r="E245" s="72"/>
      <c r="F245" s="5"/>
      <c r="G245" s="26">
        <v>2</v>
      </c>
      <c r="H245" s="5">
        <v>2.2999999999999998</v>
      </c>
      <c r="I245" s="5">
        <v>0.5</v>
      </c>
      <c r="J245" s="5"/>
      <c r="K245" s="5">
        <f>IF(COUNTA(H245:J245)=2,ROUND(PRODUCT(H245:J245),2),"")</f>
        <v>1.1499999999999999</v>
      </c>
      <c r="L245" s="5" t="str">
        <f>IF(OR(AND(COUNTA(H245:J245)=3,K245=""),AND(COUNTA(H245:J245)=1,K245&lt;&gt;"")),ROUND(PRODUCT(H245:K245),2),"")</f>
        <v/>
      </c>
      <c r="M245" s="5">
        <f>IF(L245&lt;&gt;"",ROUND(PRODUCT(F245,G245,L245),2),IF(K245&lt;&gt;"",ROUND(PRODUCT(F245,G245,K245),2),ROUND(PRODUCT(F245:J245),2)))</f>
        <v>2.2999999999999998</v>
      </c>
      <c r="N245" s="5"/>
    </row>
    <row r="246" spans="1:14" x14ac:dyDescent="0.3">
      <c r="A246" s="15" t="s">
        <v>53</v>
      </c>
      <c r="B246" s="48" t="s">
        <v>597</v>
      </c>
      <c r="C246" s="49"/>
      <c r="D246" s="49"/>
      <c r="E246" s="49"/>
      <c r="F246" s="49"/>
      <c r="G246" s="49"/>
      <c r="H246" s="49"/>
      <c r="I246" s="49"/>
      <c r="J246" s="49"/>
      <c r="K246" s="49"/>
      <c r="L246" s="49"/>
      <c r="M246" s="49"/>
      <c r="N246" s="50"/>
    </row>
    <row r="247" spans="1:14" ht="43.2" x14ac:dyDescent="0.3">
      <c r="A247" s="23" t="s">
        <v>265</v>
      </c>
      <c r="B247" s="23">
        <v>87904</v>
      </c>
      <c r="C247" s="23" t="str">
        <f>VLOOKUP(B247,CPU!$B:$J,2,FALSE)</f>
        <v>SINAPI</v>
      </c>
      <c r="D247" s="24" t="str">
        <f>VLOOKUP(B247,CPU!$B:$J,3,FALSE)</f>
        <v>CHAPISCO APLICADO EM ALVENARIA (COM PRESENÇA DE VÃOS) E ESTRUTURAS DE CONCRETO DE FACHADA, COM COLHER DE PEDREIRO. ARGAMASSA TRAÇO 1:3 COM PREPARO MANUAL. AF_10/2022</v>
      </c>
      <c r="E247" s="23" t="str">
        <f>VLOOKUP(B247,CPU!$B:$J,4,FALSE)</f>
        <v>M2</v>
      </c>
      <c r="F247" s="23"/>
      <c r="G247" s="23"/>
      <c r="H247" s="23"/>
      <c r="I247" s="23"/>
      <c r="J247" s="23"/>
      <c r="K247" s="23"/>
      <c r="L247" s="23"/>
      <c r="M247" s="23"/>
      <c r="N247" s="5">
        <f>SUM($M$248:$M$248)</f>
        <v>38.619999999999997</v>
      </c>
    </row>
    <row r="248" spans="1:14" x14ac:dyDescent="0.3">
      <c r="A248" s="23" t="s">
        <v>692</v>
      </c>
      <c r="B248" s="70" t="s">
        <v>599</v>
      </c>
      <c r="C248" s="71"/>
      <c r="D248" s="71"/>
      <c r="E248" s="72"/>
      <c r="F248" s="5"/>
      <c r="G248" s="26">
        <v>2</v>
      </c>
      <c r="H248" s="5"/>
      <c r="I248" s="5"/>
      <c r="J248" s="5"/>
      <c r="K248" s="5">
        <v>19.309999999999999</v>
      </c>
      <c r="L248" s="5" t="str">
        <f>IF(OR(AND(COUNTA(H248:J248)=3,K248=""),AND(COUNTA(H248:J248)=1,K248&lt;&gt;"")),ROUND(PRODUCT(H248:K248),2),"")</f>
        <v/>
      </c>
      <c r="M248" s="5">
        <f>IF(L248&lt;&gt;"",ROUND(PRODUCT(F248,G248,L248),2),IF(K248&lt;&gt;"",ROUND(PRODUCT(F248,G248,K248),2),ROUND(PRODUCT(F248:J248),2)))</f>
        <v>38.619999999999997</v>
      </c>
      <c r="N248" s="5"/>
    </row>
    <row r="249" spans="1:14" ht="43.2" x14ac:dyDescent="0.3">
      <c r="A249" s="23" t="s">
        <v>266</v>
      </c>
      <c r="B249" s="23">
        <v>87530</v>
      </c>
      <c r="C249" s="23" t="str">
        <f>VLOOKUP(B249,CPU!$B:$J,2,FALSE)</f>
        <v>SINAPI</v>
      </c>
      <c r="D249" s="24" t="str">
        <f>VLOOKUP(B249,CPU!$B:$J,3,FALSE)</f>
        <v>MASSA ÚNICA, EM ARGAMASSA TRAÇO 1:2:8, PREPARO MANUAL, APLICADA MANUALMENTE EM PAREDES INTERNAS DE AMBIENTES COM ÁREA ENTRE 5M² E 10M², E = 17,5MM, COM TALISCAS. AF_03/2024</v>
      </c>
      <c r="E249" s="23" t="str">
        <f>VLOOKUP(B249,CPU!$B:$J,4,FALSE)</f>
        <v>M2</v>
      </c>
      <c r="F249" s="23"/>
      <c r="G249" s="23"/>
      <c r="H249" s="23"/>
      <c r="I249" s="23"/>
      <c r="J249" s="23"/>
      <c r="K249" s="23"/>
      <c r="L249" s="23"/>
      <c r="M249" s="23"/>
      <c r="N249" s="5">
        <f>SUM($M$250:$M$250)</f>
        <v>38.619999999999997</v>
      </c>
    </row>
    <row r="250" spans="1:14" x14ac:dyDescent="0.3">
      <c r="A250" s="23" t="s">
        <v>693</v>
      </c>
      <c r="B250" s="70" t="s">
        <v>599</v>
      </c>
      <c r="C250" s="71"/>
      <c r="D250" s="71"/>
      <c r="E250" s="72"/>
      <c r="F250" s="5"/>
      <c r="G250" s="26">
        <v>2</v>
      </c>
      <c r="H250" s="5"/>
      <c r="I250" s="5"/>
      <c r="J250" s="5"/>
      <c r="K250" s="5">
        <v>19.309999999999999</v>
      </c>
      <c r="L250" s="5" t="str">
        <f>IF(OR(AND(COUNTA(H250:J250)=3,K250=""),AND(COUNTA(H250:J250)=1,K250&lt;&gt;"")),ROUND(PRODUCT(H250:K250),2),"")</f>
        <v/>
      </c>
      <c r="M250" s="5">
        <f>IF(L250&lt;&gt;"",ROUND(PRODUCT(F250,G250,L250),2),IF(K250&lt;&gt;"",ROUND(PRODUCT(F250,G250,K250),2),ROUND(PRODUCT(F250:J250),2)))</f>
        <v>38.619999999999997</v>
      </c>
      <c r="N250" s="5"/>
    </row>
    <row r="251" spans="1:14" x14ac:dyDescent="0.3">
      <c r="A251" s="15" t="s">
        <v>54</v>
      </c>
      <c r="B251" s="48" t="s">
        <v>601</v>
      </c>
      <c r="C251" s="49"/>
      <c r="D251" s="49"/>
      <c r="E251" s="49"/>
      <c r="F251" s="49"/>
      <c r="G251" s="49"/>
      <c r="H251" s="49"/>
      <c r="I251" s="49"/>
      <c r="J251" s="49"/>
      <c r="K251" s="49"/>
      <c r="L251" s="49"/>
      <c r="M251" s="49"/>
      <c r="N251" s="50"/>
    </row>
    <row r="252" spans="1:14" x14ac:dyDescent="0.3">
      <c r="A252" s="23" t="s">
        <v>267</v>
      </c>
      <c r="B252" s="23">
        <v>100701</v>
      </c>
      <c r="C252" s="23" t="str">
        <f>VLOOKUP(B252,CPU!$B:$J,2,FALSE)</f>
        <v>SINAPI</v>
      </c>
      <c r="D252" s="24" t="str">
        <f>VLOOKUP(B252,CPU!$B:$J,3,FALSE)</f>
        <v>PORTA DE FERRO, DE ABRIR, TIPO GRADE COM CHAPA, COM GUARNIÇÕES. AF_12/2019</v>
      </c>
      <c r="E252" s="23" t="str">
        <f>VLOOKUP(B252,CPU!$B:$J,4,FALSE)</f>
        <v>M2</v>
      </c>
      <c r="F252" s="23"/>
      <c r="G252" s="23"/>
      <c r="H252" s="23"/>
      <c r="I252" s="23"/>
      <c r="J252" s="23"/>
      <c r="K252" s="23"/>
      <c r="L252" s="23"/>
      <c r="M252" s="23"/>
      <c r="N252" s="5">
        <f>SUM($M$253:$M$253)</f>
        <v>1.68</v>
      </c>
    </row>
    <row r="253" spans="1:14" x14ac:dyDescent="0.3">
      <c r="A253" s="23" t="s">
        <v>694</v>
      </c>
      <c r="B253" s="70" t="s">
        <v>517</v>
      </c>
      <c r="C253" s="71"/>
      <c r="D253" s="71"/>
      <c r="E253" s="72"/>
      <c r="F253" s="5"/>
      <c r="G253" s="26">
        <v>1</v>
      </c>
      <c r="H253" s="5"/>
      <c r="I253" s="5">
        <v>0.8</v>
      </c>
      <c r="J253" s="5">
        <v>2.1</v>
      </c>
      <c r="K253" s="5">
        <f>IF(COUNTA(H253:J253)=2,ROUND(PRODUCT(H253:J253),2),"")</f>
        <v>1.68</v>
      </c>
      <c r="L253" s="5" t="str">
        <f>IF(OR(AND(COUNTA(H253:J253)=3,K253=""),AND(COUNTA(H253:J253)=1,K253&lt;&gt;"")),ROUND(PRODUCT(H253:K253),2),"")</f>
        <v/>
      </c>
      <c r="M253" s="5">
        <f>IF(L253&lt;&gt;"",ROUND(PRODUCT(F253,G253,L253),2),IF(K253&lt;&gt;"",ROUND(PRODUCT(F253,G253,K253),2),ROUND(PRODUCT(F253:J253),2)))</f>
        <v>1.68</v>
      </c>
      <c r="N253" s="5"/>
    </row>
    <row r="254" spans="1:14" x14ac:dyDescent="0.3">
      <c r="A254" s="23" t="s">
        <v>268</v>
      </c>
      <c r="B254" s="23" t="s">
        <v>603</v>
      </c>
      <c r="C254" s="23" t="str">
        <f>VLOOKUP(B254,CPU!$B:$J,2,FALSE)</f>
        <v>PRÓPRIA</v>
      </c>
      <c r="D254" s="24" t="str">
        <f>VLOOKUP(B254,CPU!$B:$J,3,FALSE)</f>
        <v>PORTÃO DE FERRO EM BARRA CHATA TIPO TIJOLINHO (REF: C1999-SEINFRA 28)</v>
      </c>
      <c r="E254" s="23" t="str">
        <f>VLOOKUP(B254,CPU!$B:$J,4,FALSE)</f>
        <v>M2</v>
      </c>
      <c r="F254" s="23"/>
      <c r="G254" s="23"/>
      <c r="H254" s="23"/>
      <c r="I254" s="23"/>
      <c r="J254" s="23"/>
      <c r="K254" s="23"/>
      <c r="L254" s="23"/>
      <c r="M254" s="23"/>
      <c r="N254" s="5">
        <f>SUM($M$255:$M$255)</f>
        <v>6</v>
      </c>
    </row>
    <row r="255" spans="1:14" x14ac:dyDescent="0.3">
      <c r="A255" s="23" t="s">
        <v>695</v>
      </c>
      <c r="B255" s="70" t="s">
        <v>517</v>
      </c>
      <c r="C255" s="71"/>
      <c r="D255" s="71"/>
      <c r="E255" s="72"/>
      <c r="F255" s="5"/>
      <c r="G255" s="26"/>
      <c r="H255" s="5"/>
      <c r="I255" s="5">
        <v>3</v>
      </c>
      <c r="J255" s="5">
        <v>2</v>
      </c>
      <c r="K255" s="5">
        <f>IF(COUNTA(H255:J255)=2,ROUND(PRODUCT(H255:J255),2),"")</f>
        <v>6</v>
      </c>
      <c r="L255" s="5" t="str">
        <f>IF(OR(AND(COUNTA(H255:J255)=3,K255=""),AND(COUNTA(H255:J255)=1,K255&lt;&gt;"")),ROUND(PRODUCT(H255:K255),2),"")</f>
        <v/>
      </c>
      <c r="M255" s="5">
        <f>IF(L255&lt;&gt;"",ROUND(PRODUCT(F255,G255,L255),2),IF(K255&lt;&gt;"",ROUND(PRODUCT(F255,G255,K255),2),ROUND(PRODUCT(F255:J255),2)))</f>
        <v>6</v>
      </c>
      <c r="N255" s="5"/>
    </row>
    <row r="256" spans="1:14" x14ac:dyDescent="0.3">
      <c r="A256" s="15" t="s">
        <v>55</v>
      </c>
      <c r="B256" s="48" t="s">
        <v>605</v>
      </c>
      <c r="C256" s="49"/>
      <c r="D256" s="49"/>
      <c r="E256" s="49"/>
      <c r="F256" s="49"/>
      <c r="G256" s="49"/>
      <c r="H256" s="49"/>
      <c r="I256" s="49"/>
      <c r="J256" s="49"/>
      <c r="K256" s="49"/>
      <c r="L256" s="49"/>
      <c r="M256" s="49"/>
      <c r="N256" s="50"/>
    </row>
    <row r="257" spans="1:14" x14ac:dyDescent="0.3">
      <c r="A257" s="23" t="s">
        <v>269</v>
      </c>
      <c r="B257" s="23" t="s">
        <v>606</v>
      </c>
      <c r="C257" s="23" t="str">
        <f>VLOOKUP(B257,CPU!$B:$J,2,FALSE)</f>
        <v>PRÓPRIA</v>
      </c>
      <c r="D257" s="24" t="str">
        <f>VLOOKUP(B257,CPU!$B:$J,3,FALSE)</f>
        <v>CAIAÇÃO EM TRES DEMÃOS EM PAREDES (REF: C0589-SEINFRA 28)</v>
      </c>
      <c r="E257" s="23" t="str">
        <f>VLOOKUP(B257,CPU!$B:$J,4,FALSE)</f>
        <v>M2</v>
      </c>
      <c r="F257" s="23"/>
      <c r="G257" s="23"/>
      <c r="H257" s="23"/>
      <c r="I257" s="23"/>
      <c r="J257" s="23"/>
      <c r="K257" s="23"/>
      <c r="L257" s="23"/>
      <c r="M257" s="23"/>
      <c r="N257" s="5">
        <f>SUM($M$258:$M$258)</f>
        <v>38.619999999999997</v>
      </c>
    </row>
    <row r="258" spans="1:14" x14ac:dyDescent="0.3">
      <c r="A258" s="23" t="s">
        <v>696</v>
      </c>
      <c r="B258" s="70" t="s">
        <v>599</v>
      </c>
      <c r="C258" s="71"/>
      <c r="D258" s="71"/>
      <c r="E258" s="72"/>
      <c r="F258" s="5"/>
      <c r="G258" s="26">
        <v>2</v>
      </c>
      <c r="H258" s="5"/>
      <c r="I258" s="5"/>
      <c r="J258" s="5"/>
      <c r="K258" s="5">
        <v>19.309999999999999</v>
      </c>
      <c r="L258" s="5" t="str">
        <f>IF(OR(AND(COUNTA(H258:J258)=3,K258=""),AND(COUNTA(H258:J258)=1,K258&lt;&gt;"")),ROUND(PRODUCT(H258:K258),2),"")</f>
        <v/>
      </c>
      <c r="M258" s="5">
        <f>IF(L258&lt;&gt;"",ROUND(PRODUCT(F258,G258,L258),2),IF(K258&lt;&gt;"",ROUND(PRODUCT(F258,G258,K258),2),ROUND(PRODUCT(F258:J258),2)))</f>
        <v>38.619999999999997</v>
      </c>
      <c r="N258" s="5"/>
    </row>
    <row r="259" spans="1:14" ht="43.2" x14ac:dyDescent="0.3">
      <c r="A259" s="23" t="s">
        <v>270</v>
      </c>
      <c r="B259" s="23">
        <v>100758</v>
      </c>
      <c r="C259" s="23" t="str">
        <f>VLOOKUP(B259,CPU!$B:$J,2,FALSE)</f>
        <v>SINAPI</v>
      </c>
      <c r="D259" s="24" t="str">
        <f>VLOOKUP(B259,CPU!$B:$J,3,FALSE)</f>
        <v>PINTURA COM TINTA ALQUÍDICA DE ACABAMENTO (ESMALTE SINTÉTICO ACETINADO) APLICADA A ROLO OU PINCEL SOBRE SUPERFÍCIES METÁLICAS (EXCETO PERFIL) EXECUTADO EM OBRA (02 DEMÃOS). AF_01/2020</v>
      </c>
      <c r="E259" s="23" t="str">
        <f>VLOOKUP(B259,CPU!$B:$J,4,FALSE)</f>
        <v>M2</v>
      </c>
      <c r="F259" s="23"/>
      <c r="G259" s="23"/>
      <c r="H259" s="23"/>
      <c r="I259" s="23"/>
      <c r="J259" s="23"/>
      <c r="K259" s="23"/>
      <c r="L259" s="23"/>
      <c r="M259" s="23"/>
      <c r="N259" s="5">
        <f>SUM($M$260:$M$260)</f>
        <v>3.36</v>
      </c>
    </row>
    <row r="260" spans="1:14" x14ac:dyDescent="0.3">
      <c r="A260" s="23" t="s">
        <v>697</v>
      </c>
      <c r="B260" s="70" t="s">
        <v>609</v>
      </c>
      <c r="C260" s="71"/>
      <c r="D260" s="71"/>
      <c r="E260" s="72"/>
      <c r="F260" s="5"/>
      <c r="G260" s="26">
        <v>2</v>
      </c>
      <c r="H260" s="5"/>
      <c r="I260" s="5">
        <v>0.8</v>
      </c>
      <c r="J260" s="5">
        <v>2.1</v>
      </c>
      <c r="K260" s="5">
        <f>IF(COUNTA(H260:J260)=2,ROUND(PRODUCT(H260:J260),2),"")</f>
        <v>1.68</v>
      </c>
      <c r="L260" s="5" t="str">
        <f>IF(OR(AND(COUNTA(H260:J260)=3,K260=""),AND(COUNTA(H260:J260)=1,K260&lt;&gt;"")),ROUND(PRODUCT(H260:K260),2),"")</f>
        <v/>
      </c>
      <c r="M260" s="5">
        <f>IF(L260&lt;&gt;"",ROUND(PRODUCT(F260,G260,L260),2),IF(K260&lt;&gt;"",ROUND(PRODUCT(F260,G260,K260),2),ROUND(PRODUCT(F260:J260),2)))</f>
        <v>3.36</v>
      </c>
      <c r="N260" s="5"/>
    </row>
    <row r="261" spans="1:14" x14ac:dyDescent="0.3">
      <c r="A261" s="15" t="s">
        <v>56</v>
      </c>
      <c r="B261" s="48" t="s">
        <v>610</v>
      </c>
      <c r="C261" s="49"/>
      <c r="D261" s="49"/>
      <c r="E261" s="49"/>
      <c r="F261" s="49"/>
      <c r="G261" s="49"/>
      <c r="H261" s="49"/>
      <c r="I261" s="49"/>
      <c r="J261" s="49"/>
      <c r="K261" s="49"/>
      <c r="L261" s="49"/>
      <c r="M261" s="49"/>
      <c r="N261" s="50"/>
    </row>
    <row r="262" spans="1:14" ht="43.2" x14ac:dyDescent="0.3">
      <c r="A262" s="23" t="s">
        <v>271</v>
      </c>
      <c r="B262" s="23">
        <v>101197</v>
      </c>
      <c r="C262" s="23" t="str">
        <f>VLOOKUP(B262,CPU!$B:$J,2,FALSE)</f>
        <v>SINAPI</v>
      </c>
      <c r="D262" s="24" t="str">
        <f>VLOOKUP(B262,CPU!$B:$J,3,FALSE)</f>
        <v>CERCA COM MOURÕES DE CONCRETO, SEÇÃO "T" PONTA INCLINADA, 10X10 CM, ESPAÇAMENTO DE 2,5 M, CRAVADOS 0,5 M, COM 11 FIOS DE ARAME FARPADO Nº 14 - FORNECIMENTO E INSTALAÇÃO. AF_05/2020</v>
      </c>
      <c r="E262" s="23" t="str">
        <f>VLOOKUP(B262,CPU!$B:$J,4,FALSE)</f>
        <v>M</v>
      </c>
      <c r="F262" s="23"/>
      <c r="G262" s="23"/>
      <c r="H262" s="23"/>
      <c r="I262" s="23"/>
      <c r="J262" s="23"/>
      <c r="K262" s="23"/>
      <c r="L262" s="23"/>
      <c r="M262" s="23"/>
      <c r="N262" s="5">
        <f>SUM($M$263:$M$264)</f>
        <v>37</v>
      </c>
    </row>
    <row r="263" spans="1:14" x14ac:dyDescent="0.3">
      <c r="A263" s="23" t="s">
        <v>698</v>
      </c>
      <c r="B263" s="70" t="s">
        <v>517</v>
      </c>
      <c r="C263" s="71"/>
      <c r="D263" s="71"/>
      <c r="E263" s="72"/>
      <c r="F263" s="5"/>
      <c r="G263" s="26">
        <v>4</v>
      </c>
      <c r="H263" s="5">
        <v>10</v>
      </c>
      <c r="I263" s="5"/>
      <c r="J263" s="5"/>
      <c r="K263" s="5" t="str">
        <f>IF(COUNTA(H263:J263)=2,ROUND(PRODUCT(H263:J263),2),"")</f>
        <v/>
      </c>
      <c r="L263" s="5" t="str">
        <f>IF(OR(AND(COUNTA(H263:J263)=3,K263=""),AND(COUNTA(H263:J263)=1,K263&lt;&gt;"")),ROUND(PRODUCT(H263:K263),2),"")</f>
        <v/>
      </c>
      <c r="M263" s="5">
        <f>IF(L263&lt;&gt;"",ROUND(PRODUCT(F263,G263,L263),2),IF(K263&lt;&gt;"",ROUND(PRODUCT(F263,G263,K263),2),ROUND(PRODUCT(F263:J263),2)))</f>
        <v>40</v>
      </c>
      <c r="N263" s="5"/>
    </row>
    <row r="264" spans="1:14" x14ac:dyDescent="0.3">
      <c r="A264" s="23" t="s">
        <v>699</v>
      </c>
      <c r="B264" s="70" t="s">
        <v>613</v>
      </c>
      <c r="C264" s="71"/>
      <c r="D264" s="71"/>
      <c r="E264" s="72"/>
      <c r="F264" s="5"/>
      <c r="G264" s="26">
        <v>-1</v>
      </c>
      <c r="H264" s="5">
        <v>3</v>
      </c>
      <c r="I264" s="5"/>
      <c r="J264" s="5"/>
      <c r="K264" s="5" t="str">
        <f>IF(COUNTA(H264:J264)=2,ROUND(PRODUCT(H264:J264),2),"")</f>
        <v/>
      </c>
      <c r="L264" s="5" t="str">
        <f>IF(OR(AND(COUNTA(H264:J264)=3,K264=""),AND(COUNTA(H264:J264)=1,K264&lt;&gt;"")),ROUND(PRODUCT(H264:K264),2),"")</f>
        <v/>
      </c>
      <c r="M264" s="5">
        <f>IF(L264&lt;&gt;"",ROUND(PRODUCT(F264,G264,L264),2),IF(K264&lt;&gt;"",ROUND(PRODUCT(F264,G264,K264),2),ROUND(PRODUCT(F264:J264),2)))</f>
        <v>-3</v>
      </c>
      <c r="N264" s="5"/>
    </row>
    <row r="265" spans="1:14" x14ac:dyDescent="0.3">
      <c r="A265" s="12" t="s">
        <v>57</v>
      </c>
      <c r="B265" s="51" t="s">
        <v>614</v>
      </c>
      <c r="C265" s="52"/>
      <c r="D265" s="52"/>
      <c r="E265" s="52"/>
      <c r="F265" s="52"/>
      <c r="G265" s="52"/>
      <c r="H265" s="52"/>
      <c r="I265" s="52"/>
      <c r="J265" s="52"/>
      <c r="K265" s="52"/>
      <c r="L265" s="52"/>
      <c r="M265" s="52"/>
      <c r="N265" s="53"/>
    </row>
    <row r="266" spans="1:14" ht="43.2" x14ac:dyDescent="0.3">
      <c r="A266" s="23" t="s">
        <v>272</v>
      </c>
      <c r="B266" s="23" t="s">
        <v>615</v>
      </c>
      <c r="C266" s="23" t="str">
        <f>VLOOKUP(B266,CPU!$B:$J,2,FALSE)</f>
        <v>PRÓPRIA</v>
      </c>
      <c r="D266" s="24" t="str">
        <f>VLOOKUP(B266,CPU!$B:$J,3,FALSE)</f>
        <v>FORNECIMENTO E INSTALAÇÃO DE KIT DE BOMBEAMENTO SOLAR P/ POÇO COM PROFUNDIDADE DE 100 A 120 M, INCLUSO BOMBA 3CV, INVERSOR, PAINÉIS, QUADRO DE COMANDO, DISJUNTORES, CABOS E CONEXÕES E ESTRUTURA TIPO SOLO</v>
      </c>
      <c r="E266" s="23" t="str">
        <f>VLOOKUP(B266,CPU!$B:$J,4,FALSE)</f>
        <v>UND</v>
      </c>
      <c r="F266" s="23"/>
      <c r="G266" s="23"/>
      <c r="H266" s="23"/>
      <c r="I266" s="23"/>
      <c r="J266" s="23"/>
      <c r="K266" s="23"/>
      <c r="L266" s="23"/>
      <c r="M266" s="23"/>
      <c r="N266" s="5">
        <f>SUM($M$267:$M$267)</f>
        <v>1</v>
      </c>
    </row>
    <row r="267" spans="1:14" x14ac:dyDescent="0.3">
      <c r="A267" s="23" t="s">
        <v>700</v>
      </c>
      <c r="B267" s="70" t="s">
        <v>517</v>
      </c>
      <c r="C267" s="71"/>
      <c r="D267" s="71"/>
      <c r="E267" s="72"/>
      <c r="F267" s="5">
        <v>1</v>
      </c>
      <c r="G267" s="26"/>
      <c r="H267" s="5"/>
      <c r="I267" s="5"/>
      <c r="J267" s="5"/>
      <c r="K267" s="5" t="str">
        <f>IF(COUNTA(H267:J267)=2,ROUND(PRODUCT(H267:J267),2),"")</f>
        <v/>
      </c>
      <c r="L267" s="5" t="str">
        <f>IF(OR(AND(COUNTA(H267:J267)=3,K267=""),AND(COUNTA(H267:J267)=1,K267&lt;&gt;"")),ROUND(PRODUCT(H267:K267),2),"")</f>
        <v/>
      </c>
      <c r="M267" s="5">
        <f>IF(L267&lt;&gt;"",ROUND(PRODUCT(F267,G267,L267),2),IF(K267&lt;&gt;"",ROUND(PRODUCT(F267,G267,K267),2),ROUND(PRODUCT(F267:J267),2)))</f>
        <v>1</v>
      </c>
      <c r="N267" s="5"/>
    </row>
    <row r="268" spans="1:14" x14ac:dyDescent="0.3">
      <c r="A268" s="23" t="s">
        <v>273</v>
      </c>
      <c r="B268" s="23" t="s">
        <v>617</v>
      </c>
      <c r="C268" s="23" t="str">
        <f>VLOOKUP(B268,CPU!$B:$J,2,FALSE)</f>
        <v>PRÓPRIA</v>
      </c>
      <c r="D268" s="24" t="str">
        <f>VLOOKUP(B268,CPU!$B:$J,3,FALSE)</f>
        <v>FORNECIMENTO E INSTALAÇÃO DE CABO CHATO SUBMERSO DE 3 X 6 MM²</v>
      </c>
      <c r="E268" s="23" t="str">
        <f>VLOOKUP(B268,CPU!$B:$J,4,FALSE)</f>
        <v>M</v>
      </c>
      <c r="F268" s="23"/>
      <c r="G268" s="23"/>
      <c r="H268" s="23"/>
      <c r="I268" s="23"/>
      <c r="J268" s="23"/>
      <c r="K268" s="23"/>
      <c r="L268" s="23"/>
      <c r="M268" s="23"/>
      <c r="N268" s="5">
        <f>SUM($M$269:$M$269)</f>
        <v>120</v>
      </c>
    </row>
    <row r="269" spans="1:14" x14ac:dyDescent="0.3">
      <c r="A269" s="23" t="s">
        <v>701</v>
      </c>
      <c r="B269" s="70" t="s">
        <v>517</v>
      </c>
      <c r="C269" s="71"/>
      <c r="D269" s="71"/>
      <c r="E269" s="72"/>
      <c r="F269" s="5">
        <v>120</v>
      </c>
      <c r="G269" s="26"/>
      <c r="H269" s="5"/>
      <c r="I269" s="5"/>
      <c r="J269" s="5"/>
      <c r="K269" s="5" t="str">
        <f>IF(COUNTA(H269:J269)=2,ROUND(PRODUCT(H269:J269),2),"")</f>
        <v/>
      </c>
      <c r="L269" s="5" t="str">
        <f>IF(OR(AND(COUNTA(H269:J269)=3,K269=""),AND(COUNTA(H269:J269)=1,K269&lt;&gt;"")),ROUND(PRODUCT(H269:K269),2),"")</f>
        <v/>
      </c>
      <c r="M269" s="5">
        <f>IF(L269&lt;&gt;"",ROUND(PRODUCT(F269,G269,L269),2),IF(K269&lt;&gt;"",ROUND(PRODUCT(F269,G269,K269),2),ROUND(PRODUCT(F269:J269),2)))</f>
        <v>120</v>
      </c>
      <c r="N269" s="5"/>
    </row>
    <row r="270" spans="1:14" x14ac:dyDescent="0.3">
      <c r="A270" s="12" t="s">
        <v>58</v>
      </c>
      <c r="B270" s="51" t="s">
        <v>619</v>
      </c>
      <c r="C270" s="52"/>
      <c r="D270" s="52"/>
      <c r="E270" s="52"/>
      <c r="F270" s="52"/>
      <c r="G270" s="52"/>
      <c r="H270" s="52"/>
      <c r="I270" s="52"/>
      <c r="J270" s="52"/>
      <c r="K270" s="52"/>
      <c r="L270" s="52"/>
      <c r="M270" s="52"/>
      <c r="N270" s="53"/>
    </row>
    <row r="271" spans="1:14" x14ac:dyDescent="0.3">
      <c r="A271" s="15" t="s">
        <v>59</v>
      </c>
      <c r="B271" s="48" t="s">
        <v>563</v>
      </c>
      <c r="C271" s="49"/>
      <c r="D271" s="49"/>
      <c r="E271" s="49"/>
      <c r="F271" s="49"/>
      <c r="G271" s="49"/>
      <c r="H271" s="49"/>
      <c r="I271" s="49"/>
      <c r="J271" s="49"/>
      <c r="K271" s="49"/>
      <c r="L271" s="49"/>
      <c r="M271" s="49"/>
      <c r="N271" s="50"/>
    </row>
    <row r="272" spans="1:14" x14ac:dyDescent="0.3">
      <c r="A272" s="23" t="s">
        <v>274</v>
      </c>
      <c r="B272" s="23">
        <v>93358</v>
      </c>
      <c r="C272" s="23" t="str">
        <f>VLOOKUP(B272,CPU!$B:$J,2,FALSE)</f>
        <v>SINAPI</v>
      </c>
      <c r="D272" s="24" t="str">
        <f>VLOOKUP(B272,CPU!$B:$J,3,FALSE)</f>
        <v>ESCAVAÇÃO MANUAL DE VALA. AF_09/2024</v>
      </c>
      <c r="E272" s="23" t="str">
        <f>VLOOKUP(B272,CPU!$B:$J,4,FALSE)</f>
        <v>M3</v>
      </c>
      <c r="F272" s="23"/>
      <c r="G272" s="23"/>
      <c r="H272" s="23"/>
      <c r="I272" s="23"/>
      <c r="J272" s="23"/>
      <c r="K272" s="23"/>
      <c r="L272" s="23"/>
      <c r="M272" s="23"/>
      <c r="N272" s="5">
        <f>SUM($M$273:$M$273)</f>
        <v>3.23</v>
      </c>
    </row>
    <row r="273" spans="1:14" x14ac:dyDescent="0.3">
      <c r="A273" s="23" t="s">
        <v>702</v>
      </c>
      <c r="B273" s="70" t="s">
        <v>517</v>
      </c>
      <c r="C273" s="71"/>
      <c r="D273" s="71"/>
      <c r="E273" s="72"/>
      <c r="F273" s="5"/>
      <c r="G273" s="26"/>
      <c r="H273" s="5">
        <v>3.6</v>
      </c>
      <c r="I273" s="5">
        <v>0.7</v>
      </c>
      <c r="J273" s="5">
        <v>1.28</v>
      </c>
      <c r="K273" s="5" t="str">
        <f>IF(COUNTA(H273:J273)=2,ROUND(PRODUCT(H273:J273),2),"")</f>
        <v/>
      </c>
      <c r="L273" s="5">
        <f>IF(OR(AND(COUNTA(H273:J273)=3,K273=""),AND(COUNTA(H273:J273)=1,K273&lt;&gt;"")),ROUND(PRODUCT(H273:K273),2),"")</f>
        <v>3.23</v>
      </c>
      <c r="M273" s="5">
        <f>IF(L273&lt;&gt;"",ROUND(PRODUCT(F273,G273,L273),2),IF(K273&lt;&gt;"",ROUND(PRODUCT(F273,G273,K273),2),ROUND(PRODUCT(F273:J273),2)))</f>
        <v>3.23</v>
      </c>
      <c r="N273" s="5"/>
    </row>
    <row r="274" spans="1:14" x14ac:dyDescent="0.3">
      <c r="A274" s="23" t="s">
        <v>275</v>
      </c>
      <c r="B274" s="23" t="s">
        <v>621</v>
      </c>
      <c r="C274" s="23" t="str">
        <f>VLOOKUP(B274,CPU!$B:$J,2,FALSE)</f>
        <v>PRÓPRIA</v>
      </c>
      <c r="D274" s="24" t="str">
        <f>VLOOKUP(B274,CPU!$B:$J,3,FALSE)</f>
        <v>REATERRO DE VALA COM COMPACTAÇÃO MANUAL</v>
      </c>
      <c r="E274" s="23" t="str">
        <f>VLOOKUP(B274,CPU!$B:$J,4,FALSE)</f>
        <v>M³</v>
      </c>
      <c r="F274" s="23"/>
      <c r="G274" s="23"/>
      <c r="H274" s="23"/>
      <c r="I274" s="23"/>
      <c r="J274" s="23"/>
      <c r="K274" s="23"/>
      <c r="L274" s="23"/>
      <c r="M274" s="23"/>
      <c r="N274" s="5">
        <f>SUM($M$275:$M$275)</f>
        <v>3.23</v>
      </c>
    </row>
    <row r="275" spans="1:14" x14ac:dyDescent="0.3">
      <c r="A275" s="23" t="s">
        <v>703</v>
      </c>
      <c r="B275" s="70" t="s">
        <v>517</v>
      </c>
      <c r="C275" s="71"/>
      <c r="D275" s="71"/>
      <c r="E275" s="72"/>
      <c r="F275" s="5"/>
      <c r="G275" s="26"/>
      <c r="H275" s="5">
        <v>3.6</v>
      </c>
      <c r="I275" s="5">
        <v>0.7</v>
      </c>
      <c r="J275" s="5">
        <v>1.28</v>
      </c>
      <c r="K275" s="5" t="str">
        <f>IF(COUNTA(H275:J275)=2,ROUND(PRODUCT(H275:J275),2),"")</f>
        <v/>
      </c>
      <c r="L275" s="5">
        <f>IF(OR(AND(COUNTA(H275:J275)=3,K275=""),AND(COUNTA(H275:J275)=1,K275&lt;&gt;"")),ROUND(PRODUCT(H275:K275),2),"")</f>
        <v>3.23</v>
      </c>
      <c r="M275" s="5">
        <f>IF(L275&lt;&gt;"",ROUND(PRODUCT(F275,G275,L275),2),IF(K275&lt;&gt;"",ROUND(PRODUCT(F275,G275,K275),2),ROUND(PRODUCT(F275:J275),2)))</f>
        <v>3.23</v>
      </c>
      <c r="N275" s="5"/>
    </row>
    <row r="276" spans="1:14" x14ac:dyDescent="0.3">
      <c r="A276" s="15" t="s">
        <v>60</v>
      </c>
      <c r="B276" s="48" t="s">
        <v>566</v>
      </c>
      <c r="C276" s="49"/>
      <c r="D276" s="49"/>
      <c r="E276" s="49"/>
      <c r="F276" s="49"/>
      <c r="G276" s="49"/>
      <c r="H276" s="49"/>
      <c r="I276" s="49"/>
      <c r="J276" s="49"/>
      <c r="K276" s="49"/>
      <c r="L276" s="49"/>
      <c r="M276" s="49"/>
      <c r="N276" s="50"/>
    </row>
    <row r="277" spans="1:14" x14ac:dyDescent="0.3">
      <c r="A277" s="23" t="s">
        <v>276</v>
      </c>
      <c r="B277" s="23" t="s">
        <v>623</v>
      </c>
      <c r="C277" s="23" t="str">
        <f>VLOOKUP(B277,CPU!$B:$J,2,FALSE)</f>
        <v>PRÓPRIA</v>
      </c>
      <c r="D277" s="24" t="str">
        <f>VLOOKUP(B277,CPU!$B:$J,3,FALSE)</f>
        <v>BLOCO DE ANCORAGEM EM CONCRETO SIMPLES FCK=10MPA (REF: C3403-SEINFRA 28)</v>
      </c>
      <c r="E277" s="23" t="str">
        <f>VLOOKUP(B277,CPU!$B:$J,4,FALSE)</f>
        <v>M3</v>
      </c>
      <c r="F277" s="23"/>
      <c r="G277" s="23"/>
      <c r="H277" s="23"/>
      <c r="I277" s="23"/>
      <c r="J277" s="23"/>
      <c r="K277" s="23"/>
      <c r="L277" s="23"/>
      <c r="M277" s="23"/>
      <c r="N277" s="5">
        <f>SUM($M$278:$M$278)</f>
        <v>0.26</v>
      </c>
    </row>
    <row r="278" spans="1:14" x14ac:dyDescent="0.3">
      <c r="A278" s="23" t="s">
        <v>704</v>
      </c>
      <c r="B278" s="70" t="s">
        <v>517</v>
      </c>
      <c r="C278" s="71"/>
      <c r="D278" s="71"/>
      <c r="E278" s="72"/>
      <c r="F278" s="5"/>
      <c r="G278" s="26">
        <v>2</v>
      </c>
      <c r="H278" s="5">
        <v>0.5</v>
      </c>
      <c r="I278" s="5">
        <v>0.5</v>
      </c>
      <c r="J278" s="5">
        <v>0.5</v>
      </c>
      <c r="K278" s="5" t="str">
        <f>IF(COUNTA(H278:J278)=2,ROUND(PRODUCT(H278:J278),2),"")</f>
        <v/>
      </c>
      <c r="L278" s="5">
        <f>IF(OR(AND(COUNTA(H278:J278)=3,K278=""),AND(COUNTA(H278:J278)=1,K278&lt;&gt;"")),ROUND(PRODUCT(H278:K278),2),"")</f>
        <v>0.13</v>
      </c>
      <c r="M278" s="5">
        <f>IF(L278&lt;&gt;"",ROUND(PRODUCT(F278,G278,L278),2),IF(K278&lt;&gt;"",ROUND(PRODUCT(F278,G278,K278),2),ROUND(PRODUCT(F278:J278),2)))</f>
        <v>0.26</v>
      </c>
      <c r="N278" s="5"/>
    </row>
    <row r="279" spans="1:14" x14ac:dyDescent="0.3">
      <c r="A279" s="15" t="s">
        <v>61</v>
      </c>
      <c r="B279" s="48" t="s">
        <v>625</v>
      </c>
      <c r="C279" s="49"/>
      <c r="D279" s="49"/>
      <c r="E279" s="49"/>
      <c r="F279" s="49"/>
      <c r="G279" s="49"/>
      <c r="H279" s="49"/>
      <c r="I279" s="49"/>
      <c r="J279" s="49"/>
      <c r="K279" s="49"/>
      <c r="L279" s="49"/>
      <c r="M279" s="49"/>
      <c r="N279" s="50"/>
    </row>
    <row r="280" spans="1:14" ht="28.8" x14ac:dyDescent="0.3">
      <c r="A280" s="23" t="s">
        <v>277</v>
      </c>
      <c r="B280" s="23">
        <v>94498</v>
      </c>
      <c r="C280" s="23" t="str">
        <f>VLOOKUP(B280,CPU!$B:$J,2,FALSE)</f>
        <v>SINAPI</v>
      </c>
      <c r="D280" s="24" t="str">
        <f>VLOOKUP(B280,CPU!$B:$J,3,FALSE)</f>
        <v>REGISTRO DE GAVETA BRUTO, LATÃO, ROSCÁVEL, 2" - FORNECIMENTO E INSTALAÇÃO. AF_08/2021</v>
      </c>
      <c r="E280" s="23" t="str">
        <f>VLOOKUP(B280,CPU!$B:$J,4,FALSE)</f>
        <v>UN</v>
      </c>
      <c r="F280" s="23"/>
      <c r="G280" s="23"/>
      <c r="H280" s="23"/>
      <c r="I280" s="23"/>
      <c r="J280" s="23"/>
      <c r="K280" s="23"/>
      <c r="L280" s="23"/>
      <c r="M280" s="23"/>
      <c r="N280" s="5">
        <f>SUM($M$281:$M$281)</f>
        <v>1</v>
      </c>
    </row>
    <row r="281" spans="1:14" x14ac:dyDescent="0.3">
      <c r="A281" s="23" t="s">
        <v>705</v>
      </c>
      <c r="B281" s="70" t="s">
        <v>517</v>
      </c>
      <c r="C281" s="71"/>
      <c r="D281" s="71"/>
      <c r="E281" s="72"/>
      <c r="F281" s="5">
        <v>1</v>
      </c>
      <c r="G281" s="26"/>
      <c r="H281" s="5"/>
      <c r="I281" s="5"/>
      <c r="J281" s="5"/>
      <c r="K281" s="5" t="str">
        <f>IF(COUNTA(H281:J281)=2,ROUND(PRODUCT(H281:J281),2),"")</f>
        <v/>
      </c>
      <c r="L281" s="5" t="str">
        <f>IF(OR(AND(COUNTA(H281:J281)=3,K281=""),AND(COUNTA(H281:J281)=1,K281&lt;&gt;"")),ROUND(PRODUCT(H281:K281),2),"")</f>
        <v/>
      </c>
      <c r="M281" s="5">
        <f>IF(L281&lt;&gt;"",ROUND(PRODUCT(F281,G281,L281),2),IF(K281&lt;&gt;"",ROUND(PRODUCT(F281,G281,K281),2),ROUND(PRODUCT(F281:J281),2)))</f>
        <v>1</v>
      </c>
      <c r="N281" s="5"/>
    </row>
    <row r="282" spans="1:14" ht="28.8" x14ac:dyDescent="0.3">
      <c r="A282" s="23" t="s">
        <v>278</v>
      </c>
      <c r="B282" s="23" t="s">
        <v>627</v>
      </c>
      <c r="C282" s="23" t="str">
        <f>VLOOKUP(B282,CPU!$B:$J,2,FALSE)</f>
        <v>PRÓPRIA</v>
      </c>
      <c r="D282" s="24" t="str">
        <f>VLOOKUP(B282,CPU!$B:$J,3,FALSE)</f>
        <v>AQUISIÇÃO E ASSENTAMENTO DE TUBO RÍGIDO PVC, CLASSE 12, DN 50 MM, INCLUSO CONEXÕES</v>
      </c>
      <c r="E282" s="23" t="str">
        <f>VLOOKUP(B282,CPU!$B:$J,4,FALSE)</f>
        <v>M</v>
      </c>
      <c r="F282" s="23"/>
      <c r="G282" s="23"/>
      <c r="H282" s="23"/>
      <c r="I282" s="23"/>
      <c r="J282" s="23"/>
      <c r="K282" s="23"/>
      <c r="L282" s="23"/>
      <c r="M282" s="23"/>
      <c r="N282" s="5">
        <f>SUM($M$283:$M$283)</f>
        <v>16</v>
      </c>
    </row>
    <row r="283" spans="1:14" x14ac:dyDescent="0.3">
      <c r="A283" s="23" t="s">
        <v>706</v>
      </c>
      <c r="B283" s="70" t="s">
        <v>517</v>
      </c>
      <c r="C283" s="71"/>
      <c r="D283" s="71"/>
      <c r="E283" s="72"/>
      <c r="F283" s="5">
        <v>16</v>
      </c>
      <c r="G283" s="26"/>
      <c r="H283" s="5"/>
      <c r="I283" s="5"/>
      <c r="J283" s="5"/>
      <c r="K283" s="5" t="str">
        <f>IF(COUNTA(H283:J283)=2,ROUND(PRODUCT(H283:J283),2),"")</f>
        <v/>
      </c>
      <c r="L283" s="5" t="str">
        <f>IF(OR(AND(COUNTA(H283:J283)=3,K283=""),AND(COUNTA(H283:J283)=1,K283&lt;&gt;"")),ROUND(PRODUCT(H283:K283),2),"")</f>
        <v/>
      </c>
      <c r="M283" s="5">
        <f>IF(L283&lt;&gt;"",ROUND(PRODUCT(F283,G283,L283),2),IF(K283&lt;&gt;"",ROUND(PRODUCT(F283,G283,K283),2),ROUND(PRODUCT(F283:J283),2)))</f>
        <v>16</v>
      </c>
      <c r="N283" s="5"/>
    </row>
    <row r="284" spans="1:14" x14ac:dyDescent="0.3">
      <c r="A284" s="12" t="s">
        <v>62</v>
      </c>
      <c r="B284" s="51" t="s">
        <v>629</v>
      </c>
      <c r="C284" s="52"/>
      <c r="D284" s="52"/>
      <c r="E284" s="52"/>
      <c r="F284" s="52"/>
      <c r="G284" s="52"/>
      <c r="H284" s="52"/>
      <c r="I284" s="52"/>
      <c r="J284" s="52"/>
      <c r="K284" s="52"/>
      <c r="L284" s="52"/>
      <c r="M284" s="52"/>
      <c r="N284" s="53"/>
    </row>
    <row r="285" spans="1:14" ht="72" x14ac:dyDescent="0.3">
      <c r="A285" s="23" t="s">
        <v>279</v>
      </c>
      <c r="B285" s="23" t="s">
        <v>630</v>
      </c>
      <c r="C285" s="23" t="str">
        <f>VLOOKUP(B285,CPU!$B:$J,2,FALSE)</f>
        <v>PRÓPRIA</v>
      </c>
      <c r="D285" s="24" t="str">
        <f>VLOOKUP(B285,CPU!$B:$J,3,FALSE)</f>
        <v>FORNECIMENTO E INSTALAÇÃO DE RESERVATÓRIO ELEVADO C/ CAIXA D'AGUA EM POLIESTER REFORCADO COM FIBRA DE VIDRO DE 10.000 LITROS, APOIADO EM ESTRUTURA PRÉ-MOLDADA EM CONCRETO, COMPOSTA DE CAPITEL P/APOIO DA CAIXA E PILAR C/ALTURA ÚTIL = 10,00M, INCLUSO FRETE E MONTAGEM NO LOCAL, COM FUNDAÇÃO EM CONCRETO SIMPLES FCK=20MPA</v>
      </c>
      <c r="E285" s="23" t="str">
        <f>VLOOKUP(B285,CPU!$B:$J,4,FALSE)</f>
        <v>UND</v>
      </c>
      <c r="F285" s="23"/>
      <c r="G285" s="23"/>
      <c r="H285" s="23"/>
      <c r="I285" s="23"/>
      <c r="J285" s="23"/>
      <c r="K285" s="23"/>
      <c r="L285" s="23"/>
      <c r="M285" s="23"/>
      <c r="N285" s="5">
        <f>SUM($M$286:$M$286)</f>
        <v>1</v>
      </c>
    </row>
    <row r="286" spans="1:14" x14ac:dyDescent="0.3">
      <c r="A286" s="23" t="s">
        <v>707</v>
      </c>
      <c r="B286" s="70" t="s">
        <v>517</v>
      </c>
      <c r="C286" s="71"/>
      <c r="D286" s="71"/>
      <c r="E286" s="72"/>
      <c r="F286" s="5">
        <v>1</v>
      </c>
      <c r="G286" s="26"/>
      <c r="H286" s="5"/>
      <c r="I286" s="5"/>
      <c r="J286" s="5"/>
      <c r="K286" s="5" t="str">
        <f>IF(COUNTA(H286:J286)=2,ROUND(PRODUCT(H286:J286),2),"")</f>
        <v/>
      </c>
      <c r="L286" s="5" t="str">
        <f>IF(OR(AND(COUNTA(H286:J286)=3,K286=""),AND(COUNTA(H286:J286)=1,K286&lt;&gt;"")),ROUND(PRODUCT(H286:K286),2),"")</f>
        <v/>
      </c>
      <c r="M286" s="5">
        <f>IF(L286&lt;&gt;"",ROUND(PRODUCT(F286,G286,L286),2),IF(K286&lt;&gt;"",ROUND(PRODUCT(F286,G286,K286),2),ROUND(PRODUCT(F286:J286),2)))</f>
        <v>1</v>
      </c>
      <c r="N286" s="5"/>
    </row>
    <row r="287" spans="1:14" ht="28.8" x14ac:dyDescent="0.3">
      <c r="A287" s="23" t="s">
        <v>280</v>
      </c>
      <c r="B287" s="23">
        <v>94498</v>
      </c>
      <c r="C287" s="23" t="str">
        <f>VLOOKUP(B287,CPU!$B:$J,2,FALSE)</f>
        <v>SINAPI</v>
      </c>
      <c r="D287" s="24" t="str">
        <f>VLOOKUP(B287,CPU!$B:$J,3,FALSE)</f>
        <v>REGISTRO DE GAVETA BRUTO, LATÃO, ROSCÁVEL, 2" - FORNECIMENTO E INSTALAÇÃO. AF_08/2021</v>
      </c>
      <c r="E287" s="23" t="str">
        <f>VLOOKUP(B287,CPU!$B:$J,4,FALSE)</f>
        <v>UN</v>
      </c>
      <c r="F287" s="23"/>
      <c r="G287" s="23"/>
      <c r="H287" s="23"/>
      <c r="I287" s="23"/>
      <c r="J287" s="23"/>
      <c r="K287" s="23"/>
      <c r="L287" s="23"/>
      <c r="M287" s="23"/>
      <c r="N287" s="5">
        <f>SUM($M$288:$M$288)</f>
        <v>2</v>
      </c>
    </row>
    <row r="288" spans="1:14" x14ac:dyDescent="0.3">
      <c r="A288" s="23" t="s">
        <v>708</v>
      </c>
      <c r="B288" s="70" t="s">
        <v>517</v>
      </c>
      <c r="C288" s="71"/>
      <c r="D288" s="71"/>
      <c r="E288" s="72"/>
      <c r="F288" s="5">
        <v>2</v>
      </c>
      <c r="G288" s="26"/>
      <c r="H288" s="5"/>
      <c r="I288" s="5"/>
      <c r="J288" s="5"/>
      <c r="K288" s="5" t="str">
        <f>IF(COUNTA(H288:J288)=2,ROUND(PRODUCT(H288:J288),2),"")</f>
        <v/>
      </c>
      <c r="L288" s="5" t="str">
        <f>IF(OR(AND(COUNTA(H288:J288)=3,K288=""),AND(COUNTA(H288:J288)=1,K288&lt;&gt;"")),ROUND(PRODUCT(H288:K288),2),"")</f>
        <v/>
      </c>
      <c r="M288" s="5">
        <f>IF(L288&lt;&gt;"",ROUND(PRODUCT(F288,G288,L288),2),IF(K288&lt;&gt;"",ROUND(PRODUCT(F288,G288,K288),2),ROUND(PRODUCT(F288:J288),2)))</f>
        <v>2</v>
      </c>
      <c r="N288" s="5"/>
    </row>
    <row r="289" spans="1:14" ht="28.8" x14ac:dyDescent="0.3">
      <c r="A289" s="23" t="s">
        <v>281</v>
      </c>
      <c r="B289" s="23" t="s">
        <v>640</v>
      </c>
      <c r="C289" s="23" t="str">
        <f>VLOOKUP(B289,CPU!$B:$J,2,FALSE)</f>
        <v>PRÓPRIA</v>
      </c>
      <c r="D289" s="24" t="str">
        <f>VLOOKUP(B289,CPU!$B:$J,3,FALSE)</f>
        <v>AQUISIÇÃO E ASSENTAMENTO DE TUBO RÍGIDO PVC, CLASSE 12, DN 60 MM, INCLUSO CONEXÕES</v>
      </c>
      <c r="E289" s="23" t="str">
        <f>VLOOKUP(B289,CPU!$B:$J,4,FALSE)</f>
        <v>M</v>
      </c>
      <c r="F289" s="23"/>
      <c r="G289" s="23"/>
      <c r="H289" s="23"/>
      <c r="I289" s="23"/>
      <c r="J289" s="23"/>
      <c r="K289" s="23"/>
      <c r="L289" s="23"/>
      <c r="M289" s="23"/>
      <c r="N289" s="5">
        <f>SUM($M$290:$M$290)</f>
        <v>22</v>
      </c>
    </row>
    <row r="290" spans="1:14" x14ac:dyDescent="0.3">
      <c r="A290" s="23" t="s">
        <v>709</v>
      </c>
      <c r="B290" s="70" t="s">
        <v>1618</v>
      </c>
      <c r="C290" s="71"/>
      <c r="D290" s="71"/>
      <c r="E290" s="72"/>
      <c r="F290" s="5">
        <v>22</v>
      </c>
      <c r="G290" s="26"/>
      <c r="H290" s="5"/>
      <c r="I290" s="5"/>
      <c r="J290" s="5"/>
      <c r="K290" s="5" t="str">
        <f>IF(COUNTA(H290:J290)=2,ROUND(PRODUCT(H290:J290),2),"")</f>
        <v/>
      </c>
      <c r="L290" s="5" t="str">
        <f>IF(OR(AND(COUNTA(H290:J290)=3,K290=""),AND(COUNTA(H290:J290)=1,K290&lt;&gt;"")),ROUND(PRODUCT(H290:K290),2),"")</f>
        <v/>
      </c>
      <c r="M290" s="5">
        <f>IF(L290&lt;&gt;"",ROUND(PRODUCT(F290,G290,L290),2),IF(K290&lt;&gt;"",ROUND(PRODUCT(F290,G290,K290),2),ROUND(PRODUCT(F290:J290),2)))</f>
        <v>22</v>
      </c>
      <c r="N290" s="5"/>
    </row>
    <row r="291" spans="1:14" x14ac:dyDescent="0.3">
      <c r="A291" s="12" t="s">
        <v>63</v>
      </c>
      <c r="B291" s="51" t="s">
        <v>634</v>
      </c>
      <c r="C291" s="52"/>
      <c r="D291" s="52"/>
      <c r="E291" s="52"/>
      <c r="F291" s="52"/>
      <c r="G291" s="52"/>
      <c r="H291" s="52"/>
      <c r="I291" s="52"/>
      <c r="J291" s="52"/>
      <c r="K291" s="52"/>
      <c r="L291" s="52"/>
      <c r="M291" s="52"/>
      <c r="N291" s="53"/>
    </row>
    <row r="292" spans="1:14" x14ac:dyDescent="0.3">
      <c r="A292" s="15" t="s">
        <v>64</v>
      </c>
      <c r="B292" s="48" t="s">
        <v>563</v>
      </c>
      <c r="C292" s="49"/>
      <c r="D292" s="49"/>
      <c r="E292" s="49"/>
      <c r="F292" s="49"/>
      <c r="G292" s="49"/>
      <c r="H292" s="49"/>
      <c r="I292" s="49"/>
      <c r="J292" s="49"/>
      <c r="K292" s="49"/>
      <c r="L292" s="49"/>
      <c r="M292" s="49"/>
      <c r="N292" s="50"/>
    </row>
    <row r="293" spans="1:14" ht="57.6" x14ac:dyDescent="0.3">
      <c r="A293" s="23" t="s">
        <v>282</v>
      </c>
      <c r="B293" s="23">
        <v>102314</v>
      </c>
      <c r="C293" s="23" t="str">
        <f>VLOOKUP(B293,CPU!$B:$J,2,FALSE)</f>
        <v>SINAPI</v>
      </c>
      <c r="D293" s="24" t="str">
        <f>VLOOKUP(B293,CPU!$B:$J,3,FALSE)</f>
        <v>ESCAVAÇÃO MECANIZADA DE VALA COM PROF. ATÉ 1,5 M (MÉDIA MONTANTE E JUSANTE/UMA COMPOSIÇÃO POR TRECHO),COM ESCAVADEIRA (0,8 M3), LARG. MENOR QUE 1,5 M, EM SOLO DE 2A CATEGORIA, LOCAIS COM BAIXO NÍVEL DE INTERFERÊNCIA. AF_09/2024</v>
      </c>
      <c r="E293" s="23" t="str">
        <f>VLOOKUP(B293,CPU!$B:$J,4,FALSE)</f>
        <v>M3</v>
      </c>
      <c r="F293" s="23"/>
      <c r="G293" s="23"/>
      <c r="H293" s="23"/>
      <c r="I293" s="23"/>
      <c r="J293" s="23"/>
      <c r="K293" s="23"/>
      <c r="L293" s="23"/>
      <c r="M293" s="23"/>
      <c r="N293" s="5">
        <f>SUM($M$294:$M$295)</f>
        <v>1403.36</v>
      </c>
    </row>
    <row r="294" spans="1:14" x14ac:dyDescent="0.3">
      <c r="A294" s="23" t="s">
        <v>710</v>
      </c>
      <c r="B294" s="70" t="s">
        <v>517</v>
      </c>
      <c r="C294" s="71"/>
      <c r="D294" s="71"/>
      <c r="E294" s="72"/>
      <c r="F294" s="5"/>
      <c r="G294" s="26"/>
      <c r="H294" s="5">
        <v>3472.7</v>
      </c>
      <c r="I294" s="5">
        <v>0.5</v>
      </c>
      <c r="J294" s="5">
        <v>0.8</v>
      </c>
      <c r="K294" s="5" t="str">
        <f>IF(COUNTA(H294:J294)=2,ROUND(PRODUCT(H294:J294),2),"")</f>
        <v/>
      </c>
      <c r="L294" s="5">
        <f>IF(OR(AND(COUNTA(H294:J294)=3,K294=""),AND(COUNTA(H294:J294)=1,K294&lt;&gt;"")),ROUND(PRODUCT(H294:K294),2),"")</f>
        <v>1389.08</v>
      </c>
      <c r="M294" s="5">
        <f>IF(L294&lt;&gt;"",ROUND(PRODUCT(F294,G294,L294),2),IF(K294&lt;&gt;"",ROUND(PRODUCT(F294,G294,K294),2),ROUND(PRODUCT(F294:J294),2)))</f>
        <v>1389.08</v>
      </c>
      <c r="N294" s="5"/>
    </row>
    <row r="295" spans="1:14" x14ac:dyDescent="0.3">
      <c r="A295" s="23" t="s">
        <v>711</v>
      </c>
      <c r="B295" s="70" t="s">
        <v>517</v>
      </c>
      <c r="C295" s="71"/>
      <c r="D295" s="71"/>
      <c r="E295" s="72"/>
      <c r="F295" s="5"/>
      <c r="G295" s="26">
        <v>17</v>
      </c>
      <c r="H295" s="5">
        <v>7</v>
      </c>
      <c r="I295" s="5">
        <v>0.3</v>
      </c>
      <c r="J295" s="5">
        <v>0.4</v>
      </c>
      <c r="K295" s="5" t="str">
        <f>IF(COUNTA(H295:J295)=2,ROUND(PRODUCT(H295:J295),2),"")</f>
        <v/>
      </c>
      <c r="L295" s="5">
        <f>IF(OR(AND(COUNTA(H295:J295)=3,K295=""),AND(COUNTA(H295:J295)=1,K295&lt;&gt;"")),ROUND(PRODUCT(H295:K295),2),"")</f>
        <v>0.84</v>
      </c>
      <c r="M295" s="5">
        <f>IF(L295&lt;&gt;"",ROUND(PRODUCT(F295,G295,L295),2),IF(K295&lt;&gt;"",ROUND(PRODUCT(F295,G295,K295),2),ROUND(PRODUCT(F295:J295),2)))</f>
        <v>14.28</v>
      </c>
      <c r="N295" s="5"/>
    </row>
    <row r="296" spans="1:14" ht="57.6" x14ac:dyDescent="0.3">
      <c r="A296" s="23" t="s">
        <v>283</v>
      </c>
      <c r="B296" s="23" t="s">
        <v>637</v>
      </c>
      <c r="C296" s="23" t="str">
        <f>VLOOKUP(B296,CPU!$B:$J,2,FALSE)</f>
        <v>PRÓPRIA</v>
      </c>
      <c r="D296" s="24" t="str">
        <f>VLOOKUP(B296,CPU!$B:$J,3,FALSE)</f>
        <v>REATERRO MECANIZADO DE VALA COM RETROESCAVADEIRA (CAPACIDADE DA CAÇAMBA DA RETRO: 0,26 M³/POTÊNCIA: 88 HP), LARGURA ATÉ 0,8 M, PROFUNDIDADE ATÉ 1,5 M, COM SOLO (SEM SUBSTITUIÇÃO) DE 1ª CATEGORIA. AF_08/2023 (REF: 104733-SINAPI-05/2025)</v>
      </c>
      <c r="E296" s="23" t="str">
        <f>VLOOKUP(B296,CPU!$B:$J,4,FALSE)</f>
        <v>M3</v>
      </c>
      <c r="F296" s="23"/>
      <c r="G296" s="23"/>
      <c r="H296" s="23"/>
      <c r="I296" s="23"/>
      <c r="J296" s="23"/>
      <c r="K296" s="23"/>
      <c r="L296" s="23"/>
      <c r="M296" s="23"/>
      <c r="N296" s="5">
        <f>SUM($M$297:$M$298)</f>
        <v>1403.36</v>
      </c>
    </row>
    <row r="297" spans="1:14" x14ac:dyDescent="0.3">
      <c r="A297" s="23" t="s">
        <v>712</v>
      </c>
      <c r="B297" s="70" t="s">
        <v>517</v>
      </c>
      <c r="C297" s="71"/>
      <c r="D297" s="71"/>
      <c r="E297" s="72"/>
      <c r="F297" s="5"/>
      <c r="G297" s="26"/>
      <c r="H297" s="5">
        <f>H294</f>
        <v>3472.7</v>
      </c>
      <c r="I297" s="5">
        <v>0.5</v>
      </c>
      <c r="J297" s="5">
        <v>0.8</v>
      </c>
      <c r="K297" s="5" t="str">
        <f>IF(COUNTA(H297:J297)=2,ROUND(PRODUCT(H297:J297),2),"")</f>
        <v/>
      </c>
      <c r="L297" s="5">
        <f>IF(OR(AND(COUNTA(H297:J297)=3,K297=""),AND(COUNTA(H297:J297)=1,K297&lt;&gt;"")),ROUND(PRODUCT(H297:K297),2),"")</f>
        <v>1389.08</v>
      </c>
      <c r="M297" s="5">
        <f>IF(L297&lt;&gt;"",ROUND(PRODUCT(F297,G297,L297),2),IF(K297&lt;&gt;"",ROUND(PRODUCT(F297,G297,K297),2),ROUND(PRODUCT(F297:J297),2)))</f>
        <v>1389.08</v>
      </c>
      <c r="N297" s="5"/>
    </row>
    <row r="298" spans="1:14" x14ac:dyDescent="0.3">
      <c r="A298" s="23" t="s">
        <v>713</v>
      </c>
      <c r="B298" s="70" t="s">
        <v>517</v>
      </c>
      <c r="C298" s="71"/>
      <c r="D298" s="71"/>
      <c r="E298" s="72"/>
      <c r="F298" s="5"/>
      <c r="G298" s="26">
        <v>17</v>
      </c>
      <c r="H298" s="5">
        <v>7</v>
      </c>
      <c r="I298" s="5">
        <v>0.3</v>
      </c>
      <c r="J298" s="5">
        <v>0.4</v>
      </c>
      <c r="K298" s="5" t="str">
        <f>IF(COUNTA(H298:J298)=2,ROUND(PRODUCT(H298:J298),2),"")</f>
        <v/>
      </c>
      <c r="L298" s="5">
        <f>IF(OR(AND(COUNTA(H298:J298)=3,K298=""),AND(COUNTA(H298:J298)=1,K298&lt;&gt;"")),ROUND(PRODUCT(H298:K298),2),"")</f>
        <v>0.84</v>
      </c>
      <c r="M298" s="5">
        <f>IF(L298&lt;&gt;"",ROUND(PRODUCT(F298,G298,L298),2),IF(K298&lt;&gt;"",ROUND(PRODUCT(F298,G298,K298),2),ROUND(PRODUCT(F298:J298),2)))</f>
        <v>14.28</v>
      </c>
      <c r="N298" s="5"/>
    </row>
    <row r="299" spans="1:14" x14ac:dyDescent="0.3">
      <c r="A299" s="15" t="s">
        <v>65</v>
      </c>
      <c r="B299" s="48" t="s">
        <v>625</v>
      </c>
      <c r="C299" s="49"/>
      <c r="D299" s="49"/>
      <c r="E299" s="49"/>
      <c r="F299" s="49"/>
      <c r="G299" s="49"/>
      <c r="H299" s="49"/>
      <c r="I299" s="49"/>
      <c r="J299" s="49"/>
      <c r="K299" s="49"/>
      <c r="L299" s="49"/>
      <c r="M299" s="49"/>
      <c r="N299" s="50"/>
    </row>
    <row r="300" spans="1:14" ht="28.8" x14ac:dyDescent="0.3">
      <c r="A300" s="23" t="s">
        <v>284</v>
      </c>
      <c r="B300" s="23" t="s">
        <v>640</v>
      </c>
      <c r="C300" s="23" t="str">
        <f>VLOOKUP(B300,CPU!$B:$J,2,FALSE)</f>
        <v>PRÓPRIA</v>
      </c>
      <c r="D300" s="24" t="str">
        <f>VLOOKUP(B300,CPU!$B:$J,3,FALSE)</f>
        <v>AQUISIÇÃO E ASSENTAMENTO DE TUBO RÍGIDO PVC, CLASSE 12, DN 60 MM, INCLUSO CONEXÕES</v>
      </c>
      <c r="E300" s="23" t="str">
        <f>VLOOKUP(B300,CPU!$B:$J,4,FALSE)</f>
        <v>M</v>
      </c>
      <c r="F300" s="23"/>
      <c r="G300" s="23"/>
      <c r="H300" s="23"/>
      <c r="I300" s="23"/>
      <c r="J300" s="23"/>
      <c r="K300" s="23"/>
      <c r="L300" s="23"/>
      <c r="M300" s="23"/>
      <c r="N300" s="5">
        <f>SUM($M$301:$M$301)</f>
        <v>3472.7</v>
      </c>
    </row>
    <row r="301" spans="1:14" x14ac:dyDescent="0.3">
      <c r="A301" s="23" t="s">
        <v>714</v>
      </c>
      <c r="B301" s="70" t="s">
        <v>517</v>
      </c>
      <c r="C301" s="71"/>
      <c r="D301" s="71"/>
      <c r="E301" s="72"/>
      <c r="F301" s="5"/>
      <c r="G301" s="26"/>
      <c r="H301" s="5">
        <f>H294</f>
        <v>3472.7</v>
      </c>
      <c r="I301" s="5"/>
      <c r="J301" s="5"/>
      <c r="K301" s="5" t="str">
        <f>IF(COUNTA(H301:J301)=2,ROUND(PRODUCT(H301:J301),2),"")</f>
        <v/>
      </c>
      <c r="L301" s="5" t="str">
        <f>IF(OR(AND(COUNTA(H301:J301)=3,K301=""),AND(COUNTA(H301:J301)=1,K301&lt;&gt;"")),ROUND(PRODUCT(H301:K301),2),"")</f>
        <v/>
      </c>
      <c r="M301" s="5">
        <f>IF(L301&lt;&gt;"",ROUND(PRODUCT(F301,G301,L301),2),IF(K301&lt;&gt;"",ROUND(PRODUCT(F301,G301,K301),2),ROUND(PRODUCT(F301:J301),2)))</f>
        <v>3472.7</v>
      </c>
      <c r="N301" s="5"/>
    </row>
    <row r="302" spans="1:14" x14ac:dyDescent="0.3">
      <c r="A302" s="23" t="s">
        <v>285</v>
      </c>
      <c r="B302" s="23" t="s">
        <v>642</v>
      </c>
      <c r="C302" s="23" t="str">
        <f>VLOOKUP(B302,CPU!$B:$J,2,FALSE)</f>
        <v>PRÓPRIA</v>
      </c>
      <c r="D302" s="24" t="str">
        <f>VLOOKUP(B302,CPU!$B:$J,3,FALSE)</f>
        <v>LIGAÇÃO DOMICILIAR</v>
      </c>
      <c r="E302" s="23" t="str">
        <f>VLOOKUP(B302,CPU!$B:$J,4,FALSE)</f>
        <v>UND</v>
      </c>
      <c r="F302" s="23"/>
      <c r="G302" s="23"/>
      <c r="H302" s="23"/>
      <c r="I302" s="23"/>
      <c r="J302" s="23"/>
      <c r="K302" s="23"/>
      <c r="L302" s="23"/>
      <c r="M302" s="23"/>
      <c r="N302" s="5">
        <f>SUM($M$303:$M$303)</f>
        <v>17</v>
      </c>
    </row>
    <row r="303" spans="1:14" x14ac:dyDescent="0.3">
      <c r="A303" s="23" t="s">
        <v>715</v>
      </c>
      <c r="B303" s="70" t="s">
        <v>517</v>
      </c>
      <c r="C303" s="71"/>
      <c r="D303" s="71"/>
      <c r="E303" s="72"/>
      <c r="F303" s="5">
        <v>17</v>
      </c>
      <c r="G303" s="26"/>
      <c r="H303" s="5"/>
      <c r="I303" s="5"/>
      <c r="J303" s="5"/>
      <c r="K303" s="5" t="str">
        <f>IF(COUNTA(H303:J303)=2,ROUND(PRODUCT(H303:J303),2),"")</f>
        <v/>
      </c>
      <c r="L303" s="5" t="str">
        <f>IF(OR(AND(COUNTA(H303:J303)=3,K303=""),AND(COUNTA(H303:J303)=1,K303&lt;&gt;"")),ROUND(PRODUCT(H303:K303),2),"")</f>
        <v/>
      </c>
      <c r="M303" s="5">
        <f>IF(L303&lt;&gt;"",ROUND(PRODUCT(F303,G303,L303),2),IF(K303&lt;&gt;"",ROUND(PRODUCT(F303,G303,K303),2),ROUND(PRODUCT(F303:J303),2)))</f>
        <v>17</v>
      </c>
      <c r="N303" s="5"/>
    </row>
    <row r="304" spans="1:14" x14ac:dyDescent="0.3">
      <c r="A304" s="9">
        <v>4</v>
      </c>
      <c r="B304" s="54" t="s">
        <v>716</v>
      </c>
      <c r="C304" s="55"/>
      <c r="D304" s="55"/>
      <c r="E304" s="55"/>
      <c r="F304" s="55"/>
      <c r="G304" s="55"/>
      <c r="H304" s="55"/>
      <c r="I304" s="55"/>
      <c r="J304" s="55"/>
      <c r="K304" s="55"/>
      <c r="L304" s="55"/>
      <c r="M304" s="55"/>
      <c r="N304" s="56"/>
    </row>
    <row r="305" spans="1:14" x14ac:dyDescent="0.3">
      <c r="A305" s="12" t="s">
        <v>66</v>
      </c>
      <c r="B305" s="51" t="s">
        <v>521</v>
      </c>
      <c r="C305" s="52"/>
      <c r="D305" s="52"/>
      <c r="E305" s="52"/>
      <c r="F305" s="52"/>
      <c r="G305" s="52"/>
      <c r="H305" s="52"/>
      <c r="I305" s="52"/>
      <c r="J305" s="52"/>
      <c r="K305" s="52"/>
      <c r="L305" s="52"/>
      <c r="M305" s="52"/>
      <c r="N305" s="53"/>
    </row>
    <row r="306" spans="1:14" x14ac:dyDescent="0.3">
      <c r="A306" s="23" t="s">
        <v>286</v>
      </c>
      <c r="B306" s="23" t="s">
        <v>522</v>
      </c>
      <c r="C306" s="23" t="str">
        <f>VLOOKUP(B306,CPU!$B:$J,2,FALSE)</f>
        <v>PRÓPRIA</v>
      </c>
      <c r="D306" s="24" t="str">
        <f>VLOOKUP(B306,CPU!$B:$J,3,FALSE)</f>
        <v>LOCAÇÃO DO POÇO COM ESTUDO GEOLÓGICO/HIDROGEOLÓGICO/GEOFÍSICO</v>
      </c>
      <c r="E306" s="23" t="str">
        <f>VLOOKUP(B306,CPU!$B:$J,4,FALSE)</f>
        <v>UN</v>
      </c>
      <c r="F306" s="23"/>
      <c r="G306" s="23"/>
      <c r="H306" s="23"/>
      <c r="I306" s="23"/>
      <c r="J306" s="23"/>
      <c r="K306" s="23"/>
      <c r="L306" s="23"/>
      <c r="M306" s="23"/>
      <c r="N306" s="5">
        <f>SUM($M$307:$M$307)</f>
        <v>1</v>
      </c>
    </row>
    <row r="307" spans="1:14" x14ac:dyDescent="0.3">
      <c r="A307" s="23" t="s">
        <v>717</v>
      </c>
      <c r="B307" s="70" t="s">
        <v>517</v>
      </c>
      <c r="C307" s="71"/>
      <c r="D307" s="71"/>
      <c r="E307" s="72"/>
      <c r="F307" s="5">
        <v>1</v>
      </c>
      <c r="G307" s="26"/>
      <c r="H307" s="5"/>
      <c r="I307" s="5"/>
      <c r="J307" s="5"/>
      <c r="K307" s="5" t="str">
        <f>IF(COUNTA(H307:J307)=2,ROUND(PRODUCT(H307:J307),2),"")</f>
        <v/>
      </c>
      <c r="L307" s="5" t="str">
        <f>IF(OR(AND(COUNTA(H307:J307)=3,K307=""),AND(COUNTA(H307:J307)=1,K307&lt;&gt;"")),ROUND(PRODUCT(H307:K307),2),"")</f>
        <v/>
      </c>
      <c r="M307" s="5">
        <f>IF(L307&lt;&gt;"",ROUND(PRODUCT(F307,G307,L307),2),IF(K307&lt;&gt;"",ROUND(PRODUCT(F307,G307,K307),2),ROUND(PRODUCT(F307:J307),2)))</f>
        <v>1</v>
      </c>
      <c r="N307" s="5"/>
    </row>
    <row r="308" spans="1:14" x14ac:dyDescent="0.3">
      <c r="A308" s="23" t="s">
        <v>287</v>
      </c>
      <c r="B308" s="23" t="s">
        <v>524</v>
      </c>
      <c r="C308" s="23" t="str">
        <f>VLOOKUP(B308,CPU!$B:$J,2,FALSE)</f>
        <v>PRÓPRIA</v>
      </c>
      <c r="D308" s="24" t="str">
        <f>VLOOKUP(B308,CPU!$B:$J,3,FALSE)</f>
        <v>TRANSPORTE DE MÁQUINAS E EQUIPAMENTOS</v>
      </c>
      <c r="E308" s="23" t="str">
        <f>VLOOKUP(B308,CPU!$B:$J,4,FALSE)</f>
        <v>KM</v>
      </c>
      <c r="F308" s="23"/>
      <c r="G308" s="23"/>
      <c r="H308" s="23"/>
      <c r="I308" s="23"/>
      <c r="J308" s="23"/>
      <c r="K308" s="23"/>
      <c r="L308" s="23"/>
      <c r="M308" s="23"/>
      <c r="N308" s="5">
        <f>SUM($M$309:$M$309)</f>
        <v>280</v>
      </c>
    </row>
    <row r="309" spans="1:14" x14ac:dyDescent="0.3">
      <c r="A309" s="23" t="s">
        <v>718</v>
      </c>
      <c r="B309" s="70" t="s">
        <v>647</v>
      </c>
      <c r="C309" s="71"/>
      <c r="D309" s="71"/>
      <c r="E309" s="72"/>
      <c r="F309" s="5">
        <v>280</v>
      </c>
      <c r="G309" s="26"/>
      <c r="H309" s="5"/>
      <c r="I309" s="5"/>
      <c r="J309" s="5"/>
      <c r="K309" s="5" t="str">
        <f>IF(COUNTA(H309:J309)=2,ROUND(PRODUCT(H309:J309),2),"")</f>
        <v/>
      </c>
      <c r="L309" s="5" t="str">
        <f>IF(OR(AND(COUNTA(H309:J309)=3,K309=""),AND(COUNTA(H309:J309)=1,K309&lt;&gt;"")),ROUND(PRODUCT(H309:K309),2),"")</f>
        <v/>
      </c>
      <c r="M309" s="5">
        <f>IF(L309&lt;&gt;"",ROUND(PRODUCT(F309,G309,L309),2),IF(K309&lt;&gt;"",ROUND(PRODUCT(F309,G309,K309),2),ROUND(PRODUCT(F309:J309),2)))</f>
        <v>280</v>
      </c>
      <c r="N309" s="5"/>
    </row>
    <row r="310" spans="1:14" x14ac:dyDescent="0.3">
      <c r="A310" s="23" t="s">
        <v>288</v>
      </c>
      <c r="B310" s="23" t="s">
        <v>524</v>
      </c>
      <c r="C310" s="23" t="str">
        <f>VLOOKUP(B310,CPU!$B:$J,2,FALSE)</f>
        <v>PRÓPRIA</v>
      </c>
      <c r="D310" s="24" t="str">
        <f>VLOOKUP(B310,CPU!$B:$J,3,FALSE)</f>
        <v>TRANSPORTE DE MÁQUINAS E EQUIPAMENTOS</v>
      </c>
      <c r="E310" s="23" t="str">
        <f>VLOOKUP(B310,CPU!$B:$J,4,FALSE)</f>
        <v>KM</v>
      </c>
      <c r="F310" s="23"/>
      <c r="G310" s="23"/>
      <c r="H310" s="23"/>
      <c r="I310" s="23"/>
      <c r="J310" s="23"/>
      <c r="K310" s="23"/>
      <c r="L310" s="23"/>
      <c r="M310" s="23"/>
      <c r="N310" s="5">
        <f>SUM($M$311:$M$311)</f>
        <v>280</v>
      </c>
    </row>
    <row r="311" spans="1:14" x14ac:dyDescent="0.3">
      <c r="A311" s="23" t="s">
        <v>719</v>
      </c>
      <c r="B311" s="70" t="s">
        <v>649</v>
      </c>
      <c r="C311" s="71"/>
      <c r="D311" s="71"/>
      <c r="E311" s="72"/>
      <c r="F311" s="5">
        <v>280</v>
      </c>
      <c r="G311" s="26"/>
      <c r="H311" s="5"/>
      <c r="I311" s="5"/>
      <c r="J311" s="5"/>
      <c r="K311" s="5" t="str">
        <f>IF(COUNTA(H311:J311)=2,ROUND(PRODUCT(H311:J311),2),"")</f>
        <v/>
      </c>
      <c r="L311" s="5" t="str">
        <f>IF(OR(AND(COUNTA(H311:J311)=3,K311=""),AND(COUNTA(H311:J311)=1,K311&lt;&gt;"")),ROUND(PRODUCT(H311:K311),2),"")</f>
        <v/>
      </c>
      <c r="M311" s="5">
        <f>IF(L311&lt;&gt;"",ROUND(PRODUCT(F311,G311,L311),2),IF(K311&lt;&gt;"",ROUND(PRODUCT(F311,G311,K311),2),ROUND(PRODUCT(F311:J311),2)))</f>
        <v>280</v>
      </c>
      <c r="N311" s="5"/>
    </row>
    <row r="312" spans="1:14" x14ac:dyDescent="0.3">
      <c r="A312" s="23" t="s">
        <v>289</v>
      </c>
      <c r="B312" s="23" t="s">
        <v>528</v>
      </c>
      <c r="C312" s="23" t="str">
        <f>VLOOKUP(B312,CPU!$B:$J,2,FALSE)</f>
        <v>PRÓPRIA</v>
      </c>
      <c r="D312" s="24" t="str">
        <f>VLOOKUP(B312,CPU!$B:$J,3,FALSE)</f>
        <v>PERFILAGEM ÓTICA</v>
      </c>
      <c r="E312" s="23" t="str">
        <f>VLOOKUP(B312,CPU!$B:$J,4,FALSE)</f>
        <v>UN</v>
      </c>
      <c r="F312" s="23"/>
      <c r="G312" s="23"/>
      <c r="H312" s="23"/>
      <c r="I312" s="23"/>
      <c r="J312" s="23"/>
      <c r="K312" s="23"/>
      <c r="L312" s="23"/>
      <c r="M312" s="23"/>
      <c r="N312" s="5">
        <f>SUM($M$313:$M$313)</f>
        <v>1</v>
      </c>
    </row>
    <row r="313" spans="1:14" x14ac:dyDescent="0.3">
      <c r="A313" s="23" t="s">
        <v>720</v>
      </c>
      <c r="B313" s="70" t="s">
        <v>517</v>
      </c>
      <c r="C313" s="71"/>
      <c r="D313" s="71"/>
      <c r="E313" s="72"/>
      <c r="F313" s="5">
        <v>1</v>
      </c>
      <c r="G313" s="26"/>
      <c r="H313" s="5"/>
      <c r="I313" s="5"/>
      <c r="J313" s="5"/>
      <c r="K313" s="5" t="str">
        <f>IF(COUNTA(H313:J313)=2,ROUND(PRODUCT(H313:J313),2),"")</f>
        <v/>
      </c>
      <c r="L313" s="5" t="str">
        <f>IF(OR(AND(COUNTA(H313:J313)=3,K313=""),AND(COUNTA(H313:J313)=1,K313&lt;&gt;"")),ROUND(PRODUCT(H313:K313),2),"")</f>
        <v/>
      </c>
      <c r="M313" s="5">
        <f>IF(L313&lt;&gt;"",ROUND(PRODUCT(F313,G313,L313),2),IF(K313&lt;&gt;"",ROUND(PRODUCT(F313,G313,K313),2),ROUND(PRODUCT(F313:J313),2)))</f>
        <v>1</v>
      </c>
      <c r="N313" s="5"/>
    </row>
    <row r="314" spans="1:14" x14ac:dyDescent="0.3">
      <c r="A314" s="23" t="s">
        <v>290</v>
      </c>
      <c r="B314" s="23" t="s">
        <v>530</v>
      </c>
      <c r="C314" s="23" t="str">
        <f>VLOOKUP(B314,CPU!$B:$J,2,FALSE)</f>
        <v>PRÓPRIA</v>
      </c>
      <c r="D314" s="24" t="str">
        <f>VLOOKUP(B314,CPU!$B:$J,3,FALSE)</f>
        <v>PERFURAÇÃO EM ROCHA SEDIMENTAR DN 10" (REF: 06230/ORSE-ORSE-04/2025)</v>
      </c>
      <c r="E314" s="23" t="str">
        <f>VLOOKUP(B314,CPU!$B:$J,4,FALSE)</f>
        <v>M</v>
      </c>
      <c r="F314" s="23"/>
      <c r="G314" s="23"/>
      <c r="H314" s="23"/>
      <c r="I314" s="23"/>
      <c r="J314" s="23"/>
      <c r="K314" s="23"/>
      <c r="L314" s="23"/>
      <c r="M314" s="23"/>
      <c r="N314" s="5">
        <f>SUM($M$315:$M$315)</f>
        <v>20</v>
      </c>
    </row>
    <row r="315" spans="1:14" x14ac:dyDescent="0.3">
      <c r="A315" s="23" t="s">
        <v>721</v>
      </c>
      <c r="B315" s="70" t="s">
        <v>532</v>
      </c>
      <c r="C315" s="71"/>
      <c r="D315" s="71"/>
      <c r="E315" s="72"/>
      <c r="F315" s="5">
        <v>20</v>
      </c>
      <c r="G315" s="26"/>
      <c r="H315" s="5"/>
      <c r="I315" s="5"/>
      <c r="J315" s="5"/>
      <c r="K315" s="5" t="str">
        <f>IF(COUNTA(H315:J315)=2,ROUND(PRODUCT(H315:J315),2),"")</f>
        <v/>
      </c>
      <c r="L315" s="5" t="str">
        <f>IF(OR(AND(COUNTA(H315:J315)=3,K315=""),AND(COUNTA(H315:J315)=1,K315&lt;&gt;"")),ROUND(PRODUCT(H315:K315),2),"")</f>
        <v/>
      </c>
      <c r="M315" s="5">
        <f>IF(L315&lt;&gt;"",ROUND(PRODUCT(F315,G315,L315),2),IF(K315&lt;&gt;"",ROUND(PRODUCT(F315,G315,K315),2),ROUND(PRODUCT(F315:J315),2)))</f>
        <v>20</v>
      </c>
      <c r="N315" s="5"/>
    </row>
    <row r="316" spans="1:14" x14ac:dyDescent="0.3">
      <c r="A316" s="23" t="s">
        <v>291</v>
      </c>
      <c r="B316" s="23" t="s">
        <v>533</v>
      </c>
      <c r="C316" s="23" t="str">
        <f>VLOOKUP(B316,CPU!$B:$J,2,FALSE)</f>
        <v>PRÓPRIA</v>
      </c>
      <c r="D316" s="24" t="str">
        <f>VLOOKUP(B316,CPU!$B:$J,3,FALSE)</f>
        <v>PERFURAÇÃO EM ROCHA CRISTALINA DN 6" (REF: 06237/ORSE-ORSE-04/2025)</v>
      </c>
      <c r="E316" s="23" t="str">
        <f>VLOOKUP(B316,CPU!$B:$J,4,FALSE)</f>
        <v>M</v>
      </c>
      <c r="F316" s="23"/>
      <c r="G316" s="23"/>
      <c r="H316" s="23"/>
      <c r="I316" s="23"/>
      <c r="J316" s="23"/>
      <c r="K316" s="23"/>
      <c r="L316" s="23"/>
      <c r="M316" s="23"/>
      <c r="N316" s="5">
        <f>SUM($M$317:$M$317)</f>
        <v>80</v>
      </c>
    </row>
    <row r="317" spans="1:14" x14ac:dyDescent="0.3">
      <c r="A317" s="23" t="s">
        <v>722</v>
      </c>
      <c r="B317" s="70" t="s">
        <v>532</v>
      </c>
      <c r="C317" s="71"/>
      <c r="D317" s="71"/>
      <c r="E317" s="72"/>
      <c r="F317" s="5">
        <v>80</v>
      </c>
      <c r="G317" s="26"/>
      <c r="H317" s="5"/>
      <c r="I317" s="5"/>
      <c r="J317" s="5"/>
      <c r="K317" s="5" t="str">
        <f>IF(COUNTA(H317:J317)=2,ROUND(PRODUCT(H317:J317),2),"")</f>
        <v/>
      </c>
      <c r="L317" s="5" t="str">
        <f>IF(OR(AND(COUNTA(H317:J317)=3,K317=""),AND(COUNTA(H317:J317)=1,K317&lt;&gt;"")),ROUND(PRODUCT(H317:K317),2),"")</f>
        <v/>
      </c>
      <c r="M317" s="5">
        <f>IF(L317&lt;&gt;"",ROUND(PRODUCT(F317,G317,L317),2),IF(K317&lt;&gt;"",ROUND(PRODUCT(F317,G317,K317),2),ROUND(PRODUCT(F317:J317),2)))</f>
        <v>80</v>
      </c>
      <c r="N317" s="5"/>
    </row>
    <row r="318" spans="1:14" x14ac:dyDescent="0.3">
      <c r="A318" s="23" t="s">
        <v>292</v>
      </c>
      <c r="B318" s="23" t="s">
        <v>535</v>
      </c>
      <c r="C318" s="23" t="str">
        <f>VLOOKUP(B318,CPU!$B:$J,2,FALSE)</f>
        <v>PRÓPRIA</v>
      </c>
      <c r="D318" s="24" t="str">
        <f>VLOOKUP(B318,CPU!$B:$J,3,FALSE)</f>
        <v>CIMENTAÇÃO SANITÁRIA</v>
      </c>
      <c r="E318" s="23" t="str">
        <f>VLOOKUP(B318,CPU!$B:$J,4,FALSE)</f>
        <v>M</v>
      </c>
      <c r="F318" s="23"/>
      <c r="G318" s="23"/>
      <c r="H318" s="23"/>
      <c r="I318" s="23"/>
      <c r="J318" s="23"/>
      <c r="K318" s="23"/>
      <c r="L318" s="23"/>
      <c r="M318" s="23"/>
      <c r="N318" s="5">
        <f>SUM($M$319:$M$319)</f>
        <v>10</v>
      </c>
    </row>
    <row r="319" spans="1:14" x14ac:dyDescent="0.3">
      <c r="A319" s="23" t="s">
        <v>723</v>
      </c>
      <c r="B319" s="70" t="s">
        <v>517</v>
      </c>
      <c r="C319" s="71"/>
      <c r="D319" s="71"/>
      <c r="E319" s="72"/>
      <c r="F319" s="5">
        <v>10</v>
      </c>
      <c r="G319" s="26"/>
      <c r="H319" s="5"/>
      <c r="I319" s="5"/>
      <c r="J319" s="5"/>
      <c r="K319" s="5" t="str">
        <f>IF(COUNTA(H319:J319)=2,ROUND(PRODUCT(H319:J319),2),"")</f>
        <v/>
      </c>
      <c r="L319" s="5" t="str">
        <f>IF(OR(AND(COUNTA(H319:J319)=3,K319=""),AND(COUNTA(H319:J319)=1,K319&lt;&gt;"")),ROUND(PRODUCT(H319:K319),2),"")</f>
        <v/>
      </c>
      <c r="M319" s="5">
        <f>IF(L319&lt;&gt;"",ROUND(PRODUCT(F319,G319,L319),2),IF(K319&lt;&gt;"",ROUND(PRODUCT(F319,G319,K319),2),ROUND(PRODUCT(F319:J319),2)))</f>
        <v>10</v>
      </c>
      <c r="N319" s="5"/>
    </row>
    <row r="320" spans="1:14" x14ac:dyDescent="0.3">
      <c r="A320" s="23" t="s">
        <v>293</v>
      </c>
      <c r="B320" s="23" t="s">
        <v>537</v>
      </c>
      <c r="C320" s="23" t="str">
        <f>VLOOKUP(B320,CPU!$B:$J,2,FALSE)</f>
        <v>PRÓPRIA</v>
      </c>
      <c r="D320" s="24" t="str">
        <f>VLOOKUP(B320,CPU!$B:$J,3,FALSE)</f>
        <v>LAJE DE PROTEÇÃO EM CONCRETO (1,0 M X 1,0 M X 0,15 M)</v>
      </c>
      <c r="E320" s="23" t="str">
        <f>VLOOKUP(B320,CPU!$B:$J,4,FALSE)</f>
        <v>M³</v>
      </c>
      <c r="F320" s="23"/>
      <c r="G320" s="23"/>
      <c r="H320" s="23"/>
      <c r="I320" s="23"/>
      <c r="J320" s="23"/>
      <c r="K320" s="23"/>
      <c r="L320" s="23"/>
      <c r="M320" s="23"/>
      <c r="N320" s="5">
        <f>SUM($M$321:$M$321)</f>
        <v>0.15</v>
      </c>
    </row>
    <row r="321" spans="1:14" x14ac:dyDescent="0.3">
      <c r="A321" s="23" t="s">
        <v>724</v>
      </c>
      <c r="B321" s="70" t="s">
        <v>517</v>
      </c>
      <c r="C321" s="71"/>
      <c r="D321" s="71"/>
      <c r="E321" s="72"/>
      <c r="F321" s="5"/>
      <c r="G321" s="26"/>
      <c r="H321" s="5">
        <v>1</v>
      </c>
      <c r="I321" s="5">
        <v>1</v>
      </c>
      <c r="J321" s="5">
        <v>0.15</v>
      </c>
      <c r="K321" s="5" t="str">
        <f>IF(COUNTA(H321:J321)=2,ROUND(PRODUCT(H321:J321),2),"")</f>
        <v/>
      </c>
      <c r="L321" s="5">
        <f>IF(OR(AND(COUNTA(H321:J321)=3,K321=""),AND(COUNTA(H321:J321)=1,K321&lt;&gt;"")),ROUND(PRODUCT(H321:K321),2),"")</f>
        <v>0.15</v>
      </c>
      <c r="M321" s="5">
        <f>IF(L321&lt;&gt;"",ROUND(PRODUCT(F321,G321,L321),2),IF(K321&lt;&gt;"",ROUND(PRODUCT(F321,G321,K321),2),ROUND(PRODUCT(F321:J321),2)))</f>
        <v>0.15</v>
      </c>
      <c r="N321" s="5"/>
    </row>
    <row r="322" spans="1:14" x14ac:dyDescent="0.3">
      <c r="A322" s="23" t="s">
        <v>294</v>
      </c>
      <c r="B322" s="23" t="s">
        <v>539</v>
      </c>
      <c r="C322" s="23" t="str">
        <f>VLOOKUP(B322,CPU!$B:$J,2,FALSE)</f>
        <v>PRÓPRIA</v>
      </c>
      <c r="D322" s="24" t="str">
        <f>VLOOKUP(B322,CPU!$B:$J,3,FALSE)</f>
        <v>DESENVOLVIMENTO COM BOMBA SUBMERSA</v>
      </c>
      <c r="E322" s="23" t="str">
        <f>VLOOKUP(B322,CPU!$B:$J,4,FALSE)</f>
        <v>H</v>
      </c>
      <c r="F322" s="23"/>
      <c r="G322" s="23"/>
      <c r="H322" s="23"/>
      <c r="I322" s="23"/>
      <c r="J322" s="23"/>
      <c r="K322" s="23"/>
      <c r="L322" s="23"/>
      <c r="M322" s="23"/>
      <c r="N322" s="5">
        <f>SUM($M$323:$M$323)</f>
        <v>6</v>
      </c>
    </row>
    <row r="323" spans="1:14" x14ac:dyDescent="0.3">
      <c r="A323" s="23" t="s">
        <v>725</v>
      </c>
      <c r="B323" s="70" t="s">
        <v>517</v>
      </c>
      <c r="C323" s="71"/>
      <c r="D323" s="71"/>
      <c r="E323" s="72"/>
      <c r="F323" s="5">
        <v>6</v>
      </c>
      <c r="G323" s="26"/>
      <c r="H323" s="5"/>
      <c r="I323" s="5"/>
      <c r="J323" s="5"/>
      <c r="K323" s="5" t="str">
        <f>IF(COUNTA(H323:J323)=2,ROUND(PRODUCT(H323:J323),2),"")</f>
        <v/>
      </c>
      <c r="L323" s="5" t="str">
        <f>IF(OR(AND(COUNTA(H323:J323)=3,K323=""),AND(COUNTA(H323:J323)=1,K323&lt;&gt;"")),ROUND(PRODUCT(H323:K323),2),"")</f>
        <v/>
      </c>
      <c r="M323" s="5">
        <f>IF(L323&lt;&gt;"",ROUND(PRODUCT(F323,G323,L323),2),IF(K323&lt;&gt;"",ROUND(PRODUCT(F323,G323,K323),2),ROUND(PRODUCT(F323:J323),2)))</f>
        <v>6</v>
      </c>
      <c r="N323" s="5"/>
    </row>
    <row r="324" spans="1:14" x14ac:dyDescent="0.3">
      <c r="A324" s="23" t="s">
        <v>295</v>
      </c>
      <c r="B324" s="23" t="s">
        <v>541</v>
      </c>
      <c r="C324" s="23" t="str">
        <f>VLOOKUP(B324,CPU!$B:$J,2,FALSE)</f>
        <v>PRÓPRIA</v>
      </c>
      <c r="D324" s="24" t="str">
        <f>VLOOKUP(B324,CPU!$B:$J,3,FALSE)</f>
        <v>TESTE VAZÃO COM BOMBA SUBMERSA</v>
      </c>
      <c r="E324" s="23" t="str">
        <f>VLOOKUP(B324,CPU!$B:$J,4,FALSE)</f>
        <v>H</v>
      </c>
      <c r="F324" s="23"/>
      <c r="G324" s="23"/>
      <c r="H324" s="23"/>
      <c r="I324" s="23"/>
      <c r="J324" s="23"/>
      <c r="K324" s="23"/>
      <c r="L324" s="23"/>
      <c r="M324" s="23"/>
      <c r="N324" s="5">
        <f>SUM($M$325:$M$325)</f>
        <v>24</v>
      </c>
    </row>
    <row r="325" spans="1:14" x14ac:dyDescent="0.3">
      <c r="A325" s="23" t="s">
        <v>726</v>
      </c>
      <c r="B325" s="70" t="s">
        <v>517</v>
      </c>
      <c r="C325" s="71"/>
      <c r="D325" s="71"/>
      <c r="E325" s="72"/>
      <c r="F325" s="5">
        <v>24</v>
      </c>
      <c r="G325" s="26"/>
      <c r="H325" s="5"/>
      <c r="I325" s="5"/>
      <c r="J325" s="5"/>
      <c r="K325" s="5" t="str">
        <f>IF(COUNTA(H325:J325)=2,ROUND(PRODUCT(H325:J325),2),"")</f>
        <v/>
      </c>
      <c r="L325" s="5" t="str">
        <f>IF(OR(AND(COUNTA(H325:J325)=3,K325=""),AND(COUNTA(H325:J325)=1,K325&lt;&gt;"")),ROUND(PRODUCT(H325:K325),2),"")</f>
        <v/>
      </c>
      <c r="M325" s="5">
        <f>IF(L325&lt;&gt;"",ROUND(PRODUCT(F325,G325,L325),2),IF(K325&lt;&gt;"",ROUND(PRODUCT(F325,G325,K325),2),ROUND(PRODUCT(F325:J325),2)))</f>
        <v>24</v>
      </c>
      <c r="N325" s="5"/>
    </row>
    <row r="326" spans="1:14" x14ac:dyDescent="0.3">
      <c r="A326" s="23" t="s">
        <v>296</v>
      </c>
      <c r="B326" s="23" t="s">
        <v>543</v>
      </c>
      <c r="C326" s="23" t="str">
        <f>VLOOKUP(B326,CPU!$B:$J,2,FALSE)</f>
        <v>PRÓPRIA</v>
      </c>
      <c r="D326" s="24" t="str">
        <f>VLOOKUP(B326,CPU!$B:$J,3,FALSE)</f>
        <v>DESINFECÇÃO</v>
      </c>
      <c r="E326" s="23" t="str">
        <f>VLOOKUP(B326,CPU!$B:$J,4,FALSE)</f>
        <v>H</v>
      </c>
      <c r="F326" s="23"/>
      <c r="G326" s="23"/>
      <c r="H326" s="23"/>
      <c r="I326" s="23"/>
      <c r="J326" s="23"/>
      <c r="K326" s="23"/>
      <c r="L326" s="23"/>
      <c r="M326" s="23"/>
      <c r="N326" s="5">
        <f>SUM($M$327:$M$327)</f>
        <v>4</v>
      </c>
    </row>
    <row r="327" spans="1:14" x14ac:dyDescent="0.3">
      <c r="A327" s="23" t="s">
        <v>727</v>
      </c>
      <c r="B327" s="70" t="s">
        <v>517</v>
      </c>
      <c r="C327" s="71"/>
      <c r="D327" s="71"/>
      <c r="E327" s="72"/>
      <c r="F327" s="5">
        <v>4</v>
      </c>
      <c r="G327" s="26"/>
      <c r="H327" s="5"/>
      <c r="I327" s="5"/>
      <c r="J327" s="5"/>
      <c r="K327" s="5" t="str">
        <f>IF(COUNTA(H327:J327)=2,ROUND(PRODUCT(H327:J327),2),"")</f>
        <v/>
      </c>
      <c r="L327" s="5" t="str">
        <f>IF(OR(AND(COUNTA(H327:J327)=3,K327=""),AND(COUNTA(H327:J327)=1,K327&lt;&gt;"")),ROUND(PRODUCT(H327:K327),2),"")</f>
        <v/>
      </c>
      <c r="M327" s="5">
        <f>IF(L327&lt;&gt;"",ROUND(PRODUCT(F327,G327,L327),2),IF(K327&lt;&gt;"",ROUND(PRODUCT(F327,G327,K327),2),ROUND(PRODUCT(F327:J327),2)))</f>
        <v>4</v>
      </c>
      <c r="N327" s="5"/>
    </row>
    <row r="328" spans="1:14" x14ac:dyDescent="0.3">
      <c r="A328" s="23" t="s">
        <v>297</v>
      </c>
      <c r="B328" s="23" t="s">
        <v>545</v>
      </c>
      <c r="C328" s="23" t="str">
        <f>VLOOKUP(B328,CPU!$B:$J,2,FALSE)</f>
        <v>PRÓPRIA</v>
      </c>
      <c r="D328" s="24" t="str">
        <f>VLOOKUP(B328,CPU!$B:$J,3,FALSE)</f>
        <v>RELATÓRIO TÉCNICO</v>
      </c>
      <c r="E328" s="23" t="str">
        <f>VLOOKUP(B328,CPU!$B:$J,4,FALSE)</f>
        <v>UN</v>
      </c>
      <c r="F328" s="23"/>
      <c r="G328" s="23"/>
      <c r="H328" s="23"/>
      <c r="I328" s="23"/>
      <c r="J328" s="23"/>
      <c r="K328" s="23"/>
      <c r="L328" s="23"/>
      <c r="M328" s="23"/>
      <c r="N328" s="5">
        <f>SUM($M$329:$M$329)</f>
        <v>1</v>
      </c>
    </row>
    <row r="329" spans="1:14" x14ac:dyDescent="0.3">
      <c r="A329" s="23" t="s">
        <v>728</v>
      </c>
      <c r="B329" s="70" t="s">
        <v>517</v>
      </c>
      <c r="C329" s="71"/>
      <c r="D329" s="71"/>
      <c r="E329" s="72"/>
      <c r="F329" s="5">
        <v>1</v>
      </c>
      <c r="G329" s="26"/>
      <c r="H329" s="5"/>
      <c r="I329" s="5"/>
      <c r="J329" s="5"/>
      <c r="K329" s="5" t="str">
        <f>IF(COUNTA(H329:J329)=2,ROUND(PRODUCT(H329:J329),2),"")</f>
        <v/>
      </c>
      <c r="L329" s="5" t="str">
        <f>IF(OR(AND(COUNTA(H329:J329)=3,K329=""),AND(COUNTA(H329:J329)=1,K329&lt;&gt;"")),ROUND(PRODUCT(H329:K329),2),"")</f>
        <v/>
      </c>
      <c r="M329" s="5">
        <f>IF(L329&lt;&gt;"",ROUND(PRODUCT(F329,G329,L329),2),IF(K329&lt;&gt;"",ROUND(PRODUCT(F329,G329,K329),2),ROUND(PRODUCT(F329:J329),2)))</f>
        <v>1</v>
      </c>
      <c r="N329" s="5"/>
    </row>
    <row r="330" spans="1:14" x14ac:dyDescent="0.3">
      <c r="A330" s="23" t="s">
        <v>298</v>
      </c>
      <c r="B330" s="23" t="s">
        <v>547</v>
      </c>
      <c r="C330" s="23" t="str">
        <f>VLOOKUP(B330,CPU!$B:$J,2,FALSE)</f>
        <v>PRÓPRIA</v>
      </c>
      <c r="D330" s="24" t="str">
        <f>VLOOKUP(B330,CPU!$B:$J,3,FALSE)</f>
        <v>ANÁLISE FÍSICO-QUÍMICA DA ÁGUA</v>
      </c>
      <c r="E330" s="23" t="str">
        <f>VLOOKUP(B330,CPU!$B:$J,4,FALSE)</f>
        <v>UN</v>
      </c>
      <c r="F330" s="23"/>
      <c r="G330" s="23"/>
      <c r="H330" s="23"/>
      <c r="I330" s="23"/>
      <c r="J330" s="23"/>
      <c r="K330" s="23"/>
      <c r="L330" s="23"/>
      <c r="M330" s="23"/>
      <c r="N330" s="5">
        <f>SUM($M$331:$M$331)</f>
        <v>1</v>
      </c>
    </row>
    <row r="331" spans="1:14" x14ac:dyDescent="0.3">
      <c r="A331" s="23" t="s">
        <v>729</v>
      </c>
      <c r="B331" s="70" t="s">
        <v>517</v>
      </c>
      <c r="C331" s="71"/>
      <c r="D331" s="71"/>
      <c r="E331" s="72"/>
      <c r="F331" s="5">
        <v>1</v>
      </c>
      <c r="G331" s="26"/>
      <c r="H331" s="5"/>
      <c r="I331" s="5"/>
      <c r="J331" s="5"/>
      <c r="K331" s="5" t="str">
        <f>IF(COUNTA(H331:J331)=2,ROUND(PRODUCT(H331:J331),2),"")</f>
        <v/>
      </c>
      <c r="L331" s="5" t="str">
        <f>IF(OR(AND(COUNTA(H331:J331)=3,K331=""),AND(COUNTA(H331:J331)=1,K331&lt;&gt;"")),ROUND(PRODUCT(H331:K331),2),"")</f>
        <v/>
      </c>
      <c r="M331" s="5">
        <f>IF(L331&lt;&gt;"",ROUND(PRODUCT(F331,G331,L331),2),IF(K331&lt;&gt;"",ROUND(PRODUCT(F331,G331,K331),2),ROUND(PRODUCT(F331:J331),2)))</f>
        <v>1</v>
      </c>
      <c r="N331" s="5"/>
    </row>
    <row r="332" spans="1:14" x14ac:dyDescent="0.3">
      <c r="A332" s="23" t="s">
        <v>299</v>
      </c>
      <c r="B332" s="23" t="s">
        <v>549</v>
      </c>
      <c r="C332" s="23" t="str">
        <f>VLOOKUP(B332,CPU!$B:$J,2,FALSE)</f>
        <v>PRÓPRIA</v>
      </c>
      <c r="D332" s="24" t="str">
        <f>VLOOKUP(B332,CPU!$B:$J,3,FALSE)</f>
        <v>FORNECIMENTO E INSTALAÇÃO DE REVESTIMENTO GEOMECÂNICO STANDART DN-154-S</v>
      </c>
      <c r="E332" s="23" t="str">
        <f>VLOOKUP(B332,CPU!$B:$J,4,FALSE)</f>
        <v>M</v>
      </c>
      <c r="F332" s="23"/>
      <c r="G332" s="23"/>
      <c r="H332" s="23"/>
      <c r="I332" s="23"/>
      <c r="J332" s="23"/>
      <c r="K332" s="23"/>
      <c r="L332" s="23"/>
      <c r="M332" s="23"/>
      <c r="N332" s="5">
        <f>SUM($M$333:$M$333)</f>
        <v>21</v>
      </c>
    </row>
    <row r="333" spans="1:14" x14ac:dyDescent="0.3">
      <c r="A333" s="23" t="s">
        <v>730</v>
      </c>
      <c r="B333" s="70" t="s">
        <v>532</v>
      </c>
      <c r="C333" s="71"/>
      <c r="D333" s="71"/>
      <c r="E333" s="72"/>
      <c r="F333" s="5">
        <v>21</v>
      </c>
      <c r="G333" s="26"/>
      <c r="H333" s="5"/>
      <c r="I333" s="5"/>
      <c r="J333" s="5"/>
      <c r="K333" s="5" t="str">
        <f>IF(COUNTA(H333:J333)=2,ROUND(PRODUCT(H333:J333),2),"")</f>
        <v/>
      </c>
      <c r="L333" s="5" t="str">
        <f>IF(OR(AND(COUNTA(H333:J333)=3,K333=""),AND(COUNTA(H333:J333)=1,K333&lt;&gt;"")),ROUND(PRODUCT(H333:K333),2),"")</f>
        <v/>
      </c>
      <c r="M333" s="5">
        <f>IF(L333&lt;&gt;"",ROUND(PRODUCT(F333,G333,L333),2),IF(K333&lt;&gt;"",ROUND(PRODUCT(F333,G333,K333),2),ROUND(PRODUCT(F333:J333),2)))</f>
        <v>21</v>
      </c>
      <c r="N333" s="5"/>
    </row>
    <row r="334" spans="1:14" x14ac:dyDescent="0.3">
      <c r="A334" s="23" t="s">
        <v>300</v>
      </c>
      <c r="B334" s="23" t="s">
        <v>551</v>
      </c>
      <c r="C334" s="23" t="str">
        <f>VLOOKUP(B334,CPU!$B:$J,2,FALSE)</f>
        <v>PRÓPRIA</v>
      </c>
      <c r="D334" s="24" t="str">
        <f>VLOOKUP(B334,CPU!$B:$J,3,FALSE)</f>
        <v>FORNECIMENTO E INSTALAÇÃO DE TAMPA PARA POÇO</v>
      </c>
      <c r="E334" s="23" t="str">
        <f>VLOOKUP(B334,CPU!$B:$J,4,FALSE)</f>
        <v>UN</v>
      </c>
      <c r="F334" s="23"/>
      <c r="G334" s="23"/>
      <c r="H334" s="23"/>
      <c r="I334" s="23"/>
      <c r="J334" s="23"/>
      <c r="K334" s="23"/>
      <c r="L334" s="23"/>
      <c r="M334" s="23"/>
      <c r="N334" s="5">
        <f>SUM($M$335:$M$335)</f>
        <v>1</v>
      </c>
    </row>
    <row r="335" spans="1:14" x14ac:dyDescent="0.3">
      <c r="A335" s="23" t="s">
        <v>731</v>
      </c>
      <c r="B335" s="70" t="s">
        <v>517</v>
      </c>
      <c r="C335" s="71"/>
      <c r="D335" s="71"/>
      <c r="E335" s="72"/>
      <c r="F335" s="5">
        <v>1</v>
      </c>
      <c r="G335" s="26"/>
      <c r="H335" s="5"/>
      <c r="I335" s="5"/>
      <c r="J335" s="5"/>
      <c r="K335" s="5" t="str">
        <f>IF(COUNTA(H335:J335)=2,ROUND(PRODUCT(H335:J335),2),"")</f>
        <v/>
      </c>
      <c r="L335" s="5" t="str">
        <f>IF(OR(AND(COUNTA(H335:J335)=3,K335=""),AND(COUNTA(H335:J335)=1,K335&lt;&gt;"")),ROUND(PRODUCT(H335:K335),2),"")</f>
        <v/>
      </c>
      <c r="M335" s="5">
        <f>IF(L335&lt;&gt;"",ROUND(PRODUCT(F335,G335,L335),2),IF(K335&lt;&gt;"",ROUND(PRODUCT(F335,G335,K335),2),ROUND(PRODUCT(F335:J335),2)))</f>
        <v>1</v>
      </c>
      <c r="N335" s="5"/>
    </row>
    <row r="336" spans="1:14" x14ac:dyDescent="0.3">
      <c r="A336" s="12" t="s">
        <v>67</v>
      </c>
      <c r="B336" s="51" t="s">
        <v>553</v>
      </c>
      <c r="C336" s="52"/>
      <c r="D336" s="52"/>
      <c r="E336" s="52"/>
      <c r="F336" s="52"/>
      <c r="G336" s="52"/>
      <c r="H336" s="52"/>
      <c r="I336" s="52"/>
      <c r="J336" s="52"/>
      <c r="K336" s="52"/>
      <c r="L336" s="52"/>
      <c r="M336" s="52"/>
      <c r="N336" s="53"/>
    </row>
    <row r="337" spans="1:14" x14ac:dyDescent="0.3">
      <c r="A337" s="23" t="s">
        <v>301</v>
      </c>
      <c r="B337" s="23" t="s">
        <v>554</v>
      </c>
      <c r="C337" s="23" t="str">
        <f>VLOOKUP(B337,CPU!$B:$J,2,FALSE)</f>
        <v>PRÓPRIA</v>
      </c>
      <c r="D337" s="24" t="str">
        <f>VLOOKUP(B337,CPU!$B:$J,3,FALSE)</f>
        <v>FORNECIMENTO E INSTALAÇÃO DE TUBO EDUTOR DE PVC DE 1.1/2'' COM LUVA</v>
      </c>
      <c r="E337" s="23" t="str">
        <f>VLOOKUP(B337,CPU!$B:$J,4,FALSE)</f>
        <v>M</v>
      </c>
      <c r="F337" s="23"/>
      <c r="G337" s="23"/>
      <c r="H337" s="23"/>
      <c r="I337" s="23"/>
      <c r="J337" s="23"/>
      <c r="K337" s="23"/>
      <c r="L337" s="23"/>
      <c r="M337" s="23"/>
      <c r="N337" s="5">
        <f>SUM($M$338:$M$338)</f>
        <v>90</v>
      </c>
    </row>
    <row r="338" spans="1:14" x14ac:dyDescent="0.3">
      <c r="A338" s="23" t="s">
        <v>732</v>
      </c>
      <c r="B338" s="70" t="s">
        <v>517</v>
      </c>
      <c r="C338" s="71"/>
      <c r="D338" s="71"/>
      <c r="E338" s="72"/>
      <c r="F338" s="5">
        <v>90</v>
      </c>
      <c r="G338" s="26"/>
      <c r="H338" s="5"/>
      <c r="I338" s="5"/>
      <c r="J338" s="5"/>
      <c r="K338" s="5" t="str">
        <f>IF(COUNTA(H338:J338)=2,ROUND(PRODUCT(H338:J338),2),"")</f>
        <v/>
      </c>
      <c r="L338" s="5" t="str">
        <f>IF(OR(AND(COUNTA(H338:J338)=3,K338=""),AND(COUNTA(H338:J338)=1,K338&lt;&gt;"")),ROUND(PRODUCT(H338:K338),2),"")</f>
        <v/>
      </c>
      <c r="M338" s="5">
        <f>IF(L338&lt;&gt;"",ROUND(PRODUCT(F338,G338,L338),2),IF(K338&lt;&gt;"",ROUND(PRODUCT(F338,G338,K338),2),ROUND(PRODUCT(F338:J338),2)))</f>
        <v>90</v>
      </c>
      <c r="N338" s="5"/>
    </row>
    <row r="339" spans="1:14" x14ac:dyDescent="0.3">
      <c r="A339" s="23" t="s">
        <v>302</v>
      </c>
      <c r="B339" s="23" t="s">
        <v>556</v>
      </c>
      <c r="C339" s="23" t="str">
        <f>VLOOKUP(B339,CPU!$B:$J,2,FALSE)</f>
        <v>PRÓPRIA</v>
      </c>
      <c r="D339" s="24" t="str">
        <f>VLOOKUP(B339,CPU!$B:$J,3,FALSE)</f>
        <v>BARRILETE (CURVAS E CONEXÕES)</v>
      </c>
      <c r="E339" s="23" t="str">
        <f>VLOOKUP(B339,CPU!$B:$J,4,FALSE)</f>
        <v>UN</v>
      </c>
      <c r="F339" s="23"/>
      <c r="G339" s="23"/>
      <c r="H339" s="23"/>
      <c r="I339" s="23"/>
      <c r="J339" s="23"/>
      <c r="K339" s="23"/>
      <c r="L339" s="23"/>
      <c r="M339" s="23"/>
      <c r="N339" s="5">
        <f>SUM($M$340:$M$340)</f>
        <v>1</v>
      </c>
    </row>
    <row r="340" spans="1:14" x14ac:dyDescent="0.3">
      <c r="A340" s="23" t="s">
        <v>733</v>
      </c>
      <c r="B340" s="70" t="s">
        <v>517</v>
      </c>
      <c r="C340" s="71"/>
      <c r="D340" s="71"/>
      <c r="E340" s="72"/>
      <c r="F340" s="5">
        <v>1</v>
      </c>
      <c r="G340" s="26"/>
      <c r="H340" s="5"/>
      <c r="I340" s="5"/>
      <c r="J340" s="5"/>
      <c r="K340" s="5" t="str">
        <f>IF(COUNTA(H340:J340)=2,ROUND(PRODUCT(H340:J340),2),"")</f>
        <v/>
      </c>
      <c r="L340" s="5" t="str">
        <f>IF(OR(AND(COUNTA(H340:J340)=3,K340=""),AND(COUNTA(H340:J340)=1,K340&lt;&gt;"")),ROUND(PRODUCT(H340:K340),2),"")</f>
        <v/>
      </c>
      <c r="M340" s="5">
        <f>IF(L340&lt;&gt;"",ROUND(PRODUCT(F340,G340,L340),2),IF(K340&lt;&gt;"",ROUND(PRODUCT(F340,G340,K340),2),ROUND(PRODUCT(F340:J340),2)))</f>
        <v>1</v>
      </c>
      <c r="N340" s="5"/>
    </row>
    <row r="341" spans="1:14" x14ac:dyDescent="0.3">
      <c r="A341" s="23" t="s">
        <v>303</v>
      </c>
      <c r="B341" s="23" t="s">
        <v>558</v>
      </c>
      <c r="C341" s="23" t="str">
        <f>VLOOKUP(B341,CPU!$B:$J,2,FALSE)</f>
        <v>PRÓPRIA</v>
      </c>
      <c r="D341" s="24" t="str">
        <f>VLOOKUP(B341,CPU!$B:$J,3,FALSE)</f>
        <v>AQUISIÇÃO E INSTALAÇÃO DE DOSADOR DE CLORO</v>
      </c>
      <c r="E341" s="23" t="str">
        <f>VLOOKUP(B341,CPU!$B:$J,4,FALSE)</f>
        <v>UND</v>
      </c>
      <c r="F341" s="23"/>
      <c r="G341" s="23"/>
      <c r="H341" s="23"/>
      <c r="I341" s="23"/>
      <c r="J341" s="23"/>
      <c r="K341" s="23"/>
      <c r="L341" s="23"/>
      <c r="M341" s="23"/>
      <c r="N341" s="5">
        <f>SUM($M$342:$M$342)</f>
        <v>1</v>
      </c>
    </row>
    <row r="342" spans="1:14" x14ac:dyDescent="0.3">
      <c r="A342" s="23" t="s">
        <v>734</v>
      </c>
      <c r="B342" s="70" t="s">
        <v>517</v>
      </c>
      <c r="C342" s="71"/>
      <c r="D342" s="71"/>
      <c r="E342" s="72"/>
      <c r="F342" s="5">
        <v>1</v>
      </c>
      <c r="G342" s="26"/>
      <c r="H342" s="5"/>
      <c r="I342" s="5"/>
      <c r="J342" s="5"/>
      <c r="K342" s="5" t="str">
        <f>IF(COUNTA(H342:J342)=2,ROUND(PRODUCT(H342:J342),2),"")</f>
        <v/>
      </c>
      <c r="L342" s="5" t="str">
        <f>IF(OR(AND(COUNTA(H342:J342)=3,K342=""),AND(COUNTA(H342:J342)=1,K342&lt;&gt;"")),ROUND(PRODUCT(H342:K342),2),"")</f>
        <v/>
      </c>
      <c r="M342" s="5">
        <f>IF(L342&lt;&gt;"",ROUND(PRODUCT(F342,G342,L342),2),IF(K342&lt;&gt;"",ROUND(PRODUCT(F342,G342,K342),2),ROUND(PRODUCT(F342:J342),2)))</f>
        <v>1</v>
      </c>
      <c r="N342" s="5"/>
    </row>
    <row r="343" spans="1:14" x14ac:dyDescent="0.3">
      <c r="A343" s="12" t="s">
        <v>68</v>
      </c>
      <c r="B343" s="51" t="s">
        <v>560</v>
      </c>
      <c r="C343" s="52"/>
      <c r="D343" s="52"/>
      <c r="E343" s="52"/>
      <c r="F343" s="52"/>
      <c r="G343" s="52"/>
      <c r="H343" s="52"/>
      <c r="I343" s="52"/>
      <c r="J343" s="52"/>
      <c r="K343" s="52"/>
      <c r="L343" s="52"/>
      <c r="M343" s="52"/>
      <c r="N343" s="53"/>
    </row>
    <row r="344" spans="1:14" x14ac:dyDescent="0.3">
      <c r="A344" s="15" t="s">
        <v>69</v>
      </c>
      <c r="B344" s="48" t="s">
        <v>514</v>
      </c>
      <c r="C344" s="49"/>
      <c r="D344" s="49"/>
      <c r="E344" s="49"/>
      <c r="F344" s="49"/>
      <c r="G344" s="49"/>
      <c r="H344" s="49"/>
      <c r="I344" s="49"/>
      <c r="J344" s="49"/>
      <c r="K344" s="49"/>
      <c r="L344" s="49"/>
      <c r="M344" s="49"/>
      <c r="N344" s="50"/>
    </row>
    <row r="345" spans="1:14" x14ac:dyDescent="0.3">
      <c r="A345" s="23" t="s">
        <v>304</v>
      </c>
      <c r="B345" s="23">
        <v>98524</v>
      </c>
      <c r="C345" s="23" t="str">
        <f>VLOOKUP(B345,CPU!$B:$J,2,FALSE)</f>
        <v>SINAPI</v>
      </c>
      <c r="D345" s="24" t="str">
        <f>VLOOKUP(B345,CPU!$B:$J,3,FALSE)</f>
        <v>LIMPEZA MANUAL DE VEGETAÇÃO EM TERRENO COM ENXADA. AF_03/2024</v>
      </c>
      <c r="E345" s="23" t="str">
        <f>VLOOKUP(B345,CPU!$B:$J,4,FALSE)</f>
        <v>M2</v>
      </c>
      <c r="F345" s="23"/>
      <c r="G345" s="23"/>
      <c r="H345" s="23"/>
      <c r="I345" s="23"/>
      <c r="J345" s="23"/>
      <c r="K345" s="23"/>
      <c r="L345" s="23"/>
      <c r="M345" s="23"/>
      <c r="N345" s="5">
        <f>SUM($M$346:$M$346)</f>
        <v>100</v>
      </c>
    </row>
    <row r="346" spans="1:14" x14ac:dyDescent="0.3">
      <c r="A346" s="23" t="s">
        <v>735</v>
      </c>
      <c r="B346" s="70" t="s">
        <v>517</v>
      </c>
      <c r="C346" s="71"/>
      <c r="D346" s="71"/>
      <c r="E346" s="72"/>
      <c r="F346" s="5"/>
      <c r="G346" s="26"/>
      <c r="H346" s="5"/>
      <c r="I346" s="5">
        <v>10</v>
      </c>
      <c r="J346" s="5">
        <v>10</v>
      </c>
      <c r="K346" s="5">
        <f>IF(COUNTA(H346:J346)=2,ROUND(PRODUCT(H346:J346),2),"")</f>
        <v>100</v>
      </c>
      <c r="L346" s="5" t="str">
        <f>IF(OR(AND(COUNTA(H346:J346)=3,K346=""),AND(COUNTA(H346:J346)=1,K346&lt;&gt;"")),ROUND(PRODUCT(H346:K346),2),"")</f>
        <v/>
      </c>
      <c r="M346" s="5">
        <f>IF(L346&lt;&gt;"",ROUND(PRODUCT(F346,G346,L346),2),IF(K346&lt;&gt;"",ROUND(PRODUCT(F346,G346,K346),2),ROUND(PRODUCT(F346:J346),2)))</f>
        <v>100</v>
      </c>
      <c r="N346" s="5"/>
    </row>
    <row r="347" spans="1:14" ht="28.8" x14ac:dyDescent="0.3">
      <c r="A347" s="23" t="s">
        <v>305</v>
      </c>
      <c r="B347" s="23">
        <v>99059</v>
      </c>
      <c r="C347" s="23" t="str">
        <f>VLOOKUP(B347,CPU!$B:$J,2,FALSE)</f>
        <v>SINAPI</v>
      </c>
      <c r="D347" s="24" t="str">
        <f>VLOOKUP(B347,CPU!$B:$J,3,FALSE)</f>
        <v>LOCAÇÃO CONVENCIONAL DE OBRA, UTILIZANDO GABARITO DE TÁBUAS CORRIDAS PONTALETADAS A CADA 2,00M - 2 UTILIZAÇÕES. AF_03/2024</v>
      </c>
      <c r="E347" s="23" t="str">
        <f>VLOOKUP(B347,CPU!$B:$J,4,FALSE)</f>
        <v>M</v>
      </c>
      <c r="F347" s="23"/>
      <c r="G347" s="23"/>
      <c r="H347" s="23"/>
      <c r="I347" s="23"/>
      <c r="J347" s="23"/>
      <c r="K347" s="23"/>
      <c r="L347" s="23"/>
      <c r="M347" s="23"/>
      <c r="N347" s="5">
        <f>SUM($M$348:$M$348)</f>
        <v>10.199999999999999</v>
      </c>
    </row>
    <row r="348" spans="1:14" x14ac:dyDescent="0.3">
      <c r="A348" s="23" t="s">
        <v>736</v>
      </c>
      <c r="B348" s="70" t="s">
        <v>517</v>
      </c>
      <c r="C348" s="71"/>
      <c r="D348" s="71"/>
      <c r="E348" s="72"/>
      <c r="F348" s="5"/>
      <c r="G348" s="26">
        <v>1</v>
      </c>
      <c r="H348" s="5">
        <v>10.199999999999999</v>
      </c>
      <c r="I348" s="5"/>
      <c r="J348" s="5"/>
      <c r="K348" s="5" t="str">
        <f>IF(COUNTA(H348:J348)=2,ROUND(PRODUCT(H348:J348),2),"")</f>
        <v/>
      </c>
      <c r="L348" s="5" t="str">
        <f>IF(OR(AND(COUNTA(H348:J348)=3,K348=""),AND(COUNTA(H348:J348)=1,K348&lt;&gt;"")),ROUND(PRODUCT(H348:K348),2),"")</f>
        <v/>
      </c>
      <c r="M348" s="5">
        <f>IF(L348&lt;&gt;"",ROUND(PRODUCT(F348,G348,L348),2),IF(K348&lt;&gt;"",ROUND(PRODUCT(F348,G348,K348),2),ROUND(PRODUCT(F348:J348),2)))</f>
        <v>10.199999999999999</v>
      </c>
      <c r="N348" s="5"/>
    </row>
    <row r="349" spans="1:14" x14ac:dyDescent="0.3">
      <c r="A349" s="15" t="s">
        <v>70</v>
      </c>
      <c r="B349" s="48" t="s">
        <v>563</v>
      </c>
      <c r="C349" s="49"/>
      <c r="D349" s="49"/>
      <c r="E349" s="49"/>
      <c r="F349" s="49"/>
      <c r="G349" s="49"/>
      <c r="H349" s="49"/>
      <c r="I349" s="49"/>
      <c r="J349" s="49"/>
      <c r="K349" s="49"/>
      <c r="L349" s="49"/>
      <c r="M349" s="49"/>
      <c r="N349" s="50"/>
    </row>
    <row r="350" spans="1:14" x14ac:dyDescent="0.3">
      <c r="A350" s="23" t="s">
        <v>306</v>
      </c>
      <c r="B350" s="23">
        <v>93358</v>
      </c>
      <c r="C350" s="23" t="str">
        <f>VLOOKUP(B350,CPU!$B:$J,2,FALSE)</f>
        <v>SINAPI</v>
      </c>
      <c r="D350" s="24" t="str">
        <f>VLOOKUP(B350,CPU!$B:$J,3,FALSE)</f>
        <v>ESCAVAÇÃO MANUAL DE VALA. AF_09/2024</v>
      </c>
      <c r="E350" s="23" t="str">
        <f>VLOOKUP(B350,CPU!$B:$J,4,FALSE)</f>
        <v>M3</v>
      </c>
      <c r="F350" s="23"/>
      <c r="G350" s="23"/>
      <c r="H350" s="23"/>
      <c r="I350" s="23"/>
      <c r="J350" s="23"/>
      <c r="K350" s="23"/>
      <c r="L350" s="23"/>
      <c r="M350" s="23"/>
      <c r="N350" s="5">
        <f>SUM($M$351:$M$352)</f>
        <v>1.54</v>
      </c>
    </row>
    <row r="351" spans="1:14" x14ac:dyDescent="0.3">
      <c r="A351" s="23" t="s">
        <v>737</v>
      </c>
      <c r="B351" s="70" t="s">
        <v>517</v>
      </c>
      <c r="C351" s="71"/>
      <c r="D351" s="71"/>
      <c r="E351" s="72"/>
      <c r="F351" s="5"/>
      <c r="G351" s="26">
        <v>2</v>
      </c>
      <c r="H351" s="5">
        <v>2.2999999999999998</v>
      </c>
      <c r="I351" s="5">
        <v>0.3</v>
      </c>
      <c r="J351" s="5">
        <v>0.6</v>
      </c>
      <c r="K351" s="5" t="str">
        <f>IF(COUNTA(H351:J351)=2,ROUND(PRODUCT(H351:J351),2),"")</f>
        <v/>
      </c>
      <c r="L351" s="5">
        <f>IF(OR(AND(COUNTA(H351:J351)=3,K351=""),AND(COUNTA(H351:J351)=1,K351&lt;&gt;"")),ROUND(PRODUCT(H351:K351),2),"")</f>
        <v>0.41</v>
      </c>
      <c r="M351" s="5">
        <f>IF(L351&lt;&gt;"",ROUND(PRODUCT(F351,G351,L351),2),IF(K351&lt;&gt;"",ROUND(PRODUCT(F351,G351,K351),2),ROUND(PRODUCT(F351:J351),2)))</f>
        <v>0.82</v>
      </c>
      <c r="N351" s="5"/>
    </row>
    <row r="352" spans="1:14" x14ac:dyDescent="0.3">
      <c r="A352" s="23" t="s">
        <v>738</v>
      </c>
      <c r="B352" s="70" t="s">
        <v>517</v>
      </c>
      <c r="C352" s="71"/>
      <c r="D352" s="71"/>
      <c r="E352" s="72"/>
      <c r="F352" s="5"/>
      <c r="G352" s="26">
        <v>2</v>
      </c>
      <c r="H352" s="5">
        <v>2</v>
      </c>
      <c r="I352" s="5">
        <v>0.3</v>
      </c>
      <c r="J352" s="5">
        <v>0.6</v>
      </c>
      <c r="K352" s="5" t="str">
        <f>IF(COUNTA(H352:J352)=2,ROUND(PRODUCT(H352:J352),2),"")</f>
        <v/>
      </c>
      <c r="L352" s="5">
        <f>IF(OR(AND(COUNTA(H352:J352)=3,K352=""),AND(COUNTA(H352:J352)=1,K352&lt;&gt;"")),ROUND(PRODUCT(H352:K352),2),"")</f>
        <v>0.36</v>
      </c>
      <c r="M352" s="5">
        <f>IF(L352&lt;&gt;"",ROUND(PRODUCT(F352,G352,L352),2),IF(K352&lt;&gt;"",ROUND(PRODUCT(F352,G352,K352),2),ROUND(PRODUCT(F352:J352),2)))</f>
        <v>0.72</v>
      </c>
      <c r="N352" s="5"/>
    </row>
    <row r="353" spans="1:14" x14ac:dyDescent="0.3">
      <c r="A353" s="15" t="s">
        <v>71</v>
      </c>
      <c r="B353" s="48" t="s">
        <v>566</v>
      </c>
      <c r="C353" s="49"/>
      <c r="D353" s="49"/>
      <c r="E353" s="49"/>
      <c r="F353" s="49"/>
      <c r="G353" s="49"/>
      <c r="H353" s="49"/>
      <c r="I353" s="49"/>
      <c r="J353" s="49"/>
      <c r="K353" s="49"/>
      <c r="L353" s="49"/>
      <c r="M353" s="49"/>
      <c r="N353" s="50"/>
    </row>
    <row r="354" spans="1:14" ht="28.8" x14ac:dyDescent="0.3">
      <c r="A354" s="23" t="s">
        <v>307</v>
      </c>
      <c r="B354" s="23">
        <v>96617</v>
      </c>
      <c r="C354" s="23" t="str">
        <f>VLOOKUP(B354,CPU!$B:$J,2,FALSE)</f>
        <v>SINAPI</v>
      </c>
      <c r="D354" s="24" t="str">
        <f>VLOOKUP(B354,CPU!$B:$J,3,FALSE)</f>
        <v>LASTRO DE CONCRETO MAGRO, APLICADO EM BLOCOS DE COROAMENTO OU SAPATAS, ESPESSURA DE 3 CM. AF_01/2024</v>
      </c>
      <c r="E354" s="23" t="str">
        <f>VLOOKUP(B354,CPU!$B:$J,4,FALSE)</f>
        <v>M2</v>
      </c>
      <c r="F354" s="23"/>
      <c r="G354" s="23"/>
      <c r="H354" s="23"/>
      <c r="I354" s="23"/>
      <c r="J354" s="23"/>
      <c r="K354" s="23"/>
      <c r="L354" s="23"/>
      <c r="M354" s="23"/>
      <c r="N354" s="5">
        <f>SUM($M$355:$M$356)</f>
        <v>2.58</v>
      </c>
    </row>
    <row r="355" spans="1:14" x14ac:dyDescent="0.3">
      <c r="A355" s="23" t="s">
        <v>739</v>
      </c>
      <c r="B355" s="70" t="s">
        <v>517</v>
      </c>
      <c r="C355" s="71"/>
      <c r="D355" s="71"/>
      <c r="E355" s="72"/>
      <c r="F355" s="5"/>
      <c r="G355" s="26">
        <v>2</v>
      </c>
      <c r="H355" s="5">
        <v>2.2999999999999998</v>
      </c>
      <c r="I355" s="5">
        <v>0.3</v>
      </c>
      <c r="J355" s="5"/>
      <c r="K355" s="5">
        <f>IF(COUNTA(H355:J355)=2,ROUND(PRODUCT(H355:J355),2),"")</f>
        <v>0.69</v>
      </c>
      <c r="L355" s="5" t="str">
        <f>IF(OR(AND(COUNTA(H355:J355)=3,K355=""),AND(COUNTA(H355:J355)=1,K355&lt;&gt;"")),ROUND(PRODUCT(H355:K355),2),"")</f>
        <v/>
      </c>
      <c r="M355" s="5">
        <f>IF(L355&lt;&gt;"",ROUND(PRODUCT(F355,G355,L355),2),IF(K355&lt;&gt;"",ROUND(PRODUCT(F355,G355,K355),2),ROUND(PRODUCT(F355:J355),2)))</f>
        <v>1.38</v>
      </c>
      <c r="N355" s="5"/>
    </row>
    <row r="356" spans="1:14" x14ac:dyDescent="0.3">
      <c r="A356" s="23" t="s">
        <v>740</v>
      </c>
      <c r="B356" s="70" t="s">
        <v>517</v>
      </c>
      <c r="C356" s="71"/>
      <c r="D356" s="71"/>
      <c r="E356" s="72"/>
      <c r="F356" s="5"/>
      <c r="G356" s="26">
        <v>2</v>
      </c>
      <c r="H356" s="5">
        <v>2</v>
      </c>
      <c r="I356" s="5">
        <v>0.3</v>
      </c>
      <c r="J356" s="5"/>
      <c r="K356" s="5">
        <f>IF(COUNTA(H356:J356)=2,ROUND(PRODUCT(H356:J356),2),"")</f>
        <v>0.6</v>
      </c>
      <c r="L356" s="5" t="str">
        <f>IF(OR(AND(COUNTA(H356:J356)=3,K356=""),AND(COUNTA(H356:J356)=1,K356&lt;&gt;"")),ROUND(PRODUCT(H356:K356),2),"")</f>
        <v/>
      </c>
      <c r="M356" s="5">
        <f>IF(L356&lt;&gt;"",ROUND(PRODUCT(F356,G356,L356),2),IF(K356&lt;&gt;"",ROUND(PRODUCT(F356,G356,K356),2),ROUND(PRODUCT(F356:J356),2)))</f>
        <v>1.2</v>
      </c>
      <c r="N356" s="5"/>
    </row>
    <row r="357" spans="1:14" ht="28.8" x14ac:dyDescent="0.3">
      <c r="A357" s="23" t="s">
        <v>308</v>
      </c>
      <c r="B357" s="23">
        <v>103800</v>
      </c>
      <c r="C357" s="23" t="str">
        <f>VLOOKUP(B357,CPU!$B:$J,2,FALSE)</f>
        <v>SINAPI</v>
      </c>
      <c r="D357" s="24" t="str">
        <f>VLOOKUP(B357,CPU!$B:$J,3,FALSE)</f>
        <v>PEDRA ARGAMASSADA COM CIMENTO E AREIA 1:3, 40% DE ARGAMASSA EM VOLUME - AREIA E PEDRA DE MÃO COMERCIAIS - FORNECIMENTO E ASSENTAMENTO. AF_08/2022</v>
      </c>
      <c r="E357" s="23" t="str">
        <f>VLOOKUP(B357,CPU!$B:$J,4,FALSE)</f>
        <v>M3</v>
      </c>
      <c r="F357" s="23"/>
      <c r="G357" s="23"/>
      <c r="H357" s="23"/>
      <c r="I357" s="23"/>
      <c r="J357" s="23"/>
      <c r="K357" s="23"/>
      <c r="L357" s="23"/>
      <c r="M357" s="23"/>
      <c r="N357" s="5">
        <f>SUM($M$358:$M$359)</f>
        <v>1.04</v>
      </c>
    </row>
    <row r="358" spans="1:14" x14ac:dyDescent="0.3">
      <c r="A358" s="23" t="s">
        <v>741</v>
      </c>
      <c r="B358" s="70" t="s">
        <v>517</v>
      </c>
      <c r="C358" s="71"/>
      <c r="D358" s="71"/>
      <c r="E358" s="72"/>
      <c r="F358" s="5"/>
      <c r="G358" s="26">
        <v>2</v>
      </c>
      <c r="H358" s="5">
        <v>2.2999999999999998</v>
      </c>
      <c r="I358" s="5">
        <v>0.3</v>
      </c>
      <c r="J358" s="5">
        <v>0.4</v>
      </c>
      <c r="K358" s="5" t="str">
        <f>IF(COUNTA(H358:J358)=2,ROUND(PRODUCT(H358:J358),2),"")</f>
        <v/>
      </c>
      <c r="L358" s="5">
        <f>IF(OR(AND(COUNTA(H358:J358)=3,K358=""),AND(COUNTA(H358:J358)=1,K358&lt;&gt;"")),ROUND(PRODUCT(H358:K358),2),"")</f>
        <v>0.28000000000000003</v>
      </c>
      <c r="M358" s="5">
        <f>IF(L358&lt;&gt;"",ROUND(PRODUCT(F358,G358,L358),2),IF(K358&lt;&gt;"",ROUND(PRODUCT(F358,G358,K358),2),ROUND(PRODUCT(F358:J358),2)))</f>
        <v>0.56000000000000005</v>
      </c>
      <c r="N358" s="5"/>
    </row>
    <row r="359" spans="1:14" x14ac:dyDescent="0.3">
      <c r="A359" s="23" t="s">
        <v>742</v>
      </c>
      <c r="B359" s="70" t="s">
        <v>517</v>
      </c>
      <c r="C359" s="71"/>
      <c r="D359" s="71"/>
      <c r="E359" s="72"/>
      <c r="F359" s="5"/>
      <c r="G359" s="26">
        <v>2</v>
      </c>
      <c r="H359" s="5">
        <v>2</v>
      </c>
      <c r="I359" s="5">
        <v>0.3</v>
      </c>
      <c r="J359" s="5">
        <v>0.4</v>
      </c>
      <c r="K359" s="5" t="str">
        <f>IF(COUNTA(H359:J359)=2,ROUND(PRODUCT(H359:J359),2),"")</f>
        <v/>
      </c>
      <c r="L359" s="5">
        <f>IF(OR(AND(COUNTA(H359:J359)=3,K359=""),AND(COUNTA(H359:J359)=1,K359&lt;&gt;"")),ROUND(PRODUCT(H359:K359),2),"")</f>
        <v>0.24</v>
      </c>
      <c r="M359" s="5">
        <f>IF(L359&lt;&gt;"",ROUND(PRODUCT(F359,G359,L359),2),IF(K359&lt;&gt;"",ROUND(PRODUCT(F359,G359,K359),2),ROUND(PRODUCT(F359:J359),2)))</f>
        <v>0.48</v>
      </c>
      <c r="N359" s="5"/>
    </row>
    <row r="360" spans="1:14" ht="43.2" x14ac:dyDescent="0.3">
      <c r="A360" s="23" t="s">
        <v>309</v>
      </c>
      <c r="B360" s="23">
        <v>103335</v>
      </c>
      <c r="C360" s="23" t="str">
        <f>VLOOKUP(B360,CPU!$B:$J,2,FALSE)</f>
        <v>SINAPI</v>
      </c>
      <c r="D360" s="24" t="str">
        <f>VLOOKUP(B360,CPU!$B:$J,3,FALSE)</f>
        <v>ALVENARIA DE VEDAÇÃO DE BLOCOS CERÂMICOS FURADOS NA HORIZONTAL DE 14X9X19 CM (ESPESSURA 14 CM, BLOCO DEITADO) E ARGAMASSA DE ASSENTAMENTO COM PREPARO MANUAL. AF_12/2021</v>
      </c>
      <c r="E360" s="23" t="str">
        <f>VLOOKUP(B360,CPU!$B:$J,4,FALSE)</f>
        <v>M2</v>
      </c>
      <c r="F360" s="23"/>
      <c r="G360" s="23"/>
      <c r="H360" s="23"/>
      <c r="I360" s="23"/>
      <c r="J360" s="23"/>
      <c r="K360" s="23"/>
      <c r="L360" s="23"/>
      <c r="M360" s="23"/>
      <c r="N360" s="5">
        <f>SUM($M$361:$M$362)</f>
        <v>1.7200000000000002</v>
      </c>
    </row>
    <row r="361" spans="1:14" x14ac:dyDescent="0.3">
      <c r="A361" s="23" t="s">
        <v>743</v>
      </c>
      <c r="B361" s="70" t="s">
        <v>517</v>
      </c>
      <c r="C361" s="71"/>
      <c r="D361" s="71"/>
      <c r="E361" s="72"/>
      <c r="F361" s="5"/>
      <c r="G361" s="26">
        <v>2</v>
      </c>
      <c r="H361" s="5">
        <v>2.2999999999999998</v>
      </c>
      <c r="I361" s="5"/>
      <c r="J361" s="5">
        <v>0.2</v>
      </c>
      <c r="K361" s="5">
        <f>IF(COUNTA(H361:J361)=2,ROUND(PRODUCT(H361:J361),2),"")</f>
        <v>0.46</v>
      </c>
      <c r="L361" s="5" t="str">
        <f>IF(OR(AND(COUNTA(H361:J361)=3,K361=""),AND(COUNTA(H361:J361)=1,K361&lt;&gt;"")),ROUND(PRODUCT(H361:K361),2),"")</f>
        <v/>
      </c>
      <c r="M361" s="5">
        <f>IF(L361&lt;&gt;"",ROUND(PRODUCT(F361,G361,L361),2),IF(K361&lt;&gt;"",ROUND(PRODUCT(F361,G361,K361),2),ROUND(PRODUCT(F361:J361),2)))</f>
        <v>0.92</v>
      </c>
      <c r="N361" s="5"/>
    </row>
    <row r="362" spans="1:14" x14ac:dyDescent="0.3">
      <c r="A362" s="23" t="s">
        <v>744</v>
      </c>
      <c r="B362" s="70" t="s">
        <v>517</v>
      </c>
      <c r="C362" s="71"/>
      <c r="D362" s="71"/>
      <c r="E362" s="72"/>
      <c r="F362" s="5"/>
      <c r="G362" s="26">
        <v>2</v>
      </c>
      <c r="H362" s="5">
        <v>2</v>
      </c>
      <c r="I362" s="5"/>
      <c r="J362" s="5">
        <v>0.2</v>
      </c>
      <c r="K362" s="5">
        <f>IF(COUNTA(H362:J362)=2,ROUND(PRODUCT(H362:J362),2),"")</f>
        <v>0.4</v>
      </c>
      <c r="L362" s="5" t="str">
        <f>IF(OR(AND(COUNTA(H362:J362)=3,K362=""),AND(COUNTA(H362:J362)=1,K362&lt;&gt;"")),ROUND(PRODUCT(H362:K362),2),"")</f>
        <v/>
      </c>
      <c r="M362" s="5">
        <f>IF(L362&lt;&gt;"",ROUND(PRODUCT(F362,G362,L362),2),IF(K362&lt;&gt;"",ROUND(PRODUCT(F362,G362,K362),2),ROUND(PRODUCT(F362:J362),2)))</f>
        <v>0.8</v>
      </c>
      <c r="N362" s="5"/>
    </row>
    <row r="363" spans="1:14" x14ac:dyDescent="0.3">
      <c r="A363" s="15" t="s">
        <v>72</v>
      </c>
      <c r="B363" s="48" t="s">
        <v>573</v>
      </c>
      <c r="C363" s="49"/>
      <c r="D363" s="49"/>
      <c r="E363" s="49"/>
      <c r="F363" s="49"/>
      <c r="G363" s="49"/>
      <c r="H363" s="49"/>
      <c r="I363" s="49"/>
      <c r="J363" s="49"/>
      <c r="K363" s="49"/>
      <c r="L363" s="49"/>
      <c r="M363" s="49"/>
      <c r="N363" s="50"/>
    </row>
    <row r="364" spans="1:14" x14ac:dyDescent="0.3">
      <c r="A364" s="23" t="s">
        <v>310</v>
      </c>
      <c r="B364" s="23" t="s">
        <v>574</v>
      </c>
      <c r="C364" s="23" t="str">
        <f>VLOOKUP(B364,CPU!$B:$J,2,FALSE)</f>
        <v>PRÓPRIA</v>
      </c>
      <c r="D364" s="24" t="str">
        <f>VLOOKUP(B364,CPU!$B:$J,3,FALSE)</f>
        <v>CINTA DE AMARRAÇÃO DE ALVENARIA MOLDADA IN LOCO EM CONCRETO</v>
      </c>
      <c r="E364" s="23" t="str">
        <f>VLOOKUP(B364,CPU!$B:$J,4,FALSE)</f>
        <v>M</v>
      </c>
      <c r="F364" s="23"/>
      <c r="G364" s="23"/>
      <c r="H364" s="23"/>
      <c r="I364" s="23"/>
      <c r="J364" s="23"/>
      <c r="K364" s="23"/>
      <c r="L364" s="23"/>
      <c r="M364" s="23"/>
      <c r="N364" s="5">
        <f>SUM($M$365:$M$366)</f>
        <v>8.6</v>
      </c>
    </row>
    <row r="365" spans="1:14" x14ac:dyDescent="0.3">
      <c r="A365" s="23" t="s">
        <v>745</v>
      </c>
      <c r="B365" s="70" t="s">
        <v>517</v>
      </c>
      <c r="C365" s="71"/>
      <c r="D365" s="71"/>
      <c r="E365" s="72"/>
      <c r="F365" s="5"/>
      <c r="G365" s="26">
        <v>2</v>
      </c>
      <c r="H365" s="5">
        <v>2.2999999999999998</v>
      </c>
      <c r="I365" s="5"/>
      <c r="J365" s="5"/>
      <c r="K365" s="5" t="str">
        <f>IF(COUNTA(H365:J365)=2,ROUND(PRODUCT(H365:J365),2),"")</f>
        <v/>
      </c>
      <c r="L365" s="5" t="str">
        <f>IF(OR(AND(COUNTA(H365:J365)=3,K365=""),AND(COUNTA(H365:J365)=1,K365&lt;&gt;"")),ROUND(PRODUCT(H365:K365),2),"")</f>
        <v/>
      </c>
      <c r="M365" s="5">
        <f>IF(L365&lt;&gt;"",ROUND(PRODUCT(F365,G365,L365),2),IF(K365&lt;&gt;"",ROUND(PRODUCT(F365,G365,K365),2),ROUND(PRODUCT(F365:J365),2)))</f>
        <v>4.5999999999999996</v>
      </c>
      <c r="N365" s="5"/>
    </row>
    <row r="366" spans="1:14" x14ac:dyDescent="0.3">
      <c r="A366" s="23" t="s">
        <v>746</v>
      </c>
      <c r="B366" s="70" t="s">
        <v>517</v>
      </c>
      <c r="C366" s="71"/>
      <c r="D366" s="71"/>
      <c r="E366" s="72"/>
      <c r="F366" s="5"/>
      <c r="G366" s="26">
        <v>2</v>
      </c>
      <c r="H366" s="5">
        <v>2</v>
      </c>
      <c r="I366" s="5"/>
      <c r="J366" s="5"/>
      <c r="K366" s="5" t="str">
        <f>IF(COUNTA(H366:J366)=2,ROUND(PRODUCT(H366:J366),2),"")</f>
        <v/>
      </c>
      <c r="L366" s="5" t="str">
        <f>IF(OR(AND(COUNTA(H366:J366)=3,K366=""),AND(COUNTA(H366:J366)=1,K366&lt;&gt;"")),ROUND(PRODUCT(H366:K366),2),"")</f>
        <v/>
      </c>
      <c r="M366" s="5">
        <f>IF(L366&lt;&gt;"",ROUND(PRODUCT(F366,G366,L366),2),IF(K366&lt;&gt;"",ROUND(PRODUCT(F366,G366,K366),2),ROUND(PRODUCT(F366:J366),2)))</f>
        <v>4</v>
      </c>
      <c r="N366" s="5"/>
    </row>
    <row r="367" spans="1:14" ht="28.8" x14ac:dyDescent="0.3">
      <c r="A367" s="23" t="s">
        <v>311</v>
      </c>
      <c r="B367" s="23" t="s">
        <v>577</v>
      </c>
      <c r="C367" s="23" t="str">
        <f>VLOOKUP(B367,CPU!$B:$J,2,FALSE)</f>
        <v>PRÓPRIA</v>
      </c>
      <c r="D367" s="24" t="str">
        <f>VLOOKUP(B367,CPU!$B:$J,3,FALSE)</f>
        <v>(COMPOSIÇÃO REPRESENTATIVA) EXECUÇÃO DE ESTRUTURAS DE CONCRETO ARMADO, PARA EDIFICAÇÃO INSTITUCIONAL TÉRREA, FCK = 25 MPA</v>
      </c>
      <c r="E367" s="23" t="str">
        <f>VLOOKUP(B367,CPU!$B:$J,4,FALSE)</f>
        <v>M³</v>
      </c>
      <c r="F367" s="23"/>
      <c r="G367" s="23"/>
      <c r="H367" s="23"/>
      <c r="I367" s="23"/>
      <c r="J367" s="23"/>
      <c r="K367" s="23"/>
      <c r="L367" s="23"/>
      <c r="M367" s="23"/>
      <c r="N367" s="5">
        <f>SUM($M$368:$M$369)</f>
        <v>0.30000000000000004</v>
      </c>
    </row>
    <row r="368" spans="1:14" x14ac:dyDescent="0.3">
      <c r="A368" s="23" t="s">
        <v>747</v>
      </c>
      <c r="B368" s="70" t="s">
        <v>579</v>
      </c>
      <c r="C368" s="71"/>
      <c r="D368" s="71"/>
      <c r="E368" s="72"/>
      <c r="F368" s="5"/>
      <c r="G368" s="26">
        <v>2</v>
      </c>
      <c r="H368" s="5">
        <v>3.53</v>
      </c>
      <c r="I368" s="5">
        <v>0.15</v>
      </c>
      <c r="J368" s="5">
        <v>0.15</v>
      </c>
      <c r="K368" s="5" t="str">
        <f>IF(COUNTA(H368:J368)=2,ROUND(PRODUCT(H368:J368),2),"")</f>
        <v/>
      </c>
      <c r="L368" s="5">
        <f>IF(OR(AND(COUNTA(H368:J368)=3,K368=""),AND(COUNTA(H368:J368)=1,K368&lt;&gt;"")),ROUND(PRODUCT(H368:K368),2),"")</f>
        <v>0.08</v>
      </c>
      <c r="M368" s="5">
        <f>IF(L368&lt;&gt;"",ROUND(PRODUCT(F368,G368,L368),2),IF(K368&lt;&gt;"",ROUND(PRODUCT(F368,G368,K368),2),ROUND(PRODUCT(F368:J368),2)))</f>
        <v>0.16</v>
      </c>
      <c r="N368" s="5"/>
    </row>
    <row r="369" spans="1:14" x14ac:dyDescent="0.3">
      <c r="A369" s="23" t="s">
        <v>748</v>
      </c>
      <c r="B369" s="70" t="s">
        <v>579</v>
      </c>
      <c r="C369" s="71"/>
      <c r="D369" s="71"/>
      <c r="E369" s="72"/>
      <c r="F369" s="5"/>
      <c r="G369" s="26">
        <v>2</v>
      </c>
      <c r="H369" s="5">
        <v>2.95</v>
      </c>
      <c r="I369" s="5">
        <v>0.15</v>
      </c>
      <c r="J369" s="5">
        <v>0.15</v>
      </c>
      <c r="K369" s="5" t="str">
        <f>IF(COUNTA(H369:J369)=2,ROUND(PRODUCT(H369:J369),2),"")</f>
        <v/>
      </c>
      <c r="L369" s="5">
        <f>IF(OR(AND(COUNTA(H369:J369)=3,K369=""),AND(COUNTA(H369:J369)=1,K369&lt;&gt;"")),ROUND(PRODUCT(H369:K369),2),"")</f>
        <v>7.0000000000000007E-2</v>
      </c>
      <c r="M369" s="5">
        <f>IF(L369&lt;&gt;"",ROUND(PRODUCT(F369,G369,L369),2),IF(K369&lt;&gt;"",ROUND(PRODUCT(F369,G369,K369),2),ROUND(PRODUCT(F369:J369),2)))</f>
        <v>0.14000000000000001</v>
      </c>
      <c r="N369" s="5"/>
    </row>
    <row r="370" spans="1:14" x14ac:dyDescent="0.3">
      <c r="A370" s="15" t="s">
        <v>73</v>
      </c>
      <c r="B370" s="48" t="s">
        <v>581</v>
      </c>
      <c r="C370" s="49"/>
      <c r="D370" s="49"/>
      <c r="E370" s="49"/>
      <c r="F370" s="49"/>
      <c r="G370" s="49"/>
      <c r="H370" s="49"/>
      <c r="I370" s="49"/>
      <c r="J370" s="49"/>
      <c r="K370" s="49"/>
      <c r="L370" s="49"/>
      <c r="M370" s="49"/>
      <c r="N370" s="50"/>
    </row>
    <row r="371" spans="1:14" ht="43.2" x14ac:dyDescent="0.3">
      <c r="A371" s="23" t="s">
        <v>312</v>
      </c>
      <c r="B371" s="23">
        <v>103329</v>
      </c>
      <c r="C371" s="23" t="str">
        <f>VLOOKUP(B371,CPU!$B:$J,2,FALSE)</f>
        <v>SINAPI</v>
      </c>
      <c r="D371" s="24" t="str">
        <f>VLOOKUP(B371,CPU!$B:$J,3,FALSE)</f>
        <v>ALVENARIA DE VEDAÇÃO DE BLOCOS CERÂMICOS FURADOS NA HORIZONTAL DE 9X19X19 CM (ESPESSURA 9 CM) E ARGAMASSA DE ASSENTAMENTO COM PREPARO MANUAL. AF_12/2021</v>
      </c>
      <c r="E371" s="23" t="str">
        <f>VLOOKUP(B371,CPU!$B:$J,4,FALSE)</f>
        <v>M2</v>
      </c>
      <c r="F371" s="23"/>
      <c r="G371" s="23"/>
      <c r="H371" s="23"/>
      <c r="I371" s="23"/>
      <c r="J371" s="23"/>
      <c r="K371" s="23"/>
      <c r="L371" s="23"/>
      <c r="M371" s="23"/>
      <c r="N371" s="5">
        <f>SUM($M$372:$M$376)</f>
        <v>19.310000000000002</v>
      </c>
    </row>
    <row r="372" spans="1:14" x14ac:dyDescent="0.3">
      <c r="A372" s="23" t="s">
        <v>749</v>
      </c>
      <c r="B372" s="70" t="s">
        <v>517</v>
      </c>
      <c r="C372" s="71"/>
      <c r="D372" s="71"/>
      <c r="E372" s="72"/>
      <c r="F372" s="5"/>
      <c r="G372" s="26">
        <v>1</v>
      </c>
      <c r="H372" s="5">
        <v>2.2999999999999998</v>
      </c>
      <c r="I372" s="5">
        <v>2.2999999999999998</v>
      </c>
      <c r="J372" s="5"/>
      <c r="K372" s="5">
        <f>IF(COUNTA(H372:J372)=2,ROUND(PRODUCT(H372:J372),2),"")</f>
        <v>5.29</v>
      </c>
      <c r="L372" s="5" t="str">
        <f>IF(OR(AND(COUNTA(H372:J372)=3,K372=""),AND(COUNTA(H372:J372)=1,K372&lt;&gt;"")),ROUND(PRODUCT(H372:K372),2),"")</f>
        <v/>
      </c>
      <c r="M372" s="5">
        <f>IF(L372&lt;&gt;"",ROUND(PRODUCT(F372,G372,L372),2),IF(K372&lt;&gt;"",ROUND(PRODUCT(F372,G372,K372),2),ROUND(PRODUCT(F372:J372),2)))</f>
        <v>5.29</v>
      </c>
      <c r="N372" s="5"/>
    </row>
    <row r="373" spans="1:14" x14ac:dyDescent="0.3">
      <c r="A373" s="23" t="s">
        <v>750</v>
      </c>
      <c r="B373" s="70" t="s">
        <v>517</v>
      </c>
      <c r="C373" s="71"/>
      <c r="D373" s="71"/>
      <c r="E373" s="72"/>
      <c r="F373" s="5"/>
      <c r="G373" s="26">
        <v>1</v>
      </c>
      <c r="H373" s="5">
        <v>2.2999999999999998</v>
      </c>
      <c r="I373" s="5">
        <v>2.88</v>
      </c>
      <c r="J373" s="5"/>
      <c r="K373" s="5">
        <f>IF(COUNTA(H373:J373)=2,ROUND(PRODUCT(H373:J373),2),"")</f>
        <v>6.62</v>
      </c>
      <c r="L373" s="5" t="str">
        <f>IF(OR(AND(COUNTA(H373:J373)=3,K373=""),AND(COUNTA(H373:J373)=1,K373&lt;&gt;"")),ROUND(PRODUCT(H373:K373),2),"")</f>
        <v/>
      </c>
      <c r="M373" s="5">
        <f>IF(L373&lt;&gt;"",ROUND(PRODUCT(F373,G373,L373),2),IF(K373&lt;&gt;"",ROUND(PRODUCT(F373,G373,K373),2),ROUND(PRODUCT(F373:J373),2)))</f>
        <v>6.62</v>
      </c>
      <c r="N373" s="5"/>
    </row>
    <row r="374" spans="1:14" x14ac:dyDescent="0.3">
      <c r="A374" s="23" t="s">
        <v>751</v>
      </c>
      <c r="B374" s="70" t="s">
        <v>517</v>
      </c>
      <c r="C374" s="71"/>
      <c r="D374" s="71"/>
      <c r="E374" s="72"/>
      <c r="F374" s="5"/>
      <c r="G374" s="26">
        <v>2</v>
      </c>
      <c r="H374" s="5">
        <v>2.2999999999999998</v>
      </c>
      <c r="I374" s="5">
        <v>2.2999999999999998</v>
      </c>
      <c r="J374" s="5"/>
      <c r="K374" s="5">
        <f>IF(COUNTA(H374:J374)=2,ROUND(PRODUCT(H374:J374),2),"")</f>
        <v>5.29</v>
      </c>
      <c r="L374" s="5" t="str">
        <f>IF(OR(AND(COUNTA(H374:J374)=3,K374=""),AND(COUNTA(H374:J374)=1,K374&lt;&gt;"")),ROUND(PRODUCT(H374:K374),2),"")</f>
        <v/>
      </c>
      <c r="M374" s="5">
        <f>IF(L374&lt;&gt;"",ROUND(PRODUCT(F374,G374,L374),2),IF(K374&lt;&gt;"",ROUND(PRODUCT(F374,G374,K374),2),ROUND(PRODUCT(F374:J374),2)))</f>
        <v>10.58</v>
      </c>
      <c r="N374" s="5"/>
    </row>
    <row r="375" spans="1:14" x14ac:dyDescent="0.3">
      <c r="A375" s="23" t="s">
        <v>752</v>
      </c>
      <c r="B375" s="70" t="s">
        <v>517</v>
      </c>
      <c r="C375" s="71"/>
      <c r="D375" s="71"/>
      <c r="E375" s="72"/>
      <c r="F375" s="5"/>
      <c r="G375" s="26">
        <v>-3</v>
      </c>
      <c r="H375" s="5">
        <v>1</v>
      </c>
      <c r="I375" s="5">
        <v>0.5</v>
      </c>
      <c r="J375" s="5"/>
      <c r="K375" s="5">
        <f>IF(COUNTA(H375:J375)=2,ROUND(PRODUCT(H375:J375),2),"")</f>
        <v>0.5</v>
      </c>
      <c r="L375" s="5" t="str">
        <f>IF(OR(AND(COUNTA(H375:J375)=3,K375=""),AND(COUNTA(H375:J375)=1,K375&lt;&gt;"")),ROUND(PRODUCT(H375:K375),2),"")</f>
        <v/>
      </c>
      <c r="M375" s="5">
        <f>IF(L375&lt;&gt;"",ROUND(PRODUCT(F375,G375,L375),2),IF(K375&lt;&gt;"",ROUND(PRODUCT(F375,G375,K375),2),ROUND(PRODUCT(F375:J375),2)))</f>
        <v>-1.5</v>
      </c>
      <c r="N375" s="5"/>
    </row>
    <row r="376" spans="1:14" x14ac:dyDescent="0.3">
      <c r="A376" s="23" t="s">
        <v>753</v>
      </c>
      <c r="B376" s="70" t="s">
        <v>517</v>
      </c>
      <c r="C376" s="71"/>
      <c r="D376" s="71"/>
      <c r="E376" s="72"/>
      <c r="F376" s="5"/>
      <c r="G376" s="26">
        <v>-1</v>
      </c>
      <c r="H376" s="5">
        <v>0.8</v>
      </c>
      <c r="I376" s="5">
        <v>2.1</v>
      </c>
      <c r="J376" s="5"/>
      <c r="K376" s="5">
        <f>IF(COUNTA(H376:J376)=2,ROUND(PRODUCT(H376:J376),2),"")</f>
        <v>1.68</v>
      </c>
      <c r="L376" s="5" t="str">
        <f>IF(OR(AND(COUNTA(H376:J376)=3,K376=""),AND(COUNTA(H376:J376)=1,K376&lt;&gt;"")),ROUND(PRODUCT(H376:K376),2),"")</f>
        <v/>
      </c>
      <c r="M376" s="5">
        <f>IF(L376&lt;&gt;"",ROUND(PRODUCT(F376,G376,L376),2),IF(K376&lt;&gt;"",ROUND(PRODUCT(F376,G376,K376),2),ROUND(PRODUCT(F376:J376),2)))</f>
        <v>-1.68</v>
      </c>
      <c r="N376" s="5"/>
    </row>
    <row r="377" spans="1:14" ht="43.2" x14ac:dyDescent="0.3">
      <c r="A377" s="23" t="s">
        <v>313</v>
      </c>
      <c r="B377" s="23">
        <v>101161</v>
      </c>
      <c r="C377" s="23" t="str">
        <f>VLOOKUP(B377,CPU!$B:$J,2,FALSE)</f>
        <v>SINAPI</v>
      </c>
      <c r="D377" s="24" t="str">
        <f>VLOOKUP(B377,CPU!$B:$J,3,FALSE)</f>
        <v>ALVENARIA DE VEDAÇÃO COM ELEMENTO VAZADO DE CONCRETO (COBOGÓ) DE 7X50X50CM E ARGAMASSA DE ASSENTAMENTO COM PREPARO EM BETONEIRA. AF_05/2020</v>
      </c>
      <c r="E377" s="23" t="str">
        <f>VLOOKUP(B377,CPU!$B:$J,4,FALSE)</f>
        <v>M2</v>
      </c>
      <c r="F377" s="23"/>
      <c r="G377" s="23"/>
      <c r="H377" s="23"/>
      <c r="I377" s="23"/>
      <c r="J377" s="23"/>
      <c r="K377" s="23"/>
      <c r="L377" s="23"/>
      <c r="M377" s="23"/>
      <c r="N377" s="5">
        <f>SUM($M$378:$M$378)</f>
        <v>1.5</v>
      </c>
    </row>
    <row r="378" spans="1:14" x14ac:dyDescent="0.3">
      <c r="A378" s="23" t="s">
        <v>754</v>
      </c>
      <c r="B378" s="70" t="s">
        <v>517</v>
      </c>
      <c r="C378" s="71"/>
      <c r="D378" s="71"/>
      <c r="E378" s="72"/>
      <c r="F378" s="5"/>
      <c r="G378" s="26">
        <v>3</v>
      </c>
      <c r="H378" s="5">
        <v>1</v>
      </c>
      <c r="I378" s="5">
        <v>0.5</v>
      </c>
      <c r="J378" s="5"/>
      <c r="K378" s="5">
        <f>IF(COUNTA(H378:J378)=2,ROUND(PRODUCT(H378:J378),2),"")</f>
        <v>0.5</v>
      </c>
      <c r="L378" s="5" t="str">
        <f>IF(OR(AND(COUNTA(H378:J378)=3,K378=""),AND(COUNTA(H378:J378)=1,K378&lt;&gt;"")),ROUND(PRODUCT(H378:K378),2),"")</f>
        <v/>
      </c>
      <c r="M378" s="5">
        <f>IF(L378&lt;&gt;"",ROUND(PRODUCT(F378,G378,L378),2),IF(K378&lt;&gt;"",ROUND(PRODUCT(F378,G378,K378),2),ROUND(PRODUCT(F378:J378),2)))</f>
        <v>1.5</v>
      </c>
      <c r="N378" s="5"/>
    </row>
    <row r="379" spans="1:14" x14ac:dyDescent="0.3">
      <c r="A379" s="15" t="s">
        <v>74</v>
      </c>
      <c r="B379" s="48" t="s">
        <v>685</v>
      </c>
      <c r="C379" s="49"/>
      <c r="D379" s="49"/>
      <c r="E379" s="49"/>
      <c r="F379" s="49"/>
      <c r="G379" s="49"/>
      <c r="H379" s="49"/>
      <c r="I379" s="49"/>
      <c r="J379" s="49"/>
      <c r="K379" s="49"/>
      <c r="L379" s="49"/>
      <c r="M379" s="49"/>
      <c r="N379" s="50"/>
    </row>
    <row r="380" spans="1:14" ht="28.8" x14ac:dyDescent="0.3">
      <c r="A380" s="23" t="s">
        <v>314</v>
      </c>
      <c r="B380" s="23" t="s">
        <v>588</v>
      </c>
      <c r="C380" s="23" t="str">
        <f>VLOOKUP(B380,CPU!$B:$J,2,FALSE)</f>
        <v>PRÓPRIA</v>
      </c>
      <c r="D380" s="24" t="str">
        <f>VLOOKUP(B380,CPU!$B:$J,3,FALSE)</f>
        <v>TELHAMENTO COM TELHA CERÂMICA CAPA-CANAL, TIPO COLONIAL, COM ATÉ 2 ÁGUAS, INCLUSO TRANSPORTE VERTICAL</v>
      </c>
      <c r="E380" s="23" t="str">
        <f>VLOOKUP(B380,CPU!$B:$J,4,FALSE)</f>
        <v>M²</v>
      </c>
      <c r="F380" s="23"/>
      <c r="G380" s="23"/>
      <c r="H380" s="23"/>
      <c r="I380" s="23"/>
      <c r="J380" s="23"/>
      <c r="K380" s="23"/>
      <c r="L380" s="23"/>
      <c r="M380" s="23"/>
      <c r="N380" s="5">
        <f>SUM($M$381:$M$381)</f>
        <v>10.23</v>
      </c>
    </row>
    <row r="381" spans="1:14" x14ac:dyDescent="0.3">
      <c r="A381" s="23" t="s">
        <v>755</v>
      </c>
      <c r="B381" s="70" t="s">
        <v>517</v>
      </c>
      <c r="C381" s="71"/>
      <c r="D381" s="71"/>
      <c r="E381" s="72"/>
      <c r="F381" s="5"/>
      <c r="G381" s="26"/>
      <c r="H381" s="5">
        <v>3.1</v>
      </c>
      <c r="I381" s="5">
        <v>3.3</v>
      </c>
      <c r="J381" s="5"/>
      <c r="K381" s="5">
        <f>IF(COUNTA(H381:J381)=2,ROUND(PRODUCT(H381:J381),2),"")</f>
        <v>10.23</v>
      </c>
      <c r="L381" s="5" t="str">
        <f>IF(OR(AND(COUNTA(H381:J381)=3,K381=""),AND(COUNTA(H381:J381)=1,K381&lt;&gt;"")),ROUND(PRODUCT(H381:K381),2),"")</f>
        <v/>
      </c>
      <c r="M381" s="5">
        <f>IF(L381&lt;&gt;"",ROUND(PRODUCT(F381,G381,L381),2),IF(K381&lt;&gt;"",ROUND(PRODUCT(F381,G381,K381),2),ROUND(PRODUCT(F381:J381),2)))</f>
        <v>10.23</v>
      </c>
      <c r="N381" s="5"/>
    </row>
    <row r="382" spans="1:14" ht="28.8" x14ac:dyDescent="0.3">
      <c r="A382" s="23" t="s">
        <v>315</v>
      </c>
      <c r="B382" s="23" t="s">
        <v>590</v>
      </c>
      <c r="C382" s="23" t="str">
        <f>VLOOKUP(B382,CPU!$B:$J,2,FALSE)</f>
        <v>PRÓPRIA</v>
      </c>
      <c r="D382" s="24" t="str">
        <f>VLOOKUP(B382,CPU!$B:$J,3,FALSE)</f>
        <v>TRAMA DE MADEIRA COMPOSTA POR RIPAS, CAIBROS E TERÇAS PARA TELHADOS DE ATÉ 2 ÁGUAS PARA TELHA CERÂMICA CAPA-CANAL, INCLUSO TRANSPORTE VERTICAL</v>
      </c>
      <c r="E382" s="23" t="str">
        <f>VLOOKUP(B382,CPU!$B:$J,4,FALSE)</f>
        <v>M²</v>
      </c>
      <c r="F382" s="23"/>
      <c r="G382" s="23"/>
      <c r="H382" s="23"/>
      <c r="I382" s="23"/>
      <c r="J382" s="23"/>
      <c r="K382" s="23"/>
      <c r="L382" s="23"/>
      <c r="M382" s="23"/>
      <c r="N382" s="5">
        <f>SUM($M$383:$M$383)</f>
        <v>10.23</v>
      </c>
    </row>
    <row r="383" spans="1:14" x14ac:dyDescent="0.3">
      <c r="A383" s="23" t="s">
        <v>756</v>
      </c>
      <c r="B383" s="70" t="s">
        <v>517</v>
      </c>
      <c r="C383" s="71"/>
      <c r="D383" s="71"/>
      <c r="E383" s="72"/>
      <c r="F383" s="5"/>
      <c r="G383" s="26"/>
      <c r="H383" s="5">
        <v>3.1</v>
      </c>
      <c r="I383" s="5">
        <v>3.3</v>
      </c>
      <c r="J383" s="5"/>
      <c r="K383" s="5">
        <f>IF(COUNTA(H383:J383)=2,ROUND(PRODUCT(H383:J383),2),"")</f>
        <v>10.23</v>
      </c>
      <c r="L383" s="5" t="str">
        <f>IF(OR(AND(COUNTA(H383:J383)=3,K383=""),AND(COUNTA(H383:J383)=1,K383&lt;&gt;"")),ROUND(PRODUCT(H383:K383),2),"")</f>
        <v/>
      </c>
      <c r="M383" s="5">
        <f>IF(L383&lt;&gt;"",ROUND(PRODUCT(F383,G383,L383),2),IF(K383&lt;&gt;"",ROUND(PRODUCT(F383,G383,K383),2),ROUND(PRODUCT(F383:J383),2)))</f>
        <v>10.23</v>
      </c>
      <c r="N383" s="5"/>
    </row>
    <row r="384" spans="1:14" x14ac:dyDescent="0.3">
      <c r="A384" s="15" t="s">
        <v>75</v>
      </c>
      <c r="B384" s="48" t="s">
        <v>592</v>
      </c>
      <c r="C384" s="49"/>
      <c r="D384" s="49"/>
      <c r="E384" s="49"/>
      <c r="F384" s="49"/>
      <c r="G384" s="49"/>
      <c r="H384" s="49"/>
      <c r="I384" s="49"/>
      <c r="J384" s="49"/>
      <c r="K384" s="49"/>
      <c r="L384" s="49"/>
      <c r="M384" s="49"/>
      <c r="N384" s="50"/>
    </row>
    <row r="385" spans="1:14" ht="28.8" x14ac:dyDescent="0.3">
      <c r="A385" s="23" t="s">
        <v>316</v>
      </c>
      <c r="B385" s="23">
        <v>96617</v>
      </c>
      <c r="C385" s="23" t="str">
        <f>VLOOKUP(B385,CPU!$B:$J,2,FALSE)</f>
        <v>SINAPI</v>
      </c>
      <c r="D385" s="24" t="str">
        <f>VLOOKUP(B385,CPU!$B:$J,3,FALSE)</f>
        <v>LASTRO DE CONCRETO MAGRO, APLICADO EM BLOCOS DE COROAMENTO OU SAPATAS, ESPESSURA DE 3 CM. AF_01/2024</v>
      </c>
      <c r="E385" s="23" t="str">
        <f>VLOOKUP(B385,CPU!$B:$J,4,FALSE)</f>
        <v>M2</v>
      </c>
      <c r="F385" s="23"/>
      <c r="G385" s="23"/>
      <c r="H385" s="23"/>
      <c r="I385" s="23"/>
      <c r="J385" s="23"/>
      <c r="K385" s="23"/>
      <c r="L385" s="23"/>
      <c r="M385" s="23"/>
      <c r="N385" s="5">
        <f>SUM($M$386:$M$386)</f>
        <v>4</v>
      </c>
    </row>
    <row r="386" spans="1:14" x14ac:dyDescent="0.3">
      <c r="A386" s="23" t="s">
        <v>757</v>
      </c>
      <c r="B386" s="70" t="s">
        <v>517</v>
      </c>
      <c r="C386" s="71"/>
      <c r="D386" s="71"/>
      <c r="E386" s="72"/>
      <c r="F386" s="5"/>
      <c r="G386" s="26"/>
      <c r="H386" s="5">
        <v>2</v>
      </c>
      <c r="I386" s="5">
        <v>2</v>
      </c>
      <c r="J386" s="5"/>
      <c r="K386" s="5">
        <f>IF(COUNTA(H386:J386)=2,ROUND(PRODUCT(H386:J386),2),"")</f>
        <v>4</v>
      </c>
      <c r="L386" s="5" t="str">
        <f>IF(OR(AND(COUNTA(H386:J386)=3,K386=""),AND(COUNTA(H386:J386)=1,K386&lt;&gt;"")),ROUND(PRODUCT(H386:K386),2),"")</f>
        <v/>
      </c>
      <c r="M386" s="5">
        <f>IF(L386&lt;&gt;"",ROUND(PRODUCT(F386,G386,L386),2),IF(K386&lt;&gt;"",ROUND(PRODUCT(F386,G386,K386),2),ROUND(PRODUCT(F386:J386),2)))</f>
        <v>4</v>
      </c>
      <c r="N386" s="5"/>
    </row>
    <row r="387" spans="1:14" ht="28.8" x14ac:dyDescent="0.3">
      <c r="A387" s="23" t="s">
        <v>317</v>
      </c>
      <c r="B387" s="23">
        <v>101749</v>
      </c>
      <c r="C387" s="23" t="str">
        <f>VLOOKUP(B387,CPU!$B:$J,2,FALSE)</f>
        <v>SINAPI</v>
      </c>
      <c r="D387" s="24" t="str">
        <f>VLOOKUP(B387,CPU!$B:$J,3,FALSE)</f>
        <v>PISO CIMENTADO, TRAÇO 1:3 (CIMENTO E AREIA), ACABAMENTO LISO, ESPESSURA 4,0 CM, PREPARO MECÂNICO DA ARGAMASSA. AF_09/2020</v>
      </c>
      <c r="E387" s="23" t="str">
        <f>VLOOKUP(B387,CPU!$B:$J,4,FALSE)</f>
        <v>M2</v>
      </c>
      <c r="F387" s="23"/>
      <c r="G387" s="23"/>
      <c r="H387" s="23"/>
      <c r="I387" s="23"/>
      <c r="J387" s="23"/>
      <c r="K387" s="23"/>
      <c r="L387" s="23"/>
      <c r="M387" s="23"/>
      <c r="N387" s="5">
        <f>SUM($M$388:$M$388)</f>
        <v>4</v>
      </c>
    </row>
    <row r="388" spans="1:14" x14ac:dyDescent="0.3">
      <c r="A388" s="23" t="s">
        <v>758</v>
      </c>
      <c r="B388" s="70" t="s">
        <v>517</v>
      </c>
      <c r="C388" s="71"/>
      <c r="D388" s="71"/>
      <c r="E388" s="72"/>
      <c r="F388" s="5"/>
      <c r="G388" s="26"/>
      <c r="H388" s="5">
        <v>2</v>
      </c>
      <c r="I388" s="5">
        <v>2</v>
      </c>
      <c r="J388" s="5"/>
      <c r="K388" s="5">
        <f>IF(COUNTA(H388:J388)=2,ROUND(PRODUCT(H388:J388),2),"")</f>
        <v>4</v>
      </c>
      <c r="L388" s="5" t="str">
        <f>IF(OR(AND(COUNTA(H388:J388)=3,K388=""),AND(COUNTA(H388:J388)=1,K388&lt;&gt;"")),ROUND(PRODUCT(H388:K388),2),"")</f>
        <v/>
      </c>
      <c r="M388" s="5">
        <f>IF(L388&lt;&gt;"",ROUND(PRODUCT(F388,G388,L388),2),IF(K388&lt;&gt;"",ROUND(PRODUCT(F388,G388,K388),2),ROUND(PRODUCT(F388:J388),2)))</f>
        <v>4</v>
      </c>
      <c r="N388" s="5"/>
    </row>
    <row r="389" spans="1:14" ht="43.2" x14ac:dyDescent="0.3">
      <c r="A389" s="23" t="s">
        <v>318</v>
      </c>
      <c r="B389" s="23">
        <v>94994</v>
      </c>
      <c r="C389" s="23" t="str">
        <f>VLOOKUP(B389,CPU!$B:$J,2,FALSE)</f>
        <v>SINAPI</v>
      </c>
      <c r="D389" s="24" t="str">
        <f>VLOOKUP(B389,CPU!$B:$J,3,FALSE)</f>
        <v>EXECUÇÃO DE PASSEIO (CALÇADA) OU PISO DE CONCRETO COM CONCRETO MOLDADO IN LOCO, FEITO EM OBRA, ACABAMENTO CONVENCIONAL, ESPESSURA 8 CM, ARMADO. AF_08/2022</v>
      </c>
      <c r="E389" s="23" t="str">
        <f>VLOOKUP(B389,CPU!$B:$J,4,FALSE)</f>
        <v>M2</v>
      </c>
      <c r="F389" s="23"/>
      <c r="G389" s="23"/>
      <c r="H389" s="23"/>
      <c r="I389" s="23"/>
      <c r="J389" s="23"/>
      <c r="K389" s="23"/>
      <c r="L389" s="23"/>
      <c r="M389" s="23"/>
      <c r="N389" s="5">
        <f>SUM($M$390:$M$391)</f>
        <v>5.6</v>
      </c>
    </row>
    <row r="390" spans="1:14" x14ac:dyDescent="0.3">
      <c r="A390" s="23" t="s">
        <v>759</v>
      </c>
      <c r="B390" s="70" t="s">
        <v>517</v>
      </c>
      <c r="C390" s="71"/>
      <c r="D390" s="71"/>
      <c r="E390" s="72"/>
      <c r="F390" s="5"/>
      <c r="G390" s="26">
        <v>2</v>
      </c>
      <c r="H390" s="5">
        <v>3.3</v>
      </c>
      <c r="I390" s="5">
        <v>0.5</v>
      </c>
      <c r="J390" s="5"/>
      <c r="K390" s="5">
        <f>IF(COUNTA(H390:J390)=2,ROUND(PRODUCT(H390:J390),2),"")</f>
        <v>1.65</v>
      </c>
      <c r="L390" s="5" t="str">
        <f>IF(OR(AND(COUNTA(H390:J390)=3,K390=""),AND(COUNTA(H390:J390)=1,K390&lt;&gt;"")),ROUND(PRODUCT(H390:K390),2),"")</f>
        <v/>
      </c>
      <c r="M390" s="5">
        <f>IF(L390&lt;&gt;"",ROUND(PRODUCT(F390,G390,L390),2),IF(K390&lt;&gt;"",ROUND(PRODUCT(F390,G390,K390),2),ROUND(PRODUCT(F390:J390),2)))</f>
        <v>3.3</v>
      </c>
      <c r="N390" s="5"/>
    </row>
    <row r="391" spans="1:14" x14ac:dyDescent="0.3">
      <c r="A391" s="23" t="s">
        <v>760</v>
      </c>
      <c r="B391" s="70" t="s">
        <v>517</v>
      </c>
      <c r="C391" s="71"/>
      <c r="D391" s="71"/>
      <c r="E391" s="72"/>
      <c r="F391" s="5"/>
      <c r="G391" s="26">
        <v>2</v>
      </c>
      <c r="H391" s="5">
        <v>2.2999999999999998</v>
      </c>
      <c r="I391" s="5">
        <v>0.5</v>
      </c>
      <c r="J391" s="5"/>
      <c r="K391" s="5">
        <f>IF(COUNTA(H391:J391)=2,ROUND(PRODUCT(H391:J391),2),"")</f>
        <v>1.1499999999999999</v>
      </c>
      <c r="L391" s="5" t="str">
        <f>IF(OR(AND(COUNTA(H391:J391)=3,K391=""),AND(COUNTA(H391:J391)=1,K391&lt;&gt;"")),ROUND(PRODUCT(H391:K391),2),"")</f>
        <v/>
      </c>
      <c r="M391" s="5">
        <f>IF(L391&lt;&gt;"",ROUND(PRODUCT(F391,G391,L391),2),IF(K391&lt;&gt;"",ROUND(PRODUCT(F391,G391,K391),2),ROUND(PRODUCT(F391:J391),2)))</f>
        <v>2.2999999999999998</v>
      </c>
      <c r="N391" s="5"/>
    </row>
    <row r="392" spans="1:14" x14ac:dyDescent="0.3">
      <c r="A392" s="15" t="s">
        <v>76</v>
      </c>
      <c r="B392" s="48" t="s">
        <v>597</v>
      </c>
      <c r="C392" s="49"/>
      <c r="D392" s="49"/>
      <c r="E392" s="49"/>
      <c r="F392" s="49"/>
      <c r="G392" s="49"/>
      <c r="H392" s="49"/>
      <c r="I392" s="49"/>
      <c r="J392" s="49"/>
      <c r="K392" s="49"/>
      <c r="L392" s="49"/>
      <c r="M392" s="49"/>
      <c r="N392" s="50"/>
    </row>
    <row r="393" spans="1:14" ht="43.2" x14ac:dyDescent="0.3">
      <c r="A393" s="23" t="s">
        <v>319</v>
      </c>
      <c r="B393" s="23">
        <v>87904</v>
      </c>
      <c r="C393" s="23" t="str">
        <f>VLOOKUP(B393,CPU!$B:$J,2,FALSE)</f>
        <v>SINAPI</v>
      </c>
      <c r="D393" s="24" t="str">
        <f>VLOOKUP(B393,CPU!$B:$J,3,FALSE)</f>
        <v>CHAPISCO APLICADO EM ALVENARIA (COM PRESENÇA DE VÃOS) E ESTRUTURAS DE CONCRETO DE FACHADA, COM COLHER DE PEDREIRO. ARGAMASSA TRAÇO 1:3 COM PREPARO MANUAL. AF_10/2022</v>
      </c>
      <c r="E393" s="23" t="str">
        <f>VLOOKUP(B393,CPU!$B:$J,4,FALSE)</f>
        <v>M2</v>
      </c>
      <c r="F393" s="23"/>
      <c r="G393" s="23"/>
      <c r="H393" s="23"/>
      <c r="I393" s="23"/>
      <c r="J393" s="23"/>
      <c r="K393" s="23"/>
      <c r="L393" s="23"/>
      <c r="M393" s="23"/>
      <c r="N393" s="5">
        <f>SUM($M$394:$M$394)</f>
        <v>38.619999999999997</v>
      </c>
    </row>
    <row r="394" spans="1:14" x14ac:dyDescent="0.3">
      <c r="A394" s="23" t="s">
        <v>761</v>
      </c>
      <c r="B394" s="70" t="s">
        <v>599</v>
      </c>
      <c r="C394" s="71"/>
      <c r="D394" s="71"/>
      <c r="E394" s="72"/>
      <c r="F394" s="5"/>
      <c r="G394" s="26">
        <v>2</v>
      </c>
      <c r="H394" s="5"/>
      <c r="I394" s="5"/>
      <c r="J394" s="5"/>
      <c r="K394" s="5">
        <v>19.309999999999999</v>
      </c>
      <c r="L394" s="5" t="str">
        <f>IF(OR(AND(COUNTA(H394:J394)=3,K394=""),AND(COUNTA(H394:J394)=1,K394&lt;&gt;"")),ROUND(PRODUCT(H394:K394),2),"")</f>
        <v/>
      </c>
      <c r="M394" s="5">
        <f>IF(L394&lt;&gt;"",ROUND(PRODUCT(F394,G394,L394),2),IF(K394&lt;&gt;"",ROUND(PRODUCT(F394,G394,K394),2),ROUND(PRODUCT(F394:J394),2)))</f>
        <v>38.619999999999997</v>
      </c>
      <c r="N394" s="5"/>
    </row>
    <row r="395" spans="1:14" ht="43.2" x14ac:dyDescent="0.3">
      <c r="A395" s="23" t="s">
        <v>320</v>
      </c>
      <c r="B395" s="23">
        <v>87530</v>
      </c>
      <c r="C395" s="23" t="str">
        <f>VLOOKUP(B395,CPU!$B:$J,2,FALSE)</f>
        <v>SINAPI</v>
      </c>
      <c r="D395" s="24" t="str">
        <f>VLOOKUP(B395,CPU!$B:$J,3,FALSE)</f>
        <v>MASSA ÚNICA, EM ARGAMASSA TRAÇO 1:2:8, PREPARO MANUAL, APLICADA MANUALMENTE EM PAREDES INTERNAS DE AMBIENTES COM ÁREA ENTRE 5M² E 10M², E = 17,5MM, COM TALISCAS. AF_03/2024</v>
      </c>
      <c r="E395" s="23" t="str">
        <f>VLOOKUP(B395,CPU!$B:$J,4,FALSE)</f>
        <v>M2</v>
      </c>
      <c r="F395" s="23"/>
      <c r="G395" s="23"/>
      <c r="H395" s="23"/>
      <c r="I395" s="23"/>
      <c r="J395" s="23"/>
      <c r="K395" s="23"/>
      <c r="L395" s="23"/>
      <c r="M395" s="23"/>
      <c r="N395" s="5">
        <f>SUM($M$396:$M$396)</f>
        <v>38.619999999999997</v>
      </c>
    </row>
    <row r="396" spans="1:14" x14ac:dyDescent="0.3">
      <c r="A396" s="23" t="s">
        <v>762</v>
      </c>
      <c r="B396" s="70" t="s">
        <v>599</v>
      </c>
      <c r="C396" s="71"/>
      <c r="D396" s="71"/>
      <c r="E396" s="72"/>
      <c r="F396" s="5"/>
      <c r="G396" s="26">
        <v>2</v>
      </c>
      <c r="H396" s="5"/>
      <c r="I396" s="5"/>
      <c r="J396" s="5"/>
      <c r="K396" s="5">
        <v>19.309999999999999</v>
      </c>
      <c r="L396" s="5" t="str">
        <f>IF(OR(AND(COUNTA(H396:J396)=3,K396=""),AND(COUNTA(H396:J396)=1,K396&lt;&gt;"")),ROUND(PRODUCT(H396:K396),2),"")</f>
        <v/>
      </c>
      <c r="M396" s="5">
        <f>IF(L396&lt;&gt;"",ROUND(PRODUCT(F396,G396,L396),2),IF(K396&lt;&gt;"",ROUND(PRODUCT(F396,G396,K396),2),ROUND(PRODUCT(F396:J396),2)))</f>
        <v>38.619999999999997</v>
      </c>
      <c r="N396" s="5"/>
    </row>
    <row r="397" spans="1:14" x14ac:dyDescent="0.3">
      <c r="A397" s="15" t="s">
        <v>77</v>
      </c>
      <c r="B397" s="48" t="s">
        <v>601</v>
      </c>
      <c r="C397" s="49"/>
      <c r="D397" s="49"/>
      <c r="E397" s="49"/>
      <c r="F397" s="49"/>
      <c r="G397" s="49"/>
      <c r="H397" s="49"/>
      <c r="I397" s="49"/>
      <c r="J397" s="49"/>
      <c r="K397" s="49"/>
      <c r="L397" s="49"/>
      <c r="M397" s="49"/>
      <c r="N397" s="50"/>
    </row>
    <row r="398" spans="1:14" x14ac:dyDescent="0.3">
      <c r="A398" s="23" t="s">
        <v>321</v>
      </c>
      <c r="B398" s="23">
        <v>100701</v>
      </c>
      <c r="C398" s="23" t="str">
        <f>VLOOKUP(B398,CPU!$B:$J,2,FALSE)</f>
        <v>SINAPI</v>
      </c>
      <c r="D398" s="24" t="str">
        <f>VLOOKUP(B398,CPU!$B:$J,3,FALSE)</f>
        <v>PORTA DE FERRO, DE ABRIR, TIPO GRADE COM CHAPA, COM GUARNIÇÕES. AF_12/2019</v>
      </c>
      <c r="E398" s="23" t="str">
        <f>VLOOKUP(B398,CPU!$B:$J,4,FALSE)</f>
        <v>M2</v>
      </c>
      <c r="F398" s="23"/>
      <c r="G398" s="23"/>
      <c r="H398" s="23"/>
      <c r="I398" s="23"/>
      <c r="J398" s="23"/>
      <c r="K398" s="23"/>
      <c r="L398" s="23"/>
      <c r="M398" s="23"/>
      <c r="N398" s="5">
        <f>SUM($M$399:$M$399)</f>
        <v>1.68</v>
      </c>
    </row>
    <row r="399" spans="1:14" x14ac:dyDescent="0.3">
      <c r="A399" s="23" t="s">
        <v>763</v>
      </c>
      <c r="B399" s="70" t="s">
        <v>517</v>
      </c>
      <c r="C399" s="71"/>
      <c r="D399" s="71"/>
      <c r="E399" s="72"/>
      <c r="F399" s="5"/>
      <c r="G399" s="26">
        <v>1</v>
      </c>
      <c r="H399" s="5"/>
      <c r="I399" s="5">
        <v>0.8</v>
      </c>
      <c r="J399" s="5">
        <v>2.1</v>
      </c>
      <c r="K399" s="5">
        <f>IF(COUNTA(H399:J399)=2,ROUND(PRODUCT(H399:J399),2),"")</f>
        <v>1.68</v>
      </c>
      <c r="L399" s="5" t="str">
        <f>IF(OR(AND(COUNTA(H399:J399)=3,K399=""),AND(COUNTA(H399:J399)=1,K399&lt;&gt;"")),ROUND(PRODUCT(H399:K399),2),"")</f>
        <v/>
      </c>
      <c r="M399" s="5">
        <f>IF(L399&lt;&gt;"",ROUND(PRODUCT(F399,G399,L399),2),IF(K399&lt;&gt;"",ROUND(PRODUCT(F399,G399,K399),2),ROUND(PRODUCT(F399:J399),2)))</f>
        <v>1.68</v>
      </c>
      <c r="N399" s="5"/>
    </row>
    <row r="400" spans="1:14" x14ac:dyDescent="0.3">
      <c r="A400" s="23" t="s">
        <v>322</v>
      </c>
      <c r="B400" s="23" t="s">
        <v>603</v>
      </c>
      <c r="C400" s="23" t="str">
        <f>VLOOKUP(B400,CPU!$B:$J,2,FALSE)</f>
        <v>PRÓPRIA</v>
      </c>
      <c r="D400" s="24" t="str">
        <f>VLOOKUP(B400,CPU!$B:$J,3,FALSE)</f>
        <v>PORTÃO DE FERRO EM BARRA CHATA TIPO TIJOLINHO (REF: C1999-SEINFRA 28)</v>
      </c>
      <c r="E400" s="23" t="str">
        <f>VLOOKUP(B400,CPU!$B:$J,4,FALSE)</f>
        <v>M2</v>
      </c>
      <c r="F400" s="23"/>
      <c r="G400" s="23"/>
      <c r="H400" s="23"/>
      <c r="I400" s="23"/>
      <c r="J400" s="23"/>
      <c r="K400" s="23"/>
      <c r="L400" s="23"/>
      <c r="M400" s="23"/>
      <c r="N400" s="5">
        <f>SUM($M$401:$M$401)</f>
        <v>6</v>
      </c>
    </row>
    <row r="401" spans="1:14" x14ac:dyDescent="0.3">
      <c r="A401" s="23" t="s">
        <v>764</v>
      </c>
      <c r="B401" s="70" t="s">
        <v>517</v>
      </c>
      <c r="C401" s="71"/>
      <c r="D401" s="71"/>
      <c r="E401" s="72"/>
      <c r="F401" s="5"/>
      <c r="G401" s="26"/>
      <c r="H401" s="5"/>
      <c r="I401" s="5">
        <v>3</v>
      </c>
      <c r="J401" s="5">
        <v>2</v>
      </c>
      <c r="K401" s="5">
        <f>IF(COUNTA(H401:J401)=2,ROUND(PRODUCT(H401:J401),2),"")</f>
        <v>6</v>
      </c>
      <c r="L401" s="5" t="str">
        <f>IF(OR(AND(COUNTA(H401:J401)=3,K401=""),AND(COUNTA(H401:J401)=1,K401&lt;&gt;"")),ROUND(PRODUCT(H401:K401),2),"")</f>
        <v/>
      </c>
      <c r="M401" s="5">
        <f>IF(L401&lt;&gt;"",ROUND(PRODUCT(F401,G401,L401),2),IF(K401&lt;&gt;"",ROUND(PRODUCT(F401,G401,K401),2),ROUND(PRODUCT(F401:J401),2)))</f>
        <v>6</v>
      </c>
      <c r="N401" s="5"/>
    </row>
    <row r="402" spans="1:14" x14ac:dyDescent="0.3">
      <c r="A402" s="15" t="s">
        <v>78</v>
      </c>
      <c r="B402" s="48" t="s">
        <v>605</v>
      </c>
      <c r="C402" s="49"/>
      <c r="D402" s="49"/>
      <c r="E402" s="49"/>
      <c r="F402" s="49"/>
      <c r="G402" s="49"/>
      <c r="H402" s="49"/>
      <c r="I402" s="49"/>
      <c r="J402" s="49"/>
      <c r="K402" s="49"/>
      <c r="L402" s="49"/>
      <c r="M402" s="49"/>
      <c r="N402" s="50"/>
    </row>
    <row r="403" spans="1:14" x14ac:dyDescent="0.3">
      <c r="A403" s="23" t="s">
        <v>323</v>
      </c>
      <c r="B403" s="23" t="s">
        <v>606</v>
      </c>
      <c r="C403" s="23" t="str">
        <f>VLOOKUP(B403,CPU!$B:$J,2,FALSE)</f>
        <v>PRÓPRIA</v>
      </c>
      <c r="D403" s="24" t="str">
        <f>VLOOKUP(B403,CPU!$B:$J,3,FALSE)</f>
        <v>CAIAÇÃO EM TRES DEMÃOS EM PAREDES (REF: C0589-SEINFRA 28)</v>
      </c>
      <c r="E403" s="23" t="str">
        <f>VLOOKUP(B403,CPU!$B:$J,4,FALSE)</f>
        <v>M2</v>
      </c>
      <c r="F403" s="23"/>
      <c r="G403" s="23"/>
      <c r="H403" s="23"/>
      <c r="I403" s="23"/>
      <c r="J403" s="23"/>
      <c r="K403" s="23"/>
      <c r="L403" s="23"/>
      <c r="M403" s="23"/>
      <c r="N403" s="5">
        <f>SUM($M$404:$M$404)</f>
        <v>38.619999999999997</v>
      </c>
    </row>
    <row r="404" spans="1:14" x14ac:dyDescent="0.3">
      <c r="A404" s="23" t="s">
        <v>765</v>
      </c>
      <c r="B404" s="70" t="s">
        <v>599</v>
      </c>
      <c r="C404" s="71"/>
      <c r="D404" s="71"/>
      <c r="E404" s="72"/>
      <c r="F404" s="5"/>
      <c r="G404" s="26">
        <v>2</v>
      </c>
      <c r="H404" s="5"/>
      <c r="I404" s="5"/>
      <c r="J404" s="5"/>
      <c r="K404" s="5">
        <v>19.309999999999999</v>
      </c>
      <c r="L404" s="5" t="str">
        <f>IF(OR(AND(COUNTA(H404:J404)=3,K404=""),AND(COUNTA(H404:J404)=1,K404&lt;&gt;"")),ROUND(PRODUCT(H404:K404),2),"")</f>
        <v/>
      </c>
      <c r="M404" s="5">
        <f>IF(L404&lt;&gt;"",ROUND(PRODUCT(F404,G404,L404),2),IF(K404&lt;&gt;"",ROUND(PRODUCT(F404,G404,K404),2),ROUND(PRODUCT(F404:J404),2)))</f>
        <v>38.619999999999997</v>
      </c>
      <c r="N404" s="5"/>
    </row>
    <row r="405" spans="1:14" ht="43.2" x14ac:dyDescent="0.3">
      <c r="A405" s="23" t="s">
        <v>324</v>
      </c>
      <c r="B405" s="23">
        <v>100758</v>
      </c>
      <c r="C405" s="23" t="str">
        <f>VLOOKUP(B405,CPU!$B:$J,2,FALSE)</f>
        <v>SINAPI</v>
      </c>
      <c r="D405" s="24" t="str">
        <f>VLOOKUP(B405,CPU!$B:$J,3,FALSE)</f>
        <v>PINTURA COM TINTA ALQUÍDICA DE ACABAMENTO (ESMALTE SINTÉTICO ACETINADO) APLICADA A ROLO OU PINCEL SOBRE SUPERFÍCIES METÁLICAS (EXCETO PERFIL) EXECUTADO EM OBRA (02 DEMÃOS). AF_01/2020</v>
      </c>
      <c r="E405" s="23" t="str">
        <f>VLOOKUP(B405,CPU!$B:$J,4,FALSE)</f>
        <v>M2</v>
      </c>
      <c r="F405" s="23"/>
      <c r="G405" s="23"/>
      <c r="H405" s="23"/>
      <c r="I405" s="23"/>
      <c r="J405" s="23"/>
      <c r="K405" s="23"/>
      <c r="L405" s="23"/>
      <c r="M405" s="23"/>
      <c r="N405" s="5">
        <f>SUM($M$406:$M$406)</f>
        <v>3.36</v>
      </c>
    </row>
    <row r="406" spans="1:14" x14ac:dyDescent="0.3">
      <c r="A406" s="23" t="s">
        <v>766</v>
      </c>
      <c r="B406" s="70" t="s">
        <v>609</v>
      </c>
      <c r="C406" s="71"/>
      <c r="D406" s="71"/>
      <c r="E406" s="72"/>
      <c r="F406" s="5"/>
      <c r="G406" s="26">
        <v>2</v>
      </c>
      <c r="H406" s="5"/>
      <c r="I406" s="5">
        <v>0.8</v>
      </c>
      <c r="J406" s="5">
        <v>2.1</v>
      </c>
      <c r="K406" s="5">
        <f>IF(COUNTA(H406:J406)=2,ROUND(PRODUCT(H406:J406),2),"")</f>
        <v>1.68</v>
      </c>
      <c r="L406" s="5" t="str">
        <f>IF(OR(AND(COUNTA(H406:J406)=3,K406=""),AND(COUNTA(H406:J406)=1,K406&lt;&gt;"")),ROUND(PRODUCT(H406:K406),2),"")</f>
        <v/>
      </c>
      <c r="M406" s="5">
        <f>IF(L406&lt;&gt;"",ROUND(PRODUCT(F406,G406,L406),2),IF(K406&lt;&gt;"",ROUND(PRODUCT(F406,G406,K406),2),ROUND(PRODUCT(F406:J406),2)))</f>
        <v>3.36</v>
      </c>
      <c r="N406" s="5"/>
    </row>
    <row r="407" spans="1:14" x14ac:dyDescent="0.3">
      <c r="A407" s="15" t="s">
        <v>79</v>
      </c>
      <c r="B407" s="48" t="s">
        <v>610</v>
      </c>
      <c r="C407" s="49"/>
      <c r="D407" s="49"/>
      <c r="E407" s="49"/>
      <c r="F407" s="49"/>
      <c r="G407" s="49"/>
      <c r="H407" s="49"/>
      <c r="I407" s="49"/>
      <c r="J407" s="49"/>
      <c r="K407" s="49"/>
      <c r="L407" s="49"/>
      <c r="M407" s="49"/>
      <c r="N407" s="50"/>
    </row>
    <row r="408" spans="1:14" ht="43.2" x14ac:dyDescent="0.3">
      <c r="A408" s="23" t="s">
        <v>325</v>
      </c>
      <c r="B408" s="23">
        <v>101197</v>
      </c>
      <c r="C408" s="23" t="str">
        <f>VLOOKUP(B408,CPU!$B:$J,2,FALSE)</f>
        <v>SINAPI</v>
      </c>
      <c r="D408" s="24" t="str">
        <f>VLOOKUP(B408,CPU!$B:$J,3,FALSE)</f>
        <v>CERCA COM MOURÕES DE CONCRETO, SEÇÃO "T" PONTA INCLINADA, 10X10 CM, ESPAÇAMENTO DE 2,5 M, CRAVADOS 0,5 M, COM 11 FIOS DE ARAME FARPADO Nº 14 - FORNECIMENTO E INSTALAÇÃO. AF_05/2020</v>
      </c>
      <c r="E408" s="23" t="str">
        <f>VLOOKUP(B408,CPU!$B:$J,4,FALSE)</f>
        <v>M</v>
      </c>
      <c r="F408" s="23"/>
      <c r="G408" s="23"/>
      <c r="H408" s="23"/>
      <c r="I408" s="23"/>
      <c r="J408" s="23"/>
      <c r="K408" s="23"/>
      <c r="L408" s="23"/>
      <c r="M408" s="23"/>
      <c r="N408" s="5">
        <f>SUM($M$409:$M$410)</f>
        <v>37</v>
      </c>
    </row>
    <row r="409" spans="1:14" x14ac:dyDescent="0.3">
      <c r="A409" s="23" t="s">
        <v>767</v>
      </c>
      <c r="B409" s="70" t="s">
        <v>517</v>
      </c>
      <c r="C409" s="71"/>
      <c r="D409" s="71"/>
      <c r="E409" s="72"/>
      <c r="F409" s="5"/>
      <c r="G409" s="26">
        <v>4</v>
      </c>
      <c r="H409" s="5">
        <v>10</v>
      </c>
      <c r="I409" s="5"/>
      <c r="J409" s="5"/>
      <c r="K409" s="5" t="str">
        <f>IF(COUNTA(H409:J409)=2,ROUND(PRODUCT(H409:J409),2),"")</f>
        <v/>
      </c>
      <c r="L409" s="5" t="str">
        <f>IF(OR(AND(COUNTA(H409:J409)=3,K409=""),AND(COUNTA(H409:J409)=1,K409&lt;&gt;"")),ROUND(PRODUCT(H409:K409),2),"")</f>
        <v/>
      </c>
      <c r="M409" s="5">
        <f>IF(L409&lt;&gt;"",ROUND(PRODUCT(F409,G409,L409),2),IF(K409&lt;&gt;"",ROUND(PRODUCT(F409,G409,K409),2),ROUND(PRODUCT(F409:J409),2)))</f>
        <v>40</v>
      </c>
      <c r="N409" s="5"/>
    </row>
    <row r="410" spans="1:14" x14ac:dyDescent="0.3">
      <c r="A410" s="23" t="s">
        <v>768</v>
      </c>
      <c r="B410" s="70" t="s">
        <v>613</v>
      </c>
      <c r="C410" s="71"/>
      <c r="D410" s="71"/>
      <c r="E410" s="72"/>
      <c r="F410" s="5"/>
      <c r="G410" s="26">
        <v>-1</v>
      </c>
      <c r="H410" s="5">
        <v>3</v>
      </c>
      <c r="I410" s="5"/>
      <c r="J410" s="5"/>
      <c r="K410" s="5" t="str">
        <f>IF(COUNTA(H410:J410)=2,ROUND(PRODUCT(H410:J410),2),"")</f>
        <v/>
      </c>
      <c r="L410" s="5" t="str">
        <f>IF(OR(AND(COUNTA(H410:J410)=3,K410=""),AND(COUNTA(H410:J410)=1,K410&lt;&gt;"")),ROUND(PRODUCT(H410:K410),2),"")</f>
        <v/>
      </c>
      <c r="M410" s="5">
        <f>IF(L410&lt;&gt;"",ROUND(PRODUCT(F410,G410,L410),2),IF(K410&lt;&gt;"",ROUND(PRODUCT(F410,G410,K410),2),ROUND(PRODUCT(F410:J410),2)))</f>
        <v>-3</v>
      </c>
      <c r="N410" s="5"/>
    </row>
    <row r="411" spans="1:14" x14ac:dyDescent="0.3">
      <c r="A411" s="12" t="s">
        <v>80</v>
      </c>
      <c r="B411" s="51" t="s">
        <v>614</v>
      </c>
      <c r="C411" s="52"/>
      <c r="D411" s="52"/>
      <c r="E411" s="52"/>
      <c r="F411" s="52"/>
      <c r="G411" s="52"/>
      <c r="H411" s="52"/>
      <c r="I411" s="52"/>
      <c r="J411" s="52"/>
      <c r="K411" s="52"/>
      <c r="L411" s="52"/>
      <c r="M411" s="52"/>
      <c r="N411" s="53"/>
    </row>
    <row r="412" spans="1:14" ht="43.2" x14ac:dyDescent="0.3">
      <c r="A412" s="23" t="s">
        <v>326</v>
      </c>
      <c r="B412" s="23" t="s">
        <v>615</v>
      </c>
      <c r="C412" s="23" t="str">
        <f>VLOOKUP(B412,CPU!$B:$J,2,FALSE)</f>
        <v>PRÓPRIA</v>
      </c>
      <c r="D412" s="24" t="str">
        <f>VLOOKUP(B412,CPU!$B:$J,3,FALSE)</f>
        <v>FORNECIMENTO E INSTALAÇÃO DE KIT DE BOMBEAMENTO SOLAR P/ POÇO COM PROFUNDIDADE DE 100 A 120 M, INCLUSO BOMBA 3CV, INVERSOR, PAINÉIS, QUADRO DE COMANDO, DISJUNTORES, CABOS E CONEXÕES E ESTRUTURA TIPO SOLO</v>
      </c>
      <c r="E412" s="23" t="str">
        <f>VLOOKUP(B412,CPU!$B:$J,4,FALSE)</f>
        <v>UND</v>
      </c>
      <c r="F412" s="23"/>
      <c r="G412" s="23"/>
      <c r="H412" s="23"/>
      <c r="I412" s="23"/>
      <c r="J412" s="23"/>
      <c r="K412" s="23"/>
      <c r="L412" s="23"/>
      <c r="M412" s="23"/>
      <c r="N412" s="5">
        <f>SUM($M$413:$M$413)</f>
        <v>1</v>
      </c>
    </row>
    <row r="413" spans="1:14" x14ac:dyDescent="0.3">
      <c r="A413" s="23" t="s">
        <v>769</v>
      </c>
      <c r="B413" s="70" t="s">
        <v>517</v>
      </c>
      <c r="C413" s="71"/>
      <c r="D413" s="71"/>
      <c r="E413" s="72"/>
      <c r="F413" s="5">
        <v>1</v>
      </c>
      <c r="G413" s="26"/>
      <c r="H413" s="5"/>
      <c r="I413" s="5"/>
      <c r="J413" s="5"/>
      <c r="K413" s="5" t="str">
        <f>IF(COUNTA(H413:J413)=2,ROUND(PRODUCT(H413:J413),2),"")</f>
        <v/>
      </c>
      <c r="L413" s="5" t="str">
        <f>IF(OR(AND(COUNTA(H413:J413)=3,K413=""),AND(COUNTA(H413:J413)=1,K413&lt;&gt;"")),ROUND(PRODUCT(H413:K413),2),"")</f>
        <v/>
      </c>
      <c r="M413" s="5">
        <f>IF(L413&lt;&gt;"",ROUND(PRODUCT(F413,G413,L413),2),IF(K413&lt;&gt;"",ROUND(PRODUCT(F413,G413,K413),2),ROUND(PRODUCT(F413:J413),2)))</f>
        <v>1</v>
      </c>
      <c r="N413" s="5"/>
    </row>
    <row r="414" spans="1:14" x14ac:dyDescent="0.3">
      <c r="A414" s="23" t="s">
        <v>327</v>
      </c>
      <c r="B414" s="23" t="s">
        <v>617</v>
      </c>
      <c r="C414" s="23" t="str">
        <f>VLOOKUP(B414,CPU!$B:$J,2,FALSE)</f>
        <v>PRÓPRIA</v>
      </c>
      <c r="D414" s="24" t="str">
        <f>VLOOKUP(B414,CPU!$B:$J,3,FALSE)</f>
        <v>FORNECIMENTO E INSTALAÇÃO DE CABO CHATO SUBMERSO DE 3 X 6 MM²</v>
      </c>
      <c r="E414" s="23" t="str">
        <f>VLOOKUP(B414,CPU!$B:$J,4,FALSE)</f>
        <v>M</v>
      </c>
      <c r="F414" s="23"/>
      <c r="G414" s="23"/>
      <c r="H414" s="23"/>
      <c r="I414" s="23"/>
      <c r="J414" s="23"/>
      <c r="K414" s="23"/>
      <c r="L414" s="23"/>
      <c r="M414" s="23"/>
      <c r="N414" s="5">
        <f>SUM($M$415:$M$415)</f>
        <v>100</v>
      </c>
    </row>
    <row r="415" spans="1:14" x14ac:dyDescent="0.3">
      <c r="A415" s="23" t="s">
        <v>770</v>
      </c>
      <c r="B415" s="70" t="s">
        <v>517</v>
      </c>
      <c r="C415" s="71"/>
      <c r="D415" s="71"/>
      <c r="E415" s="72"/>
      <c r="F415" s="5">
        <v>100</v>
      </c>
      <c r="G415" s="26"/>
      <c r="H415" s="5"/>
      <c r="I415" s="5"/>
      <c r="J415" s="5"/>
      <c r="K415" s="5" t="str">
        <f>IF(COUNTA(H415:J415)=2,ROUND(PRODUCT(H415:J415),2),"")</f>
        <v/>
      </c>
      <c r="L415" s="5" t="str">
        <f>IF(OR(AND(COUNTA(H415:J415)=3,K415=""),AND(COUNTA(H415:J415)=1,K415&lt;&gt;"")),ROUND(PRODUCT(H415:K415),2),"")</f>
        <v/>
      </c>
      <c r="M415" s="5">
        <f>IF(L415&lt;&gt;"",ROUND(PRODUCT(F415,G415,L415),2),IF(K415&lt;&gt;"",ROUND(PRODUCT(F415,G415,K415),2),ROUND(PRODUCT(F415:J415),2)))</f>
        <v>100</v>
      </c>
      <c r="N415" s="5"/>
    </row>
    <row r="416" spans="1:14" x14ac:dyDescent="0.3">
      <c r="A416" s="12" t="s">
        <v>81</v>
      </c>
      <c r="B416" s="51" t="s">
        <v>619</v>
      </c>
      <c r="C416" s="52"/>
      <c r="D416" s="52"/>
      <c r="E416" s="52"/>
      <c r="F416" s="52"/>
      <c r="G416" s="52"/>
      <c r="H416" s="52"/>
      <c r="I416" s="52"/>
      <c r="J416" s="52"/>
      <c r="K416" s="52"/>
      <c r="L416" s="52"/>
      <c r="M416" s="52"/>
      <c r="N416" s="53"/>
    </row>
    <row r="417" spans="1:14" x14ac:dyDescent="0.3">
      <c r="A417" s="15" t="s">
        <v>82</v>
      </c>
      <c r="B417" s="48" t="s">
        <v>563</v>
      </c>
      <c r="C417" s="49"/>
      <c r="D417" s="49"/>
      <c r="E417" s="49"/>
      <c r="F417" s="49"/>
      <c r="G417" s="49"/>
      <c r="H417" s="49"/>
      <c r="I417" s="49"/>
      <c r="J417" s="49"/>
      <c r="K417" s="49"/>
      <c r="L417" s="49"/>
      <c r="M417" s="49"/>
      <c r="N417" s="50"/>
    </row>
    <row r="418" spans="1:14" x14ac:dyDescent="0.3">
      <c r="A418" s="23" t="s">
        <v>328</v>
      </c>
      <c r="B418" s="23">
        <v>93358</v>
      </c>
      <c r="C418" s="23" t="str">
        <f>VLOOKUP(B418,CPU!$B:$J,2,FALSE)</f>
        <v>SINAPI</v>
      </c>
      <c r="D418" s="24" t="str">
        <f>VLOOKUP(B418,CPU!$B:$J,3,FALSE)</f>
        <v>ESCAVAÇÃO MANUAL DE VALA. AF_09/2024</v>
      </c>
      <c r="E418" s="23" t="str">
        <f>VLOOKUP(B418,CPU!$B:$J,4,FALSE)</f>
        <v>M3</v>
      </c>
      <c r="F418" s="23"/>
      <c r="G418" s="23"/>
      <c r="H418" s="23"/>
      <c r="I418" s="23"/>
      <c r="J418" s="23"/>
      <c r="K418" s="23"/>
      <c r="L418" s="23"/>
      <c r="M418" s="23"/>
      <c r="N418" s="5">
        <f>SUM($M$419:$M$419)</f>
        <v>3.23</v>
      </c>
    </row>
    <row r="419" spans="1:14" x14ac:dyDescent="0.3">
      <c r="A419" s="23" t="s">
        <v>771</v>
      </c>
      <c r="B419" s="70" t="s">
        <v>517</v>
      </c>
      <c r="C419" s="71"/>
      <c r="D419" s="71"/>
      <c r="E419" s="72"/>
      <c r="F419" s="5"/>
      <c r="G419" s="26"/>
      <c r="H419" s="5">
        <v>3.6</v>
      </c>
      <c r="I419" s="5">
        <v>0.7</v>
      </c>
      <c r="J419" s="5">
        <v>1.28</v>
      </c>
      <c r="K419" s="5" t="str">
        <f>IF(COUNTA(H419:J419)=2,ROUND(PRODUCT(H419:J419),2),"")</f>
        <v/>
      </c>
      <c r="L419" s="5">
        <f>IF(OR(AND(COUNTA(H419:J419)=3,K419=""),AND(COUNTA(H419:J419)=1,K419&lt;&gt;"")),ROUND(PRODUCT(H419:K419),2),"")</f>
        <v>3.23</v>
      </c>
      <c r="M419" s="5">
        <f>IF(L419&lt;&gt;"",ROUND(PRODUCT(F419,G419,L419),2),IF(K419&lt;&gt;"",ROUND(PRODUCT(F419,G419,K419),2),ROUND(PRODUCT(F419:J419),2)))</f>
        <v>3.23</v>
      </c>
      <c r="N419" s="5"/>
    </row>
    <row r="420" spans="1:14" x14ac:dyDescent="0.3">
      <c r="A420" s="23" t="s">
        <v>329</v>
      </c>
      <c r="B420" s="23" t="s">
        <v>621</v>
      </c>
      <c r="C420" s="23" t="str">
        <f>VLOOKUP(B420,CPU!$B:$J,2,FALSE)</f>
        <v>PRÓPRIA</v>
      </c>
      <c r="D420" s="24" t="str">
        <f>VLOOKUP(B420,CPU!$B:$J,3,FALSE)</f>
        <v>REATERRO DE VALA COM COMPACTAÇÃO MANUAL</v>
      </c>
      <c r="E420" s="23" t="str">
        <f>VLOOKUP(B420,CPU!$B:$J,4,FALSE)</f>
        <v>M³</v>
      </c>
      <c r="F420" s="23"/>
      <c r="G420" s="23"/>
      <c r="H420" s="23"/>
      <c r="I420" s="23"/>
      <c r="J420" s="23"/>
      <c r="K420" s="23"/>
      <c r="L420" s="23"/>
      <c r="M420" s="23"/>
      <c r="N420" s="5">
        <f>SUM($M$421:$M$421)</f>
        <v>3.23</v>
      </c>
    </row>
    <row r="421" spans="1:14" x14ac:dyDescent="0.3">
      <c r="A421" s="23" t="s">
        <v>772</v>
      </c>
      <c r="B421" s="70" t="s">
        <v>517</v>
      </c>
      <c r="C421" s="71"/>
      <c r="D421" s="71"/>
      <c r="E421" s="72"/>
      <c r="F421" s="5"/>
      <c r="G421" s="26"/>
      <c r="H421" s="5">
        <v>3.6</v>
      </c>
      <c r="I421" s="5">
        <v>0.7</v>
      </c>
      <c r="J421" s="5">
        <v>1.28</v>
      </c>
      <c r="K421" s="5" t="str">
        <f>IF(COUNTA(H421:J421)=2,ROUND(PRODUCT(H421:J421),2),"")</f>
        <v/>
      </c>
      <c r="L421" s="5">
        <f>IF(OR(AND(COUNTA(H421:J421)=3,K421=""),AND(COUNTA(H421:J421)=1,K421&lt;&gt;"")),ROUND(PRODUCT(H421:K421),2),"")</f>
        <v>3.23</v>
      </c>
      <c r="M421" s="5">
        <f>IF(L421&lt;&gt;"",ROUND(PRODUCT(F421,G421,L421),2),IF(K421&lt;&gt;"",ROUND(PRODUCT(F421,G421,K421),2),ROUND(PRODUCT(F421:J421),2)))</f>
        <v>3.23</v>
      </c>
      <c r="N421" s="5"/>
    </row>
    <row r="422" spans="1:14" x14ac:dyDescent="0.3">
      <c r="A422" s="15" t="s">
        <v>83</v>
      </c>
      <c r="B422" s="48" t="s">
        <v>566</v>
      </c>
      <c r="C422" s="49"/>
      <c r="D422" s="49"/>
      <c r="E422" s="49"/>
      <c r="F422" s="49"/>
      <c r="G422" s="49"/>
      <c r="H422" s="49"/>
      <c r="I422" s="49"/>
      <c r="J422" s="49"/>
      <c r="K422" s="49"/>
      <c r="L422" s="49"/>
      <c r="M422" s="49"/>
      <c r="N422" s="50"/>
    </row>
    <row r="423" spans="1:14" x14ac:dyDescent="0.3">
      <c r="A423" s="23" t="s">
        <v>330</v>
      </c>
      <c r="B423" s="23" t="s">
        <v>623</v>
      </c>
      <c r="C423" s="23" t="str">
        <f>VLOOKUP(B423,CPU!$B:$J,2,FALSE)</f>
        <v>PRÓPRIA</v>
      </c>
      <c r="D423" s="24" t="str">
        <f>VLOOKUP(B423,CPU!$B:$J,3,FALSE)</f>
        <v>BLOCO DE ANCORAGEM EM CONCRETO SIMPLES FCK=10MPA (REF: C3403-SEINFRA 28)</v>
      </c>
      <c r="E423" s="23" t="str">
        <f>VLOOKUP(B423,CPU!$B:$J,4,FALSE)</f>
        <v>M3</v>
      </c>
      <c r="F423" s="23"/>
      <c r="G423" s="23"/>
      <c r="H423" s="23"/>
      <c r="I423" s="23"/>
      <c r="J423" s="23"/>
      <c r="K423" s="23"/>
      <c r="L423" s="23"/>
      <c r="M423" s="23"/>
      <c r="N423" s="5">
        <f>SUM($M$424:$M$424)</f>
        <v>0.26</v>
      </c>
    </row>
    <row r="424" spans="1:14" x14ac:dyDescent="0.3">
      <c r="A424" s="23" t="s">
        <v>773</v>
      </c>
      <c r="B424" s="70" t="s">
        <v>517</v>
      </c>
      <c r="C424" s="71"/>
      <c r="D424" s="71"/>
      <c r="E424" s="72"/>
      <c r="F424" s="5"/>
      <c r="G424" s="26">
        <v>2</v>
      </c>
      <c r="H424" s="5">
        <v>0.5</v>
      </c>
      <c r="I424" s="5">
        <v>0.5</v>
      </c>
      <c r="J424" s="5">
        <v>0.5</v>
      </c>
      <c r="K424" s="5" t="str">
        <f>IF(COUNTA(H424:J424)=2,ROUND(PRODUCT(H424:J424),2),"")</f>
        <v/>
      </c>
      <c r="L424" s="5">
        <f>IF(OR(AND(COUNTA(H424:J424)=3,K424=""),AND(COUNTA(H424:J424)=1,K424&lt;&gt;"")),ROUND(PRODUCT(H424:K424),2),"")</f>
        <v>0.13</v>
      </c>
      <c r="M424" s="5">
        <f>IF(L424&lt;&gt;"",ROUND(PRODUCT(F424,G424,L424),2),IF(K424&lt;&gt;"",ROUND(PRODUCT(F424,G424,K424),2),ROUND(PRODUCT(F424:J424),2)))</f>
        <v>0.26</v>
      </c>
      <c r="N424" s="5"/>
    </row>
    <row r="425" spans="1:14" x14ac:dyDescent="0.3">
      <c r="A425" s="15" t="s">
        <v>84</v>
      </c>
      <c r="B425" s="48" t="s">
        <v>625</v>
      </c>
      <c r="C425" s="49"/>
      <c r="D425" s="49"/>
      <c r="E425" s="49"/>
      <c r="F425" s="49"/>
      <c r="G425" s="49"/>
      <c r="H425" s="49"/>
      <c r="I425" s="49"/>
      <c r="J425" s="49"/>
      <c r="K425" s="49"/>
      <c r="L425" s="49"/>
      <c r="M425" s="49"/>
      <c r="N425" s="50"/>
    </row>
    <row r="426" spans="1:14" ht="28.8" x14ac:dyDescent="0.3">
      <c r="A426" s="23" t="s">
        <v>331</v>
      </c>
      <c r="B426" s="23">
        <v>94498</v>
      </c>
      <c r="C426" s="23" t="str">
        <f>VLOOKUP(B426,CPU!$B:$J,2,FALSE)</f>
        <v>SINAPI</v>
      </c>
      <c r="D426" s="24" t="str">
        <f>VLOOKUP(B426,CPU!$B:$J,3,FALSE)</f>
        <v>REGISTRO DE GAVETA BRUTO, LATÃO, ROSCÁVEL, 2" - FORNECIMENTO E INSTALAÇÃO. AF_08/2021</v>
      </c>
      <c r="E426" s="23" t="str">
        <f>VLOOKUP(B426,CPU!$B:$J,4,FALSE)</f>
        <v>UN</v>
      </c>
      <c r="F426" s="23"/>
      <c r="G426" s="23"/>
      <c r="H426" s="23"/>
      <c r="I426" s="23"/>
      <c r="J426" s="23"/>
      <c r="K426" s="23"/>
      <c r="L426" s="23"/>
      <c r="M426" s="23"/>
      <c r="N426" s="5">
        <f>SUM($M$427:$M$427)</f>
        <v>1</v>
      </c>
    </row>
    <row r="427" spans="1:14" x14ac:dyDescent="0.3">
      <c r="A427" s="23" t="s">
        <v>774</v>
      </c>
      <c r="B427" s="70" t="s">
        <v>517</v>
      </c>
      <c r="C427" s="71"/>
      <c r="D427" s="71"/>
      <c r="E427" s="72"/>
      <c r="F427" s="5">
        <v>1</v>
      </c>
      <c r="G427" s="26"/>
      <c r="H427" s="5"/>
      <c r="I427" s="5"/>
      <c r="J427" s="5"/>
      <c r="K427" s="5" t="str">
        <f>IF(COUNTA(H427:J427)=2,ROUND(PRODUCT(H427:J427),2),"")</f>
        <v/>
      </c>
      <c r="L427" s="5" t="str">
        <f>IF(OR(AND(COUNTA(H427:J427)=3,K427=""),AND(COUNTA(H427:J427)=1,K427&lt;&gt;"")),ROUND(PRODUCT(H427:K427),2),"")</f>
        <v/>
      </c>
      <c r="M427" s="5">
        <f>IF(L427&lt;&gt;"",ROUND(PRODUCT(F427,G427,L427),2),IF(K427&lt;&gt;"",ROUND(PRODUCT(F427,G427,K427),2),ROUND(PRODUCT(F427:J427),2)))</f>
        <v>1</v>
      </c>
      <c r="N427" s="5"/>
    </row>
    <row r="428" spans="1:14" ht="28.8" x14ac:dyDescent="0.3">
      <c r="A428" s="23" t="s">
        <v>332</v>
      </c>
      <c r="B428" s="23" t="s">
        <v>627</v>
      </c>
      <c r="C428" s="23" t="str">
        <f>VLOOKUP(B428,CPU!$B:$J,2,FALSE)</f>
        <v>PRÓPRIA</v>
      </c>
      <c r="D428" s="24" t="str">
        <f>VLOOKUP(B428,CPU!$B:$J,3,FALSE)</f>
        <v>AQUISIÇÃO E ASSENTAMENTO DE TUBO RÍGIDO PVC, CLASSE 12, DN 50 MM, INCLUSO CONEXÕES</v>
      </c>
      <c r="E428" s="23" t="str">
        <f>VLOOKUP(B428,CPU!$B:$J,4,FALSE)</f>
        <v>M</v>
      </c>
      <c r="F428" s="23"/>
      <c r="G428" s="23"/>
      <c r="H428" s="23"/>
      <c r="I428" s="23"/>
      <c r="J428" s="23"/>
      <c r="K428" s="23"/>
      <c r="L428" s="23"/>
      <c r="M428" s="23"/>
      <c r="N428" s="5">
        <f>SUM($M$429:$M$429)</f>
        <v>16</v>
      </c>
    </row>
    <row r="429" spans="1:14" x14ac:dyDescent="0.3">
      <c r="A429" s="23" t="s">
        <v>775</v>
      </c>
      <c r="B429" s="70" t="s">
        <v>517</v>
      </c>
      <c r="C429" s="71"/>
      <c r="D429" s="71"/>
      <c r="E429" s="72"/>
      <c r="F429" s="5">
        <v>16</v>
      </c>
      <c r="G429" s="26"/>
      <c r="H429" s="5"/>
      <c r="I429" s="5"/>
      <c r="J429" s="5"/>
      <c r="K429" s="5" t="str">
        <f>IF(COUNTA(H429:J429)=2,ROUND(PRODUCT(H429:J429),2),"")</f>
        <v/>
      </c>
      <c r="L429" s="5" t="str">
        <f>IF(OR(AND(COUNTA(H429:J429)=3,K429=""),AND(COUNTA(H429:J429)=1,K429&lt;&gt;"")),ROUND(PRODUCT(H429:K429),2),"")</f>
        <v/>
      </c>
      <c r="M429" s="5">
        <f>IF(L429&lt;&gt;"",ROUND(PRODUCT(F429,G429,L429),2),IF(K429&lt;&gt;"",ROUND(PRODUCT(F429,G429,K429),2),ROUND(PRODUCT(F429:J429),2)))</f>
        <v>16</v>
      </c>
      <c r="N429" s="5"/>
    </row>
    <row r="430" spans="1:14" x14ac:dyDescent="0.3">
      <c r="A430" s="12" t="s">
        <v>85</v>
      </c>
      <c r="B430" s="51" t="s">
        <v>629</v>
      </c>
      <c r="C430" s="52"/>
      <c r="D430" s="52"/>
      <c r="E430" s="52"/>
      <c r="F430" s="52"/>
      <c r="G430" s="52"/>
      <c r="H430" s="52"/>
      <c r="I430" s="52"/>
      <c r="J430" s="52"/>
      <c r="K430" s="52"/>
      <c r="L430" s="52"/>
      <c r="M430" s="52"/>
      <c r="N430" s="53"/>
    </row>
    <row r="431" spans="1:14" ht="72" x14ac:dyDescent="0.3">
      <c r="A431" s="23" t="s">
        <v>333</v>
      </c>
      <c r="B431" s="23" t="s">
        <v>630</v>
      </c>
      <c r="C431" s="23" t="str">
        <f>VLOOKUP(B431,CPU!$B:$J,2,FALSE)</f>
        <v>PRÓPRIA</v>
      </c>
      <c r="D431" s="24" t="str">
        <f>VLOOKUP(B431,CPU!$B:$J,3,FALSE)</f>
        <v>FORNECIMENTO E INSTALAÇÃO DE RESERVATÓRIO ELEVADO C/ CAIXA D'AGUA EM POLIESTER REFORCADO COM FIBRA DE VIDRO DE 10.000 LITROS, APOIADO EM ESTRUTURA PRÉ-MOLDADA EM CONCRETO, COMPOSTA DE CAPITEL P/APOIO DA CAIXA E PILAR C/ALTURA ÚTIL = 10,00M, INCLUSO FRETE E MONTAGEM NO LOCAL, COM FUNDAÇÃO EM CONCRETO SIMPLES FCK=20MPA</v>
      </c>
      <c r="E431" s="23" t="str">
        <f>VLOOKUP(B431,CPU!$B:$J,4,FALSE)</f>
        <v>UND</v>
      </c>
      <c r="F431" s="23"/>
      <c r="G431" s="23"/>
      <c r="H431" s="23"/>
      <c r="I431" s="23"/>
      <c r="J431" s="23"/>
      <c r="K431" s="23"/>
      <c r="L431" s="23"/>
      <c r="M431" s="23"/>
      <c r="N431" s="5">
        <f>SUM($M$432:$M$432)</f>
        <v>1</v>
      </c>
    </row>
    <row r="432" spans="1:14" x14ac:dyDescent="0.3">
      <c r="A432" s="23" t="s">
        <v>776</v>
      </c>
      <c r="B432" s="70" t="s">
        <v>517</v>
      </c>
      <c r="C432" s="71"/>
      <c r="D432" s="71"/>
      <c r="E432" s="72"/>
      <c r="F432" s="5">
        <v>1</v>
      </c>
      <c r="G432" s="26"/>
      <c r="H432" s="5"/>
      <c r="I432" s="5"/>
      <c r="J432" s="5"/>
      <c r="K432" s="5" t="str">
        <f>IF(COUNTA(H432:J432)=2,ROUND(PRODUCT(H432:J432),2),"")</f>
        <v/>
      </c>
      <c r="L432" s="5" t="str">
        <f>IF(OR(AND(COUNTA(H432:J432)=3,K432=""),AND(COUNTA(H432:J432)=1,K432&lt;&gt;"")),ROUND(PRODUCT(H432:K432),2),"")</f>
        <v/>
      </c>
      <c r="M432" s="5">
        <f>IF(L432&lt;&gt;"",ROUND(PRODUCT(F432,G432,L432),2),IF(K432&lt;&gt;"",ROUND(PRODUCT(F432,G432,K432),2),ROUND(PRODUCT(F432:J432),2)))</f>
        <v>1</v>
      </c>
      <c r="N432" s="5"/>
    </row>
    <row r="433" spans="1:14" ht="28.8" x14ac:dyDescent="0.3">
      <c r="A433" s="23" t="s">
        <v>334</v>
      </c>
      <c r="B433" s="23">
        <v>94498</v>
      </c>
      <c r="C433" s="23" t="str">
        <f>VLOOKUP(B433,CPU!$B:$J,2,FALSE)</f>
        <v>SINAPI</v>
      </c>
      <c r="D433" s="24" t="str">
        <f>VLOOKUP(B433,CPU!$B:$J,3,FALSE)</f>
        <v>REGISTRO DE GAVETA BRUTO, LATÃO, ROSCÁVEL, 2" - FORNECIMENTO E INSTALAÇÃO. AF_08/2021</v>
      </c>
      <c r="E433" s="23" t="str">
        <f>VLOOKUP(B433,CPU!$B:$J,4,FALSE)</f>
        <v>UN</v>
      </c>
      <c r="F433" s="23"/>
      <c r="G433" s="23"/>
      <c r="H433" s="23"/>
      <c r="I433" s="23"/>
      <c r="J433" s="23"/>
      <c r="K433" s="23"/>
      <c r="L433" s="23"/>
      <c r="M433" s="23"/>
      <c r="N433" s="5">
        <f>SUM($M$434:$M$434)</f>
        <v>2</v>
      </c>
    </row>
    <row r="434" spans="1:14" x14ac:dyDescent="0.3">
      <c r="A434" s="23" t="s">
        <v>777</v>
      </c>
      <c r="B434" s="70" t="s">
        <v>517</v>
      </c>
      <c r="C434" s="71"/>
      <c r="D434" s="71"/>
      <c r="E434" s="72"/>
      <c r="F434" s="5">
        <v>2</v>
      </c>
      <c r="G434" s="26"/>
      <c r="H434" s="5"/>
      <c r="I434" s="5"/>
      <c r="J434" s="5"/>
      <c r="K434" s="5" t="str">
        <f>IF(COUNTA(H434:J434)=2,ROUND(PRODUCT(H434:J434),2),"")</f>
        <v/>
      </c>
      <c r="L434" s="5" t="str">
        <f>IF(OR(AND(COUNTA(H434:J434)=3,K434=""),AND(COUNTA(H434:J434)=1,K434&lt;&gt;"")),ROUND(PRODUCT(H434:K434),2),"")</f>
        <v/>
      </c>
      <c r="M434" s="5">
        <f>IF(L434&lt;&gt;"",ROUND(PRODUCT(F434,G434,L434),2),IF(K434&lt;&gt;"",ROUND(PRODUCT(F434,G434,K434),2),ROUND(PRODUCT(F434:J434),2)))</f>
        <v>2</v>
      </c>
      <c r="N434" s="5"/>
    </row>
    <row r="435" spans="1:14" ht="28.8" x14ac:dyDescent="0.3">
      <c r="A435" s="23" t="s">
        <v>335</v>
      </c>
      <c r="B435" s="23" t="s">
        <v>640</v>
      </c>
      <c r="C435" s="23" t="str">
        <f>VLOOKUP(B435,CPU!$B:$J,2,FALSE)</f>
        <v>PRÓPRIA</v>
      </c>
      <c r="D435" s="24" t="str">
        <f>VLOOKUP(B435,CPU!$B:$J,3,FALSE)</f>
        <v>AQUISIÇÃO E ASSENTAMENTO DE TUBO RÍGIDO PVC, CLASSE 12, DN 60 MM, INCLUSO CONEXÕES</v>
      </c>
      <c r="E435" s="23" t="str">
        <f>VLOOKUP(B435,CPU!$B:$J,4,FALSE)</f>
        <v>M</v>
      </c>
      <c r="F435" s="23"/>
      <c r="G435" s="23"/>
      <c r="H435" s="23"/>
      <c r="I435" s="23"/>
      <c r="J435" s="23"/>
      <c r="K435" s="23"/>
      <c r="L435" s="23"/>
      <c r="M435" s="23"/>
      <c r="N435" s="5">
        <f>SUM($M$436:$M$436)</f>
        <v>22</v>
      </c>
    </row>
    <row r="436" spans="1:14" x14ac:dyDescent="0.3">
      <c r="A436" s="23" t="s">
        <v>778</v>
      </c>
      <c r="B436" s="70" t="s">
        <v>1618</v>
      </c>
      <c r="C436" s="71"/>
      <c r="D436" s="71"/>
      <c r="E436" s="72"/>
      <c r="F436" s="5">
        <v>22</v>
      </c>
      <c r="G436" s="26"/>
      <c r="H436" s="5"/>
      <c r="I436" s="5"/>
      <c r="J436" s="5"/>
      <c r="K436" s="5" t="str">
        <f>IF(COUNTA(H436:J436)=2,ROUND(PRODUCT(H436:J436),2),"")</f>
        <v/>
      </c>
      <c r="L436" s="5" t="str">
        <f>IF(OR(AND(COUNTA(H436:J436)=3,K436=""),AND(COUNTA(H436:J436)=1,K436&lt;&gt;"")),ROUND(PRODUCT(H436:K436),2),"")</f>
        <v/>
      </c>
      <c r="M436" s="5">
        <f>IF(L436&lt;&gt;"",ROUND(PRODUCT(F436,G436,L436),2),IF(K436&lt;&gt;"",ROUND(PRODUCT(F436,G436,K436),2),ROUND(PRODUCT(F436:J436),2)))</f>
        <v>22</v>
      </c>
      <c r="N436" s="5"/>
    </row>
    <row r="437" spans="1:14" x14ac:dyDescent="0.3">
      <c r="A437" s="12" t="s">
        <v>86</v>
      </c>
      <c r="B437" s="51" t="s">
        <v>634</v>
      </c>
      <c r="C437" s="52"/>
      <c r="D437" s="52"/>
      <c r="E437" s="52"/>
      <c r="F437" s="52"/>
      <c r="G437" s="52"/>
      <c r="H437" s="52"/>
      <c r="I437" s="52"/>
      <c r="J437" s="52"/>
      <c r="K437" s="52"/>
      <c r="L437" s="52"/>
      <c r="M437" s="52"/>
      <c r="N437" s="53"/>
    </row>
    <row r="438" spans="1:14" x14ac:dyDescent="0.3">
      <c r="A438" s="15" t="s">
        <v>87</v>
      </c>
      <c r="B438" s="48" t="s">
        <v>563</v>
      </c>
      <c r="C438" s="49"/>
      <c r="D438" s="49"/>
      <c r="E438" s="49"/>
      <c r="F438" s="49"/>
      <c r="G438" s="49"/>
      <c r="H438" s="49"/>
      <c r="I438" s="49"/>
      <c r="J438" s="49"/>
      <c r="K438" s="49"/>
      <c r="L438" s="49"/>
      <c r="M438" s="49"/>
      <c r="N438" s="50"/>
    </row>
    <row r="439" spans="1:14" ht="57.6" x14ac:dyDescent="0.3">
      <c r="A439" s="23" t="s">
        <v>336</v>
      </c>
      <c r="B439" s="23">
        <v>102314</v>
      </c>
      <c r="C439" s="23" t="str">
        <f>VLOOKUP(B439,CPU!$B:$J,2,FALSE)</f>
        <v>SINAPI</v>
      </c>
      <c r="D439" s="24" t="str">
        <f>VLOOKUP(B439,CPU!$B:$J,3,FALSE)</f>
        <v>ESCAVAÇÃO MECANIZADA DE VALA COM PROF. ATÉ 1,5 M (MÉDIA MONTANTE E JUSANTE/UMA COMPOSIÇÃO POR TRECHO),COM ESCAVADEIRA (0,8 M3), LARG. MENOR QUE 1,5 M, EM SOLO DE 2A CATEGORIA, LOCAIS COM BAIXO NÍVEL DE INTERFERÊNCIA. AF_09/2024</v>
      </c>
      <c r="E439" s="23" t="str">
        <f>VLOOKUP(B439,CPU!$B:$J,4,FALSE)</f>
        <v>M3</v>
      </c>
      <c r="F439" s="23"/>
      <c r="G439" s="23"/>
      <c r="H439" s="23"/>
      <c r="I439" s="23"/>
      <c r="J439" s="23"/>
      <c r="K439" s="23"/>
      <c r="L439" s="23"/>
      <c r="M439" s="23"/>
      <c r="N439" s="5">
        <f>SUM($M$440:$M$441)</f>
        <v>588.19999999999993</v>
      </c>
    </row>
    <row r="440" spans="1:14" x14ac:dyDescent="0.3">
      <c r="A440" s="23" t="s">
        <v>779</v>
      </c>
      <c r="B440" s="70" t="s">
        <v>517</v>
      </c>
      <c r="C440" s="71"/>
      <c r="D440" s="71"/>
      <c r="E440" s="72"/>
      <c r="F440" s="5"/>
      <c r="G440" s="26"/>
      <c r="H440" s="5">
        <v>1390.7</v>
      </c>
      <c r="I440" s="5">
        <v>0.5</v>
      </c>
      <c r="J440" s="5">
        <v>0.8</v>
      </c>
      <c r="K440" s="5" t="str">
        <f>IF(COUNTA(H440:J440)=2,ROUND(PRODUCT(H440:J440),2),"")</f>
        <v/>
      </c>
      <c r="L440" s="5">
        <f>IF(OR(AND(COUNTA(H440:J440)=3,K440=""),AND(COUNTA(H440:J440)=1,K440&lt;&gt;"")),ROUND(PRODUCT(H440:K440),2),"")</f>
        <v>556.28</v>
      </c>
      <c r="M440" s="5">
        <f>IF(L440&lt;&gt;"",ROUND(PRODUCT(F440,G440,L440),2),IF(K440&lt;&gt;"",ROUND(PRODUCT(F440,G440,K440),2),ROUND(PRODUCT(F440:J440),2)))</f>
        <v>556.28</v>
      </c>
      <c r="N440" s="5"/>
    </row>
    <row r="441" spans="1:14" x14ac:dyDescent="0.3">
      <c r="A441" s="23" t="s">
        <v>780</v>
      </c>
      <c r="B441" s="70" t="s">
        <v>517</v>
      </c>
      <c r="C441" s="71"/>
      <c r="D441" s="71"/>
      <c r="E441" s="72"/>
      <c r="F441" s="5"/>
      <c r="G441" s="26">
        <v>38</v>
      </c>
      <c r="H441" s="5">
        <v>7</v>
      </c>
      <c r="I441" s="5">
        <v>0.3</v>
      </c>
      <c r="J441" s="5">
        <v>0.4</v>
      </c>
      <c r="K441" s="5" t="str">
        <f>IF(COUNTA(H441:J441)=2,ROUND(PRODUCT(H441:J441),2),"")</f>
        <v/>
      </c>
      <c r="L441" s="5">
        <f>IF(OR(AND(COUNTA(H441:J441)=3,K441=""),AND(COUNTA(H441:J441)=1,K441&lt;&gt;"")),ROUND(PRODUCT(H441:K441),2),"")</f>
        <v>0.84</v>
      </c>
      <c r="M441" s="5">
        <f>IF(L441&lt;&gt;"",ROUND(PRODUCT(F441,G441,L441),2),IF(K441&lt;&gt;"",ROUND(PRODUCT(F441,G441,K441),2),ROUND(PRODUCT(F441:J441),2)))</f>
        <v>31.92</v>
      </c>
      <c r="N441" s="5"/>
    </row>
    <row r="442" spans="1:14" ht="57.6" x14ac:dyDescent="0.3">
      <c r="A442" s="23" t="s">
        <v>337</v>
      </c>
      <c r="B442" s="23" t="s">
        <v>637</v>
      </c>
      <c r="C442" s="23" t="str">
        <f>VLOOKUP(B442,CPU!$B:$J,2,FALSE)</f>
        <v>PRÓPRIA</v>
      </c>
      <c r="D442" s="24" t="str">
        <f>VLOOKUP(B442,CPU!$B:$J,3,FALSE)</f>
        <v>REATERRO MECANIZADO DE VALA COM RETROESCAVADEIRA (CAPACIDADE DA CAÇAMBA DA RETRO: 0,26 M³/POTÊNCIA: 88 HP), LARGURA ATÉ 0,8 M, PROFUNDIDADE ATÉ 1,5 M, COM SOLO (SEM SUBSTITUIÇÃO) DE 1ª CATEGORIA. AF_08/2023 (REF: 104733-SINAPI-05/2025)</v>
      </c>
      <c r="E442" s="23" t="str">
        <f>VLOOKUP(B442,CPU!$B:$J,4,FALSE)</f>
        <v>M3</v>
      </c>
      <c r="F442" s="23"/>
      <c r="G442" s="23"/>
      <c r="H442" s="23"/>
      <c r="I442" s="23"/>
      <c r="J442" s="23"/>
      <c r="K442" s="23"/>
      <c r="L442" s="23"/>
      <c r="M442" s="23"/>
      <c r="N442" s="5">
        <f>SUM($M$443:$M$444)</f>
        <v>588.19999999999993</v>
      </c>
    </row>
    <row r="443" spans="1:14" x14ac:dyDescent="0.3">
      <c r="A443" s="23" t="s">
        <v>781</v>
      </c>
      <c r="B443" s="70" t="s">
        <v>517</v>
      </c>
      <c r="C443" s="71"/>
      <c r="D443" s="71"/>
      <c r="E443" s="72"/>
      <c r="F443" s="5"/>
      <c r="G443" s="26"/>
      <c r="H443" s="5">
        <v>1390.7</v>
      </c>
      <c r="I443" s="5">
        <v>0.5</v>
      </c>
      <c r="J443" s="5">
        <v>0.8</v>
      </c>
      <c r="K443" s="5" t="str">
        <f>IF(COUNTA(H443:J443)=2,ROUND(PRODUCT(H443:J443),2),"")</f>
        <v/>
      </c>
      <c r="L443" s="5">
        <f>IF(OR(AND(COUNTA(H443:J443)=3,K443=""),AND(COUNTA(H443:J443)=1,K443&lt;&gt;"")),ROUND(PRODUCT(H443:K443),2),"")</f>
        <v>556.28</v>
      </c>
      <c r="M443" s="5">
        <f>IF(L443&lt;&gt;"",ROUND(PRODUCT(F443,G443,L443),2),IF(K443&lt;&gt;"",ROUND(PRODUCT(F443,G443,K443),2),ROUND(PRODUCT(F443:J443),2)))</f>
        <v>556.28</v>
      </c>
      <c r="N443" s="5"/>
    </row>
    <row r="444" spans="1:14" x14ac:dyDescent="0.3">
      <c r="A444" s="23" t="s">
        <v>782</v>
      </c>
      <c r="B444" s="70" t="s">
        <v>517</v>
      </c>
      <c r="C444" s="71"/>
      <c r="D444" s="71"/>
      <c r="E444" s="72"/>
      <c r="F444" s="5"/>
      <c r="G444" s="26">
        <v>38</v>
      </c>
      <c r="H444" s="5">
        <v>7</v>
      </c>
      <c r="I444" s="5">
        <v>0.3</v>
      </c>
      <c r="J444" s="5">
        <v>0.4</v>
      </c>
      <c r="K444" s="5" t="str">
        <f>IF(COUNTA(H444:J444)=2,ROUND(PRODUCT(H444:J444),2),"")</f>
        <v/>
      </c>
      <c r="L444" s="5">
        <f>IF(OR(AND(COUNTA(H444:J444)=3,K444=""),AND(COUNTA(H444:J444)=1,K444&lt;&gt;"")),ROUND(PRODUCT(H444:K444),2),"")</f>
        <v>0.84</v>
      </c>
      <c r="M444" s="5">
        <f>IF(L444&lt;&gt;"",ROUND(PRODUCT(F444,G444,L444),2),IF(K444&lt;&gt;"",ROUND(PRODUCT(F444,G444,K444),2),ROUND(PRODUCT(F444:J444),2)))</f>
        <v>31.92</v>
      </c>
      <c r="N444" s="5"/>
    </row>
    <row r="445" spans="1:14" x14ac:dyDescent="0.3">
      <c r="A445" s="15" t="s">
        <v>88</v>
      </c>
      <c r="B445" s="48" t="s">
        <v>625</v>
      </c>
      <c r="C445" s="49"/>
      <c r="D445" s="49"/>
      <c r="E445" s="49"/>
      <c r="F445" s="49"/>
      <c r="G445" s="49"/>
      <c r="H445" s="49"/>
      <c r="I445" s="49"/>
      <c r="J445" s="49"/>
      <c r="K445" s="49"/>
      <c r="L445" s="49"/>
      <c r="M445" s="49"/>
      <c r="N445" s="50"/>
    </row>
    <row r="446" spans="1:14" ht="28.8" x14ac:dyDescent="0.3">
      <c r="A446" s="23" t="s">
        <v>338</v>
      </c>
      <c r="B446" s="23" t="s">
        <v>640</v>
      </c>
      <c r="C446" s="23" t="str">
        <f>VLOOKUP(B446,CPU!$B:$J,2,FALSE)</f>
        <v>PRÓPRIA</v>
      </c>
      <c r="D446" s="24" t="str">
        <f>VLOOKUP(B446,CPU!$B:$J,3,FALSE)</f>
        <v>AQUISIÇÃO E ASSENTAMENTO DE TUBO RÍGIDO PVC, CLASSE 12, DN 60 MM, INCLUSO CONEXÕES</v>
      </c>
      <c r="E446" s="23" t="str">
        <f>VLOOKUP(B446,CPU!$B:$J,4,FALSE)</f>
        <v>M</v>
      </c>
      <c r="F446" s="23"/>
      <c r="G446" s="23"/>
      <c r="H446" s="23"/>
      <c r="I446" s="23"/>
      <c r="J446" s="23"/>
      <c r="K446" s="23"/>
      <c r="L446" s="23"/>
      <c r="M446" s="23"/>
      <c r="N446" s="5">
        <f>SUM($M$447:$M$447)</f>
        <v>1390.7</v>
      </c>
    </row>
    <row r="447" spans="1:14" x14ac:dyDescent="0.3">
      <c r="A447" s="23" t="s">
        <v>783</v>
      </c>
      <c r="B447" s="70" t="s">
        <v>517</v>
      </c>
      <c r="C447" s="71"/>
      <c r="D447" s="71"/>
      <c r="E447" s="72"/>
      <c r="F447" s="5"/>
      <c r="G447" s="26"/>
      <c r="H447" s="5">
        <v>1390.7</v>
      </c>
      <c r="I447" s="5"/>
      <c r="J447" s="5"/>
      <c r="K447" s="5" t="str">
        <f>IF(COUNTA(H447:J447)=2,ROUND(PRODUCT(H447:J447),2),"")</f>
        <v/>
      </c>
      <c r="L447" s="5" t="str">
        <f>IF(OR(AND(COUNTA(H447:J447)=3,K447=""),AND(COUNTA(H447:J447)=1,K447&lt;&gt;"")),ROUND(PRODUCT(H447:K447),2),"")</f>
        <v/>
      </c>
      <c r="M447" s="5">
        <f>IF(L447&lt;&gt;"",ROUND(PRODUCT(F447,G447,L447),2),IF(K447&lt;&gt;"",ROUND(PRODUCT(F447,G447,K447),2),ROUND(PRODUCT(F447:J447),2)))</f>
        <v>1390.7</v>
      </c>
      <c r="N447" s="5"/>
    </row>
    <row r="448" spans="1:14" x14ac:dyDescent="0.3">
      <c r="A448" s="23" t="s">
        <v>339</v>
      </c>
      <c r="B448" s="23" t="s">
        <v>642</v>
      </c>
      <c r="C448" s="23" t="str">
        <f>VLOOKUP(B448,CPU!$B:$J,2,FALSE)</f>
        <v>PRÓPRIA</v>
      </c>
      <c r="D448" s="24" t="str">
        <f>VLOOKUP(B448,CPU!$B:$J,3,FALSE)</f>
        <v>LIGAÇÃO DOMICILIAR</v>
      </c>
      <c r="E448" s="23" t="str">
        <f>VLOOKUP(B448,CPU!$B:$J,4,FALSE)</f>
        <v>UND</v>
      </c>
      <c r="F448" s="23"/>
      <c r="G448" s="23"/>
      <c r="H448" s="23"/>
      <c r="I448" s="23"/>
      <c r="J448" s="23"/>
      <c r="K448" s="23"/>
      <c r="L448" s="23"/>
      <c r="M448" s="23"/>
      <c r="N448" s="5">
        <f>SUM($M$449:$M$449)</f>
        <v>38</v>
      </c>
    </row>
    <row r="449" spans="1:14" x14ac:dyDescent="0.3">
      <c r="A449" s="23" t="s">
        <v>784</v>
      </c>
      <c r="B449" s="70" t="s">
        <v>517</v>
      </c>
      <c r="C449" s="71"/>
      <c r="D449" s="71"/>
      <c r="E449" s="72"/>
      <c r="F449" s="5">
        <v>38</v>
      </c>
      <c r="G449" s="26"/>
      <c r="H449" s="5"/>
      <c r="I449" s="5"/>
      <c r="J449" s="5"/>
      <c r="K449" s="5" t="str">
        <f>IF(COUNTA(H449:J449)=2,ROUND(PRODUCT(H449:J449),2),"")</f>
        <v/>
      </c>
      <c r="L449" s="5" t="str">
        <f>IF(OR(AND(COUNTA(H449:J449)=3,K449=""),AND(COUNTA(H449:J449)=1,K449&lt;&gt;"")),ROUND(PRODUCT(H449:K449),2),"")</f>
        <v/>
      </c>
      <c r="M449" s="5">
        <f>IF(L449&lt;&gt;"",ROUND(PRODUCT(F449,G449,L449),2),IF(K449&lt;&gt;"",ROUND(PRODUCT(F449,G449,K449),2),ROUND(PRODUCT(F449:J449),2)))</f>
        <v>38</v>
      </c>
      <c r="N449" s="5"/>
    </row>
    <row r="450" spans="1:14" x14ac:dyDescent="0.3">
      <c r="A450" s="9">
        <v>5</v>
      </c>
      <c r="B450" s="54" t="s">
        <v>785</v>
      </c>
      <c r="C450" s="55"/>
      <c r="D450" s="55"/>
      <c r="E450" s="55"/>
      <c r="F450" s="55"/>
      <c r="G450" s="55"/>
      <c r="H450" s="55"/>
      <c r="I450" s="55"/>
      <c r="J450" s="55"/>
      <c r="K450" s="55"/>
      <c r="L450" s="55"/>
      <c r="M450" s="55"/>
      <c r="N450" s="56"/>
    </row>
    <row r="451" spans="1:14" x14ac:dyDescent="0.3">
      <c r="A451" s="12" t="s">
        <v>89</v>
      </c>
      <c r="B451" s="51" t="s">
        <v>521</v>
      </c>
      <c r="C451" s="52"/>
      <c r="D451" s="52"/>
      <c r="E451" s="52"/>
      <c r="F451" s="52"/>
      <c r="G451" s="52"/>
      <c r="H451" s="52"/>
      <c r="I451" s="52"/>
      <c r="J451" s="52"/>
      <c r="K451" s="52"/>
      <c r="L451" s="52"/>
      <c r="M451" s="52"/>
      <c r="N451" s="53"/>
    </row>
    <row r="452" spans="1:14" x14ac:dyDescent="0.3">
      <c r="A452" s="23" t="s">
        <v>340</v>
      </c>
      <c r="B452" s="23" t="s">
        <v>522</v>
      </c>
      <c r="C452" s="23" t="str">
        <f>VLOOKUP(B452,CPU!$B:$J,2,FALSE)</f>
        <v>PRÓPRIA</v>
      </c>
      <c r="D452" s="24" t="str">
        <f>VLOOKUP(B452,CPU!$B:$J,3,FALSE)</f>
        <v>LOCAÇÃO DO POÇO COM ESTUDO GEOLÓGICO/HIDROGEOLÓGICO/GEOFÍSICO</v>
      </c>
      <c r="E452" s="23" t="str">
        <f>VLOOKUP(B452,CPU!$B:$J,4,FALSE)</f>
        <v>UN</v>
      </c>
      <c r="F452" s="23"/>
      <c r="G452" s="23"/>
      <c r="H452" s="23"/>
      <c r="I452" s="23"/>
      <c r="J452" s="23"/>
      <c r="K452" s="23"/>
      <c r="L452" s="23"/>
      <c r="M452" s="23"/>
      <c r="N452" s="5">
        <f>SUM($M$453:$M$453)</f>
        <v>1</v>
      </c>
    </row>
    <row r="453" spans="1:14" x14ac:dyDescent="0.3">
      <c r="A453" s="23" t="s">
        <v>786</v>
      </c>
      <c r="B453" s="70" t="s">
        <v>517</v>
      </c>
      <c r="C453" s="71"/>
      <c r="D453" s="71"/>
      <c r="E453" s="72"/>
      <c r="F453" s="5">
        <v>1</v>
      </c>
      <c r="G453" s="26"/>
      <c r="H453" s="5"/>
      <c r="I453" s="5"/>
      <c r="J453" s="5"/>
      <c r="K453" s="5" t="str">
        <f>IF(COUNTA(H453:J453)=2,ROUND(PRODUCT(H453:J453),2),"")</f>
        <v/>
      </c>
      <c r="L453" s="5" t="str">
        <f>IF(OR(AND(COUNTA(H453:J453)=3,K453=""),AND(COUNTA(H453:J453)=1,K453&lt;&gt;"")),ROUND(PRODUCT(H453:K453),2),"")</f>
        <v/>
      </c>
      <c r="M453" s="5">
        <f>IF(L453&lt;&gt;"",ROUND(PRODUCT(F453,G453,L453),2),IF(K453&lt;&gt;"",ROUND(PRODUCT(F453,G453,K453),2),ROUND(PRODUCT(F453:J453),2)))</f>
        <v>1</v>
      </c>
      <c r="N453" s="5"/>
    </row>
    <row r="454" spans="1:14" x14ac:dyDescent="0.3">
      <c r="A454" s="23" t="s">
        <v>341</v>
      </c>
      <c r="B454" s="23" t="s">
        <v>524</v>
      </c>
      <c r="C454" s="23" t="str">
        <f>VLOOKUP(B454,CPU!$B:$J,2,FALSE)</f>
        <v>PRÓPRIA</v>
      </c>
      <c r="D454" s="24" t="str">
        <f>VLOOKUP(B454,CPU!$B:$J,3,FALSE)</f>
        <v>TRANSPORTE DE MÁQUINAS E EQUIPAMENTOS</v>
      </c>
      <c r="E454" s="23" t="str">
        <f>VLOOKUP(B454,CPU!$B:$J,4,FALSE)</f>
        <v>KM</v>
      </c>
      <c r="F454" s="23"/>
      <c r="G454" s="23"/>
      <c r="H454" s="23"/>
      <c r="I454" s="23"/>
      <c r="J454" s="23"/>
      <c r="K454" s="23"/>
      <c r="L454" s="23"/>
      <c r="M454" s="23"/>
      <c r="N454" s="5">
        <f>SUM($M$455:$M$455)</f>
        <v>562.5</v>
      </c>
    </row>
    <row r="455" spans="1:14" x14ac:dyDescent="0.3">
      <c r="A455" s="23" t="s">
        <v>787</v>
      </c>
      <c r="B455" s="70" t="s">
        <v>788</v>
      </c>
      <c r="C455" s="71"/>
      <c r="D455" s="71"/>
      <c r="E455" s="72"/>
      <c r="F455" s="5">
        <v>562.5</v>
      </c>
      <c r="G455" s="26"/>
      <c r="H455" s="5"/>
      <c r="I455" s="5"/>
      <c r="J455" s="5"/>
      <c r="K455" s="5" t="str">
        <f>IF(COUNTA(H455:J455)=2,ROUND(PRODUCT(H455:J455),2),"")</f>
        <v/>
      </c>
      <c r="L455" s="5" t="str">
        <f>IF(OR(AND(COUNTA(H455:J455)=3,K455=""),AND(COUNTA(H455:J455)=1,K455&lt;&gt;"")),ROUND(PRODUCT(H455:K455),2),"")</f>
        <v/>
      </c>
      <c r="M455" s="5">
        <f>IF(L455&lt;&gt;"",ROUND(PRODUCT(F455,G455,L455),2),IF(K455&lt;&gt;"",ROUND(PRODUCT(F455,G455,K455),2),ROUND(PRODUCT(F455:J455),2)))</f>
        <v>562.5</v>
      </c>
      <c r="N455" s="5"/>
    </row>
    <row r="456" spans="1:14" x14ac:dyDescent="0.3">
      <c r="A456" s="23" t="s">
        <v>342</v>
      </c>
      <c r="B456" s="23" t="s">
        <v>524</v>
      </c>
      <c r="C456" s="23" t="str">
        <f>VLOOKUP(B456,CPU!$B:$J,2,FALSE)</f>
        <v>PRÓPRIA</v>
      </c>
      <c r="D456" s="24" t="str">
        <f>VLOOKUP(B456,CPU!$B:$J,3,FALSE)</f>
        <v>TRANSPORTE DE MÁQUINAS E EQUIPAMENTOS</v>
      </c>
      <c r="E456" s="23" t="str">
        <f>VLOOKUP(B456,CPU!$B:$J,4,FALSE)</f>
        <v>KM</v>
      </c>
      <c r="F456" s="23"/>
      <c r="G456" s="23"/>
      <c r="H456" s="23"/>
      <c r="I456" s="23"/>
      <c r="J456" s="23"/>
      <c r="K456" s="23"/>
      <c r="L456" s="23"/>
      <c r="M456" s="23"/>
      <c r="N456" s="5">
        <f>SUM($M$457:$M$457)</f>
        <v>562.5</v>
      </c>
    </row>
    <row r="457" spans="1:14" x14ac:dyDescent="0.3">
      <c r="A457" s="23" t="s">
        <v>789</v>
      </c>
      <c r="B457" s="70" t="s">
        <v>790</v>
      </c>
      <c r="C457" s="71"/>
      <c r="D457" s="71"/>
      <c r="E457" s="72"/>
      <c r="F457" s="5">
        <v>562.5</v>
      </c>
      <c r="G457" s="26"/>
      <c r="H457" s="5"/>
      <c r="I457" s="5"/>
      <c r="J457" s="5"/>
      <c r="K457" s="5" t="str">
        <f>IF(COUNTA(H457:J457)=2,ROUND(PRODUCT(H457:J457),2),"")</f>
        <v/>
      </c>
      <c r="L457" s="5" t="str">
        <f>IF(OR(AND(COUNTA(H457:J457)=3,K457=""),AND(COUNTA(H457:J457)=1,K457&lt;&gt;"")),ROUND(PRODUCT(H457:K457),2),"")</f>
        <v/>
      </c>
      <c r="M457" s="5">
        <f>IF(L457&lt;&gt;"",ROUND(PRODUCT(F457,G457,L457),2),IF(K457&lt;&gt;"",ROUND(PRODUCT(F457,G457,K457),2),ROUND(PRODUCT(F457:J457),2)))</f>
        <v>562.5</v>
      </c>
      <c r="N457" s="5"/>
    </row>
    <row r="458" spans="1:14" x14ac:dyDescent="0.3">
      <c r="A458" s="23" t="s">
        <v>343</v>
      </c>
      <c r="B458" s="23" t="s">
        <v>528</v>
      </c>
      <c r="C458" s="23" t="str">
        <f>VLOOKUP(B458,CPU!$B:$J,2,FALSE)</f>
        <v>PRÓPRIA</v>
      </c>
      <c r="D458" s="24" t="str">
        <f>VLOOKUP(B458,CPU!$B:$J,3,FALSE)</f>
        <v>PERFILAGEM ÓTICA</v>
      </c>
      <c r="E458" s="23" t="str">
        <f>VLOOKUP(B458,CPU!$B:$J,4,FALSE)</f>
        <v>UN</v>
      </c>
      <c r="F458" s="23"/>
      <c r="G458" s="23"/>
      <c r="H458" s="23"/>
      <c r="I458" s="23"/>
      <c r="J458" s="23"/>
      <c r="K458" s="23"/>
      <c r="L458" s="23"/>
      <c r="M458" s="23"/>
      <c r="N458" s="5">
        <f>SUM($M$459:$M$459)</f>
        <v>1</v>
      </c>
    </row>
    <row r="459" spans="1:14" x14ac:dyDescent="0.3">
      <c r="A459" s="23" t="s">
        <v>791</v>
      </c>
      <c r="B459" s="70" t="s">
        <v>517</v>
      </c>
      <c r="C459" s="71"/>
      <c r="D459" s="71"/>
      <c r="E459" s="72"/>
      <c r="F459" s="5">
        <v>1</v>
      </c>
      <c r="G459" s="26"/>
      <c r="H459" s="5"/>
      <c r="I459" s="5"/>
      <c r="J459" s="5"/>
      <c r="K459" s="5" t="str">
        <f>IF(COUNTA(H459:J459)=2,ROUND(PRODUCT(H459:J459),2),"")</f>
        <v/>
      </c>
      <c r="L459" s="5" t="str">
        <f>IF(OR(AND(COUNTA(H459:J459)=3,K459=""),AND(COUNTA(H459:J459)=1,K459&lt;&gt;"")),ROUND(PRODUCT(H459:K459),2),"")</f>
        <v/>
      </c>
      <c r="M459" s="5">
        <f>IF(L459&lt;&gt;"",ROUND(PRODUCT(F459,G459,L459),2),IF(K459&lt;&gt;"",ROUND(PRODUCT(F459,G459,K459),2),ROUND(PRODUCT(F459:J459),2)))</f>
        <v>1</v>
      </c>
      <c r="N459" s="5"/>
    </row>
    <row r="460" spans="1:14" x14ac:dyDescent="0.3">
      <c r="A460" s="23" t="s">
        <v>344</v>
      </c>
      <c r="B460" s="23" t="s">
        <v>530</v>
      </c>
      <c r="C460" s="23" t="str">
        <f>VLOOKUP(B460,CPU!$B:$J,2,FALSE)</f>
        <v>PRÓPRIA</v>
      </c>
      <c r="D460" s="24" t="str">
        <f>VLOOKUP(B460,CPU!$B:$J,3,FALSE)</f>
        <v>PERFURAÇÃO EM ROCHA SEDIMENTAR DN 10" (REF: 06230/ORSE-ORSE-04/2025)</v>
      </c>
      <c r="E460" s="23" t="str">
        <f>VLOOKUP(B460,CPU!$B:$J,4,FALSE)</f>
        <v>M</v>
      </c>
      <c r="F460" s="23"/>
      <c r="G460" s="23"/>
      <c r="H460" s="23"/>
      <c r="I460" s="23"/>
      <c r="J460" s="23"/>
      <c r="K460" s="23"/>
      <c r="L460" s="23"/>
      <c r="M460" s="23"/>
      <c r="N460" s="5">
        <f>SUM($M$461:$M$461)</f>
        <v>20</v>
      </c>
    </row>
    <row r="461" spans="1:14" x14ac:dyDescent="0.3">
      <c r="A461" s="23" t="s">
        <v>792</v>
      </c>
      <c r="B461" s="70" t="s">
        <v>532</v>
      </c>
      <c r="C461" s="71"/>
      <c r="D461" s="71"/>
      <c r="E461" s="72"/>
      <c r="F461" s="5">
        <v>20</v>
      </c>
      <c r="G461" s="26"/>
      <c r="H461" s="5"/>
      <c r="I461" s="5"/>
      <c r="J461" s="5"/>
      <c r="K461" s="5" t="str">
        <f>IF(COUNTA(H461:J461)=2,ROUND(PRODUCT(H461:J461),2),"")</f>
        <v/>
      </c>
      <c r="L461" s="5" t="str">
        <f>IF(OR(AND(COUNTA(H461:J461)=3,K461=""),AND(COUNTA(H461:J461)=1,K461&lt;&gt;"")),ROUND(PRODUCT(H461:K461),2),"")</f>
        <v/>
      </c>
      <c r="M461" s="5">
        <f>IF(L461&lt;&gt;"",ROUND(PRODUCT(F461,G461,L461),2),IF(K461&lt;&gt;"",ROUND(PRODUCT(F461,G461,K461),2),ROUND(PRODUCT(F461:J461),2)))</f>
        <v>20</v>
      </c>
      <c r="N461" s="5"/>
    </row>
    <row r="462" spans="1:14" x14ac:dyDescent="0.3">
      <c r="A462" s="23" t="s">
        <v>345</v>
      </c>
      <c r="B462" s="23" t="s">
        <v>533</v>
      </c>
      <c r="C462" s="23" t="str">
        <f>VLOOKUP(B462,CPU!$B:$J,2,FALSE)</f>
        <v>PRÓPRIA</v>
      </c>
      <c r="D462" s="24" t="str">
        <f>VLOOKUP(B462,CPU!$B:$J,3,FALSE)</f>
        <v>PERFURAÇÃO EM ROCHA CRISTALINA DN 6" (REF: 06237/ORSE-ORSE-04/2025)</v>
      </c>
      <c r="E462" s="23" t="str">
        <f>VLOOKUP(B462,CPU!$B:$J,4,FALSE)</f>
        <v>M</v>
      </c>
      <c r="F462" s="23"/>
      <c r="G462" s="23"/>
      <c r="H462" s="23"/>
      <c r="I462" s="23"/>
      <c r="J462" s="23"/>
      <c r="K462" s="23"/>
      <c r="L462" s="23"/>
      <c r="M462" s="23"/>
      <c r="N462" s="5">
        <f>SUM($M$463:$M$463)</f>
        <v>80</v>
      </c>
    </row>
    <row r="463" spans="1:14" x14ac:dyDescent="0.3">
      <c r="A463" s="23" t="s">
        <v>793</v>
      </c>
      <c r="B463" s="70" t="s">
        <v>532</v>
      </c>
      <c r="C463" s="71"/>
      <c r="D463" s="71"/>
      <c r="E463" s="72"/>
      <c r="F463" s="5">
        <v>80</v>
      </c>
      <c r="G463" s="26"/>
      <c r="H463" s="5"/>
      <c r="I463" s="5"/>
      <c r="J463" s="5"/>
      <c r="K463" s="5" t="str">
        <f>IF(COUNTA(H463:J463)=2,ROUND(PRODUCT(H463:J463),2),"")</f>
        <v/>
      </c>
      <c r="L463" s="5" t="str">
        <f>IF(OR(AND(COUNTA(H463:J463)=3,K463=""),AND(COUNTA(H463:J463)=1,K463&lt;&gt;"")),ROUND(PRODUCT(H463:K463),2),"")</f>
        <v/>
      </c>
      <c r="M463" s="5">
        <f>IF(L463&lt;&gt;"",ROUND(PRODUCT(F463,G463,L463),2),IF(K463&lt;&gt;"",ROUND(PRODUCT(F463,G463,K463),2),ROUND(PRODUCT(F463:J463),2)))</f>
        <v>80</v>
      </c>
      <c r="N463" s="5"/>
    </row>
    <row r="464" spans="1:14" x14ac:dyDescent="0.3">
      <c r="A464" s="23" t="s">
        <v>346</v>
      </c>
      <c r="B464" s="23" t="s">
        <v>535</v>
      </c>
      <c r="C464" s="23" t="str">
        <f>VLOOKUP(B464,CPU!$B:$J,2,FALSE)</f>
        <v>PRÓPRIA</v>
      </c>
      <c r="D464" s="24" t="str">
        <f>VLOOKUP(B464,CPU!$B:$J,3,FALSE)</f>
        <v>CIMENTAÇÃO SANITÁRIA</v>
      </c>
      <c r="E464" s="23" t="str">
        <f>VLOOKUP(B464,CPU!$B:$J,4,FALSE)</f>
        <v>M</v>
      </c>
      <c r="F464" s="23"/>
      <c r="G464" s="23"/>
      <c r="H464" s="23"/>
      <c r="I464" s="23"/>
      <c r="J464" s="23"/>
      <c r="K464" s="23"/>
      <c r="L464" s="23"/>
      <c r="M464" s="23"/>
      <c r="N464" s="5">
        <f>SUM($M$465:$M$465)</f>
        <v>10</v>
      </c>
    </row>
    <row r="465" spans="1:14" x14ac:dyDescent="0.3">
      <c r="A465" s="23" t="s">
        <v>794</v>
      </c>
      <c r="B465" s="70" t="s">
        <v>517</v>
      </c>
      <c r="C465" s="71"/>
      <c r="D465" s="71"/>
      <c r="E465" s="72"/>
      <c r="F465" s="5">
        <v>10</v>
      </c>
      <c r="G465" s="26"/>
      <c r="H465" s="5"/>
      <c r="I465" s="5"/>
      <c r="J465" s="5"/>
      <c r="K465" s="5" t="str">
        <f>IF(COUNTA(H465:J465)=2,ROUND(PRODUCT(H465:J465),2),"")</f>
        <v/>
      </c>
      <c r="L465" s="5" t="str">
        <f>IF(OR(AND(COUNTA(H465:J465)=3,K465=""),AND(COUNTA(H465:J465)=1,K465&lt;&gt;"")),ROUND(PRODUCT(H465:K465),2),"")</f>
        <v/>
      </c>
      <c r="M465" s="5">
        <f>IF(L465&lt;&gt;"",ROUND(PRODUCT(F465,G465,L465),2),IF(K465&lt;&gt;"",ROUND(PRODUCT(F465,G465,K465),2),ROUND(PRODUCT(F465:J465),2)))</f>
        <v>10</v>
      </c>
      <c r="N465" s="5"/>
    </row>
    <row r="466" spans="1:14" x14ac:dyDescent="0.3">
      <c r="A466" s="23" t="s">
        <v>347</v>
      </c>
      <c r="B466" s="23" t="s">
        <v>537</v>
      </c>
      <c r="C466" s="23" t="str">
        <f>VLOOKUP(B466,CPU!$B:$J,2,FALSE)</f>
        <v>PRÓPRIA</v>
      </c>
      <c r="D466" s="24" t="str">
        <f>VLOOKUP(B466,CPU!$B:$J,3,FALSE)</f>
        <v>LAJE DE PROTEÇÃO EM CONCRETO (1,0 M X 1,0 M X 0,15 M)</v>
      </c>
      <c r="E466" s="23" t="str">
        <f>VLOOKUP(B466,CPU!$B:$J,4,FALSE)</f>
        <v>M³</v>
      </c>
      <c r="F466" s="23"/>
      <c r="G466" s="23"/>
      <c r="H466" s="23"/>
      <c r="I466" s="23"/>
      <c r="J466" s="23"/>
      <c r="K466" s="23"/>
      <c r="L466" s="23"/>
      <c r="M466" s="23"/>
      <c r="N466" s="5">
        <f>SUM($M$467:$M$467)</f>
        <v>0.15</v>
      </c>
    </row>
    <row r="467" spans="1:14" x14ac:dyDescent="0.3">
      <c r="A467" s="23" t="s">
        <v>795</v>
      </c>
      <c r="B467" s="70" t="s">
        <v>517</v>
      </c>
      <c r="C467" s="71"/>
      <c r="D467" s="71"/>
      <c r="E467" s="72"/>
      <c r="F467" s="5"/>
      <c r="G467" s="26"/>
      <c r="H467" s="5">
        <v>1</v>
      </c>
      <c r="I467" s="5">
        <v>1</v>
      </c>
      <c r="J467" s="5">
        <v>0.15</v>
      </c>
      <c r="K467" s="5" t="str">
        <f>IF(COUNTA(H467:J467)=2,ROUND(PRODUCT(H467:J467),2),"")</f>
        <v/>
      </c>
      <c r="L467" s="5">
        <f>IF(OR(AND(COUNTA(H467:J467)=3,K467=""),AND(COUNTA(H467:J467)=1,K467&lt;&gt;"")),ROUND(PRODUCT(H467:K467),2),"")</f>
        <v>0.15</v>
      </c>
      <c r="M467" s="5">
        <f>IF(L467&lt;&gt;"",ROUND(PRODUCT(F467,G467,L467),2),IF(K467&lt;&gt;"",ROUND(PRODUCT(F467,G467,K467),2),ROUND(PRODUCT(F467:J467),2)))</f>
        <v>0.15</v>
      </c>
      <c r="N467" s="5"/>
    </row>
    <row r="468" spans="1:14" x14ac:dyDescent="0.3">
      <c r="A468" s="23" t="s">
        <v>348</v>
      </c>
      <c r="B468" s="23" t="s">
        <v>539</v>
      </c>
      <c r="C468" s="23" t="str">
        <f>VLOOKUP(B468,CPU!$B:$J,2,FALSE)</f>
        <v>PRÓPRIA</v>
      </c>
      <c r="D468" s="24" t="str">
        <f>VLOOKUP(B468,CPU!$B:$J,3,FALSE)</f>
        <v>DESENVOLVIMENTO COM BOMBA SUBMERSA</v>
      </c>
      <c r="E468" s="23" t="str">
        <f>VLOOKUP(B468,CPU!$B:$J,4,FALSE)</f>
        <v>H</v>
      </c>
      <c r="F468" s="23"/>
      <c r="G468" s="23"/>
      <c r="H468" s="23"/>
      <c r="I468" s="23"/>
      <c r="J468" s="23"/>
      <c r="K468" s="23"/>
      <c r="L468" s="23"/>
      <c r="M468" s="23"/>
      <c r="N468" s="5">
        <f>SUM($M$469:$M$469)</f>
        <v>6</v>
      </c>
    </row>
    <row r="469" spans="1:14" x14ac:dyDescent="0.3">
      <c r="A469" s="23" t="s">
        <v>796</v>
      </c>
      <c r="B469" s="70" t="s">
        <v>517</v>
      </c>
      <c r="C469" s="71"/>
      <c r="D469" s="71"/>
      <c r="E469" s="72"/>
      <c r="F469" s="5">
        <v>6</v>
      </c>
      <c r="G469" s="26"/>
      <c r="H469" s="5"/>
      <c r="I469" s="5"/>
      <c r="J469" s="5"/>
      <c r="K469" s="5" t="str">
        <f>IF(COUNTA(H469:J469)=2,ROUND(PRODUCT(H469:J469),2),"")</f>
        <v/>
      </c>
      <c r="L469" s="5" t="str">
        <f>IF(OR(AND(COUNTA(H469:J469)=3,K469=""),AND(COUNTA(H469:J469)=1,K469&lt;&gt;"")),ROUND(PRODUCT(H469:K469),2),"")</f>
        <v/>
      </c>
      <c r="M469" s="5">
        <f>IF(L469&lt;&gt;"",ROUND(PRODUCT(F469,G469,L469),2),IF(K469&lt;&gt;"",ROUND(PRODUCT(F469,G469,K469),2),ROUND(PRODUCT(F469:J469),2)))</f>
        <v>6</v>
      </c>
      <c r="N469" s="5"/>
    </row>
    <row r="470" spans="1:14" x14ac:dyDescent="0.3">
      <c r="A470" s="23" t="s">
        <v>349</v>
      </c>
      <c r="B470" s="23" t="s">
        <v>541</v>
      </c>
      <c r="C470" s="23" t="str">
        <f>VLOOKUP(B470,CPU!$B:$J,2,FALSE)</f>
        <v>PRÓPRIA</v>
      </c>
      <c r="D470" s="24" t="str">
        <f>VLOOKUP(B470,CPU!$B:$J,3,FALSE)</f>
        <v>TESTE VAZÃO COM BOMBA SUBMERSA</v>
      </c>
      <c r="E470" s="23" t="str">
        <f>VLOOKUP(B470,CPU!$B:$J,4,FALSE)</f>
        <v>H</v>
      </c>
      <c r="F470" s="23"/>
      <c r="G470" s="23"/>
      <c r="H470" s="23"/>
      <c r="I470" s="23"/>
      <c r="J470" s="23"/>
      <c r="K470" s="23"/>
      <c r="L470" s="23"/>
      <c r="M470" s="23"/>
      <c r="N470" s="5">
        <f>SUM($M$471:$M$471)</f>
        <v>24</v>
      </c>
    </row>
    <row r="471" spans="1:14" x14ac:dyDescent="0.3">
      <c r="A471" s="23" t="s">
        <v>797</v>
      </c>
      <c r="B471" s="70" t="s">
        <v>517</v>
      </c>
      <c r="C471" s="71"/>
      <c r="D471" s="71"/>
      <c r="E471" s="72"/>
      <c r="F471" s="5">
        <v>24</v>
      </c>
      <c r="G471" s="26"/>
      <c r="H471" s="5"/>
      <c r="I471" s="5"/>
      <c r="J471" s="5"/>
      <c r="K471" s="5" t="str">
        <f>IF(COUNTA(H471:J471)=2,ROUND(PRODUCT(H471:J471),2),"")</f>
        <v/>
      </c>
      <c r="L471" s="5" t="str">
        <f>IF(OR(AND(COUNTA(H471:J471)=3,K471=""),AND(COUNTA(H471:J471)=1,K471&lt;&gt;"")),ROUND(PRODUCT(H471:K471),2),"")</f>
        <v/>
      </c>
      <c r="M471" s="5">
        <f>IF(L471&lt;&gt;"",ROUND(PRODUCT(F471,G471,L471),2),IF(K471&lt;&gt;"",ROUND(PRODUCT(F471,G471,K471),2),ROUND(PRODUCT(F471:J471),2)))</f>
        <v>24</v>
      </c>
      <c r="N471" s="5"/>
    </row>
    <row r="472" spans="1:14" x14ac:dyDescent="0.3">
      <c r="A472" s="23" t="s">
        <v>350</v>
      </c>
      <c r="B472" s="23" t="s">
        <v>543</v>
      </c>
      <c r="C472" s="23" t="str">
        <f>VLOOKUP(B472,CPU!$B:$J,2,FALSE)</f>
        <v>PRÓPRIA</v>
      </c>
      <c r="D472" s="24" t="str">
        <f>VLOOKUP(B472,CPU!$B:$J,3,FALSE)</f>
        <v>DESINFECÇÃO</v>
      </c>
      <c r="E472" s="23" t="str">
        <f>VLOOKUP(B472,CPU!$B:$J,4,FALSE)</f>
        <v>H</v>
      </c>
      <c r="F472" s="23"/>
      <c r="G472" s="23"/>
      <c r="H472" s="23"/>
      <c r="I472" s="23"/>
      <c r="J472" s="23"/>
      <c r="K472" s="23"/>
      <c r="L472" s="23"/>
      <c r="M472" s="23"/>
      <c r="N472" s="5">
        <f>SUM($M$473:$M$473)</f>
        <v>4</v>
      </c>
    </row>
    <row r="473" spans="1:14" x14ac:dyDescent="0.3">
      <c r="A473" s="23" t="s">
        <v>798</v>
      </c>
      <c r="B473" s="70" t="s">
        <v>517</v>
      </c>
      <c r="C473" s="71"/>
      <c r="D473" s="71"/>
      <c r="E473" s="72"/>
      <c r="F473" s="5">
        <v>4</v>
      </c>
      <c r="G473" s="26"/>
      <c r="H473" s="5"/>
      <c r="I473" s="5"/>
      <c r="J473" s="5"/>
      <c r="K473" s="5" t="str">
        <f>IF(COUNTA(H473:J473)=2,ROUND(PRODUCT(H473:J473),2),"")</f>
        <v/>
      </c>
      <c r="L473" s="5" t="str">
        <f>IF(OR(AND(COUNTA(H473:J473)=3,K473=""),AND(COUNTA(H473:J473)=1,K473&lt;&gt;"")),ROUND(PRODUCT(H473:K473),2),"")</f>
        <v/>
      </c>
      <c r="M473" s="5">
        <f>IF(L473&lt;&gt;"",ROUND(PRODUCT(F473,G473,L473),2),IF(K473&lt;&gt;"",ROUND(PRODUCT(F473,G473,K473),2),ROUND(PRODUCT(F473:J473),2)))</f>
        <v>4</v>
      </c>
      <c r="N473" s="5"/>
    </row>
    <row r="474" spans="1:14" x14ac:dyDescent="0.3">
      <c r="A474" s="23" t="s">
        <v>351</v>
      </c>
      <c r="B474" s="23" t="s">
        <v>545</v>
      </c>
      <c r="C474" s="23" t="str">
        <f>VLOOKUP(B474,CPU!$B:$J,2,FALSE)</f>
        <v>PRÓPRIA</v>
      </c>
      <c r="D474" s="24" t="str">
        <f>VLOOKUP(B474,CPU!$B:$J,3,FALSE)</f>
        <v>RELATÓRIO TÉCNICO</v>
      </c>
      <c r="E474" s="23" t="str">
        <f>VLOOKUP(B474,CPU!$B:$J,4,FALSE)</f>
        <v>UN</v>
      </c>
      <c r="F474" s="23"/>
      <c r="G474" s="23"/>
      <c r="H474" s="23"/>
      <c r="I474" s="23"/>
      <c r="J474" s="23"/>
      <c r="K474" s="23"/>
      <c r="L474" s="23"/>
      <c r="M474" s="23"/>
      <c r="N474" s="5">
        <f>SUM($M$475:$M$475)</f>
        <v>1</v>
      </c>
    </row>
    <row r="475" spans="1:14" x14ac:dyDescent="0.3">
      <c r="A475" s="23" t="s">
        <v>799</v>
      </c>
      <c r="B475" s="70" t="s">
        <v>517</v>
      </c>
      <c r="C475" s="71"/>
      <c r="D475" s="71"/>
      <c r="E475" s="72"/>
      <c r="F475" s="5">
        <v>1</v>
      </c>
      <c r="G475" s="26"/>
      <c r="H475" s="5"/>
      <c r="I475" s="5"/>
      <c r="J475" s="5"/>
      <c r="K475" s="5" t="str">
        <f>IF(COUNTA(H475:J475)=2,ROUND(PRODUCT(H475:J475),2),"")</f>
        <v/>
      </c>
      <c r="L475" s="5" t="str">
        <f>IF(OR(AND(COUNTA(H475:J475)=3,K475=""),AND(COUNTA(H475:J475)=1,K475&lt;&gt;"")),ROUND(PRODUCT(H475:K475),2),"")</f>
        <v/>
      </c>
      <c r="M475" s="5">
        <f>IF(L475&lt;&gt;"",ROUND(PRODUCT(F475,G475,L475),2),IF(K475&lt;&gt;"",ROUND(PRODUCT(F475,G475,K475),2),ROUND(PRODUCT(F475:J475),2)))</f>
        <v>1</v>
      </c>
      <c r="N475" s="5"/>
    </row>
    <row r="476" spans="1:14" x14ac:dyDescent="0.3">
      <c r="A476" s="23" t="s">
        <v>352</v>
      </c>
      <c r="B476" s="23" t="s">
        <v>547</v>
      </c>
      <c r="C476" s="23" t="str">
        <f>VLOOKUP(B476,CPU!$B:$J,2,FALSE)</f>
        <v>PRÓPRIA</v>
      </c>
      <c r="D476" s="24" t="str">
        <f>VLOOKUP(B476,CPU!$B:$J,3,FALSE)</f>
        <v>ANÁLISE FÍSICO-QUÍMICA DA ÁGUA</v>
      </c>
      <c r="E476" s="23" t="str">
        <f>VLOOKUP(B476,CPU!$B:$J,4,FALSE)</f>
        <v>UN</v>
      </c>
      <c r="F476" s="23"/>
      <c r="G476" s="23"/>
      <c r="H476" s="23"/>
      <c r="I476" s="23"/>
      <c r="J476" s="23"/>
      <c r="K476" s="23"/>
      <c r="L476" s="23"/>
      <c r="M476" s="23"/>
      <c r="N476" s="5">
        <f>SUM($M$477:$M$477)</f>
        <v>1</v>
      </c>
    </row>
    <row r="477" spans="1:14" x14ac:dyDescent="0.3">
      <c r="A477" s="23" t="s">
        <v>800</v>
      </c>
      <c r="B477" s="70" t="s">
        <v>517</v>
      </c>
      <c r="C477" s="71"/>
      <c r="D477" s="71"/>
      <c r="E477" s="72"/>
      <c r="F477" s="5">
        <v>1</v>
      </c>
      <c r="G477" s="26"/>
      <c r="H477" s="5"/>
      <c r="I477" s="5"/>
      <c r="J477" s="5"/>
      <c r="K477" s="5" t="str">
        <f>IF(COUNTA(H477:J477)=2,ROUND(PRODUCT(H477:J477),2),"")</f>
        <v/>
      </c>
      <c r="L477" s="5" t="str">
        <f>IF(OR(AND(COUNTA(H477:J477)=3,K477=""),AND(COUNTA(H477:J477)=1,K477&lt;&gt;"")),ROUND(PRODUCT(H477:K477),2),"")</f>
        <v/>
      </c>
      <c r="M477" s="5">
        <f>IF(L477&lt;&gt;"",ROUND(PRODUCT(F477,G477,L477),2),IF(K477&lt;&gt;"",ROUND(PRODUCT(F477,G477,K477),2),ROUND(PRODUCT(F477:J477),2)))</f>
        <v>1</v>
      </c>
      <c r="N477" s="5"/>
    </row>
    <row r="478" spans="1:14" x14ac:dyDescent="0.3">
      <c r="A478" s="23" t="s">
        <v>353</v>
      </c>
      <c r="B478" s="23" t="s">
        <v>549</v>
      </c>
      <c r="C478" s="23" t="str">
        <f>VLOOKUP(B478,CPU!$B:$J,2,FALSE)</f>
        <v>PRÓPRIA</v>
      </c>
      <c r="D478" s="24" t="str">
        <f>VLOOKUP(B478,CPU!$B:$J,3,FALSE)</f>
        <v>FORNECIMENTO E INSTALAÇÃO DE REVESTIMENTO GEOMECÂNICO STANDART DN-154-S</v>
      </c>
      <c r="E478" s="23" t="str">
        <f>VLOOKUP(B478,CPU!$B:$J,4,FALSE)</f>
        <v>M</v>
      </c>
      <c r="F478" s="23"/>
      <c r="G478" s="23"/>
      <c r="H478" s="23"/>
      <c r="I478" s="23"/>
      <c r="J478" s="23"/>
      <c r="K478" s="23"/>
      <c r="L478" s="23"/>
      <c r="M478" s="23"/>
      <c r="N478" s="5">
        <f>SUM($M$479:$M$479)</f>
        <v>21</v>
      </c>
    </row>
    <row r="479" spans="1:14" x14ac:dyDescent="0.3">
      <c r="A479" s="23" t="s">
        <v>801</v>
      </c>
      <c r="B479" s="70" t="s">
        <v>532</v>
      </c>
      <c r="C479" s="71"/>
      <c r="D479" s="71"/>
      <c r="E479" s="72"/>
      <c r="F479" s="5">
        <v>21</v>
      </c>
      <c r="G479" s="26"/>
      <c r="H479" s="5"/>
      <c r="I479" s="5"/>
      <c r="J479" s="5"/>
      <c r="K479" s="5" t="str">
        <f>IF(COUNTA(H479:J479)=2,ROUND(PRODUCT(H479:J479),2),"")</f>
        <v/>
      </c>
      <c r="L479" s="5" t="str">
        <f>IF(OR(AND(COUNTA(H479:J479)=3,K479=""),AND(COUNTA(H479:J479)=1,K479&lt;&gt;"")),ROUND(PRODUCT(H479:K479),2),"")</f>
        <v/>
      </c>
      <c r="M479" s="5">
        <f>IF(L479&lt;&gt;"",ROUND(PRODUCT(F479,G479,L479),2),IF(K479&lt;&gt;"",ROUND(PRODUCT(F479,G479,K479),2),ROUND(PRODUCT(F479:J479),2)))</f>
        <v>21</v>
      </c>
      <c r="N479" s="5"/>
    </row>
    <row r="480" spans="1:14" x14ac:dyDescent="0.3">
      <c r="A480" s="23" t="s">
        <v>354</v>
      </c>
      <c r="B480" s="23" t="s">
        <v>551</v>
      </c>
      <c r="C480" s="23" t="str">
        <f>VLOOKUP(B480,CPU!$B:$J,2,FALSE)</f>
        <v>PRÓPRIA</v>
      </c>
      <c r="D480" s="24" t="str">
        <f>VLOOKUP(B480,CPU!$B:$J,3,FALSE)</f>
        <v>FORNECIMENTO E INSTALAÇÃO DE TAMPA PARA POÇO</v>
      </c>
      <c r="E480" s="23" t="str">
        <f>VLOOKUP(B480,CPU!$B:$J,4,FALSE)</f>
        <v>UN</v>
      </c>
      <c r="F480" s="23"/>
      <c r="G480" s="23"/>
      <c r="H480" s="23"/>
      <c r="I480" s="23"/>
      <c r="J480" s="23"/>
      <c r="K480" s="23"/>
      <c r="L480" s="23"/>
      <c r="M480" s="23"/>
      <c r="N480" s="5">
        <f>SUM($M$481:$M$481)</f>
        <v>1</v>
      </c>
    </row>
    <row r="481" spans="1:14" x14ac:dyDescent="0.3">
      <c r="A481" s="23" t="s">
        <v>802</v>
      </c>
      <c r="B481" s="70" t="s">
        <v>517</v>
      </c>
      <c r="C481" s="71"/>
      <c r="D481" s="71"/>
      <c r="E481" s="72"/>
      <c r="F481" s="5">
        <v>1</v>
      </c>
      <c r="G481" s="26"/>
      <c r="H481" s="5"/>
      <c r="I481" s="5"/>
      <c r="J481" s="5"/>
      <c r="K481" s="5" t="str">
        <f>IF(COUNTA(H481:J481)=2,ROUND(PRODUCT(H481:J481),2),"")</f>
        <v/>
      </c>
      <c r="L481" s="5" t="str">
        <f>IF(OR(AND(COUNTA(H481:J481)=3,K481=""),AND(COUNTA(H481:J481)=1,K481&lt;&gt;"")),ROUND(PRODUCT(H481:K481),2),"")</f>
        <v/>
      </c>
      <c r="M481" s="5">
        <f>IF(L481&lt;&gt;"",ROUND(PRODUCT(F481,G481,L481),2),IF(K481&lt;&gt;"",ROUND(PRODUCT(F481,G481,K481),2),ROUND(PRODUCT(F481:J481),2)))</f>
        <v>1</v>
      </c>
      <c r="N481" s="5"/>
    </row>
    <row r="482" spans="1:14" x14ac:dyDescent="0.3">
      <c r="A482" s="12" t="s">
        <v>90</v>
      </c>
      <c r="B482" s="51" t="s">
        <v>553</v>
      </c>
      <c r="C482" s="52"/>
      <c r="D482" s="52"/>
      <c r="E482" s="52"/>
      <c r="F482" s="52"/>
      <c r="G482" s="52"/>
      <c r="H482" s="52"/>
      <c r="I482" s="52"/>
      <c r="J482" s="52"/>
      <c r="K482" s="52"/>
      <c r="L482" s="52"/>
      <c r="M482" s="52"/>
      <c r="N482" s="53"/>
    </row>
    <row r="483" spans="1:14" x14ac:dyDescent="0.3">
      <c r="A483" s="23" t="s">
        <v>355</v>
      </c>
      <c r="B483" s="23" t="s">
        <v>554</v>
      </c>
      <c r="C483" s="23" t="str">
        <f>VLOOKUP(B483,CPU!$B:$J,2,FALSE)</f>
        <v>PRÓPRIA</v>
      </c>
      <c r="D483" s="24" t="str">
        <f>VLOOKUP(B483,CPU!$B:$J,3,FALSE)</f>
        <v>FORNECIMENTO E INSTALAÇÃO DE TUBO EDUTOR DE PVC DE 1.1/2'' COM LUVA</v>
      </c>
      <c r="E483" s="23" t="str">
        <f>VLOOKUP(B483,CPU!$B:$J,4,FALSE)</f>
        <v>M</v>
      </c>
      <c r="F483" s="23"/>
      <c r="G483" s="23"/>
      <c r="H483" s="23"/>
      <c r="I483" s="23"/>
      <c r="J483" s="23"/>
      <c r="K483" s="23"/>
      <c r="L483" s="23"/>
      <c r="M483" s="23"/>
      <c r="N483" s="5">
        <f>SUM($M$484:$M$484)</f>
        <v>90</v>
      </c>
    </row>
    <row r="484" spans="1:14" x14ac:dyDescent="0.3">
      <c r="A484" s="23" t="s">
        <v>803</v>
      </c>
      <c r="B484" s="70" t="s">
        <v>517</v>
      </c>
      <c r="C484" s="71"/>
      <c r="D484" s="71"/>
      <c r="E484" s="72"/>
      <c r="F484" s="5">
        <v>90</v>
      </c>
      <c r="G484" s="26"/>
      <c r="H484" s="5"/>
      <c r="I484" s="5"/>
      <c r="J484" s="5"/>
      <c r="K484" s="5" t="str">
        <f>IF(COUNTA(H484:J484)=2,ROUND(PRODUCT(H484:J484),2),"")</f>
        <v/>
      </c>
      <c r="L484" s="5" t="str">
        <f>IF(OR(AND(COUNTA(H484:J484)=3,K484=""),AND(COUNTA(H484:J484)=1,K484&lt;&gt;"")),ROUND(PRODUCT(H484:K484),2),"")</f>
        <v/>
      </c>
      <c r="M484" s="5">
        <f>IF(L484&lt;&gt;"",ROUND(PRODUCT(F484,G484,L484),2),IF(K484&lt;&gt;"",ROUND(PRODUCT(F484,G484,K484),2),ROUND(PRODUCT(F484:J484),2)))</f>
        <v>90</v>
      </c>
      <c r="N484" s="5"/>
    </row>
    <row r="485" spans="1:14" x14ac:dyDescent="0.3">
      <c r="A485" s="23" t="s">
        <v>356</v>
      </c>
      <c r="B485" s="23" t="s">
        <v>556</v>
      </c>
      <c r="C485" s="23" t="str">
        <f>VLOOKUP(B485,CPU!$B:$J,2,FALSE)</f>
        <v>PRÓPRIA</v>
      </c>
      <c r="D485" s="24" t="str">
        <f>VLOOKUP(B485,CPU!$B:$J,3,FALSE)</f>
        <v>BARRILETE (CURVAS E CONEXÕES)</v>
      </c>
      <c r="E485" s="23" t="str">
        <f>VLOOKUP(B485,CPU!$B:$J,4,FALSE)</f>
        <v>UN</v>
      </c>
      <c r="F485" s="23"/>
      <c r="G485" s="23"/>
      <c r="H485" s="23"/>
      <c r="I485" s="23"/>
      <c r="J485" s="23"/>
      <c r="K485" s="23"/>
      <c r="L485" s="23"/>
      <c r="M485" s="23"/>
      <c r="N485" s="5">
        <f>SUM($M$486:$M$486)</f>
        <v>1</v>
      </c>
    </row>
    <row r="486" spans="1:14" x14ac:dyDescent="0.3">
      <c r="A486" s="23" t="s">
        <v>804</v>
      </c>
      <c r="B486" s="70" t="s">
        <v>517</v>
      </c>
      <c r="C486" s="71"/>
      <c r="D486" s="71"/>
      <c r="E486" s="72"/>
      <c r="F486" s="5">
        <v>1</v>
      </c>
      <c r="G486" s="26"/>
      <c r="H486" s="5"/>
      <c r="I486" s="5"/>
      <c r="J486" s="5"/>
      <c r="K486" s="5" t="str">
        <f>IF(COUNTA(H486:J486)=2,ROUND(PRODUCT(H486:J486),2),"")</f>
        <v/>
      </c>
      <c r="L486" s="5" t="str">
        <f>IF(OR(AND(COUNTA(H486:J486)=3,K486=""),AND(COUNTA(H486:J486)=1,K486&lt;&gt;"")),ROUND(PRODUCT(H486:K486),2),"")</f>
        <v/>
      </c>
      <c r="M486" s="5">
        <f>IF(L486&lt;&gt;"",ROUND(PRODUCT(F486,G486,L486),2),IF(K486&lt;&gt;"",ROUND(PRODUCT(F486,G486,K486),2),ROUND(PRODUCT(F486:J486),2)))</f>
        <v>1</v>
      </c>
      <c r="N486" s="5"/>
    </row>
    <row r="487" spans="1:14" x14ac:dyDescent="0.3">
      <c r="A487" s="23" t="s">
        <v>357</v>
      </c>
      <c r="B487" s="23" t="s">
        <v>558</v>
      </c>
      <c r="C487" s="23" t="str">
        <f>VLOOKUP(B487,CPU!$B:$J,2,FALSE)</f>
        <v>PRÓPRIA</v>
      </c>
      <c r="D487" s="24" t="str">
        <f>VLOOKUP(B487,CPU!$B:$J,3,FALSE)</f>
        <v>AQUISIÇÃO E INSTALAÇÃO DE DOSADOR DE CLORO</v>
      </c>
      <c r="E487" s="23" t="str">
        <f>VLOOKUP(B487,CPU!$B:$J,4,FALSE)</f>
        <v>UND</v>
      </c>
      <c r="F487" s="23"/>
      <c r="G487" s="23"/>
      <c r="H487" s="23"/>
      <c r="I487" s="23"/>
      <c r="J487" s="23"/>
      <c r="K487" s="23"/>
      <c r="L487" s="23"/>
      <c r="M487" s="23"/>
      <c r="N487" s="5">
        <f>SUM($M$488:$M$488)</f>
        <v>1</v>
      </c>
    </row>
    <row r="488" spans="1:14" x14ac:dyDescent="0.3">
      <c r="A488" s="23" t="s">
        <v>805</v>
      </c>
      <c r="B488" s="70" t="s">
        <v>517</v>
      </c>
      <c r="C488" s="71"/>
      <c r="D488" s="71"/>
      <c r="E488" s="72"/>
      <c r="F488" s="5">
        <v>1</v>
      </c>
      <c r="G488" s="26"/>
      <c r="H488" s="5"/>
      <c r="I488" s="5"/>
      <c r="J488" s="5"/>
      <c r="K488" s="5" t="str">
        <f>IF(COUNTA(H488:J488)=2,ROUND(PRODUCT(H488:J488),2),"")</f>
        <v/>
      </c>
      <c r="L488" s="5" t="str">
        <f>IF(OR(AND(COUNTA(H488:J488)=3,K488=""),AND(COUNTA(H488:J488)=1,K488&lt;&gt;"")),ROUND(PRODUCT(H488:K488),2),"")</f>
        <v/>
      </c>
      <c r="M488" s="5">
        <f>IF(L488&lt;&gt;"",ROUND(PRODUCT(F488,G488,L488),2),IF(K488&lt;&gt;"",ROUND(PRODUCT(F488,G488,K488),2),ROUND(PRODUCT(F488:J488),2)))</f>
        <v>1</v>
      </c>
      <c r="N488" s="5"/>
    </row>
    <row r="489" spans="1:14" x14ac:dyDescent="0.3">
      <c r="A489" s="12" t="s">
        <v>91</v>
      </c>
      <c r="B489" s="51" t="s">
        <v>560</v>
      </c>
      <c r="C489" s="52"/>
      <c r="D489" s="52"/>
      <c r="E489" s="52"/>
      <c r="F489" s="52"/>
      <c r="G489" s="52"/>
      <c r="H489" s="52"/>
      <c r="I489" s="52"/>
      <c r="J489" s="52"/>
      <c r="K489" s="52"/>
      <c r="L489" s="52"/>
      <c r="M489" s="52"/>
      <c r="N489" s="53"/>
    </row>
    <row r="490" spans="1:14" x14ac:dyDescent="0.3">
      <c r="A490" s="15" t="s">
        <v>92</v>
      </c>
      <c r="B490" s="48" t="s">
        <v>514</v>
      </c>
      <c r="C490" s="49"/>
      <c r="D490" s="49"/>
      <c r="E490" s="49"/>
      <c r="F490" s="49"/>
      <c r="G490" s="49"/>
      <c r="H490" s="49"/>
      <c r="I490" s="49"/>
      <c r="J490" s="49"/>
      <c r="K490" s="49"/>
      <c r="L490" s="49"/>
      <c r="M490" s="49"/>
      <c r="N490" s="50"/>
    </row>
    <row r="491" spans="1:14" x14ac:dyDescent="0.3">
      <c r="A491" s="23" t="s">
        <v>358</v>
      </c>
      <c r="B491" s="23">
        <v>98524</v>
      </c>
      <c r="C491" s="23" t="str">
        <f>VLOOKUP(B491,CPU!$B:$J,2,FALSE)</f>
        <v>SINAPI</v>
      </c>
      <c r="D491" s="24" t="str">
        <f>VLOOKUP(B491,CPU!$B:$J,3,FALSE)</f>
        <v>LIMPEZA MANUAL DE VEGETAÇÃO EM TERRENO COM ENXADA. AF_03/2024</v>
      </c>
      <c r="E491" s="23" t="str">
        <f>VLOOKUP(B491,CPU!$B:$J,4,FALSE)</f>
        <v>M2</v>
      </c>
      <c r="F491" s="23"/>
      <c r="G491" s="23"/>
      <c r="H491" s="23"/>
      <c r="I491" s="23"/>
      <c r="J491" s="23"/>
      <c r="K491" s="23"/>
      <c r="L491" s="23"/>
      <c r="M491" s="23"/>
      <c r="N491" s="5">
        <f>SUM($M$492:$M$492)</f>
        <v>100</v>
      </c>
    </row>
    <row r="492" spans="1:14" x14ac:dyDescent="0.3">
      <c r="A492" s="23" t="s">
        <v>806</v>
      </c>
      <c r="B492" s="70" t="s">
        <v>517</v>
      </c>
      <c r="C492" s="71"/>
      <c r="D492" s="71"/>
      <c r="E492" s="72"/>
      <c r="F492" s="5"/>
      <c r="G492" s="26"/>
      <c r="H492" s="5"/>
      <c r="I492" s="5">
        <v>10</v>
      </c>
      <c r="J492" s="5">
        <v>10</v>
      </c>
      <c r="K492" s="5">
        <f>IF(COUNTA(H492:J492)=2,ROUND(PRODUCT(H492:J492),2),"")</f>
        <v>100</v>
      </c>
      <c r="L492" s="5" t="str">
        <f>IF(OR(AND(COUNTA(H492:J492)=3,K492=""),AND(COUNTA(H492:J492)=1,K492&lt;&gt;"")),ROUND(PRODUCT(H492:K492),2),"")</f>
        <v/>
      </c>
      <c r="M492" s="5">
        <f>IF(L492&lt;&gt;"",ROUND(PRODUCT(F492,G492,L492),2),IF(K492&lt;&gt;"",ROUND(PRODUCT(F492,G492,K492),2),ROUND(PRODUCT(F492:J492),2)))</f>
        <v>100</v>
      </c>
      <c r="N492" s="5"/>
    </row>
    <row r="493" spans="1:14" ht="28.8" x14ac:dyDescent="0.3">
      <c r="A493" s="23" t="s">
        <v>359</v>
      </c>
      <c r="B493" s="23">
        <v>99059</v>
      </c>
      <c r="C493" s="23" t="str">
        <f>VLOOKUP(B493,CPU!$B:$J,2,FALSE)</f>
        <v>SINAPI</v>
      </c>
      <c r="D493" s="24" t="str">
        <f>VLOOKUP(B493,CPU!$B:$J,3,FALSE)</f>
        <v>LOCAÇÃO CONVENCIONAL DE OBRA, UTILIZANDO GABARITO DE TÁBUAS CORRIDAS PONTALETADAS A CADA 2,00M - 2 UTILIZAÇÕES. AF_03/2024</v>
      </c>
      <c r="E493" s="23" t="str">
        <f>VLOOKUP(B493,CPU!$B:$J,4,FALSE)</f>
        <v>M</v>
      </c>
      <c r="F493" s="23"/>
      <c r="G493" s="23"/>
      <c r="H493" s="23"/>
      <c r="I493" s="23"/>
      <c r="J493" s="23"/>
      <c r="K493" s="23"/>
      <c r="L493" s="23"/>
      <c r="M493" s="23"/>
      <c r="N493" s="5">
        <f>SUM($M$494:$M$494)</f>
        <v>10.199999999999999</v>
      </c>
    </row>
    <row r="494" spans="1:14" x14ac:dyDescent="0.3">
      <c r="A494" s="23" t="s">
        <v>807</v>
      </c>
      <c r="B494" s="70" t="s">
        <v>517</v>
      </c>
      <c r="C494" s="71"/>
      <c r="D494" s="71"/>
      <c r="E494" s="72"/>
      <c r="F494" s="5"/>
      <c r="G494" s="26">
        <v>1</v>
      </c>
      <c r="H494" s="5">
        <v>10.199999999999999</v>
      </c>
      <c r="I494" s="5"/>
      <c r="J494" s="5"/>
      <c r="K494" s="5" t="str">
        <f>IF(COUNTA(H494:J494)=2,ROUND(PRODUCT(H494:J494),2),"")</f>
        <v/>
      </c>
      <c r="L494" s="5" t="str">
        <f>IF(OR(AND(COUNTA(H494:J494)=3,K494=""),AND(COUNTA(H494:J494)=1,K494&lt;&gt;"")),ROUND(PRODUCT(H494:K494),2),"")</f>
        <v/>
      </c>
      <c r="M494" s="5">
        <f>IF(L494&lt;&gt;"",ROUND(PRODUCT(F494,G494,L494),2),IF(K494&lt;&gt;"",ROUND(PRODUCT(F494,G494,K494),2),ROUND(PRODUCT(F494:J494),2)))</f>
        <v>10.199999999999999</v>
      </c>
      <c r="N494" s="5"/>
    </row>
    <row r="495" spans="1:14" x14ac:dyDescent="0.3">
      <c r="A495" s="15" t="s">
        <v>93</v>
      </c>
      <c r="B495" s="48" t="s">
        <v>563</v>
      </c>
      <c r="C495" s="49"/>
      <c r="D495" s="49"/>
      <c r="E495" s="49"/>
      <c r="F495" s="49"/>
      <c r="G495" s="49"/>
      <c r="H495" s="49"/>
      <c r="I495" s="49"/>
      <c r="J495" s="49"/>
      <c r="K495" s="49"/>
      <c r="L495" s="49"/>
      <c r="M495" s="49"/>
      <c r="N495" s="50"/>
    </row>
    <row r="496" spans="1:14" x14ac:dyDescent="0.3">
      <c r="A496" s="23" t="s">
        <v>360</v>
      </c>
      <c r="B496" s="23">
        <v>93358</v>
      </c>
      <c r="C496" s="23" t="str">
        <f>VLOOKUP(B496,CPU!$B:$J,2,FALSE)</f>
        <v>SINAPI</v>
      </c>
      <c r="D496" s="24" t="str">
        <f>VLOOKUP(B496,CPU!$B:$J,3,FALSE)</f>
        <v>ESCAVAÇÃO MANUAL DE VALA. AF_09/2024</v>
      </c>
      <c r="E496" s="23" t="str">
        <f>VLOOKUP(B496,CPU!$B:$J,4,FALSE)</f>
        <v>M3</v>
      </c>
      <c r="F496" s="23"/>
      <c r="G496" s="23"/>
      <c r="H496" s="23"/>
      <c r="I496" s="23"/>
      <c r="J496" s="23"/>
      <c r="K496" s="23"/>
      <c r="L496" s="23"/>
      <c r="M496" s="23"/>
      <c r="N496" s="5">
        <f>SUM($M$497:$M$498)</f>
        <v>1.54</v>
      </c>
    </row>
    <row r="497" spans="1:14" x14ac:dyDescent="0.3">
      <c r="A497" s="23" t="s">
        <v>808</v>
      </c>
      <c r="B497" s="70" t="s">
        <v>517</v>
      </c>
      <c r="C497" s="71"/>
      <c r="D497" s="71"/>
      <c r="E497" s="72"/>
      <c r="F497" s="5"/>
      <c r="G497" s="26">
        <v>2</v>
      </c>
      <c r="H497" s="5">
        <v>2.2999999999999998</v>
      </c>
      <c r="I497" s="5">
        <v>0.3</v>
      </c>
      <c r="J497" s="5">
        <v>0.6</v>
      </c>
      <c r="K497" s="5" t="str">
        <f>IF(COUNTA(H497:J497)=2,ROUND(PRODUCT(H497:J497),2),"")</f>
        <v/>
      </c>
      <c r="L497" s="5">
        <f>IF(OR(AND(COUNTA(H497:J497)=3,K497=""),AND(COUNTA(H497:J497)=1,K497&lt;&gt;"")),ROUND(PRODUCT(H497:K497),2),"")</f>
        <v>0.41</v>
      </c>
      <c r="M497" s="5">
        <f>IF(L497&lt;&gt;"",ROUND(PRODUCT(F497,G497,L497),2),IF(K497&lt;&gt;"",ROUND(PRODUCT(F497,G497,K497),2),ROUND(PRODUCT(F497:J497),2)))</f>
        <v>0.82</v>
      </c>
      <c r="N497" s="5"/>
    </row>
    <row r="498" spans="1:14" x14ac:dyDescent="0.3">
      <c r="A498" s="23" t="s">
        <v>809</v>
      </c>
      <c r="B498" s="70" t="s">
        <v>517</v>
      </c>
      <c r="C498" s="71"/>
      <c r="D498" s="71"/>
      <c r="E498" s="72"/>
      <c r="F498" s="5"/>
      <c r="G498" s="26">
        <v>2</v>
      </c>
      <c r="H498" s="5">
        <v>2</v>
      </c>
      <c r="I498" s="5">
        <v>0.3</v>
      </c>
      <c r="J498" s="5">
        <v>0.6</v>
      </c>
      <c r="K498" s="5" t="str">
        <f>IF(COUNTA(H498:J498)=2,ROUND(PRODUCT(H498:J498),2),"")</f>
        <v/>
      </c>
      <c r="L498" s="5">
        <f>IF(OR(AND(COUNTA(H498:J498)=3,K498=""),AND(COUNTA(H498:J498)=1,K498&lt;&gt;"")),ROUND(PRODUCT(H498:K498),2),"")</f>
        <v>0.36</v>
      </c>
      <c r="M498" s="5">
        <f>IF(L498&lt;&gt;"",ROUND(PRODUCT(F498,G498,L498),2),IF(K498&lt;&gt;"",ROUND(PRODUCT(F498,G498,K498),2),ROUND(PRODUCT(F498:J498),2)))</f>
        <v>0.72</v>
      </c>
      <c r="N498" s="5"/>
    </row>
    <row r="499" spans="1:14" x14ac:dyDescent="0.3">
      <c r="A499" s="15" t="s">
        <v>94</v>
      </c>
      <c r="B499" s="48" t="s">
        <v>566</v>
      </c>
      <c r="C499" s="49"/>
      <c r="D499" s="49"/>
      <c r="E499" s="49"/>
      <c r="F499" s="49"/>
      <c r="G499" s="49"/>
      <c r="H499" s="49"/>
      <c r="I499" s="49"/>
      <c r="J499" s="49"/>
      <c r="K499" s="49"/>
      <c r="L499" s="49"/>
      <c r="M499" s="49"/>
      <c r="N499" s="50"/>
    </row>
    <row r="500" spans="1:14" ht="28.8" x14ac:dyDescent="0.3">
      <c r="A500" s="23" t="s">
        <v>361</v>
      </c>
      <c r="B500" s="23">
        <v>96617</v>
      </c>
      <c r="C500" s="23" t="str">
        <f>VLOOKUP(B500,CPU!$B:$J,2,FALSE)</f>
        <v>SINAPI</v>
      </c>
      <c r="D500" s="24" t="str">
        <f>VLOOKUP(B500,CPU!$B:$J,3,FALSE)</f>
        <v>LASTRO DE CONCRETO MAGRO, APLICADO EM BLOCOS DE COROAMENTO OU SAPATAS, ESPESSURA DE 3 CM. AF_01/2024</v>
      </c>
      <c r="E500" s="23" t="str">
        <f>VLOOKUP(B500,CPU!$B:$J,4,FALSE)</f>
        <v>M2</v>
      </c>
      <c r="F500" s="23"/>
      <c r="G500" s="23"/>
      <c r="H500" s="23"/>
      <c r="I500" s="23"/>
      <c r="J500" s="23"/>
      <c r="K500" s="23"/>
      <c r="L500" s="23"/>
      <c r="M500" s="23"/>
      <c r="N500" s="5">
        <f>SUM($M$501:$M$502)</f>
        <v>2.58</v>
      </c>
    </row>
    <row r="501" spans="1:14" x14ac:dyDescent="0.3">
      <c r="A501" s="23" t="s">
        <v>810</v>
      </c>
      <c r="B501" s="70" t="s">
        <v>517</v>
      </c>
      <c r="C501" s="71"/>
      <c r="D501" s="71"/>
      <c r="E501" s="72"/>
      <c r="F501" s="5"/>
      <c r="G501" s="26">
        <v>2</v>
      </c>
      <c r="H501" s="5">
        <v>2.2999999999999998</v>
      </c>
      <c r="I501" s="5">
        <v>0.3</v>
      </c>
      <c r="J501" s="5"/>
      <c r="K501" s="5">
        <f>IF(COUNTA(H501:J501)=2,ROUND(PRODUCT(H501:J501),2),"")</f>
        <v>0.69</v>
      </c>
      <c r="L501" s="5" t="str">
        <f>IF(OR(AND(COUNTA(H501:J501)=3,K501=""),AND(COUNTA(H501:J501)=1,K501&lt;&gt;"")),ROUND(PRODUCT(H501:K501),2),"")</f>
        <v/>
      </c>
      <c r="M501" s="5">
        <f>IF(L501&lt;&gt;"",ROUND(PRODUCT(F501,G501,L501),2),IF(K501&lt;&gt;"",ROUND(PRODUCT(F501,G501,K501),2),ROUND(PRODUCT(F501:J501),2)))</f>
        <v>1.38</v>
      </c>
      <c r="N501" s="5"/>
    </row>
    <row r="502" spans="1:14" x14ac:dyDescent="0.3">
      <c r="A502" s="23" t="s">
        <v>811</v>
      </c>
      <c r="B502" s="70" t="s">
        <v>517</v>
      </c>
      <c r="C502" s="71"/>
      <c r="D502" s="71"/>
      <c r="E502" s="72"/>
      <c r="F502" s="5"/>
      <c r="G502" s="26">
        <v>2</v>
      </c>
      <c r="H502" s="5">
        <v>2</v>
      </c>
      <c r="I502" s="5">
        <v>0.3</v>
      </c>
      <c r="J502" s="5"/>
      <c r="K502" s="5">
        <f>IF(COUNTA(H502:J502)=2,ROUND(PRODUCT(H502:J502),2),"")</f>
        <v>0.6</v>
      </c>
      <c r="L502" s="5" t="str">
        <f>IF(OR(AND(COUNTA(H502:J502)=3,K502=""),AND(COUNTA(H502:J502)=1,K502&lt;&gt;"")),ROUND(PRODUCT(H502:K502),2),"")</f>
        <v/>
      </c>
      <c r="M502" s="5">
        <f>IF(L502&lt;&gt;"",ROUND(PRODUCT(F502,G502,L502),2),IF(K502&lt;&gt;"",ROUND(PRODUCT(F502,G502,K502),2),ROUND(PRODUCT(F502:J502),2)))</f>
        <v>1.2</v>
      </c>
      <c r="N502" s="5"/>
    </row>
    <row r="503" spans="1:14" ht="28.8" x14ac:dyDescent="0.3">
      <c r="A503" s="23" t="s">
        <v>362</v>
      </c>
      <c r="B503" s="23">
        <v>103800</v>
      </c>
      <c r="C503" s="23" t="str">
        <f>VLOOKUP(B503,CPU!$B:$J,2,FALSE)</f>
        <v>SINAPI</v>
      </c>
      <c r="D503" s="24" t="str">
        <f>VLOOKUP(B503,CPU!$B:$J,3,FALSE)</f>
        <v>PEDRA ARGAMASSADA COM CIMENTO E AREIA 1:3, 40% DE ARGAMASSA EM VOLUME - AREIA E PEDRA DE MÃO COMERCIAIS - FORNECIMENTO E ASSENTAMENTO. AF_08/2022</v>
      </c>
      <c r="E503" s="23" t="str">
        <f>VLOOKUP(B503,CPU!$B:$J,4,FALSE)</f>
        <v>M3</v>
      </c>
      <c r="F503" s="23"/>
      <c r="G503" s="23"/>
      <c r="H503" s="23"/>
      <c r="I503" s="23"/>
      <c r="J503" s="23"/>
      <c r="K503" s="23"/>
      <c r="L503" s="23"/>
      <c r="M503" s="23"/>
      <c r="N503" s="5">
        <f>SUM($M$504:$M$505)</f>
        <v>1.04</v>
      </c>
    </row>
    <row r="504" spans="1:14" x14ac:dyDescent="0.3">
      <c r="A504" s="23" t="s">
        <v>812</v>
      </c>
      <c r="B504" s="70" t="s">
        <v>517</v>
      </c>
      <c r="C504" s="71"/>
      <c r="D504" s="71"/>
      <c r="E504" s="72"/>
      <c r="F504" s="5"/>
      <c r="G504" s="26">
        <v>2</v>
      </c>
      <c r="H504" s="5">
        <v>2.2999999999999998</v>
      </c>
      <c r="I504" s="5">
        <v>0.3</v>
      </c>
      <c r="J504" s="5">
        <v>0.4</v>
      </c>
      <c r="K504" s="5" t="str">
        <f>IF(COUNTA(H504:J504)=2,ROUND(PRODUCT(H504:J504),2),"")</f>
        <v/>
      </c>
      <c r="L504" s="5">
        <f>IF(OR(AND(COUNTA(H504:J504)=3,K504=""),AND(COUNTA(H504:J504)=1,K504&lt;&gt;"")),ROUND(PRODUCT(H504:K504),2),"")</f>
        <v>0.28000000000000003</v>
      </c>
      <c r="M504" s="5">
        <f>IF(L504&lt;&gt;"",ROUND(PRODUCT(F504,G504,L504),2),IF(K504&lt;&gt;"",ROUND(PRODUCT(F504,G504,K504),2),ROUND(PRODUCT(F504:J504),2)))</f>
        <v>0.56000000000000005</v>
      </c>
      <c r="N504" s="5"/>
    </row>
    <row r="505" spans="1:14" x14ac:dyDescent="0.3">
      <c r="A505" s="23" t="s">
        <v>813</v>
      </c>
      <c r="B505" s="70" t="s">
        <v>517</v>
      </c>
      <c r="C505" s="71"/>
      <c r="D505" s="71"/>
      <c r="E505" s="72"/>
      <c r="F505" s="5"/>
      <c r="G505" s="26">
        <v>2</v>
      </c>
      <c r="H505" s="5">
        <v>2</v>
      </c>
      <c r="I505" s="5">
        <v>0.3</v>
      </c>
      <c r="J505" s="5">
        <v>0.4</v>
      </c>
      <c r="K505" s="5" t="str">
        <f>IF(COUNTA(H505:J505)=2,ROUND(PRODUCT(H505:J505),2),"")</f>
        <v/>
      </c>
      <c r="L505" s="5">
        <f>IF(OR(AND(COUNTA(H505:J505)=3,K505=""),AND(COUNTA(H505:J505)=1,K505&lt;&gt;"")),ROUND(PRODUCT(H505:K505),2),"")</f>
        <v>0.24</v>
      </c>
      <c r="M505" s="5">
        <f>IF(L505&lt;&gt;"",ROUND(PRODUCT(F505,G505,L505),2),IF(K505&lt;&gt;"",ROUND(PRODUCT(F505,G505,K505),2),ROUND(PRODUCT(F505:J505),2)))</f>
        <v>0.48</v>
      </c>
      <c r="N505" s="5"/>
    </row>
    <row r="506" spans="1:14" ht="43.2" x14ac:dyDescent="0.3">
      <c r="A506" s="23" t="s">
        <v>363</v>
      </c>
      <c r="B506" s="23">
        <v>103335</v>
      </c>
      <c r="C506" s="23" t="str">
        <f>VLOOKUP(B506,CPU!$B:$J,2,FALSE)</f>
        <v>SINAPI</v>
      </c>
      <c r="D506" s="24" t="str">
        <f>VLOOKUP(B506,CPU!$B:$J,3,FALSE)</f>
        <v>ALVENARIA DE VEDAÇÃO DE BLOCOS CERÂMICOS FURADOS NA HORIZONTAL DE 14X9X19 CM (ESPESSURA 14 CM, BLOCO DEITADO) E ARGAMASSA DE ASSENTAMENTO COM PREPARO MANUAL. AF_12/2021</v>
      </c>
      <c r="E506" s="23" t="str">
        <f>VLOOKUP(B506,CPU!$B:$J,4,FALSE)</f>
        <v>M2</v>
      </c>
      <c r="F506" s="23"/>
      <c r="G506" s="23"/>
      <c r="H506" s="23"/>
      <c r="I506" s="23"/>
      <c r="J506" s="23"/>
      <c r="K506" s="23"/>
      <c r="L506" s="23"/>
      <c r="M506" s="23"/>
      <c r="N506" s="5">
        <f>SUM($M$507:$M$508)</f>
        <v>1.7200000000000002</v>
      </c>
    </row>
    <row r="507" spans="1:14" x14ac:dyDescent="0.3">
      <c r="A507" s="23" t="s">
        <v>814</v>
      </c>
      <c r="B507" s="70" t="s">
        <v>517</v>
      </c>
      <c r="C507" s="71"/>
      <c r="D507" s="71"/>
      <c r="E507" s="72"/>
      <c r="F507" s="5"/>
      <c r="G507" s="26">
        <v>2</v>
      </c>
      <c r="H507" s="5">
        <v>2.2999999999999998</v>
      </c>
      <c r="I507" s="5"/>
      <c r="J507" s="5">
        <v>0.2</v>
      </c>
      <c r="K507" s="5">
        <f>IF(COUNTA(H507:J507)=2,ROUND(PRODUCT(H507:J507),2),"")</f>
        <v>0.46</v>
      </c>
      <c r="L507" s="5" t="str">
        <f>IF(OR(AND(COUNTA(H507:J507)=3,K507=""),AND(COUNTA(H507:J507)=1,K507&lt;&gt;"")),ROUND(PRODUCT(H507:K507),2),"")</f>
        <v/>
      </c>
      <c r="M507" s="5">
        <f>IF(L507&lt;&gt;"",ROUND(PRODUCT(F507,G507,L507),2),IF(K507&lt;&gt;"",ROUND(PRODUCT(F507,G507,K507),2),ROUND(PRODUCT(F507:J507),2)))</f>
        <v>0.92</v>
      </c>
      <c r="N507" s="5"/>
    </row>
    <row r="508" spans="1:14" x14ac:dyDescent="0.3">
      <c r="A508" s="23" t="s">
        <v>815</v>
      </c>
      <c r="B508" s="70" t="s">
        <v>517</v>
      </c>
      <c r="C508" s="71"/>
      <c r="D508" s="71"/>
      <c r="E508" s="72"/>
      <c r="F508" s="5"/>
      <c r="G508" s="26">
        <v>2</v>
      </c>
      <c r="H508" s="5">
        <v>2</v>
      </c>
      <c r="I508" s="5"/>
      <c r="J508" s="5">
        <v>0.2</v>
      </c>
      <c r="K508" s="5">
        <f>IF(COUNTA(H508:J508)=2,ROUND(PRODUCT(H508:J508),2),"")</f>
        <v>0.4</v>
      </c>
      <c r="L508" s="5" t="str">
        <f>IF(OR(AND(COUNTA(H508:J508)=3,K508=""),AND(COUNTA(H508:J508)=1,K508&lt;&gt;"")),ROUND(PRODUCT(H508:K508),2),"")</f>
        <v/>
      </c>
      <c r="M508" s="5">
        <f>IF(L508&lt;&gt;"",ROUND(PRODUCT(F508,G508,L508),2),IF(K508&lt;&gt;"",ROUND(PRODUCT(F508,G508,K508),2),ROUND(PRODUCT(F508:J508),2)))</f>
        <v>0.8</v>
      </c>
      <c r="N508" s="5"/>
    </row>
    <row r="509" spans="1:14" x14ac:dyDescent="0.3">
      <c r="A509" s="15" t="s">
        <v>95</v>
      </c>
      <c r="B509" s="48" t="s">
        <v>573</v>
      </c>
      <c r="C509" s="49"/>
      <c r="D509" s="49"/>
      <c r="E509" s="49"/>
      <c r="F509" s="49"/>
      <c r="G509" s="49"/>
      <c r="H509" s="49"/>
      <c r="I509" s="49"/>
      <c r="J509" s="49"/>
      <c r="K509" s="49"/>
      <c r="L509" s="49"/>
      <c r="M509" s="49"/>
      <c r="N509" s="50"/>
    </row>
    <row r="510" spans="1:14" x14ac:dyDescent="0.3">
      <c r="A510" s="23" t="s">
        <v>364</v>
      </c>
      <c r="B510" s="23" t="s">
        <v>574</v>
      </c>
      <c r="C510" s="23" t="str">
        <f>VLOOKUP(B510,CPU!$B:$J,2,FALSE)</f>
        <v>PRÓPRIA</v>
      </c>
      <c r="D510" s="24" t="str">
        <f>VLOOKUP(B510,CPU!$B:$J,3,FALSE)</f>
        <v>CINTA DE AMARRAÇÃO DE ALVENARIA MOLDADA IN LOCO EM CONCRETO</v>
      </c>
      <c r="E510" s="23" t="str">
        <f>VLOOKUP(B510,CPU!$B:$J,4,FALSE)</f>
        <v>M</v>
      </c>
      <c r="F510" s="23"/>
      <c r="G510" s="23"/>
      <c r="H510" s="23"/>
      <c r="I510" s="23"/>
      <c r="J510" s="23"/>
      <c r="K510" s="23"/>
      <c r="L510" s="23"/>
      <c r="M510" s="23"/>
      <c r="N510" s="5">
        <f>SUM($M$511:$M$512)</f>
        <v>8.6</v>
      </c>
    </row>
    <row r="511" spans="1:14" x14ac:dyDescent="0.3">
      <c r="A511" s="23" t="s">
        <v>816</v>
      </c>
      <c r="B511" s="70" t="s">
        <v>517</v>
      </c>
      <c r="C511" s="71"/>
      <c r="D511" s="71"/>
      <c r="E511" s="72"/>
      <c r="F511" s="5"/>
      <c r="G511" s="26">
        <v>2</v>
      </c>
      <c r="H511" s="5">
        <v>2.2999999999999998</v>
      </c>
      <c r="I511" s="5"/>
      <c r="J511" s="5"/>
      <c r="K511" s="5" t="str">
        <f>IF(COUNTA(H511:J511)=2,ROUND(PRODUCT(H511:J511),2),"")</f>
        <v/>
      </c>
      <c r="L511" s="5" t="str">
        <f>IF(OR(AND(COUNTA(H511:J511)=3,K511=""),AND(COUNTA(H511:J511)=1,K511&lt;&gt;"")),ROUND(PRODUCT(H511:K511),2),"")</f>
        <v/>
      </c>
      <c r="M511" s="5">
        <f>IF(L511&lt;&gt;"",ROUND(PRODUCT(F511,G511,L511),2),IF(K511&lt;&gt;"",ROUND(PRODUCT(F511,G511,K511),2),ROUND(PRODUCT(F511:J511),2)))</f>
        <v>4.5999999999999996</v>
      </c>
      <c r="N511" s="5"/>
    </row>
    <row r="512" spans="1:14" x14ac:dyDescent="0.3">
      <c r="A512" s="23" t="s">
        <v>817</v>
      </c>
      <c r="B512" s="70" t="s">
        <v>517</v>
      </c>
      <c r="C512" s="71"/>
      <c r="D512" s="71"/>
      <c r="E512" s="72"/>
      <c r="F512" s="5"/>
      <c r="G512" s="26">
        <v>2</v>
      </c>
      <c r="H512" s="5">
        <v>2</v>
      </c>
      <c r="I512" s="5"/>
      <c r="J512" s="5"/>
      <c r="K512" s="5" t="str">
        <f>IF(COUNTA(H512:J512)=2,ROUND(PRODUCT(H512:J512),2),"")</f>
        <v/>
      </c>
      <c r="L512" s="5" t="str">
        <f>IF(OR(AND(COUNTA(H512:J512)=3,K512=""),AND(COUNTA(H512:J512)=1,K512&lt;&gt;"")),ROUND(PRODUCT(H512:K512),2),"")</f>
        <v/>
      </c>
      <c r="M512" s="5">
        <f>IF(L512&lt;&gt;"",ROUND(PRODUCT(F512,G512,L512),2),IF(K512&lt;&gt;"",ROUND(PRODUCT(F512,G512,K512),2),ROUND(PRODUCT(F512:J512),2)))</f>
        <v>4</v>
      </c>
      <c r="N512" s="5"/>
    </row>
    <row r="513" spans="1:14" ht="28.8" x14ac:dyDescent="0.3">
      <c r="A513" s="23" t="s">
        <v>365</v>
      </c>
      <c r="B513" s="23" t="s">
        <v>577</v>
      </c>
      <c r="C513" s="23" t="str">
        <f>VLOOKUP(B513,CPU!$B:$J,2,FALSE)</f>
        <v>PRÓPRIA</v>
      </c>
      <c r="D513" s="24" t="str">
        <f>VLOOKUP(B513,CPU!$B:$J,3,FALSE)</f>
        <v>(COMPOSIÇÃO REPRESENTATIVA) EXECUÇÃO DE ESTRUTURAS DE CONCRETO ARMADO, PARA EDIFICAÇÃO INSTITUCIONAL TÉRREA, FCK = 25 MPA</v>
      </c>
      <c r="E513" s="23" t="str">
        <f>VLOOKUP(B513,CPU!$B:$J,4,FALSE)</f>
        <v>M³</v>
      </c>
      <c r="F513" s="23"/>
      <c r="G513" s="23"/>
      <c r="H513" s="23"/>
      <c r="I513" s="23"/>
      <c r="J513" s="23"/>
      <c r="K513" s="23"/>
      <c r="L513" s="23"/>
      <c r="M513" s="23"/>
      <c r="N513" s="5">
        <f>SUM($M$514:$M$515)</f>
        <v>0.30000000000000004</v>
      </c>
    </row>
    <row r="514" spans="1:14" x14ac:dyDescent="0.3">
      <c r="A514" s="23" t="s">
        <v>818</v>
      </c>
      <c r="B514" s="70" t="s">
        <v>579</v>
      </c>
      <c r="C514" s="71"/>
      <c r="D514" s="71"/>
      <c r="E514" s="72"/>
      <c r="F514" s="5"/>
      <c r="G514" s="26">
        <v>2</v>
      </c>
      <c r="H514" s="5">
        <v>3.53</v>
      </c>
      <c r="I514" s="5">
        <v>0.15</v>
      </c>
      <c r="J514" s="5">
        <v>0.15</v>
      </c>
      <c r="K514" s="5" t="str">
        <f>IF(COUNTA(H514:J514)=2,ROUND(PRODUCT(H514:J514),2),"")</f>
        <v/>
      </c>
      <c r="L514" s="5">
        <f>IF(OR(AND(COUNTA(H514:J514)=3,K514=""),AND(COUNTA(H514:J514)=1,K514&lt;&gt;"")),ROUND(PRODUCT(H514:K514),2),"")</f>
        <v>0.08</v>
      </c>
      <c r="M514" s="5">
        <f>IF(L514&lt;&gt;"",ROUND(PRODUCT(F514,G514,L514),2),IF(K514&lt;&gt;"",ROUND(PRODUCT(F514,G514,K514),2),ROUND(PRODUCT(F514:J514),2)))</f>
        <v>0.16</v>
      </c>
      <c r="N514" s="5"/>
    </row>
    <row r="515" spans="1:14" x14ac:dyDescent="0.3">
      <c r="A515" s="23" t="s">
        <v>819</v>
      </c>
      <c r="B515" s="70" t="s">
        <v>579</v>
      </c>
      <c r="C515" s="71"/>
      <c r="D515" s="71"/>
      <c r="E515" s="72"/>
      <c r="F515" s="5"/>
      <c r="G515" s="26">
        <v>2</v>
      </c>
      <c r="H515" s="5">
        <v>2.95</v>
      </c>
      <c r="I515" s="5">
        <v>0.15</v>
      </c>
      <c r="J515" s="5">
        <v>0.15</v>
      </c>
      <c r="K515" s="5" t="str">
        <f>IF(COUNTA(H515:J515)=2,ROUND(PRODUCT(H515:J515),2),"")</f>
        <v/>
      </c>
      <c r="L515" s="5">
        <f>IF(OR(AND(COUNTA(H515:J515)=3,K515=""),AND(COUNTA(H515:J515)=1,K515&lt;&gt;"")),ROUND(PRODUCT(H515:K515),2),"")</f>
        <v>7.0000000000000007E-2</v>
      </c>
      <c r="M515" s="5">
        <f>IF(L515&lt;&gt;"",ROUND(PRODUCT(F515,G515,L515),2),IF(K515&lt;&gt;"",ROUND(PRODUCT(F515,G515,K515),2),ROUND(PRODUCT(F515:J515),2)))</f>
        <v>0.14000000000000001</v>
      </c>
      <c r="N515" s="5"/>
    </row>
    <row r="516" spans="1:14" x14ac:dyDescent="0.3">
      <c r="A516" s="15" t="s">
        <v>96</v>
      </c>
      <c r="B516" s="48" t="s">
        <v>581</v>
      </c>
      <c r="C516" s="49"/>
      <c r="D516" s="49"/>
      <c r="E516" s="49"/>
      <c r="F516" s="49"/>
      <c r="G516" s="49"/>
      <c r="H516" s="49"/>
      <c r="I516" s="49"/>
      <c r="J516" s="49"/>
      <c r="K516" s="49"/>
      <c r="L516" s="49"/>
      <c r="M516" s="49"/>
      <c r="N516" s="50"/>
    </row>
    <row r="517" spans="1:14" ht="43.2" x14ac:dyDescent="0.3">
      <c r="A517" s="23" t="s">
        <v>366</v>
      </c>
      <c r="B517" s="23">
        <v>103329</v>
      </c>
      <c r="C517" s="23" t="str">
        <f>VLOOKUP(B517,CPU!$B:$J,2,FALSE)</f>
        <v>SINAPI</v>
      </c>
      <c r="D517" s="24" t="str">
        <f>VLOOKUP(B517,CPU!$B:$J,3,FALSE)</f>
        <v>ALVENARIA DE VEDAÇÃO DE BLOCOS CERÂMICOS FURADOS NA HORIZONTAL DE 9X19X19 CM (ESPESSURA 9 CM) E ARGAMASSA DE ASSENTAMENTO COM PREPARO MANUAL. AF_12/2021</v>
      </c>
      <c r="E517" s="23" t="str">
        <f>VLOOKUP(B517,CPU!$B:$J,4,FALSE)</f>
        <v>M2</v>
      </c>
      <c r="F517" s="23"/>
      <c r="G517" s="23"/>
      <c r="H517" s="23"/>
      <c r="I517" s="23"/>
      <c r="J517" s="23"/>
      <c r="K517" s="23"/>
      <c r="L517" s="23"/>
      <c r="M517" s="23"/>
      <c r="N517" s="5">
        <f>SUM($M$518:$M$522)</f>
        <v>19.310000000000002</v>
      </c>
    </row>
    <row r="518" spans="1:14" x14ac:dyDescent="0.3">
      <c r="A518" s="23" t="s">
        <v>820</v>
      </c>
      <c r="B518" s="70" t="s">
        <v>517</v>
      </c>
      <c r="C518" s="71"/>
      <c r="D518" s="71"/>
      <c r="E518" s="72"/>
      <c r="F518" s="5"/>
      <c r="G518" s="26">
        <v>1</v>
      </c>
      <c r="H518" s="5">
        <v>2.2999999999999998</v>
      </c>
      <c r="I518" s="5">
        <v>2.2999999999999998</v>
      </c>
      <c r="J518" s="5"/>
      <c r="K518" s="5">
        <f>IF(COUNTA(H518:J518)=2,ROUND(PRODUCT(H518:J518),2),"")</f>
        <v>5.29</v>
      </c>
      <c r="L518" s="5" t="str">
        <f>IF(OR(AND(COUNTA(H518:J518)=3,K518=""),AND(COUNTA(H518:J518)=1,K518&lt;&gt;"")),ROUND(PRODUCT(H518:K518),2),"")</f>
        <v/>
      </c>
      <c r="M518" s="5">
        <f>IF(L518&lt;&gt;"",ROUND(PRODUCT(F518,G518,L518),2),IF(K518&lt;&gt;"",ROUND(PRODUCT(F518,G518,K518),2),ROUND(PRODUCT(F518:J518),2)))</f>
        <v>5.29</v>
      </c>
      <c r="N518" s="5"/>
    </row>
    <row r="519" spans="1:14" x14ac:dyDescent="0.3">
      <c r="A519" s="23" t="s">
        <v>821</v>
      </c>
      <c r="B519" s="70" t="s">
        <v>517</v>
      </c>
      <c r="C519" s="71"/>
      <c r="D519" s="71"/>
      <c r="E519" s="72"/>
      <c r="F519" s="5"/>
      <c r="G519" s="26">
        <v>1</v>
      </c>
      <c r="H519" s="5">
        <v>2.2999999999999998</v>
      </c>
      <c r="I519" s="5">
        <v>2.88</v>
      </c>
      <c r="J519" s="5"/>
      <c r="K519" s="5">
        <f>IF(COUNTA(H519:J519)=2,ROUND(PRODUCT(H519:J519),2),"")</f>
        <v>6.62</v>
      </c>
      <c r="L519" s="5" t="str">
        <f>IF(OR(AND(COUNTA(H519:J519)=3,K519=""),AND(COUNTA(H519:J519)=1,K519&lt;&gt;"")),ROUND(PRODUCT(H519:K519),2),"")</f>
        <v/>
      </c>
      <c r="M519" s="5">
        <f>IF(L519&lt;&gt;"",ROUND(PRODUCT(F519,G519,L519),2),IF(K519&lt;&gt;"",ROUND(PRODUCT(F519,G519,K519),2),ROUND(PRODUCT(F519:J519),2)))</f>
        <v>6.62</v>
      </c>
      <c r="N519" s="5"/>
    </row>
    <row r="520" spans="1:14" x14ac:dyDescent="0.3">
      <c r="A520" s="23" t="s">
        <v>822</v>
      </c>
      <c r="B520" s="70" t="s">
        <v>517</v>
      </c>
      <c r="C520" s="71"/>
      <c r="D520" s="71"/>
      <c r="E520" s="72"/>
      <c r="F520" s="5"/>
      <c r="G520" s="26">
        <v>2</v>
      </c>
      <c r="H520" s="5">
        <v>2.2999999999999998</v>
      </c>
      <c r="I520" s="5">
        <v>2.2999999999999998</v>
      </c>
      <c r="J520" s="5"/>
      <c r="K520" s="5">
        <f>IF(COUNTA(H520:J520)=2,ROUND(PRODUCT(H520:J520),2),"")</f>
        <v>5.29</v>
      </c>
      <c r="L520" s="5" t="str">
        <f>IF(OR(AND(COUNTA(H520:J520)=3,K520=""),AND(COUNTA(H520:J520)=1,K520&lt;&gt;"")),ROUND(PRODUCT(H520:K520),2),"")</f>
        <v/>
      </c>
      <c r="M520" s="5">
        <f>IF(L520&lt;&gt;"",ROUND(PRODUCT(F520,G520,L520),2),IF(K520&lt;&gt;"",ROUND(PRODUCT(F520,G520,K520),2),ROUND(PRODUCT(F520:J520),2)))</f>
        <v>10.58</v>
      </c>
      <c r="N520" s="5"/>
    </row>
    <row r="521" spans="1:14" x14ac:dyDescent="0.3">
      <c r="A521" s="23" t="s">
        <v>823</v>
      </c>
      <c r="B521" s="70" t="s">
        <v>517</v>
      </c>
      <c r="C521" s="71"/>
      <c r="D521" s="71"/>
      <c r="E521" s="72"/>
      <c r="F521" s="5"/>
      <c r="G521" s="26">
        <v>-3</v>
      </c>
      <c r="H521" s="5">
        <v>1</v>
      </c>
      <c r="I521" s="5">
        <v>0.5</v>
      </c>
      <c r="J521" s="5"/>
      <c r="K521" s="5">
        <f>IF(COUNTA(H521:J521)=2,ROUND(PRODUCT(H521:J521),2),"")</f>
        <v>0.5</v>
      </c>
      <c r="L521" s="5" t="str">
        <f>IF(OR(AND(COUNTA(H521:J521)=3,K521=""),AND(COUNTA(H521:J521)=1,K521&lt;&gt;"")),ROUND(PRODUCT(H521:K521),2),"")</f>
        <v/>
      </c>
      <c r="M521" s="5">
        <f>IF(L521&lt;&gt;"",ROUND(PRODUCT(F521,G521,L521),2),IF(K521&lt;&gt;"",ROUND(PRODUCT(F521,G521,K521),2),ROUND(PRODUCT(F521:J521),2)))</f>
        <v>-1.5</v>
      </c>
      <c r="N521" s="5"/>
    </row>
    <row r="522" spans="1:14" x14ac:dyDescent="0.3">
      <c r="A522" s="23" t="s">
        <v>824</v>
      </c>
      <c r="B522" s="70" t="s">
        <v>517</v>
      </c>
      <c r="C522" s="71"/>
      <c r="D522" s="71"/>
      <c r="E522" s="72"/>
      <c r="F522" s="5"/>
      <c r="G522" s="26">
        <v>-1</v>
      </c>
      <c r="H522" s="5">
        <v>0.8</v>
      </c>
      <c r="I522" s="5">
        <v>2.1</v>
      </c>
      <c r="J522" s="5"/>
      <c r="K522" s="5">
        <f>IF(COUNTA(H522:J522)=2,ROUND(PRODUCT(H522:J522),2),"")</f>
        <v>1.68</v>
      </c>
      <c r="L522" s="5" t="str">
        <f>IF(OR(AND(COUNTA(H522:J522)=3,K522=""),AND(COUNTA(H522:J522)=1,K522&lt;&gt;"")),ROUND(PRODUCT(H522:K522),2),"")</f>
        <v/>
      </c>
      <c r="M522" s="5">
        <f>IF(L522&lt;&gt;"",ROUND(PRODUCT(F522,G522,L522),2),IF(K522&lt;&gt;"",ROUND(PRODUCT(F522,G522,K522),2),ROUND(PRODUCT(F522:J522),2)))</f>
        <v>-1.68</v>
      </c>
      <c r="N522" s="5"/>
    </row>
    <row r="523" spans="1:14" ht="43.2" x14ac:dyDescent="0.3">
      <c r="A523" s="23" t="s">
        <v>367</v>
      </c>
      <c r="B523" s="23">
        <v>101161</v>
      </c>
      <c r="C523" s="23" t="str">
        <f>VLOOKUP(B523,CPU!$B:$J,2,FALSE)</f>
        <v>SINAPI</v>
      </c>
      <c r="D523" s="24" t="str">
        <f>VLOOKUP(B523,CPU!$B:$J,3,FALSE)</f>
        <v>ALVENARIA DE VEDAÇÃO COM ELEMENTO VAZADO DE CONCRETO (COBOGÓ) DE 7X50X50CM E ARGAMASSA DE ASSENTAMENTO COM PREPARO EM BETONEIRA. AF_05/2020</v>
      </c>
      <c r="E523" s="23" t="str">
        <f>VLOOKUP(B523,CPU!$B:$J,4,FALSE)</f>
        <v>M2</v>
      </c>
      <c r="F523" s="23"/>
      <c r="G523" s="23"/>
      <c r="H523" s="23"/>
      <c r="I523" s="23"/>
      <c r="J523" s="23"/>
      <c r="K523" s="23"/>
      <c r="L523" s="23"/>
      <c r="M523" s="23"/>
      <c r="N523" s="5">
        <f>SUM($M$524:$M$524)</f>
        <v>1.5</v>
      </c>
    </row>
    <row r="524" spans="1:14" x14ac:dyDescent="0.3">
      <c r="A524" s="23" t="s">
        <v>825</v>
      </c>
      <c r="B524" s="70" t="s">
        <v>517</v>
      </c>
      <c r="C524" s="71"/>
      <c r="D524" s="71"/>
      <c r="E524" s="72"/>
      <c r="F524" s="5"/>
      <c r="G524" s="26">
        <v>3</v>
      </c>
      <c r="H524" s="5">
        <v>1</v>
      </c>
      <c r="I524" s="5">
        <v>0.5</v>
      </c>
      <c r="J524" s="5"/>
      <c r="K524" s="5">
        <f>IF(COUNTA(H524:J524)=2,ROUND(PRODUCT(H524:J524),2),"")</f>
        <v>0.5</v>
      </c>
      <c r="L524" s="5" t="str">
        <f>IF(OR(AND(COUNTA(H524:J524)=3,K524=""),AND(COUNTA(H524:J524)=1,K524&lt;&gt;"")),ROUND(PRODUCT(H524:K524),2),"")</f>
        <v/>
      </c>
      <c r="M524" s="5">
        <f>IF(L524&lt;&gt;"",ROUND(PRODUCT(F524,G524,L524),2),IF(K524&lt;&gt;"",ROUND(PRODUCT(F524,G524,K524),2),ROUND(PRODUCT(F524:J524),2)))</f>
        <v>1.5</v>
      </c>
      <c r="N524" s="5"/>
    </row>
    <row r="525" spans="1:14" x14ac:dyDescent="0.3">
      <c r="A525" s="15" t="s">
        <v>97</v>
      </c>
      <c r="B525" s="48" t="s">
        <v>685</v>
      </c>
      <c r="C525" s="49"/>
      <c r="D525" s="49"/>
      <c r="E525" s="49"/>
      <c r="F525" s="49"/>
      <c r="G525" s="49"/>
      <c r="H525" s="49"/>
      <c r="I525" s="49"/>
      <c r="J525" s="49"/>
      <c r="K525" s="49"/>
      <c r="L525" s="49"/>
      <c r="M525" s="49"/>
      <c r="N525" s="50"/>
    </row>
    <row r="526" spans="1:14" ht="28.8" x14ac:dyDescent="0.3">
      <c r="A526" s="23" t="s">
        <v>368</v>
      </c>
      <c r="B526" s="23" t="s">
        <v>588</v>
      </c>
      <c r="C526" s="23" t="str">
        <f>VLOOKUP(B526,CPU!$B:$J,2,FALSE)</f>
        <v>PRÓPRIA</v>
      </c>
      <c r="D526" s="24" t="str">
        <f>VLOOKUP(B526,CPU!$B:$J,3,FALSE)</f>
        <v>TELHAMENTO COM TELHA CERÂMICA CAPA-CANAL, TIPO COLONIAL, COM ATÉ 2 ÁGUAS, INCLUSO TRANSPORTE VERTICAL</v>
      </c>
      <c r="E526" s="23" t="str">
        <f>VLOOKUP(B526,CPU!$B:$J,4,FALSE)</f>
        <v>M²</v>
      </c>
      <c r="F526" s="23"/>
      <c r="G526" s="23"/>
      <c r="H526" s="23"/>
      <c r="I526" s="23"/>
      <c r="J526" s="23"/>
      <c r="K526" s="23"/>
      <c r="L526" s="23"/>
      <c r="M526" s="23"/>
      <c r="N526" s="5">
        <f>SUM($M$527:$M$527)</f>
        <v>10.23</v>
      </c>
    </row>
    <row r="527" spans="1:14" x14ac:dyDescent="0.3">
      <c r="A527" s="23" t="s">
        <v>826</v>
      </c>
      <c r="B527" s="70" t="s">
        <v>517</v>
      </c>
      <c r="C527" s="71"/>
      <c r="D527" s="71"/>
      <c r="E527" s="72"/>
      <c r="F527" s="5"/>
      <c r="G527" s="26"/>
      <c r="H527" s="5">
        <v>3.1</v>
      </c>
      <c r="I527" s="5">
        <v>3.3</v>
      </c>
      <c r="J527" s="5"/>
      <c r="K527" s="5">
        <f>IF(COUNTA(H527:J527)=2,ROUND(PRODUCT(H527:J527),2),"")</f>
        <v>10.23</v>
      </c>
      <c r="L527" s="5" t="str">
        <f>IF(OR(AND(COUNTA(H527:J527)=3,K527=""),AND(COUNTA(H527:J527)=1,K527&lt;&gt;"")),ROUND(PRODUCT(H527:K527),2),"")</f>
        <v/>
      </c>
      <c r="M527" s="5">
        <f>IF(L527&lt;&gt;"",ROUND(PRODUCT(F527,G527,L527),2),IF(K527&lt;&gt;"",ROUND(PRODUCT(F527,G527,K527),2),ROUND(PRODUCT(F527:J527),2)))</f>
        <v>10.23</v>
      </c>
      <c r="N527" s="5"/>
    </row>
    <row r="528" spans="1:14" ht="28.8" x14ac:dyDescent="0.3">
      <c r="A528" s="23" t="s">
        <v>369</v>
      </c>
      <c r="B528" s="23" t="s">
        <v>590</v>
      </c>
      <c r="C528" s="23" t="str">
        <f>VLOOKUP(B528,CPU!$B:$J,2,FALSE)</f>
        <v>PRÓPRIA</v>
      </c>
      <c r="D528" s="24" t="str">
        <f>VLOOKUP(B528,CPU!$B:$J,3,FALSE)</f>
        <v>TRAMA DE MADEIRA COMPOSTA POR RIPAS, CAIBROS E TERÇAS PARA TELHADOS DE ATÉ 2 ÁGUAS PARA TELHA CERÂMICA CAPA-CANAL, INCLUSO TRANSPORTE VERTICAL</v>
      </c>
      <c r="E528" s="23" t="str">
        <f>VLOOKUP(B528,CPU!$B:$J,4,FALSE)</f>
        <v>M²</v>
      </c>
      <c r="F528" s="23"/>
      <c r="G528" s="23"/>
      <c r="H528" s="23"/>
      <c r="I528" s="23"/>
      <c r="J528" s="23"/>
      <c r="K528" s="23"/>
      <c r="L528" s="23"/>
      <c r="M528" s="23"/>
      <c r="N528" s="5">
        <f>SUM($M$529:$M$529)</f>
        <v>10.23</v>
      </c>
    </row>
    <row r="529" spans="1:14" x14ac:dyDescent="0.3">
      <c r="A529" s="23" t="s">
        <v>827</v>
      </c>
      <c r="B529" s="70" t="s">
        <v>517</v>
      </c>
      <c r="C529" s="71"/>
      <c r="D529" s="71"/>
      <c r="E529" s="72"/>
      <c r="F529" s="5"/>
      <c r="G529" s="26"/>
      <c r="H529" s="5">
        <v>3.1</v>
      </c>
      <c r="I529" s="5">
        <v>3.3</v>
      </c>
      <c r="J529" s="5"/>
      <c r="K529" s="5">
        <f>IF(COUNTA(H529:J529)=2,ROUND(PRODUCT(H529:J529),2),"")</f>
        <v>10.23</v>
      </c>
      <c r="L529" s="5" t="str">
        <f>IF(OR(AND(COUNTA(H529:J529)=3,K529=""),AND(COUNTA(H529:J529)=1,K529&lt;&gt;"")),ROUND(PRODUCT(H529:K529),2),"")</f>
        <v/>
      </c>
      <c r="M529" s="5">
        <f>IF(L529&lt;&gt;"",ROUND(PRODUCT(F529,G529,L529),2),IF(K529&lt;&gt;"",ROUND(PRODUCT(F529,G529,K529),2),ROUND(PRODUCT(F529:J529),2)))</f>
        <v>10.23</v>
      </c>
      <c r="N529" s="5"/>
    </row>
    <row r="530" spans="1:14" x14ac:dyDescent="0.3">
      <c r="A530" s="15" t="s">
        <v>98</v>
      </c>
      <c r="B530" s="48" t="s">
        <v>592</v>
      </c>
      <c r="C530" s="49"/>
      <c r="D530" s="49"/>
      <c r="E530" s="49"/>
      <c r="F530" s="49"/>
      <c r="G530" s="49"/>
      <c r="H530" s="49"/>
      <c r="I530" s="49"/>
      <c r="J530" s="49"/>
      <c r="K530" s="49"/>
      <c r="L530" s="49"/>
      <c r="M530" s="49"/>
      <c r="N530" s="50"/>
    </row>
    <row r="531" spans="1:14" ht="28.8" x14ac:dyDescent="0.3">
      <c r="A531" s="23" t="s">
        <v>370</v>
      </c>
      <c r="B531" s="23">
        <v>96617</v>
      </c>
      <c r="C531" s="23" t="str">
        <f>VLOOKUP(B531,CPU!$B:$J,2,FALSE)</f>
        <v>SINAPI</v>
      </c>
      <c r="D531" s="24" t="str">
        <f>VLOOKUP(B531,CPU!$B:$J,3,FALSE)</f>
        <v>LASTRO DE CONCRETO MAGRO, APLICADO EM BLOCOS DE COROAMENTO OU SAPATAS, ESPESSURA DE 3 CM. AF_01/2024</v>
      </c>
      <c r="E531" s="23" t="str">
        <f>VLOOKUP(B531,CPU!$B:$J,4,FALSE)</f>
        <v>M2</v>
      </c>
      <c r="F531" s="23"/>
      <c r="G531" s="23"/>
      <c r="H531" s="23"/>
      <c r="I531" s="23"/>
      <c r="J531" s="23"/>
      <c r="K531" s="23"/>
      <c r="L531" s="23"/>
      <c r="M531" s="23"/>
      <c r="N531" s="5">
        <f>SUM($M$532:$M$532)</f>
        <v>4</v>
      </c>
    </row>
    <row r="532" spans="1:14" x14ac:dyDescent="0.3">
      <c r="A532" s="23" t="s">
        <v>828</v>
      </c>
      <c r="B532" s="70" t="s">
        <v>517</v>
      </c>
      <c r="C532" s="71"/>
      <c r="D532" s="71"/>
      <c r="E532" s="72"/>
      <c r="F532" s="5"/>
      <c r="G532" s="26"/>
      <c r="H532" s="5">
        <v>2</v>
      </c>
      <c r="I532" s="5">
        <v>2</v>
      </c>
      <c r="J532" s="5"/>
      <c r="K532" s="5">
        <f>IF(COUNTA(H532:J532)=2,ROUND(PRODUCT(H532:J532),2),"")</f>
        <v>4</v>
      </c>
      <c r="L532" s="5" t="str">
        <f>IF(OR(AND(COUNTA(H532:J532)=3,K532=""),AND(COUNTA(H532:J532)=1,K532&lt;&gt;"")),ROUND(PRODUCT(H532:K532),2),"")</f>
        <v/>
      </c>
      <c r="M532" s="5">
        <f>IF(L532&lt;&gt;"",ROUND(PRODUCT(F532,G532,L532),2),IF(K532&lt;&gt;"",ROUND(PRODUCT(F532,G532,K532),2),ROUND(PRODUCT(F532:J532),2)))</f>
        <v>4</v>
      </c>
      <c r="N532" s="5"/>
    </row>
    <row r="533" spans="1:14" ht="28.8" x14ac:dyDescent="0.3">
      <c r="A533" s="23" t="s">
        <v>371</v>
      </c>
      <c r="B533" s="23">
        <v>101749</v>
      </c>
      <c r="C533" s="23" t="str">
        <f>VLOOKUP(B533,CPU!$B:$J,2,FALSE)</f>
        <v>SINAPI</v>
      </c>
      <c r="D533" s="24" t="str">
        <f>VLOOKUP(B533,CPU!$B:$J,3,FALSE)</f>
        <v>PISO CIMENTADO, TRAÇO 1:3 (CIMENTO E AREIA), ACABAMENTO LISO, ESPESSURA 4,0 CM, PREPARO MECÂNICO DA ARGAMASSA. AF_09/2020</v>
      </c>
      <c r="E533" s="23" t="str">
        <f>VLOOKUP(B533,CPU!$B:$J,4,FALSE)</f>
        <v>M2</v>
      </c>
      <c r="F533" s="23"/>
      <c r="G533" s="23"/>
      <c r="H533" s="23"/>
      <c r="I533" s="23"/>
      <c r="J533" s="23"/>
      <c r="K533" s="23"/>
      <c r="L533" s="23"/>
      <c r="M533" s="23"/>
      <c r="N533" s="5">
        <f>SUM($M$534:$M$534)</f>
        <v>4</v>
      </c>
    </row>
    <row r="534" spans="1:14" x14ac:dyDescent="0.3">
      <c r="A534" s="23" t="s">
        <v>829</v>
      </c>
      <c r="B534" s="70" t="s">
        <v>517</v>
      </c>
      <c r="C534" s="71"/>
      <c r="D534" s="71"/>
      <c r="E534" s="72"/>
      <c r="F534" s="5"/>
      <c r="G534" s="26"/>
      <c r="H534" s="5">
        <v>2</v>
      </c>
      <c r="I534" s="5">
        <v>2</v>
      </c>
      <c r="J534" s="5"/>
      <c r="K534" s="5">
        <f>IF(COUNTA(H534:J534)=2,ROUND(PRODUCT(H534:J534),2),"")</f>
        <v>4</v>
      </c>
      <c r="L534" s="5" t="str">
        <f>IF(OR(AND(COUNTA(H534:J534)=3,K534=""),AND(COUNTA(H534:J534)=1,K534&lt;&gt;"")),ROUND(PRODUCT(H534:K534),2),"")</f>
        <v/>
      </c>
      <c r="M534" s="5">
        <f>IF(L534&lt;&gt;"",ROUND(PRODUCT(F534,G534,L534),2),IF(K534&lt;&gt;"",ROUND(PRODUCT(F534,G534,K534),2),ROUND(PRODUCT(F534:J534),2)))</f>
        <v>4</v>
      </c>
      <c r="N534" s="5"/>
    </row>
    <row r="535" spans="1:14" ht="43.2" x14ac:dyDescent="0.3">
      <c r="A535" s="23" t="s">
        <v>372</v>
      </c>
      <c r="B535" s="23">
        <v>94994</v>
      </c>
      <c r="C535" s="23" t="str">
        <f>VLOOKUP(B535,CPU!$B:$J,2,FALSE)</f>
        <v>SINAPI</v>
      </c>
      <c r="D535" s="24" t="str">
        <f>VLOOKUP(B535,CPU!$B:$J,3,FALSE)</f>
        <v>EXECUÇÃO DE PASSEIO (CALÇADA) OU PISO DE CONCRETO COM CONCRETO MOLDADO IN LOCO, FEITO EM OBRA, ACABAMENTO CONVENCIONAL, ESPESSURA 8 CM, ARMADO. AF_08/2022</v>
      </c>
      <c r="E535" s="23" t="str">
        <f>VLOOKUP(B535,CPU!$B:$J,4,FALSE)</f>
        <v>M2</v>
      </c>
      <c r="F535" s="23"/>
      <c r="G535" s="23"/>
      <c r="H535" s="23"/>
      <c r="I535" s="23"/>
      <c r="J535" s="23"/>
      <c r="K535" s="23"/>
      <c r="L535" s="23"/>
      <c r="M535" s="23"/>
      <c r="N535" s="5">
        <f>SUM($M$536:$M$537)</f>
        <v>5.6</v>
      </c>
    </row>
    <row r="536" spans="1:14" x14ac:dyDescent="0.3">
      <c r="A536" s="23" t="s">
        <v>830</v>
      </c>
      <c r="B536" s="70" t="s">
        <v>517</v>
      </c>
      <c r="C536" s="71"/>
      <c r="D536" s="71"/>
      <c r="E536" s="72"/>
      <c r="F536" s="5"/>
      <c r="G536" s="26">
        <v>2</v>
      </c>
      <c r="H536" s="5">
        <v>3.3</v>
      </c>
      <c r="I536" s="5">
        <v>0.5</v>
      </c>
      <c r="J536" s="5"/>
      <c r="K536" s="5">
        <f>IF(COUNTA(H536:J536)=2,ROUND(PRODUCT(H536:J536),2),"")</f>
        <v>1.65</v>
      </c>
      <c r="L536" s="5" t="str">
        <f>IF(OR(AND(COUNTA(H536:J536)=3,K536=""),AND(COUNTA(H536:J536)=1,K536&lt;&gt;"")),ROUND(PRODUCT(H536:K536),2),"")</f>
        <v/>
      </c>
      <c r="M536" s="5">
        <f>IF(L536&lt;&gt;"",ROUND(PRODUCT(F536,G536,L536),2),IF(K536&lt;&gt;"",ROUND(PRODUCT(F536,G536,K536),2),ROUND(PRODUCT(F536:J536),2)))</f>
        <v>3.3</v>
      </c>
      <c r="N536" s="5"/>
    </row>
    <row r="537" spans="1:14" x14ac:dyDescent="0.3">
      <c r="A537" s="23" t="s">
        <v>831</v>
      </c>
      <c r="B537" s="70" t="s">
        <v>517</v>
      </c>
      <c r="C537" s="71"/>
      <c r="D537" s="71"/>
      <c r="E537" s="72"/>
      <c r="F537" s="5"/>
      <c r="G537" s="26">
        <v>2</v>
      </c>
      <c r="H537" s="5">
        <v>2.2999999999999998</v>
      </c>
      <c r="I537" s="5">
        <v>0.5</v>
      </c>
      <c r="J537" s="5"/>
      <c r="K537" s="5">
        <f>IF(COUNTA(H537:J537)=2,ROUND(PRODUCT(H537:J537),2),"")</f>
        <v>1.1499999999999999</v>
      </c>
      <c r="L537" s="5" t="str">
        <f>IF(OR(AND(COUNTA(H537:J537)=3,K537=""),AND(COUNTA(H537:J537)=1,K537&lt;&gt;"")),ROUND(PRODUCT(H537:K537),2),"")</f>
        <v/>
      </c>
      <c r="M537" s="5">
        <f>IF(L537&lt;&gt;"",ROUND(PRODUCT(F537,G537,L537),2),IF(K537&lt;&gt;"",ROUND(PRODUCT(F537,G537,K537),2),ROUND(PRODUCT(F537:J537),2)))</f>
        <v>2.2999999999999998</v>
      </c>
      <c r="N537" s="5"/>
    </row>
    <row r="538" spans="1:14" x14ac:dyDescent="0.3">
      <c r="A538" s="15" t="s">
        <v>99</v>
      </c>
      <c r="B538" s="48" t="s">
        <v>597</v>
      </c>
      <c r="C538" s="49"/>
      <c r="D538" s="49"/>
      <c r="E538" s="49"/>
      <c r="F538" s="49"/>
      <c r="G538" s="49"/>
      <c r="H538" s="49"/>
      <c r="I538" s="49"/>
      <c r="J538" s="49"/>
      <c r="K538" s="49"/>
      <c r="L538" s="49"/>
      <c r="M538" s="49"/>
      <c r="N538" s="50"/>
    </row>
    <row r="539" spans="1:14" ht="43.2" x14ac:dyDescent="0.3">
      <c r="A539" s="23" t="s">
        <v>373</v>
      </c>
      <c r="B539" s="23">
        <v>87904</v>
      </c>
      <c r="C539" s="23" t="str">
        <f>VLOOKUP(B539,CPU!$B:$J,2,FALSE)</f>
        <v>SINAPI</v>
      </c>
      <c r="D539" s="24" t="str">
        <f>VLOOKUP(B539,CPU!$B:$J,3,FALSE)</f>
        <v>CHAPISCO APLICADO EM ALVENARIA (COM PRESENÇA DE VÃOS) E ESTRUTURAS DE CONCRETO DE FACHADA, COM COLHER DE PEDREIRO. ARGAMASSA TRAÇO 1:3 COM PREPARO MANUAL. AF_10/2022</v>
      </c>
      <c r="E539" s="23" t="str">
        <f>VLOOKUP(B539,CPU!$B:$J,4,FALSE)</f>
        <v>M2</v>
      </c>
      <c r="F539" s="23"/>
      <c r="G539" s="23"/>
      <c r="H539" s="23"/>
      <c r="I539" s="23"/>
      <c r="J539" s="23"/>
      <c r="K539" s="23"/>
      <c r="L539" s="23"/>
      <c r="M539" s="23"/>
      <c r="N539" s="5">
        <f>SUM($M$540:$M$540)</f>
        <v>38.619999999999997</v>
      </c>
    </row>
    <row r="540" spans="1:14" x14ac:dyDescent="0.3">
      <c r="A540" s="23" t="s">
        <v>832</v>
      </c>
      <c r="B540" s="70" t="s">
        <v>599</v>
      </c>
      <c r="C540" s="71"/>
      <c r="D540" s="71"/>
      <c r="E540" s="72"/>
      <c r="F540" s="5"/>
      <c r="G540" s="26">
        <v>2</v>
      </c>
      <c r="H540" s="5"/>
      <c r="I540" s="5"/>
      <c r="J540" s="5"/>
      <c r="K540" s="5">
        <v>19.309999999999999</v>
      </c>
      <c r="L540" s="5" t="str">
        <f>IF(OR(AND(COUNTA(H540:J540)=3,K540=""),AND(COUNTA(H540:J540)=1,K540&lt;&gt;"")),ROUND(PRODUCT(H540:K540),2),"")</f>
        <v/>
      </c>
      <c r="M540" s="5">
        <f>IF(L540&lt;&gt;"",ROUND(PRODUCT(F540,G540,L540),2),IF(K540&lt;&gt;"",ROUND(PRODUCT(F540,G540,K540),2),ROUND(PRODUCT(F540:J540),2)))</f>
        <v>38.619999999999997</v>
      </c>
      <c r="N540" s="5"/>
    </row>
    <row r="541" spans="1:14" ht="43.2" x14ac:dyDescent="0.3">
      <c r="A541" s="23" t="s">
        <v>374</v>
      </c>
      <c r="B541" s="23">
        <v>87530</v>
      </c>
      <c r="C541" s="23" t="str">
        <f>VLOOKUP(B541,CPU!$B:$J,2,FALSE)</f>
        <v>SINAPI</v>
      </c>
      <c r="D541" s="24" t="str">
        <f>VLOOKUP(B541,CPU!$B:$J,3,FALSE)</f>
        <v>MASSA ÚNICA, EM ARGAMASSA TRAÇO 1:2:8, PREPARO MANUAL, APLICADA MANUALMENTE EM PAREDES INTERNAS DE AMBIENTES COM ÁREA ENTRE 5M² E 10M², E = 17,5MM, COM TALISCAS. AF_03/2024</v>
      </c>
      <c r="E541" s="23" t="str">
        <f>VLOOKUP(B541,CPU!$B:$J,4,FALSE)</f>
        <v>M2</v>
      </c>
      <c r="F541" s="23"/>
      <c r="G541" s="23"/>
      <c r="H541" s="23"/>
      <c r="I541" s="23"/>
      <c r="J541" s="23"/>
      <c r="K541" s="23"/>
      <c r="L541" s="23"/>
      <c r="M541" s="23"/>
      <c r="N541" s="5">
        <f>SUM($M$542:$M$542)</f>
        <v>38.619999999999997</v>
      </c>
    </row>
    <row r="542" spans="1:14" x14ac:dyDescent="0.3">
      <c r="A542" s="23" t="s">
        <v>833</v>
      </c>
      <c r="B542" s="70" t="s">
        <v>599</v>
      </c>
      <c r="C542" s="71"/>
      <c r="D542" s="71"/>
      <c r="E542" s="72"/>
      <c r="F542" s="5"/>
      <c r="G542" s="26">
        <v>2</v>
      </c>
      <c r="H542" s="5"/>
      <c r="I542" s="5"/>
      <c r="J542" s="5"/>
      <c r="K542" s="5">
        <v>19.309999999999999</v>
      </c>
      <c r="L542" s="5" t="str">
        <f>IF(OR(AND(COUNTA(H542:J542)=3,K542=""),AND(COUNTA(H542:J542)=1,K542&lt;&gt;"")),ROUND(PRODUCT(H542:K542),2),"")</f>
        <v/>
      </c>
      <c r="M542" s="5">
        <f>IF(L542&lt;&gt;"",ROUND(PRODUCT(F542,G542,L542),2),IF(K542&lt;&gt;"",ROUND(PRODUCT(F542,G542,K542),2),ROUND(PRODUCT(F542:J542),2)))</f>
        <v>38.619999999999997</v>
      </c>
      <c r="N542" s="5"/>
    </row>
    <row r="543" spans="1:14" x14ac:dyDescent="0.3">
      <c r="A543" s="15" t="s">
        <v>100</v>
      </c>
      <c r="B543" s="48" t="s">
        <v>601</v>
      </c>
      <c r="C543" s="49"/>
      <c r="D543" s="49"/>
      <c r="E543" s="49"/>
      <c r="F543" s="49"/>
      <c r="G543" s="49"/>
      <c r="H543" s="49"/>
      <c r="I543" s="49"/>
      <c r="J543" s="49"/>
      <c r="K543" s="49"/>
      <c r="L543" s="49"/>
      <c r="M543" s="49"/>
      <c r="N543" s="50"/>
    </row>
    <row r="544" spans="1:14" x14ac:dyDescent="0.3">
      <c r="A544" s="23" t="s">
        <v>375</v>
      </c>
      <c r="B544" s="23">
        <v>100701</v>
      </c>
      <c r="C544" s="23" t="str">
        <f>VLOOKUP(B544,CPU!$B:$J,2,FALSE)</f>
        <v>SINAPI</v>
      </c>
      <c r="D544" s="24" t="str">
        <f>VLOOKUP(B544,CPU!$B:$J,3,FALSE)</f>
        <v>PORTA DE FERRO, DE ABRIR, TIPO GRADE COM CHAPA, COM GUARNIÇÕES. AF_12/2019</v>
      </c>
      <c r="E544" s="23" t="str">
        <f>VLOOKUP(B544,CPU!$B:$J,4,FALSE)</f>
        <v>M2</v>
      </c>
      <c r="F544" s="23"/>
      <c r="G544" s="23"/>
      <c r="H544" s="23"/>
      <c r="I544" s="23"/>
      <c r="J544" s="23"/>
      <c r="K544" s="23"/>
      <c r="L544" s="23"/>
      <c r="M544" s="23"/>
      <c r="N544" s="5">
        <f>SUM($M$545:$M$545)</f>
        <v>1.68</v>
      </c>
    </row>
    <row r="545" spans="1:14" x14ac:dyDescent="0.3">
      <c r="A545" s="23" t="s">
        <v>834</v>
      </c>
      <c r="B545" s="70" t="s">
        <v>517</v>
      </c>
      <c r="C545" s="71"/>
      <c r="D545" s="71"/>
      <c r="E545" s="72"/>
      <c r="F545" s="5"/>
      <c r="G545" s="26">
        <v>1</v>
      </c>
      <c r="H545" s="5"/>
      <c r="I545" s="5">
        <v>0.8</v>
      </c>
      <c r="J545" s="5">
        <v>2.1</v>
      </c>
      <c r="K545" s="5">
        <f>IF(COUNTA(H545:J545)=2,ROUND(PRODUCT(H545:J545),2),"")</f>
        <v>1.68</v>
      </c>
      <c r="L545" s="5" t="str">
        <f>IF(OR(AND(COUNTA(H545:J545)=3,K545=""),AND(COUNTA(H545:J545)=1,K545&lt;&gt;"")),ROUND(PRODUCT(H545:K545),2),"")</f>
        <v/>
      </c>
      <c r="M545" s="5">
        <f>IF(L545&lt;&gt;"",ROUND(PRODUCT(F545,G545,L545),2),IF(K545&lt;&gt;"",ROUND(PRODUCT(F545,G545,K545),2),ROUND(PRODUCT(F545:J545),2)))</f>
        <v>1.68</v>
      </c>
      <c r="N545" s="5"/>
    </row>
    <row r="546" spans="1:14" x14ac:dyDescent="0.3">
      <c r="A546" s="23" t="s">
        <v>376</v>
      </c>
      <c r="B546" s="23" t="s">
        <v>603</v>
      </c>
      <c r="C546" s="23" t="str">
        <f>VLOOKUP(B546,CPU!$B:$J,2,FALSE)</f>
        <v>PRÓPRIA</v>
      </c>
      <c r="D546" s="24" t="str">
        <f>VLOOKUP(B546,CPU!$B:$J,3,FALSE)</f>
        <v>PORTÃO DE FERRO EM BARRA CHATA TIPO TIJOLINHO (REF: C1999-SEINFRA 28)</v>
      </c>
      <c r="E546" s="23" t="str">
        <f>VLOOKUP(B546,CPU!$B:$J,4,FALSE)</f>
        <v>M2</v>
      </c>
      <c r="F546" s="23"/>
      <c r="G546" s="23"/>
      <c r="H546" s="23"/>
      <c r="I546" s="23"/>
      <c r="J546" s="23"/>
      <c r="K546" s="23"/>
      <c r="L546" s="23"/>
      <c r="M546" s="23"/>
      <c r="N546" s="5">
        <f>SUM($M$547:$M$547)</f>
        <v>6</v>
      </c>
    </row>
    <row r="547" spans="1:14" x14ac:dyDescent="0.3">
      <c r="A547" s="23" t="s">
        <v>835</v>
      </c>
      <c r="B547" s="70" t="s">
        <v>517</v>
      </c>
      <c r="C547" s="71"/>
      <c r="D547" s="71"/>
      <c r="E547" s="72"/>
      <c r="F547" s="5"/>
      <c r="G547" s="26"/>
      <c r="H547" s="5"/>
      <c r="I547" s="5">
        <v>3</v>
      </c>
      <c r="J547" s="5">
        <v>2</v>
      </c>
      <c r="K547" s="5">
        <f>IF(COUNTA(H547:J547)=2,ROUND(PRODUCT(H547:J547),2),"")</f>
        <v>6</v>
      </c>
      <c r="L547" s="5" t="str">
        <f>IF(OR(AND(COUNTA(H547:J547)=3,K547=""),AND(COUNTA(H547:J547)=1,K547&lt;&gt;"")),ROUND(PRODUCT(H547:K547),2),"")</f>
        <v/>
      </c>
      <c r="M547" s="5">
        <f>IF(L547&lt;&gt;"",ROUND(PRODUCT(F547,G547,L547),2),IF(K547&lt;&gt;"",ROUND(PRODUCT(F547,G547,K547),2),ROUND(PRODUCT(F547:J547),2)))</f>
        <v>6</v>
      </c>
      <c r="N547" s="5"/>
    </row>
    <row r="548" spans="1:14" x14ac:dyDescent="0.3">
      <c r="A548" s="15" t="s">
        <v>101</v>
      </c>
      <c r="B548" s="48" t="s">
        <v>605</v>
      </c>
      <c r="C548" s="49"/>
      <c r="D548" s="49"/>
      <c r="E548" s="49"/>
      <c r="F548" s="49"/>
      <c r="G548" s="49"/>
      <c r="H548" s="49"/>
      <c r="I548" s="49"/>
      <c r="J548" s="49"/>
      <c r="K548" s="49"/>
      <c r="L548" s="49"/>
      <c r="M548" s="49"/>
      <c r="N548" s="50"/>
    </row>
    <row r="549" spans="1:14" x14ac:dyDescent="0.3">
      <c r="A549" s="23" t="s">
        <v>377</v>
      </c>
      <c r="B549" s="23" t="s">
        <v>606</v>
      </c>
      <c r="C549" s="23" t="str">
        <f>VLOOKUP(B549,CPU!$B:$J,2,FALSE)</f>
        <v>PRÓPRIA</v>
      </c>
      <c r="D549" s="24" t="str">
        <f>VLOOKUP(B549,CPU!$B:$J,3,FALSE)</f>
        <v>CAIAÇÃO EM TRES DEMÃOS EM PAREDES (REF: C0589-SEINFRA 28)</v>
      </c>
      <c r="E549" s="23" t="str">
        <f>VLOOKUP(B549,CPU!$B:$J,4,FALSE)</f>
        <v>M2</v>
      </c>
      <c r="F549" s="23"/>
      <c r="G549" s="23"/>
      <c r="H549" s="23"/>
      <c r="I549" s="23"/>
      <c r="J549" s="23"/>
      <c r="K549" s="23"/>
      <c r="L549" s="23"/>
      <c r="M549" s="23"/>
      <c r="N549" s="5">
        <f>SUM($M$550:$M$550)</f>
        <v>38.619999999999997</v>
      </c>
    </row>
    <row r="550" spans="1:14" x14ac:dyDescent="0.3">
      <c r="A550" s="23" t="s">
        <v>836</v>
      </c>
      <c r="B550" s="70" t="s">
        <v>599</v>
      </c>
      <c r="C550" s="71"/>
      <c r="D550" s="71"/>
      <c r="E550" s="72"/>
      <c r="F550" s="5"/>
      <c r="G550" s="26">
        <v>2</v>
      </c>
      <c r="H550" s="5"/>
      <c r="I550" s="5"/>
      <c r="J550" s="5"/>
      <c r="K550" s="5">
        <v>19.309999999999999</v>
      </c>
      <c r="L550" s="5" t="str">
        <f>IF(OR(AND(COUNTA(H550:J550)=3,K550=""),AND(COUNTA(H550:J550)=1,K550&lt;&gt;"")),ROUND(PRODUCT(H550:K550),2),"")</f>
        <v/>
      </c>
      <c r="M550" s="5">
        <f>IF(L550&lt;&gt;"",ROUND(PRODUCT(F550,G550,L550),2),IF(K550&lt;&gt;"",ROUND(PRODUCT(F550,G550,K550),2),ROUND(PRODUCT(F550:J550),2)))</f>
        <v>38.619999999999997</v>
      </c>
      <c r="N550" s="5"/>
    </row>
    <row r="551" spans="1:14" ht="43.2" x14ac:dyDescent="0.3">
      <c r="A551" s="23" t="s">
        <v>378</v>
      </c>
      <c r="B551" s="23">
        <v>100758</v>
      </c>
      <c r="C551" s="23" t="str">
        <f>VLOOKUP(B551,CPU!$B:$J,2,FALSE)</f>
        <v>SINAPI</v>
      </c>
      <c r="D551" s="24" t="str">
        <f>VLOOKUP(B551,CPU!$B:$J,3,FALSE)</f>
        <v>PINTURA COM TINTA ALQUÍDICA DE ACABAMENTO (ESMALTE SINTÉTICO ACETINADO) APLICADA A ROLO OU PINCEL SOBRE SUPERFÍCIES METÁLICAS (EXCETO PERFIL) EXECUTADO EM OBRA (02 DEMÃOS). AF_01/2020</v>
      </c>
      <c r="E551" s="23" t="str">
        <f>VLOOKUP(B551,CPU!$B:$J,4,FALSE)</f>
        <v>M2</v>
      </c>
      <c r="F551" s="23"/>
      <c r="G551" s="23"/>
      <c r="H551" s="23"/>
      <c r="I551" s="23"/>
      <c r="J551" s="23"/>
      <c r="K551" s="23"/>
      <c r="L551" s="23"/>
      <c r="M551" s="23"/>
      <c r="N551" s="5">
        <f>SUM($M$552:$M$552)</f>
        <v>3.36</v>
      </c>
    </row>
    <row r="552" spans="1:14" x14ac:dyDescent="0.3">
      <c r="A552" s="23" t="s">
        <v>837</v>
      </c>
      <c r="B552" s="70" t="s">
        <v>609</v>
      </c>
      <c r="C552" s="71"/>
      <c r="D552" s="71"/>
      <c r="E552" s="72"/>
      <c r="F552" s="5"/>
      <c r="G552" s="26">
        <v>2</v>
      </c>
      <c r="H552" s="5"/>
      <c r="I552" s="5">
        <v>0.8</v>
      </c>
      <c r="J552" s="5">
        <v>2.1</v>
      </c>
      <c r="K552" s="5">
        <f>IF(COUNTA(H552:J552)=2,ROUND(PRODUCT(H552:J552),2),"")</f>
        <v>1.68</v>
      </c>
      <c r="L552" s="5" t="str">
        <f>IF(OR(AND(COUNTA(H552:J552)=3,K552=""),AND(COUNTA(H552:J552)=1,K552&lt;&gt;"")),ROUND(PRODUCT(H552:K552),2),"")</f>
        <v/>
      </c>
      <c r="M552" s="5">
        <f>IF(L552&lt;&gt;"",ROUND(PRODUCT(F552,G552,L552),2),IF(K552&lt;&gt;"",ROUND(PRODUCT(F552,G552,K552),2),ROUND(PRODUCT(F552:J552),2)))</f>
        <v>3.36</v>
      </c>
      <c r="N552" s="5"/>
    </row>
    <row r="553" spans="1:14" x14ac:dyDescent="0.3">
      <c r="A553" s="15" t="s">
        <v>102</v>
      </c>
      <c r="B553" s="48" t="s">
        <v>610</v>
      </c>
      <c r="C553" s="49"/>
      <c r="D553" s="49"/>
      <c r="E553" s="49"/>
      <c r="F553" s="49"/>
      <c r="G553" s="49"/>
      <c r="H553" s="49"/>
      <c r="I553" s="49"/>
      <c r="J553" s="49"/>
      <c r="K553" s="49"/>
      <c r="L553" s="49"/>
      <c r="M553" s="49"/>
      <c r="N553" s="50"/>
    </row>
    <row r="554" spans="1:14" ht="43.2" x14ac:dyDescent="0.3">
      <c r="A554" s="23" t="s">
        <v>379</v>
      </c>
      <c r="B554" s="23">
        <v>101197</v>
      </c>
      <c r="C554" s="23" t="str">
        <f>VLOOKUP(B554,CPU!$B:$J,2,FALSE)</f>
        <v>SINAPI</v>
      </c>
      <c r="D554" s="24" t="str">
        <f>VLOOKUP(B554,CPU!$B:$J,3,FALSE)</f>
        <v>CERCA COM MOURÕES DE CONCRETO, SEÇÃO "T" PONTA INCLINADA, 10X10 CM, ESPAÇAMENTO DE 2,5 M, CRAVADOS 0,5 M, COM 11 FIOS DE ARAME FARPADO Nº 14 - FORNECIMENTO E INSTALAÇÃO. AF_05/2020</v>
      </c>
      <c r="E554" s="23" t="str">
        <f>VLOOKUP(B554,CPU!$B:$J,4,FALSE)</f>
        <v>M</v>
      </c>
      <c r="F554" s="23"/>
      <c r="G554" s="23"/>
      <c r="H554" s="23"/>
      <c r="I554" s="23"/>
      <c r="J554" s="23"/>
      <c r="K554" s="23"/>
      <c r="L554" s="23"/>
      <c r="M554" s="23"/>
      <c r="N554" s="5">
        <f>SUM($M$555:$M$556)</f>
        <v>37</v>
      </c>
    </row>
    <row r="555" spans="1:14" x14ac:dyDescent="0.3">
      <c r="A555" s="23" t="s">
        <v>838</v>
      </c>
      <c r="B555" s="70" t="s">
        <v>517</v>
      </c>
      <c r="C555" s="71"/>
      <c r="D555" s="71"/>
      <c r="E555" s="72"/>
      <c r="F555" s="5"/>
      <c r="G555" s="26">
        <v>4</v>
      </c>
      <c r="H555" s="5">
        <v>10</v>
      </c>
      <c r="I555" s="5"/>
      <c r="J555" s="5"/>
      <c r="K555" s="5" t="str">
        <f>IF(COUNTA(H555:J555)=2,ROUND(PRODUCT(H555:J555),2),"")</f>
        <v/>
      </c>
      <c r="L555" s="5" t="str">
        <f>IF(OR(AND(COUNTA(H555:J555)=3,K555=""),AND(COUNTA(H555:J555)=1,K555&lt;&gt;"")),ROUND(PRODUCT(H555:K555),2),"")</f>
        <v/>
      </c>
      <c r="M555" s="5">
        <f>IF(L555&lt;&gt;"",ROUND(PRODUCT(F555,G555,L555),2),IF(K555&lt;&gt;"",ROUND(PRODUCT(F555,G555,K555),2),ROUND(PRODUCT(F555:J555),2)))</f>
        <v>40</v>
      </c>
      <c r="N555" s="5"/>
    </row>
    <row r="556" spans="1:14" x14ac:dyDescent="0.3">
      <c r="A556" s="23" t="s">
        <v>839</v>
      </c>
      <c r="B556" s="70" t="s">
        <v>613</v>
      </c>
      <c r="C556" s="71"/>
      <c r="D556" s="71"/>
      <c r="E556" s="72"/>
      <c r="F556" s="5"/>
      <c r="G556" s="26">
        <v>-1</v>
      </c>
      <c r="H556" s="5">
        <v>3</v>
      </c>
      <c r="I556" s="5"/>
      <c r="J556" s="5"/>
      <c r="K556" s="5" t="str">
        <f>IF(COUNTA(H556:J556)=2,ROUND(PRODUCT(H556:J556),2),"")</f>
        <v/>
      </c>
      <c r="L556" s="5" t="str">
        <f>IF(OR(AND(COUNTA(H556:J556)=3,K556=""),AND(COUNTA(H556:J556)=1,K556&lt;&gt;"")),ROUND(PRODUCT(H556:K556),2),"")</f>
        <v/>
      </c>
      <c r="M556" s="5">
        <f>IF(L556&lt;&gt;"",ROUND(PRODUCT(F556,G556,L556),2),IF(K556&lt;&gt;"",ROUND(PRODUCT(F556,G556,K556),2),ROUND(PRODUCT(F556:J556),2)))</f>
        <v>-3</v>
      </c>
      <c r="N556" s="5"/>
    </row>
    <row r="557" spans="1:14" x14ac:dyDescent="0.3">
      <c r="A557" s="12" t="s">
        <v>103</v>
      </c>
      <c r="B557" s="51" t="s">
        <v>614</v>
      </c>
      <c r="C557" s="52"/>
      <c r="D557" s="52"/>
      <c r="E557" s="52"/>
      <c r="F557" s="52"/>
      <c r="G557" s="52"/>
      <c r="H557" s="52"/>
      <c r="I557" s="52"/>
      <c r="J557" s="52"/>
      <c r="K557" s="52"/>
      <c r="L557" s="52"/>
      <c r="M557" s="52"/>
      <c r="N557" s="53"/>
    </row>
    <row r="558" spans="1:14" ht="43.2" x14ac:dyDescent="0.3">
      <c r="A558" s="23" t="s">
        <v>380</v>
      </c>
      <c r="B558" s="23" t="s">
        <v>615</v>
      </c>
      <c r="C558" s="23" t="str">
        <f>VLOOKUP(B558,CPU!$B:$J,2,FALSE)</f>
        <v>PRÓPRIA</v>
      </c>
      <c r="D558" s="24" t="str">
        <f>VLOOKUP(B558,CPU!$B:$J,3,FALSE)</f>
        <v>FORNECIMENTO E INSTALAÇÃO DE KIT DE BOMBEAMENTO SOLAR P/ POÇO COM PROFUNDIDADE DE 100 A 120 M, INCLUSO BOMBA 3CV, INVERSOR, PAINÉIS, QUADRO DE COMANDO, DISJUNTORES, CABOS E CONEXÕES E ESTRUTURA TIPO SOLO</v>
      </c>
      <c r="E558" s="23" t="str">
        <f>VLOOKUP(B558,CPU!$B:$J,4,FALSE)</f>
        <v>UND</v>
      </c>
      <c r="F558" s="23"/>
      <c r="G558" s="23"/>
      <c r="H558" s="23"/>
      <c r="I558" s="23"/>
      <c r="J558" s="23"/>
      <c r="K558" s="23"/>
      <c r="L558" s="23"/>
      <c r="M558" s="23"/>
      <c r="N558" s="5">
        <f>SUM($M$559:$M$559)</f>
        <v>1</v>
      </c>
    </row>
    <row r="559" spans="1:14" x14ac:dyDescent="0.3">
      <c r="A559" s="23" t="s">
        <v>840</v>
      </c>
      <c r="B559" s="70" t="s">
        <v>517</v>
      </c>
      <c r="C559" s="71"/>
      <c r="D559" s="71"/>
      <c r="E559" s="72"/>
      <c r="F559" s="5">
        <v>1</v>
      </c>
      <c r="G559" s="26"/>
      <c r="H559" s="5"/>
      <c r="I559" s="5"/>
      <c r="J559" s="5"/>
      <c r="K559" s="5" t="str">
        <f>IF(COUNTA(H559:J559)=2,ROUND(PRODUCT(H559:J559),2),"")</f>
        <v/>
      </c>
      <c r="L559" s="5" t="str">
        <f>IF(OR(AND(COUNTA(H559:J559)=3,K559=""),AND(COUNTA(H559:J559)=1,K559&lt;&gt;"")),ROUND(PRODUCT(H559:K559),2),"")</f>
        <v/>
      </c>
      <c r="M559" s="5">
        <f>IF(L559&lt;&gt;"",ROUND(PRODUCT(F559,G559,L559),2),IF(K559&lt;&gt;"",ROUND(PRODUCT(F559,G559,K559),2),ROUND(PRODUCT(F559:J559),2)))</f>
        <v>1</v>
      </c>
      <c r="N559" s="5"/>
    </row>
    <row r="560" spans="1:14" x14ac:dyDescent="0.3">
      <c r="A560" s="23" t="s">
        <v>381</v>
      </c>
      <c r="B560" s="23" t="s">
        <v>617</v>
      </c>
      <c r="C560" s="23" t="str">
        <f>VLOOKUP(B560,CPU!$B:$J,2,FALSE)</f>
        <v>PRÓPRIA</v>
      </c>
      <c r="D560" s="24" t="str">
        <f>VLOOKUP(B560,CPU!$B:$J,3,FALSE)</f>
        <v>FORNECIMENTO E INSTALAÇÃO DE CABO CHATO SUBMERSO DE 3 X 6 MM²</v>
      </c>
      <c r="E560" s="23" t="str">
        <f>VLOOKUP(B560,CPU!$B:$J,4,FALSE)</f>
        <v>M</v>
      </c>
      <c r="F560" s="23"/>
      <c r="G560" s="23"/>
      <c r="H560" s="23"/>
      <c r="I560" s="23"/>
      <c r="J560" s="23"/>
      <c r="K560" s="23"/>
      <c r="L560" s="23"/>
      <c r="M560" s="23"/>
      <c r="N560" s="5">
        <f>SUM($M$561:$M$561)</f>
        <v>100</v>
      </c>
    </row>
    <row r="561" spans="1:14" x14ac:dyDescent="0.3">
      <c r="A561" s="23" t="s">
        <v>841</v>
      </c>
      <c r="B561" s="70" t="s">
        <v>517</v>
      </c>
      <c r="C561" s="71"/>
      <c r="D561" s="71"/>
      <c r="E561" s="72"/>
      <c r="F561" s="5">
        <v>100</v>
      </c>
      <c r="G561" s="26"/>
      <c r="H561" s="5"/>
      <c r="I561" s="5"/>
      <c r="J561" s="5"/>
      <c r="K561" s="5" t="str">
        <f>IF(COUNTA(H561:J561)=2,ROUND(PRODUCT(H561:J561),2),"")</f>
        <v/>
      </c>
      <c r="L561" s="5" t="str">
        <f>IF(OR(AND(COUNTA(H561:J561)=3,K561=""),AND(COUNTA(H561:J561)=1,K561&lt;&gt;"")),ROUND(PRODUCT(H561:K561),2),"")</f>
        <v/>
      </c>
      <c r="M561" s="5">
        <f>IF(L561&lt;&gt;"",ROUND(PRODUCT(F561,G561,L561),2),IF(K561&lt;&gt;"",ROUND(PRODUCT(F561,G561,K561),2),ROUND(PRODUCT(F561:J561),2)))</f>
        <v>100</v>
      </c>
      <c r="N561" s="5"/>
    </row>
    <row r="562" spans="1:14" x14ac:dyDescent="0.3">
      <c r="A562" s="12" t="s">
        <v>104</v>
      </c>
      <c r="B562" s="51" t="s">
        <v>619</v>
      </c>
      <c r="C562" s="52"/>
      <c r="D562" s="52"/>
      <c r="E562" s="52"/>
      <c r="F562" s="52"/>
      <c r="G562" s="52"/>
      <c r="H562" s="52"/>
      <c r="I562" s="52"/>
      <c r="J562" s="52"/>
      <c r="K562" s="52"/>
      <c r="L562" s="52"/>
      <c r="M562" s="52"/>
      <c r="N562" s="53"/>
    </row>
    <row r="563" spans="1:14" x14ac:dyDescent="0.3">
      <c r="A563" s="15" t="s">
        <v>105</v>
      </c>
      <c r="B563" s="48" t="s">
        <v>563</v>
      </c>
      <c r="C563" s="49"/>
      <c r="D563" s="49"/>
      <c r="E563" s="49"/>
      <c r="F563" s="49"/>
      <c r="G563" s="49"/>
      <c r="H563" s="49"/>
      <c r="I563" s="49"/>
      <c r="J563" s="49"/>
      <c r="K563" s="49"/>
      <c r="L563" s="49"/>
      <c r="M563" s="49"/>
      <c r="N563" s="50"/>
    </row>
    <row r="564" spans="1:14" x14ac:dyDescent="0.3">
      <c r="A564" s="23" t="s">
        <v>382</v>
      </c>
      <c r="B564" s="23">
        <v>93358</v>
      </c>
      <c r="C564" s="23" t="str">
        <f>VLOOKUP(B564,CPU!$B:$J,2,FALSE)</f>
        <v>SINAPI</v>
      </c>
      <c r="D564" s="24" t="str">
        <f>VLOOKUP(B564,CPU!$B:$J,3,FALSE)</f>
        <v>ESCAVAÇÃO MANUAL DE VALA. AF_09/2024</v>
      </c>
      <c r="E564" s="23" t="str">
        <f>VLOOKUP(B564,CPU!$B:$J,4,FALSE)</f>
        <v>M3</v>
      </c>
      <c r="F564" s="23"/>
      <c r="G564" s="23"/>
      <c r="H564" s="23"/>
      <c r="I564" s="23"/>
      <c r="J564" s="23"/>
      <c r="K564" s="23"/>
      <c r="L564" s="23"/>
      <c r="M564" s="23"/>
      <c r="N564" s="5">
        <f>SUM($M$565:$M$565)</f>
        <v>3.23</v>
      </c>
    </row>
    <row r="565" spans="1:14" x14ac:dyDescent="0.3">
      <c r="A565" s="23" t="s">
        <v>842</v>
      </c>
      <c r="B565" s="70" t="s">
        <v>517</v>
      </c>
      <c r="C565" s="71"/>
      <c r="D565" s="71"/>
      <c r="E565" s="72"/>
      <c r="F565" s="5"/>
      <c r="G565" s="26"/>
      <c r="H565" s="5">
        <v>3.6</v>
      </c>
      <c r="I565" s="5">
        <v>0.7</v>
      </c>
      <c r="J565" s="5">
        <v>1.28</v>
      </c>
      <c r="K565" s="5" t="str">
        <f>IF(COUNTA(H565:J565)=2,ROUND(PRODUCT(H565:J565),2),"")</f>
        <v/>
      </c>
      <c r="L565" s="5">
        <f>IF(OR(AND(COUNTA(H565:J565)=3,K565=""),AND(COUNTA(H565:J565)=1,K565&lt;&gt;"")),ROUND(PRODUCT(H565:K565),2),"")</f>
        <v>3.23</v>
      </c>
      <c r="M565" s="5">
        <f>IF(L565&lt;&gt;"",ROUND(PRODUCT(F565,G565,L565),2),IF(K565&lt;&gt;"",ROUND(PRODUCT(F565,G565,K565),2),ROUND(PRODUCT(F565:J565),2)))</f>
        <v>3.23</v>
      </c>
      <c r="N565" s="5"/>
    </row>
    <row r="566" spans="1:14" x14ac:dyDescent="0.3">
      <c r="A566" s="23" t="s">
        <v>383</v>
      </c>
      <c r="B566" s="23" t="s">
        <v>621</v>
      </c>
      <c r="C566" s="23" t="str">
        <f>VLOOKUP(B566,CPU!$B:$J,2,FALSE)</f>
        <v>PRÓPRIA</v>
      </c>
      <c r="D566" s="24" t="str">
        <f>VLOOKUP(B566,CPU!$B:$J,3,FALSE)</f>
        <v>REATERRO DE VALA COM COMPACTAÇÃO MANUAL</v>
      </c>
      <c r="E566" s="23" t="str">
        <f>VLOOKUP(B566,CPU!$B:$J,4,FALSE)</f>
        <v>M³</v>
      </c>
      <c r="F566" s="23"/>
      <c r="G566" s="23"/>
      <c r="H566" s="23"/>
      <c r="I566" s="23"/>
      <c r="J566" s="23"/>
      <c r="K566" s="23"/>
      <c r="L566" s="23"/>
      <c r="M566" s="23"/>
      <c r="N566" s="5">
        <f>SUM($M$567:$M$567)</f>
        <v>3.23</v>
      </c>
    </row>
    <row r="567" spans="1:14" x14ac:dyDescent="0.3">
      <c r="A567" s="23" t="s">
        <v>843</v>
      </c>
      <c r="B567" s="70" t="s">
        <v>517</v>
      </c>
      <c r="C567" s="71"/>
      <c r="D567" s="71"/>
      <c r="E567" s="72"/>
      <c r="F567" s="5"/>
      <c r="G567" s="26"/>
      <c r="H567" s="5">
        <v>3.6</v>
      </c>
      <c r="I567" s="5">
        <v>0.7</v>
      </c>
      <c r="J567" s="5">
        <v>1.28</v>
      </c>
      <c r="K567" s="5" t="str">
        <f>IF(COUNTA(H567:J567)=2,ROUND(PRODUCT(H567:J567),2),"")</f>
        <v/>
      </c>
      <c r="L567" s="5">
        <f>IF(OR(AND(COUNTA(H567:J567)=3,K567=""),AND(COUNTA(H567:J567)=1,K567&lt;&gt;"")),ROUND(PRODUCT(H567:K567),2),"")</f>
        <v>3.23</v>
      </c>
      <c r="M567" s="5">
        <f>IF(L567&lt;&gt;"",ROUND(PRODUCT(F567,G567,L567),2),IF(K567&lt;&gt;"",ROUND(PRODUCT(F567,G567,K567),2),ROUND(PRODUCT(F567:J567),2)))</f>
        <v>3.23</v>
      </c>
      <c r="N567" s="5"/>
    </row>
    <row r="568" spans="1:14" x14ac:dyDescent="0.3">
      <c r="A568" s="15" t="s">
        <v>106</v>
      </c>
      <c r="B568" s="48" t="s">
        <v>566</v>
      </c>
      <c r="C568" s="49"/>
      <c r="D568" s="49"/>
      <c r="E568" s="49"/>
      <c r="F568" s="49"/>
      <c r="G568" s="49"/>
      <c r="H568" s="49"/>
      <c r="I568" s="49"/>
      <c r="J568" s="49"/>
      <c r="K568" s="49"/>
      <c r="L568" s="49"/>
      <c r="M568" s="49"/>
      <c r="N568" s="50"/>
    </row>
    <row r="569" spans="1:14" x14ac:dyDescent="0.3">
      <c r="A569" s="23" t="s">
        <v>384</v>
      </c>
      <c r="B569" s="23" t="s">
        <v>623</v>
      </c>
      <c r="C569" s="23" t="str">
        <f>VLOOKUP(B569,CPU!$B:$J,2,FALSE)</f>
        <v>PRÓPRIA</v>
      </c>
      <c r="D569" s="24" t="str">
        <f>VLOOKUP(B569,CPU!$B:$J,3,FALSE)</f>
        <v>BLOCO DE ANCORAGEM EM CONCRETO SIMPLES FCK=10MPA (REF: C3403-SEINFRA 28)</v>
      </c>
      <c r="E569" s="23" t="str">
        <f>VLOOKUP(B569,CPU!$B:$J,4,FALSE)</f>
        <v>M3</v>
      </c>
      <c r="F569" s="23"/>
      <c r="G569" s="23"/>
      <c r="H569" s="23"/>
      <c r="I569" s="23"/>
      <c r="J569" s="23"/>
      <c r="K569" s="23"/>
      <c r="L569" s="23"/>
      <c r="M569" s="23"/>
      <c r="N569" s="5">
        <f>SUM($M$570:$M$570)</f>
        <v>0.26</v>
      </c>
    </row>
    <row r="570" spans="1:14" x14ac:dyDescent="0.3">
      <c r="A570" s="23" t="s">
        <v>844</v>
      </c>
      <c r="B570" s="70" t="s">
        <v>517</v>
      </c>
      <c r="C570" s="71"/>
      <c r="D570" s="71"/>
      <c r="E570" s="72"/>
      <c r="F570" s="5"/>
      <c r="G570" s="26">
        <v>2</v>
      </c>
      <c r="H570" s="5">
        <v>0.5</v>
      </c>
      <c r="I570" s="5">
        <v>0.5</v>
      </c>
      <c r="J570" s="5">
        <v>0.5</v>
      </c>
      <c r="K570" s="5" t="str">
        <f>IF(COUNTA(H570:J570)=2,ROUND(PRODUCT(H570:J570),2),"")</f>
        <v/>
      </c>
      <c r="L570" s="5">
        <f>IF(OR(AND(COUNTA(H570:J570)=3,K570=""),AND(COUNTA(H570:J570)=1,K570&lt;&gt;"")),ROUND(PRODUCT(H570:K570),2),"")</f>
        <v>0.13</v>
      </c>
      <c r="M570" s="5">
        <f>IF(L570&lt;&gt;"",ROUND(PRODUCT(F570,G570,L570),2),IF(K570&lt;&gt;"",ROUND(PRODUCT(F570,G570,K570),2),ROUND(PRODUCT(F570:J570),2)))</f>
        <v>0.26</v>
      </c>
      <c r="N570" s="5"/>
    </row>
    <row r="571" spans="1:14" x14ac:dyDescent="0.3">
      <c r="A571" s="15" t="s">
        <v>107</v>
      </c>
      <c r="B571" s="48" t="s">
        <v>625</v>
      </c>
      <c r="C571" s="49"/>
      <c r="D571" s="49"/>
      <c r="E571" s="49"/>
      <c r="F571" s="49"/>
      <c r="G571" s="49"/>
      <c r="H571" s="49"/>
      <c r="I571" s="49"/>
      <c r="J571" s="49"/>
      <c r="K571" s="49"/>
      <c r="L571" s="49"/>
      <c r="M571" s="49"/>
      <c r="N571" s="50"/>
    </row>
    <row r="572" spans="1:14" ht="28.8" x14ac:dyDescent="0.3">
      <c r="A572" s="23" t="s">
        <v>385</v>
      </c>
      <c r="B572" s="23">
        <v>94498</v>
      </c>
      <c r="C572" s="23" t="str">
        <f>VLOOKUP(B572,CPU!$B:$J,2,FALSE)</f>
        <v>SINAPI</v>
      </c>
      <c r="D572" s="24" t="str">
        <f>VLOOKUP(B572,CPU!$B:$J,3,FALSE)</f>
        <v>REGISTRO DE GAVETA BRUTO, LATÃO, ROSCÁVEL, 2" - FORNECIMENTO E INSTALAÇÃO. AF_08/2021</v>
      </c>
      <c r="E572" s="23" t="str">
        <f>VLOOKUP(B572,CPU!$B:$J,4,FALSE)</f>
        <v>UN</v>
      </c>
      <c r="F572" s="23"/>
      <c r="G572" s="23"/>
      <c r="H572" s="23"/>
      <c r="I572" s="23"/>
      <c r="J572" s="23"/>
      <c r="K572" s="23"/>
      <c r="L572" s="23"/>
      <c r="M572" s="23"/>
      <c r="N572" s="5">
        <f>SUM($M$573:$M$573)</f>
        <v>1</v>
      </c>
    </row>
    <row r="573" spans="1:14" x14ac:dyDescent="0.3">
      <c r="A573" s="23" t="s">
        <v>845</v>
      </c>
      <c r="B573" s="70" t="s">
        <v>517</v>
      </c>
      <c r="C573" s="71"/>
      <c r="D573" s="71"/>
      <c r="E573" s="72"/>
      <c r="F573" s="5">
        <v>1</v>
      </c>
      <c r="G573" s="26"/>
      <c r="H573" s="5"/>
      <c r="I573" s="5"/>
      <c r="J573" s="5"/>
      <c r="K573" s="5" t="str">
        <f>IF(COUNTA(H573:J573)=2,ROUND(PRODUCT(H573:J573),2),"")</f>
        <v/>
      </c>
      <c r="L573" s="5" t="str">
        <f>IF(OR(AND(COUNTA(H573:J573)=3,K573=""),AND(COUNTA(H573:J573)=1,K573&lt;&gt;"")),ROUND(PRODUCT(H573:K573),2),"")</f>
        <v/>
      </c>
      <c r="M573" s="5">
        <f>IF(L573&lt;&gt;"",ROUND(PRODUCT(F573,G573,L573),2),IF(K573&lt;&gt;"",ROUND(PRODUCT(F573,G573,K573),2),ROUND(PRODUCT(F573:J573),2)))</f>
        <v>1</v>
      </c>
      <c r="N573" s="5"/>
    </row>
    <row r="574" spans="1:14" ht="28.8" x14ac:dyDescent="0.3">
      <c r="A574" s="23" t="s">
        <v>386</v>
      </c>
      <c r="B574" s="23" t="s">
        <v>627</v>
      </c>
      <c r="C574" s="23" t="str">
        <f>VLOOKUP(B574,CPU!$B:$J,2,FALSE)</f>
        <v>PRÓPRIA</v>
      </c>
      <c r="D574" s="24" t="str">
        <f>VLOOKUP(B574,CPU!$B:$J,3,FALSE)</f>
        <v>AQUISIÇÃO E ASSENTAMENTO DE TUBO RÍGIDO PVC, CLASSE 12, DN 50 MM, INCLUSO CONEXÕES</v>
      </c>
      <c r="E574" s="23" t="str">
        <f>VLOOKUP(B574,CPU!$B:$J,4,FALSE)</f>
        <v>M</v>
      </c>
      <c r="F574" s="23"/>
      <c r="G574" s="23"/>
      <c r="H574" s="23"/>
      <c r="I574" s="23"/>
      <c r="J574" s="23"/>
      <c r="K574" s="23"/>
      <c r="L574" s="23"/>
      <c r="M574" s="23"/>
      <c r="N574" s="5">
        <f>SUM($M$575:$M$575)</f>
        <v>16</v>
      </c>
    </row>
    <row r="575" spans="1:14" x14ac:dyDescent="0.3">
      <c r="A575" s="23" t="s">
        <v>846</v>
      </c>
      <c r="B575" s="70" t="s">
        <v>517</v>
      </c>
      <c r="C575" s="71"/>
      <c r="D575" s="71"/>
      <c r="E575" s="72"/>
      <c r="F575" s="5">
        <v>16</v>
      </c>
      <c r="G575" s="26"/>
      <c r="H575" s="5"/>
      <c r="I575" s="5"/>
      <c r="J575" s="5"/>
      <c r="K575" s="5" t="str">
        <f>IF(COUNTA(H575:J575)=2,ROUND(PRODUCT(H575:J575),2),"")</f>
        <v/>
      </c>
      <c r="L575" s="5" t="str">
        <f>IF(OR(AND(COUNTA(H575:J575)=3,K575=""),AND(COUNTA(H575:J575)=1,K575&lt;&gt;"")),ROUND(PRODUCT(H575:K575),2),"")</f>
        <v/>
      </c>
      <c r="M575" s="5">
        <f>IF(L575&lt;&gt;"",ROUND(PRODUCT(F575,G575,L575),2),IF(K575&lt;&gt;"",ROUND(PRODUCT(F575,G575,K575),2),ROUND(PRODUCT(F575:J575),2)))</f>
        <v>16</v>
      </c>
      <c r="N575" s="5"/>
    </row>
    <row r="576" spans="1:14" x14ac:dyDescent="0.3">
      <c r="A576" s="12" t="s">
        <v>108</v>
      </c>
      <c r="B576" s="51" t="s">
        <v>629</v>
      </c>
      <c r="C576" s="52"/>
      <c r="D576" s="52"/>
      <c r="E576" s="52"/>
      <c r="F576" s="52"/>
      <c r="G576" s="52"/>
      <c r="H576" s="52"/>
      <c r="I576" s="52"/>
      <c r="J576" s="52"/>
      <c r="K576" s="52"/>
      <c r="L576" s="52"/>
      <c r="M576" s="52"/>
      <c r="N576" s="53"/>
    </row>
    <row r="577" spans="1:14" ht="72" x14ac:dyDescent="0.3">
      <c r="A577" s="23" t="s">
        <v>387</v>
      </c>
      <c r="B577" s="23" t="s">
        <v>847</v>
      </c>
      <c r="C577" s="23" t="str">
        <f>VLOOKUP(B577,CPU!$B:$J,2,FALSE)</f>
        <v>PRÓPRIA</v>
      </c>
      <c r="D577" s="24" t="str">
        <f>VLOOKUP(B577,CPU!$B:$J,3,FALSE)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577" s="23" t="str">
        <f>VLOOKUP(B577,CPU!$B:$J,4,FALSE)</f>
        <v>UND</v>
      </c>
      <c r="F577" s="23"/>
      <c r="G577" s="23"/>
      <c r="H577" s="23"/>
      <c r="I577" s="23"/>
      <c r="J577" s="23"/>
      <c r="K577" s="23"/>
      <c r="L577" s="23"/>
      <c r="M577" s="23"/>
      <c r="N577" s="5">
        <f>SUM($M$578:$M$578)</f>
        <v>1</v>
      </c>
    </row>
    <row r="578" spans="1:14" x14ac:dyDescent="0.3">
      <c r="A578" s="23" t="s">
        <v>848</v>
      </c>
      <c r="B578" s="70" t="s">
        <v>517</v>
      </c>
      <c r="C578" s="71"/>
      <c r="D578" s="71"/>
      <c r="E578" s="72"/>
      <c r="F578" s="5">
        <v>1</v>
      </c>
      <c r="G578" s="26"/>
      <c r="H578" s="5"/>
      <c r="I578" s="5"/>
      <c r="J578" s="5"/>
      <c r="K578" s="5" t="str">
        <f>IF(COUNTA(H578:J578)=2,ROUND(PRODUCT(H578:J578),2),"")</f>
        <v/>
      </c>
      <c r="L578" s="5" t="str">
        <f>IF(OR(AND(COUNTA(H578:J578)=3,K578=""),AND(COUNTA(H578:J578)=1,K578&lt;&gt;"")),ROUND(PRODUCT(H578:K578),2),"")</f>
        <v/>
      </c>
      <c r="M578" s="5">
        <f>IF(L578&lt;&gt;"",ROUND(PRODUCT(F578,G578,L578),2),IF(K578&lt;&gt;"",ROUND(PRODUCT(F578,G578,K578),2),ROUND(PRODUCT(F578:J578),2)))</f>
        <v>1</v>
      </c>
      <c r="N578" s="5"/>
    </row>
    <row r="579" spans="1:14" ht="28.8" x14ac:dyDescent="0.3">
      <c r="A579" s="23" t="s">
        <v>388</v>
      </c>
      <c r="B579" s="23">
        <v>94498</v>
      </c>
      <c r="C579" s="23" t="str">
        <f>VLOOKUP(B579,CPU!$B:$J,2,FALSE)</f>
        <v>SINAPI</v>
      </c>
      <c r="D579" s="24" t="str">
        <f>VLOOKUP(B579,CPU!$B:$J,3,FALSE)</f>
        <v>REGISTRO DE GAVETA BRUTO, LATÃO, ROSCÁVEL, 2" - FORNECIMENTO E INSTALAÇÃO. AF_08/2021</v>
      </c>
      <c r="E579" s="23" t="str">
        <f>VLOOKUP(B579,CPU!$B:$J,4,FALSE)</f>
        <v>UN</v>
      </c>
      <c r="F579" s="23"/>
      <c r="G579" s="23"/>
      <c r="H579" s="23"/>
      <c r="I579" s="23"/>
      <c r="J579" s="23"/>
      <c r="K579" s="23"/>
      <c r="L579" s="23"/>
      <c r="M579" s="23"/>
      <c r="N579" s="5">
        <f>SUM($M$580:$M$580)</f>
        <v>2</v>
      </c>
    </row>
    <row r="580" spans="1:14" x14ac:dyDescent="0.3">
      <c r="A580" s="23" t="s">
        <v>849</v>
      </c>
      <c r="B580" s="70" t="s">
        <v>517</v>
      </c>
      <c r="C580" s="71"/>
      <c r="D580" s="71"/>
      <c r="E580" s="72"/>
      <c r="F580" s="5">
        <v>2</v>
      </c>
      <c r="G580" s="26"/>
      <c r="H580" s="5"/>
      <c r="I580" s="5"/>
      <c r="J580" s="5"/>
      <c r="K580" s="5" t="str">
        <f>IF(COUNTA(H580:J580)=2,ROUND(PRODUCT(H580:J580),2),"")</f>
        <v/>
      </c>
      <c r="L580" s="5" t="str">
        <f>IF(OR(AND(COUNTA(H580:J580)=3,K580=""),AND(COUNTA(H580:J580)=1,K580&lt;&gt;"")),ROUND(PRODUCT(H580:K580),2),"")</f>
        <v/>
      </c>
      <c r="M580" s="5">
        <f>IF(L580&lt;&gt;"",ROUND(PRODUCT(F580,G580,L580),2),IF(K580&lt;&gt;"",ROUND(PRODUCT(F580,G580,K580),2),ROUND(PRODUCT(F580:J580),2)))</f>
        <v>2</v>
      </c>
      <c r="N580" s="5"/>
    </row>
    <row r="581" spans="1:14" ht="28.8" x14ac:dyDescent="0.3">
      <c r="A581" s="23" t="s">
        <v>389</v>
      </c>
      <c r="B581" s="23" t="s">
        <v>640</v>
      </c>
      <c r="C581" s="23" t="str">
        <f>VLOOKUP(B581,CPU!$B:$J,2,FALSE)</f>
        <v>PRÓPRIA</v>
      </c>
      <c r="D581" s="24" t="str">
        <f>VLOOKUP(B581,CPU!$B:$J,3,FALSE)</f>
        <v>AQUISIÇÃO E ASSENTAMENTO DE TUBO RÍGIDO PVC, CLASSE 12, DN 60 MM, INCLUSO CONEXÕES</v>
      </c>
      <c r="E581" s="23" t="str">
        <f>VLOOKUP(B581,CPU!$B:$J,4,FALSE)</f>
        <v>M</v>
      </c>
      <c r="F581" s="23"/>
      <c r="G581" s="23"/>
      <c r="H581" s="23"/>
      <c r="I581" s="23"/>
      <c r="J581" s="23"/>
      <c r="K581" s="23"/>
      <c r="L581" s="23"/>
      <c r="M581" s="23"/>
      <c r="N581" s="5">
        <f>SUM($M$582:$M$582)</f>
        <v>20</v>
      </c>
    </row>
    <row r="582" spans="1:14" x14ac:dyDescent="0.3">
      <c r="A582" s="23" t="s">
        <v>850</v>
      </c>
      <c r="B582" s="70" t="s">
        <v>1618</v>
      </c>
      <c r="C582" s="71"/>
      <c r="D582" s="71"/>
      <c r="E582" s="72"/>
      <c r="F582" s="5">
        <v>20</v>
      </c>
      <c r="G582" s="26"/>
      <c r="H582" s="5"/>
      <c r="I582" s="5"/>
      <c r="J582" s="5"/>
      <c r="K582" s="5" t="str">
        <f>IF(COUNTA(H582:J582)=2,ROUND(PRODUCT(H582:J582),2),"")</f>
        <v/>
      </c>
      <c r="L582" s="5" t="str">
        <f>IF(OR(AND(COUNTA(H582:J582)=3,K582=""),AND(COUNTA(H582:J582)=1,K582&lt;&gt;"")),ROUND(PRODUCT(H582:K582),2),"")</f>
        <v/>
      </c>
      <c r="M582" s="5">
        <f>IF(L582&lt;&gt;"",ROUND(PRODUCT(F582,G582,L582),2),IF(K582&lt;&gt;"",ROUND(PRODUCT(F582,G582,K582),2),ROUND(PRODUCT(F582:J582),2)))</f>
        <v>20</v>
      </c>
      <c r="N582" s="5"/>
    </row>
    <row r="583" spans="1:14" x14ac:dyDescent="0.3">
      <c r="A583" s="12" t="s">
        <v>109</v>
      </c>
      <c r="B583" s="51" t="s">
        <v>634</v>
      </c>
      <c r="C583" s="52"/>
      <c r="D583" s="52"/>
      <c r="E583" s="52"/>
      <c r="F583" s="52"/>
      <c r="G583" s="52"/>
      <c r="H583" s="52"/>
      <c r="I583" s="52"/>
      <c r="J583" s="52"/>
      <c r="K583" s="52"/>
      <c r="L583" s="52"/>
      <c r="M583" s="52"/>
      <c r="N583" s="53"/>
    </row>
    <row r="584" spans="1:14" x14ac:dyDescent="0.3">
      <c r="A584" s="15" t="s">
        <v>110</v>
      </c>
      <c r="B584" s="48" t="s">
        <v>563</v>
      </c>
      <c r="C584" s="49"/>
      <c r="D584" s="49"/>
      <c r="E584" s="49"/>
      <c r="F584" s="49"/>
      <c r="G584" s="49"/>
      <c r="H584" s="49"/>
      <c r="I584" s="49"/>
      <c r="J584" s="49"/>
      <c r="K584" s="49"/>
      <c r="L584" s="49"/>
      <c r="M584" s="49"/>
      <c r="N584" s="50"/>
    </row>
    <row r="585" spans="1:14" ht="57.6" x14ac:dyDescent="0.3">
      <c r="A585" s="23" t="s">
        <v>390</v>
      </c>
      <c r="B585" s="23">
        <v>102314</v>
      </c>
      <c r="C585" s="23" t="str">
        <f>VLOOKUP(B585,CPU!$B:$J,2,FALSE)</f>
        <v>SINAPI</v>
      </c>
      <c r="D585" s="24" t="str">
        <f>VLOOKUP(B585,CPU!$B:$J,3,FALSE)</f>
        <v>ESCAVAÇÃO MECANIZADA DE VALA COM PROF. ATÉ 1,5 M (MÉDIA MONTANTE E JUSANTE/UMA COMPOSIÇÃO POR TRECHO),COM ESCAVADEIRA (0,8 M3), LARG. MENOR QUE 1,5 M, EM SOLO DE 2A CATEGORIA, LOCAIS COM BAIXO NÍVEL DE INTERFERÊNCIA. AF_09/2024</v>
      </c>
      <c r="E585" s="23" t="str">
        <f>VLOOKUP(B585,CPU!$B:$J,4,FALSE)</f>
        <v>M3</v>
      </c>
      <c r="F585" s="23"/>
      <c r="G585" s="23"/>
      <c r="H585" s="23"/>
      <c r="I585" s="23"/>
      <c r="J585" s="23"/>
      <c r="K585" s="23"/>
      <c r="L585" s="23"/>
      <c r="M585" s="23"/>
      <c r="N585" s="5">
        <f>SUM($M$586:$M$587)</f>
        <v>180.48</v>
      </c>
    </row>
    <row r="586" spans="1:14" x14ac:dyDescent="0.3">
      <c r="A586" s="23" t="s">
        <v>851</v>
      </c>
      <c r="B586" s="70" t="s">
        <v>517</v>
      </c>
      <c r="C586" s="71"/>
      <c r="D586" s="71"/>
      <c r="E586" s="72"/>
      <c r="F586" s="5"/>
      <c r="G586" s="26"/>
      <c r="H586" s="5">
        <v>432.3</v>
      </c>
      <c r="I586" s="5">
        <v>0.5</v>
      </c>
      <c r="J586" s="5">
        <v>0.8</v>
      </c>
      <c r="K586" s="5" t="str">
        <f>IF(COUNTA(H586:J586)=2,ROUND(PRODUCT(H586:J586),2),"")</f>
        <v/>
      </c>
      <c r="L586" s="5">
        <f>IF(OR(AND(COUNTA(H586:J586)=3,K586=""),AND(COUNTA(H586:J586)=1,K586&lt;&gt;"")),ROUND(PRODUCT(H586:K586),2),"")</f>
        <v>172.92</v>
      </c>
      <c r="M586" s="5">
        <f>IF(L586&lt;&gt;"",ROUND(PRODUCT(F586,G586,L586),2),IF(K586&lt;&gt;"",ROUND(PRODUCT(F586,G586,K586),2),ROUND(PRODUCT(F586:J586),2)))</f>
        <v>172.92</v>
      </c>
      <c r="N586" s="5"/>
    </row>
    <row r="587" spans="1:14" x14ac:dyDescent="0.3">
      <c r="A587" s="23" t="s">
        <v>852</v>
      </c>
      <c r="B587" s="70" t="s">
        <v>517</v>
      </c>
      <c r="C587" s="71"/>
      <c r="D587" s="71"/>
      <c r="E587" s="72"/>
      <c r="F587" s="5"/>
      <c r="G587" s="26">
        <v>9</v>
      </c>
      <c r="H587" s="5">
        <v>7</v>
      </c>
      <c r="I587" s="5">
        <v>0.3</v>
      </c>
      <c r="J587" s="5">
        <v>0.4</v>
      </c>
      <c r="K587" s="5" t="str">
        <f>IF(COUNTA(H587:J587)=2,ROUND(PRODUCT(H587:J587),2),"")</f>
        <v/>
      </c>
      <c r="L587" s="5">
        <f>IF(OR(AND(COUNTA(H587:J587)=3,K587=""),AND(COUNTA(H587:J587)=1,K587&lt;&gt;"")),ROUND(PRODUCT(H587:K587),2),"")</f>
        <v>0.84</v>
      </c>
      <c r="M587" s="5">
        <f>IF(L587&lt;&gt;"",ROUND(PRODUCT(F587,G587,L587),2),IF(K587&lt;&gt;"",ROUND(PRODUCT(F587,G587,K587),2),ROUND(PRODUCT(F587:J587),2)))</f>
        <v>7.56</v>
      </c>
      <c r="N587" s="5"/>
    </row>
    <row r="588" spans="1:14" ht="57.6" x14ac:dyDescent="0.3">
      <c r="A588" s="23" t="s">
        <v>391</v>
      </c>
      <c r="B588" s="23" t="s">
        <v>637</v>
      </c>
      <c r="C588" s="23" t="str">
        <f>VLOOKUP(B588,CPU!$B:$J,2,FALSE)</f>
        <v>PRÓPRIA</v>
      </c>
      <c r="D588" s="24" t="str">
        <f>VLOOKUP(B588,CPU!$B:$J,3,FALSE)</f>
        <v>REATERRO MECANIZADO DE VALA COM RETROESCAVADEIRA (CAPACIDADE DA CAÇAMBA DA RETRO: 0,26 M³/POTÊNCIA: 88 HP), LARGURA ATÉ 0,8 M, PROFUNDIDADE ATÉ 1,5 M, COM SOLO (SEM SUBSTITUIÇÃO) DE 1ª CATEGORIA. AF_08/2023 (REF: 104733-SINAPI-05/2025)</v>
      </c>
      <c r="E588" s="23" t="str">
        <f>VLOOKUP(B588,CPU!$B:$J,4,FALSE)</f>
        <v>M3</v>
      </c>
      <c r="F588" s="23"/>
      <c r="G588" s="23"/>
      <c r="H588" s="23"/>
      <c r="I588" s="23"/>
      <c r="J588" s="23"/>
      <c r="K588" s="23"/>
      <c r="L588" s="23"/>
      <c r="M588" s="23"/>
      <c r="N588" s="5">
        <f>SUM($M$589:$M$590)</f>
        <v>180.48</v>
      </c>
    </row>
    <row r="589" spans="1:14" x14ac:dyDescent="0.3">
      <c r="A589" s="23" t="s">
        <v>853</v>
      </c>
      <c r="B589" s="70" t="s">
        <v>517</v>
      </c>
      <c r="C589" s="71"/>
      <c r="D589" s="71"/>
      <c r="E589" s="72"/>
      <c r="F589" s="5"/>
      <c r="G589" s="26"/>
      <c r="H589" s="5">
        <f>H586</f>
        <v>432.3</v>
      </c>
      <c r="I589" s="5">
        <v>0.5</v>
      </c>
      <c r="J589" s="5">
        <v>0.8</v>
      </c>
      <c r="K589" s="5" t="str">
        <f>IF(COUNTA(H589:J589)=2,ROUND(PRODUCT(H589:J589),2),"")</f>
        <v/>
      </c>
      <c r="L589" s="5">
        <f>IF(OR(AND(COUNTA(H589:J589)=3,K589=""),AND(COUNTA(H589:J589)=1,K589&lt;&gt;"")),ROUND(PRODUCT(H589:K589),2),"")</f>
        <v>172.92</v>
      </c>
      <c r="M589" s="5">
        <f>IF(L589&lt;&gt;"",ROUND(PRODUCT(F589,G589,L589),2),IF(K589&lt;&gt;"",ROUND(PRODUCT(F589,G589,K589),2),ROUND(PRODUCT(F589:J589),2)))</f>
        <v>172.92</v>
      </c>
      <c r="N589" s="5"/>
    </row>
    <row r="590" spans="1:14" x14ac:dyDescent="0.3">
      <c r="A590" s="23" t="s">
        <v>854</v>
      </c>
      <c r="B590" s="70" t="s">
        <v>517</v>
      </c>
      <c r="C590" s="71"/>
      <c r="D590" s="71"/>
      <c r="E590" s="72"/>
      <c r="F590" s="5"/>
      <c r="G590" s="26">
        <v>9</v>
      </c>
      <c r="H590" s="5">
        <v>7</v>
      </c>
      <c r="I590" s="5">
        <v>0.3</v>
      </c>
      <c r="J590" s="5">
        <v>0.4</v>
      </c>
      <c r="K590" s="5" t="str">
        <f>IF(COUNTA(H590:J590)=2,ROUND(PRODUCT(H590:J590),2),"")</f>
        <v/>
      </c>
      <c r="L590" s="5">
        <f>IF(OR(AND(COUNTA(H590:J590)=3,K590=""),AND(COUNTA(H590:J590)=1,K590&lt;&gt;"")),ROUND(PRODUCT(H590:K590),2),"")</f>
        <v>0.84</v>
      </c>
      <c r="M590" s="5">
        <f>IF(L590&lt;&gt;"",ROUND(PRODUCT(F590,G590,L590),2),IF(K590&lt;&gt;"",ROUND(PRODUCT(F590,G590,K590),2),ROUND(PRODUCT(F590:J590),2)))</f>
        <v>7.56</v>
      </c>
      <c r="N590" s="5"/>
    </row>
    <row r="591" spans="1:14" x14ac:dyDescent="0.3">
      <c r="A591" s="15" t="s">
        <v>111</v>
      </c>
      <c r="B591" s="48" t="s">
        <v>625</v>
      </c>
      <c r="C591" s="49"/>
      <c r="D591" s="49"/>
      <c r="E591" s="49"/>
      <c r="F591" s="49"/>
      <c r="G591" s="49"/>
      <c r="H591" s="49"/>
      <c r="I591" s="49"/>
      <c r="J591" s="49"/>
      <c r="K591" s="49"/>
      <c r="L591" s="49"/>
      <c r="M591" s="49"/>
      <c r="N591" s="50"/>
    </row>
    <row r="592" spans="1:14" ht="28.8" x14ac:dyDescent="0.3">
      <c r="A592" s="23" t="s">
        <v>392</v>
      </c>
      <c r="B592" s="23" t="s">
        <v>640</v>
      </c>
      <c r="C592" s="23" t="str">
        <f>VLOOKUP(B592,CPU!$B:$J,2,FALSE)</f>
        <v>PRÓPRIA</v>
      </c>
      <c r="D592" s="24" t="str">
        <f>VLOOKUP(B592,CPU!$B:$J,3,FALSE)</f>
        <v>AQUISIÇÃO E ASSENTAMENTO DE TUBO RÍGIDO PVC, CLASSE 12, DN 60 MM, INCLUSO CONEXÕES</v>
      </c>
      <c r="E592" s="23" t="str">
        <f>VLOOKUP(B592,CPU!$B:$J,4,FALSE)</f>
        <v>M</v>
      </c>
      <c r="F592" s="23"/>
      <c r="G592" s="23"/>
      <c r="H592" s="23"/>
      <c r="I592" s="23"/>
      <c r="J592" s="23"/>
      <c r="K592" s="23"/>
      <c r="L592" s="23"/>
      <c r="M592" s="23"/>
      <c r="N592" s="5">
        <f>SUM($M$593:$M$593)</f>
        <v>432.3</v>
      </c>
    </row>
    <row r="593" spans="1:14" x14ac:dyDescent="0.3">
      <c r="A593" s="23" t="s">
        <v>855</v>
      </c>
      <c r="B593" s="70" t="s">
        <v>517</v>
      </c>
      <c r="C593" s="71"/>
      <c r="D593" s="71"/>
      <c r="E593" s="72"/>
      <c r="F593" s="5"/>
      <c r="G593" s="26"/>
      <c r="H593" s="5">
        <f>H586</f>
        <v>432.3</v>
      </c>
      <c r="I593" s="5"/>
      <c r="J593" s="5"/>
      <c r="K593" s="5" t="str">
        <f>IF(COUNTA(H593:J593)=2,ROUND(PRODUCT(H593:J593),2),"")</f>
        <v/>
      </c>
      <c r="L593" s="5" t="str">
        <f>IF(OR(AND(COUNTA(H593:J593)=3,K593=""),AND(COUNTA(H593:J593)=1,K593&lt;&gt;"")),ROUND(PRODUCT(H593:K593),2),"")</f>
        <v/>
      </c>
      <c r="M593" s="5">
        <f>IF(L593&lt;&gt;"",ROUND(PRODUCT(F593,G593,L593),2),IF(K593&lt;&gt;"",ROUND(PRODUCT(F593,G593,K593),2),ROUND(PRODUCT(F593:J593),2)))</f>
        <v>432.3</v>
      </c>
      <c r="N593" s="5"/>
    </row>
    <row r="594" spans="1:14" x14ac:dyDescent="0.3">
      <c r="A594" s="23" t="s">
        <v>393</v>
      </c>
      <c r="B594" s="23" t="s">
        <v>642</v>
      </c>
      <c r="C594" s="23" t="str">
        <f>VLOOKUP(B594,CPU!$B:$J,2,FALSE)</f>
        <v>PRÓPRIA</v>
      </c>
      <c r="D594" s="24" t="str">
        <f>VLOOKUP(B594,CPU!$B:$J,3,FALSE)</f>
        <v>LIGAÇÃO DOMICILIAR</v>
      </c>
      <c r="E594" s="23" t="str">
        <f>VLOOKUP(B594,CPU!$B:$J,4,FALSE)</f>
        <v>UND</v>
      </c>
      <c r="F594" s="23"/>
      <c r="G594" s="23"/>
      <c r="H594" s="23"/>
      <c r="I594" s="23"/>
      <c r="J594" s="23"/>
      <c r="K594" s="23"/>
      <c r="L594" s="23"/>
      <c r="M594" s="23"/>
      <c r="N594" s="5">
        <f>SUM($M$595:$M$595)</f>
        <v>9</v>
      </c>
    </row>
    <row r="595" spans="1:14" x14ac:dyDescent="0.3">
      <c r="A595" s="23" t="s">
        <v>856</v>
      </c>
      <c r="B595" s="70" t="s">
        <v>517</v>
      </c>
      <c r="C595" s="71"/>
      <c r="D595" s="71"/>
      <c r="E595" s="72"/>
      <c r="F595" s="5">
        <v>9</v>
      </c>
      <c r="G595" s="26"/>
      <c r="H595" s="5"/>
      <c r="I595" s="5"/>
      <c r="J595" s="5"/>
      <c r="K595" s="5" t="str">
        <f>IF(COUNTA(H595:J595)=2,ROUND(PRODUCT(H595:J595),2),"")</f>
        <v/>
      </c>
      <c r="L595" s="5" t="str">
        <f>IF(OR(AND(COUNTA(H595:J595)=3,K595=""),AND(COUNTA(H595:J595)=1,K595&lt;&gt;"")),ROUND(PRODUCT(H595:K595),2),"")</f>
        <v/>
      </c>
      <c r="M595" s="5">
        <f>IF(L595&lt;&gt;"",ROUND(PRODUCT(F595,G595,L595),2),IF(K595&lt;&gt;"",ROUND(PRODUCT(F595,G595,K595),2),ROUND(PRODUCT(F595:J595),2)))</f>
        <v>9</v>
      </c>
      <c r="N595" s="5"/>
    </row>
    <row r="596" spans="1:14" x14ac:dyDescent="0.3">
      <c r="A596" s="9">
        <v>6</v>
      </c>
      <c r="B596" s="54" t="s">
        <v>857</v>
      </c>
      <c r="C596" s="55"/>
      <c r="D596" s="55"/>
      <c r="E596" s="55"/>
      <c r="F596" s="55"/>
      <c r="G596" s="55"/>
      <c r="H596" s="55"/>
      <c r="I596" s="55"/>
      <c r="J596" s="55"/>
      <c r="K596" s="55"/>
      <c r="L596" s="55"/>
      <c r="M596" s="55"/>
      <c r="N596" s="56"/>
    </row>
    <row r="597" spans="1:14" x14ac:dyDescent="0.3">
      <c r="A597" s="12" t="s">
        <v>112</v>
      </c>
      <c r="B597" s="51" t="s">
        <v>521</v>
      </c>
      <c r="C597" s="52"/>
      <c r="D597" s="52"/>
      <c r="E597" s="52"/>
      <c r="F597" s="52"/>
      <c r="G597" s="52"/>
      <c r="H597" s="52"/>
      <c r="I597" s="52"/>
      <c r="J597" s="52"/>
      <c r="K597" s="52"/>
      <c r="L597" s="52"/>
      <c r="M597" s="52"/>
      <c r="N597" s="53"/>
    </row>
    <row r="598" spans="1:14" x14ac:dyDescent="0.3">
      <c r="A598" s="23" t="s">
        <v>394</v>
      </c>
      <c r="B598" s="23" t="s">
        <v>522</v>
      </c>
      <c r="C598" s="23" t="str">
        <f>VLOOKUP(B598,CPU!$B:$J,2,FALSE)</f>
        <v>PRÓPRIA</v>
      </c>
      <c r="D598" s="24" t="str">
        <f>VLOOKUP(B598,CPU!$B:$J,3,FALSE)</f>
        <v>LOCAÇÃO DO POÇO COM ESTUDO GEOLÓGICO/HIDROGEOLÓGICO/GEOFÍSICO</v>
      </c>
      <c r="E598" s="23" t="str">
        <f>VLOOKUP(B598,CPU!$B:$J,4,FALSE)</f>
        <v>UN</v>
      </c>
      <c r="F598" s="23"/>
      <c r="G598" s="23"/>
      <c r="H598" s="23"/>
      <c r="I598" s="23"/>
      <c r="J598" s="23"/>
      <c r="K598" s="23"/>
      <c r="L598" s="23"/>
      <c r="M598" s="23"/>
      <c r="N598" s="5">
        <f>SUM($M$599:$M$599)</f>
        <v>1</v>
      </c>
    </row>
    <row r="599" spans="1:14" x14ac:dyDescent="0.3">
      <c r="A599" s="23" t="s">
        <v>858</v>
      </c>
      <c r="B599" s="70" t="s">
        <v>517</v>
      </c>
      <c r="C599" s="71"/>
      <c r="D599" s="71"/>
      <c r="E599" s="72"/>
      <c r="F599" s="5">
        <v>1</v>
      </c>
      <c r="G599" s="26"/>
      <c r="H599" s="5"/>
      <c r="I599" s="5"/>
      <c r="J599" s="5"/>
      <c r="K599" s="5" t="str">
        <f>IF(COUNTA(H599:J599)=2,ROUND(PRODUCT(H599:J599),2),"")</f>
        <v/>
      </c>
      <c r="L599" s="5" t="str">
        <f>IF(OR(AND(COUNTA(H599:J599)=3,K599=""),AND(COUNTA(H599:J599)=1,K599&lt;&gt;"")),ROUND(PRODUCT(H599:K599),2),"")</f>
        <v/>
      </c>
      <c r="M599" s="5">
        <f>IF(L599&lt;&gt;"",ROUND(PRODUCT(F599,G599,L599),2),IF(K599&lt;&gt;"",ROUND(PRODUCT(F599,G599,K599),2),ROUND(PRODUCT(F599:J599),2)))</f>
        <v>1</v>
      </c>
      <c r="N599" s="5"/>
    </row>
    <row r="600" spans="1:14" x14ac:dyDescent="0.3">
      <c r="A600" s="23" t="s">
        <v>395</v>
      </c>
      <c r="B600" s="23" t="s">
        <v>524</v>
      </c>
      <c r="C600" s="23" t="str">
        <f>VLOOKUP(B600,CPU!$B:$J,2,FALSE)</f>
        <v>PRÓPRIA</v>
      </c>
      <c r="D600" s="24" t="str">
        <f>VLOOKUP(B600,CPU!$B:$J,3,FALSE)</f>
        <v>TRANSPORTE DE MÁQUINAS E EQUIPAMENTOS</v>
      </c>
      <c r="E600" s="23" t="str">
        <f>VLOOKUP(B600,CPU!$B:$J,4,FALSE)</f>
        <v>KM</v>
      </c>
      <c r="F600" s="23"/>
      <c r="G600" s="23"/>
      <c r="H600" s="23"/>
      <c r="I600" s="23"/>
      <c r="J600" s="23"/>
      <c r="K600" s="23"/>
      <c r="L600" s="23"/>
      <c r="M600" s="23"/>
      <c r="N600" s="5">
        <f>SUM($M$601:$M$601)</f>
        <v>8.6999999999999993</v>
      </c>
    </row>
    <row r="601" spans="1:14" x14ac:dyDescent="0.3">
      <c r="A601" s="23" t="s">
        <v>859</v>
      </c>
      <c r="B601" s="70" t="s">
        <v>647</v>
      </c>
      <c r="C601" s="71"/>
      <c r="D601" s="71"/>
      <c r="E601" s="72"/>
      <c r="F601" s="5">
        <v>8.6999999999999993</v>
      </c>
      <c r="G601" s="26"/>
      <c r="H601" s="5"/>
      <c r="I601" s="5"/>
      <c r="J601" s="5"/>
      <c r="K601" s="5" t="str">
        <f>IF(COUNTA(H601:J601)=2,ROUND(PRODUCT(H601:J601),2),"")</f>
        <v/>
      </c>
      <c r="L601" s="5" t="str">
        <f>IF(OR(AND(COUNTA(H601:J601)=3,K601=""),AND(COUNTA(H601:J601)=1,K601&lt;&gt;"")),ROUND(PRODUCT(H601:K601),2),"")</f>
        <v/>
      </c>
      <c r="M601" s="5">
        <f>IF(L601&lt;&gt;"",ROUND(PRODUCT(F601,G601,L601),2),IF(K601&lt;&gt;"",ROUND(PRODUCT(F601,G601,K601),2),ROUND(PRODUCT(F601:J601),2)))</f>
        <v>8.6999999999999993</v>
      </c>
      <c r="N601" s="5"/>
    </row>
    <row r="602" spans="1:14" x14ac:dyDescent="0.3">
      <c r="A602" s="23" t="s">
        <v>396</v>
      </c>
      <c r="B602" s="23" t="s">
        <v>524</v>
      </c>
      <c r="C602" s="23" t="str">
        <f>VLOOKUP(B602,CPU!$B:$J,2,FALSE)</f>
        <v>PRÓPRIA</v>
      </c>
      <c r="D602" s="24" t="str">
        <f>VLOOKUP(B602,CPU!$B:$J,3,FALSE)</f>
        <v>TRANSPORTE DE MÁQUINAS E EQUIPAMENTOS</v>
      </c>
      <c r="E602" s="23" t="str">
        <f>VLOOKUP(B602,CPU!$B:$J,4,FALSE)</f>
        <v>KM</v>
      </c>
      <c r="F602" s="23"/>
      <c r="G602" s="23"/>
      <c r="H602" s="23"/>
      <c r="I602" s="23"/>
      <c r="J602" s="23"/>
      <c r="K602" s="23"/>
      <c r="L602" s="23"/>
      <c r="M602" s="23"/>
      <c r="N602" s="5">
        <f>SUM($M$603:$M$603)</f>
        <v>8.6999999999999993</v>
      </c>
    </row>
    <row r="603" spans="1:14" x14ac:dyDescent="0.3">
      <c r="A603" s="23" t="s">
        <v>860</v>
      </c>
      <c r="B603" s="70" t="s">
        <v>649</v>
      </c>
      <c r="C603" s="71"/>
      <c r="D603" s="71"/>
      <c r="E603" s="72"/>
      <c r="F603" s="5">
        <v>8.6999999999999993</v>
      </c>
      <c r="G603" s="26"/>
      <c r="H603" s="5"/>
      <c r="I603" s="5"/>
      <c r="J603" s="5"/>
      <c r="K603" s="5" t="str">
        <f>IF(COUNTA(H603:J603)=2,ROUND(PRODUCT(H603:J603),2),"")</f>
        <v/>
      </c>
      <c r="L603" s="5" t="str">
        <f>IF(OR(AND(COUNTA(H603:J603)=3,K603=""),AND(COUNTA(H603:J603)=1,K603&lt;&gt;"")),ROUND(PRODUCT(H603:K603),2),"")</f>
        <v/>
      </c>
      <c r="M603" s="5">
        <f>IF(L603&lt;&gt;"",ROUND(PRODUCT(F603,G603,L603),2),IF(K603&lt;&gt;"",ROUND(PRODUCT(F603,G603,K603),2),ROUND(PRODUCT(F603:J603),2)))</f>
        <v>8.6999999999999993</v>
      </c>
      <c r="N603" s="5"/>
    </row>
    <row r="604" spans="1:14" x14ac:dyDescent="0.3">
      <c r="A604" s="23" t="s">
        <v>397</v>
      </c>
      <c r="B604" s="23" t="s">
        <v>528</v>
      </c>
      <c r="C604" s="23" t="str">
        <f>VLOOKUP(B604,CPU!$B:$J,2,FALSE)</f>
        <v>PRÓPRIA</v>
      </c>
      <c r="D604" s="24" t="str">
        <f>VLOOKUP(B604,CPU!$B:$J,3,FALSE)</f>
        <v>PERFILAGEM ÓTICA</v>
      </c>
      <c r="E604" s="23" t="str">
        <f>VLOOKUP(B604,CPU!$B:$J,4,FALSE)</f>
        <v>UN</v>
      </c>
      <c r="F604" s="23"/>
      <c r="G604" s="23"/>
      <c r="H604" s="23"/>
      <c r="I604" s="23"/>
      <c r="J604" s="23"/>
      <c r="K604" s="23"/>
      <c r="L604" s="23"/>
      <c r="M604" s="23"/>
      <c r="N604" s="5">
        <f>SUM($M$605:$M$605)</f>
        <v>1</v>
      </c>
    </row>
    <row r="605" spans="1:14" x14ac:dyDescent="0.3">
      <c r="A605" s="23" t="s">
        <v>861</v>
      </c>
      <c r="B605" s="70" t="s">
        <v>517</v>
      </c>
      <c r="C605" s="71"/>
      <c r="D605" s="71"/>
      <c r="E605" s="72"/>
      <c r="F605" s="5">
        <v>1</v>
      </c>
      <c r="G605" s="26"/>
      <c r="H605" s="5"/>
      <c r="I605" s="5"/>
      <c r="J605" s="5"/>
      <c r="K605" s="5" t="str">
        <f>IF(COUNTA(H605:J605)=2,ROUND(PRODUCT(H605:J605),2),"")</f>
        <v/>
      </c>
      <c r="L605" s="5" t="str">
        <f>IF(OR(AND(COUNTA(H605:J605)=3,K605=""),AND(COUNTA(H605:J605)=1,K605&lt;&gt;"")),ROUND(PRODUCT(H605:K605),2),"")</f>
        <v/>
      </c>
      <c r="M605" s="5">
        <f>IF(L605&lt;&gt;"",ROUND(PRODUCT(F605,G605,L605),2),IF(K605&lt;&gt;"",ROUND(PRODUCT(F605,G605,K605),2),ROUND(PRODUCT(F605:J605),2)))</f>
        <v>1</v>
      </c>
      <c r="N605" s="5"/>
    </row>
    <row r="606" spans="1:14" x14ac:dyDescent="0.3">
      <c r="A606" s="23" t="s">
        <v>398</v>
      </c>
      <c r="B606" s="23" t="s">
        <v>530</v>
      </c>
      <c r="C606" s="23" t="str">
        <f>VLOOKUP(B606,CPU!$B:$J,2,FALSE)</f>
        <v>PRÓPRIA</v>
      </c>
      <c r="D606" s="24" t="str">
        <f>VLOOKUP(B606,CPU!$B:$J,3,FALSE)</f>
        <v>PERFURAÇÃO EM ROCHA SEDIMENTAR DN 10" (REF: 06230/ORSE-ORSE-04/2025)</v>
      </c>
      <c r="E606" s="23" t="str">
        <f>VLOOKUP(B606,CPU!$B:$J,4,FALSE)</f>
        <v>M</v>
      </c>
      <c r="F606" s="23"/>
      <c r="G606" s="23"/>
      <c r="H606" s="23"/>
      <c r="I606" s="23"/>
      <c r="J606" s="23"/>
      <c r="K606" s="23"/>
      <c r="L606" s="23"/>
      <c r="M606" s="23"/>
      <c r="N606" s="5">
        <f>SUM($M$607:$M$607)</f>
        <v>20</v>
      </c>
    </row>
    <row r="607" spans="1:14" x14ac:dyDescent="0.3">
      <c r="A607" s="23" t="s">
        <v>862</v>
      </c>
      <c r="B607" s="70" t="s">
        <v>532</v>
      </c>
      <c r="C607" s="71"/>
      <c r="D607" s="71"/>
      <c r="E607" s="72"/>
      <c r="F607" s="5">
        <v>20</v>
      </c>
      <c r="G607" s="26"/>
      <c r="H607" s="5"/>
      <c r="I607" s="5"/>
      <c r="J607" s="5"/>
      <c r="K607" s="5" t="str">
        <f>IF(COUNTA(H607:J607)=2,ROUND(PRODUCT(H607:J607),2),"")</f>
        <v/>
      </c>
      <c r="L607" s="5" t="str">
        <f>IF(OR(AND(COUNTA(H607:J607)=3,K607=""),AND(COUNTA(H607:J607)=1,K607&lt;&gt;"")),ROUND(PRODUCT(H607:K607),2),"")</f>
        <v/>
      </c>
      <c r="M607" s="5">
        <f>IF(L607&lt;&gt;"",ROUND(PRODUCT(F607,G607,L607),2),IF(K607&lt;&gt;"",ROUND(PRODUCT(F607,G607,K607),2),ROUND(PRODUCT(F607:J607),2)))</f>
        <v>20</v>
      </c>
      <c r="N607" s="5"/>
    </row>
    <row r="608" spans="1:14" x14ac:dyDescent="0.3">
      <c r="A608" s="23" t="s">
        <v>399</v>
      </c>
      <c r="B608" s="23" t="s">
        <v>533</v>
      </c>
      <c r="C608" s="23" t="str">
        <f>VLOOKUP(B608,CPU!$B:$J,2,FALSE)</f>
        <v>PRÓPRIA</v>
      </c>
      <c r="D608" s="24" t="str">
        <f>VLOOKUP(B608,CPU!$B:$J,3,FALSE)</f>
        <v>PERFURAÇÃO EM ROCHA CRISTALINA DN 6" (REF: 06237/ORSE-ORSE-04/2025)</v>
      </c>
      <c r="E608" s="23" t="str">
        <f>VLOOKUP(B608,CPU!$B:$J,4,FALSE)</f>
        <v>M</v>
      </c>
      <c r="F608" s="23"/>
      <c r="G608" s="23"/>
      <c r="H608" s="23"/>
      <c r="I608" s="23"/>
      <c r="J608" s="23"/>
      <c r="K608" s="23"/>
      <c r="L608" s="23"/>
      <c r="M608" s="23"/>
      <c r="N608" s="5">
        <f>SUM($M$609:$M$609)</f>
        <v>80</v>
      </c>
    </row>
    <row r="609" spans="1:14" x14ac:dyDescent="0.3">
      <c r="A609" s="23" t="s">
        <v>863</v>
      </c>
      <c r="B609" s="70" t="s">
        <v>532</v>
      </c>
      <c r="C609" s="71"/>
      <c r="D609" s="71"/>
      <c r="E609" s="72"/>
      <c r="F609" s="5">
        <v>80</v>
      </c>
      <c r="G609" s="26"/>
      <c r="H609" s="5"/>
      <c r="I609" s="5"/>
      <c r="J609" s="5"/>
      <c r="K609" s="5" t="str">
        <f>IF(COUNTA(H609:J609)=2,ROUND(PRODUCT(H609:J609),2),"")</f>
        <v/>
      </c>
      <c r="L609" s="5" t="str">
        <f>IF(OR(AND(COUNTA(H609:J609)=3,K609=""),AND(COUNTA(H609:J609)=1,K609&lt;&gt;"")),ROUND(PRODUCT(H609:K609),2),"")</f>
        <v/>
      </c>
      <c r="M609" s="5">
        <f>IF(L609&lt;&gt;"",ROUND(PRODUCT(F609,G609,L609),2),IF(K609&lt;&gt;"",ROUND(PRODUCT(F609,G609,K609),2),ROUND(PRODUCT(F609:J609),2)))</f>
        <v>80</v>
      </c>
      <c r="N609" s="5"/>
    </row>
    <row r="610" spans="1:14" x14ac:dyDescent="0.3">
      <c r="A610" s="23" t="s">
        <v>400</v>
      </c>
      <c r="B610" s="23" t="s">
        <v>535</v>
      </c>
      <c r="C610" s="23" t="str">
        <f>VLOOKUP(B610,CPU!$B:$J,2,FALSE)</f>
        <v>PRÓPRIA</v>
      </c>
      <c r="D610" s="24" t="str">
        <f>VLOOKUP(B610,CPU!$B:$J,3,FALSE)</f>
        <v>CIMENTAÇÃO SANITÁRIA</v>
      </c>
      <c r="E610" s="23" t="str">
        <f>VLOOKUP(B610,CPU!$B:$J,4,FALSE)</f>
        <v>M</v>
      </c>
      <c r="F610" s="23"/>
      <c r="G610" s="23"/>
      <c r="H610" s="23"/>
      <c r="I610" s="23"/>
      <c r="J610" s="23"/>
      <c r="K610" s="23"/>
      <c r="L610" s="23"/>
      <c r="M610" s="23"/>
      <c r="N610" s="5">
        <f>SUM($M$611:$M$611)</f>
        <v>10</v>
      </c>
    </row>
    <row r="611" spans="1:14" x14ac:dyDescent="0.3">
      <c r="A611" s="23" t="s">
        <v>864</v>
      </c>
      <c r="B611" s="70" t="s">
        <v>517</v>
      </c>
      <c r="C611" s="71"/>
      <c r="D611" s="71"/>
      <c r="E611" s="72"/>
      <c r="F611" s="5">
        <v>10</v>
      </c>
      <c r="G611" s="26"/>
      <c r="H611" s="5"/>
      <c r="I611" s="5"/>
      <c r="J611" s="5"/>
      <c r="K611" s="5" t="str">
        <f>IF(COUNTA(H611:J611)=2,ROUND(PRODUCT(H611:J611),2),"")</f>
        <v/>
      </c>
      <c r="L611" s="5" t="str">
        <f>IF(OR(AND(COUNTA(H611:J611)=3,K611=""),AND(COUNTA(H611:J611)=1,K611&lt;&gt;"")),ROUND(PRODUCT(H611:K611),2),"")</f>
        <v/>
      </c>
      <c r="M611" s="5">
        <f>IF(L611&lt;&gt;"",ROUND(PRODUCT(F611,G611,L611),2),IF(K611&lt;&gt;"",ROUND(PRODUCT(F611,G611,K611),2),ROUND(PRODUCT(F611:J611),2)))</f>
        <v>10</v>
      </c>
      <c r="N611" s="5"/>
    </row>
    <row r="612" spans="1:14" x14ac:dyDescent="0.3">
      <c r="A612" s="23" t="s">
        <v>401</v>
      </c>
      <c r="B612" s="23" t="s">
        <v>537</v>
      </c>
      <c r="C612" s="23" t="str">
        <f>VLOOKUP(B612,CPU!$B:$J,2,FALSE)</f>
        <v>PRÓPRIA</v>
      </c>
      <c r="D612" s="24" t="str">
        <f>VLOOKUP(B612,CPU!$B:$J,3,FALSE)</f>
        <v>LAJE DE PROTEÇÃO EM CONCRETO (1,0 M X 1,0 M X 0,15 M)</v>
      </c>
      <c r="E612" s="23" t="str">
        <f>VLOOKUP(B612,CPU!$B:$J,4,FALSE)</f>
        <v>M³</v>
      </c>
      <c r="F612" s="23"/>
      <c r="G612" s="23"/>
      <c r="H612" s="23"/>
      <c r="I612" s="23"/>
      <c r="J612" s="23"/>
      <c r="K612" s="23"/>
      <c r="L612" s="23"/>
      <c r="M612" s="23"/>
      <c r="N612" s="5">
        <f>SUM($M$613:$M$613)</f>
        <v>0.15</v>
      </c>
    </row>
    <row r="613" spans="1:14" x14ac:dyDescent="0.3">
      <c r="A613" s="23" t="s">
        <v>865</v>
      </c>
      <c r="B613" s="70" t="s">
        <v>517</v>
      </c>
      <c r="C613" s="71"/>
      <c r="D613" s="71"/>
      <c r="E613" s="72"/>
      <c r="F613" s="5"/>
      <c r="G613" s="26"/>
      <c r="H613" s="5">
        <v>1</v>
      </c>
      <c r="I613" s="5">
        <v>1</v>
      </c>
      <c r="J613" s="5">
        <v>0.15</v>
      </c>
      <c r="K613" s="5" t="str">
        <f>IF(COUNTA(H613:J613)=2,ROUND(PRODUCT(H613:J613),2),"")</f>
        <v/>
      </c>
      <c r="L613" s="5">
        <f>IF(OR(AND(COUNTA(H613:J613)=3,K613=""),AND(COUNTA(H613:J613)=1,K613&lt;&gt;"")),ROUND(PRODUCT(H613:K613),2),"")</f>
        <v>0.15</v>
      </c>
      <c r="M613" s="5">
        <f>IF(L613&lt;&gt;"",ROUND(PRODUCT(F613,G613,L613),2),IF(K613&lt;&gt;"",ROUND(PRODUCT(F613,G613,K613),2),ROUND(PRODUCT(F613:J613),2)))</f>
        <v>0.15</v>
      </c>
      <c r="N613" s="5"/>
    </row>
    <row r="614" spans="1:14" x14ac:dyDescent="0.3">
      <c r="A614" s="23" t="s">
        <v>402</v>
      </c>
      <c r="B614" s="23" t="s">
        <v>539</v>
      </c>
      <c r="C614" s="23" t="str">
        <f>VLOOKUP(B614,CPU!$B:$J,2,FALSE)</f>
        <v>PRÓPRIA</v>
      </c>
      <c r="D614" s="24" t="str">
        <f>VLOOKUP(B614,CPU!$B:$J,3,FALSE)</f>
        <v>DESENVOLVIMENTO COM BOMBA SUBMERSA</v>
      </c>
      <c r="E614" s="23" t="str">
        <f>VLOOKUP(B614,CPU!$B:$J,4,FALSE)</f>
        <v>H</v>
      </c>
      <c r="F614" s="23"/>
      <c r="G614" s="23"/>
      <c r="H614" s="23"/>
      <c r="I614" s="23"/>
      <c r="J614" s="23"/>
      <c r="K614" s="23"/>
      <c r="L614" s="23"/>
      <c r="M614" s="23"/>
      <c r="N614" s="5">
        <f>SUM($M$615:$M$615)</f>
        <v>6</v>
      </c>
    </row>
    <row r="615" spans="1:14" x14ac:dyDescent="0.3">
      <c r="A615" s="23" t="s">
        <v>866</v>
      </c>
      <c r="B615" s="70" t="s">
        <v>517</v>
      </c>
      <c r="C615" s="71"/>
      <c r="D615" s="71"/>
      <c r="E615" s="72"/>
      <c r="F615" s="5">
        <v>6</v>
      </c>
      <c r="G615" s="26"/>
      <c r="H615" s="5"/>
      <c r="I615" s="5"/>
      <c r="J615" s="5"/>
      <c r="K615" s="5" t="str">
        <f>IF(COUNTA(H615:J615)=2,ROUND(PRODUCT(H615:J615),2),"")</f>
        <v/>
      </c>
      <c r="L615" s="5" t="str">
        <f>IF(OR(AND(COUNTA(H615:J615)=3,K615=""),AND(COUNTA(H615:J615)=1,K615&lt;&gt;"")),ROUND(PRODUCT(H615:K615),2),"")</f>
        <v/>
      </c>
      <c r="M615" s="5">
        <f>IF(L615&lt;&gt;"",ROUND(PRODUCT(F615,G615,L615),2),IF(K615&lt;&gt;"",ROUND(PRODUCT(F615,G615,K615),2),ROUND(PRODUCT(F615:J615),2)))</f>
        <v>6</v>
      </c>
      <c r="N615" s="5"/>
    </row>
    <row r="616" spans="1:14" x14ac:dyDescent="0.3">
      <c r="A616" s="23" t="s">
        <v>403</v>
      </c>
      <c r="B616" s="23" t="s">
        <v>541</v>
      </c>
      <c r="C616" s="23" t="str">
        <f>VLOOKUP(B616,CPU!$B:$J,2,FALSE)</f>
        <v>PRÓPRIA</v>
      </c>
      <c r="D616" s="24" t="str">
        <f>VLOOKUP(B616,CPU!$B:$J,3,FALSE)</f>
        <v>TESTE VAZÃO COM BOMBA SUBMERSA</v>
      </c>
      <c r="E616" s="23" t="str">
        <f>VLOOKUP(B616,CPU!$B:$J,4,FALSE)</f>
        <v>H</v>
      </c>
      <c r="F616" s="23"/>
      <c r="G616" s="23"/>
      <c r="H616" s="23"/>
      <c r="I616" s="23"/>
      <c r="J616" s="23"/>
      <c r="K616" s="23"/>
      <c r="L616" s="23"/>
      <c r="M616" s="23"/>
      <c r="N616" s="5">
        <f>SUM($M$617:$M$617)</f>
        <v>24</v>
      </c>
    </row>
    <row r="617" spans="1:14" x14ac:dyDescent="0.3">
      <c r="A617" s="23" t="s">
        <v>867</v>
      </c>
      <c r="B617" s="70" t="s">
        <v>517</v>
      </c>
      <c r="C617" s="71"/>
      <c r="D617" s="71"/>
      <c r="E617" s="72"/>
      <c r="F617" s="5">
        <v>24</v>
      </c>
      <c r="G617" s="26"/>
      <c r="H617" s="5"/>
      <c r="I617" s="5"/>
      <c r="J617" s="5"/>
      <c r="K617" s="5" t="str">
        <f>IF(COUNTA(H617:J617)=2,ROUND(PRODUCT(H617:J617),2),"")</f>
        <v/>
      </c>
      <c r="L617" s="5" t="str">
        <f>IF(OR(AND(COUNTA(H617:J617)=3,K617=""),AND(COUNTA(H617:J617)=1,K617&lt;&gt;"")),ROUND(PRODUCT(H617:K617),2),"")</f>
        <v/>
      </c>
      <c r="M617" s="5">
        <f>IF(L617&lt;&gt;"",ROUND(PRODUCT(F617,G617,L617),2),IF(K617&lt;&gt;"",ROUND(PRODUCT(F617,G617,K617),2),ROUND(PRODUCT(F617:J617),2)))</f>
        <v>24</v>
      </c>
      <c r="N617" s="5"/>
    </row>
    <row r="618" spans="1:14" x14ac:dyDescent="0.3">
      <c r="A618" s="23" t="s">
        <v>404</v>
      </c>
      <c r="B618" s="23" t="s">
        <v>543</v>
      </c>
      <c r="C618" s="23" t="str">
        <f>VLOOKUP(B618,CPU!$B:$J,2,FALSE)</f>
        <v>PRÓPRIA</v>
      </c>
      <c r="D618" s="24" t="str">
        <f>VLOOKUP(B618,CPU!$B:$J,3,FALSE)</f>
        <v>DESINFECÇÃO</v>
      </c>
      <c r="E618" s="23" t="str">
        <f>VLOOKUP(B618,CPU!$B:$J,4,FALSE)</f>
        <v>H</v>
      </c>
      <c r="F618" s="23"/>
      <c r="G618" s="23"/>
      <c r="H618" s="23"/>
      <c r="I618" s="23"/>
      <c r="J618" s="23"/>
      <c r="K618" s="23"/>
      <c r="L618" s="23"/>
      <c r="M618" s="23"/>
      <c r="N618" s="5">
        <f>SUM($M$619:$M$619)</f>
        <v>4</v>
      </c>
    </row>
    <row r="619" spans="1:14" x14ac:dyDescent="0.3">
      <c r="A619" s="23" t="s">
        <v>868</v>
      </c>
      <c r="B619" s="70" t="s">
        <v>517</v>
      </c>
      <c r="C619" s="71"/>
      <c r="D619" s="71"/>
      <c r="E619" s="72"/>
      <c r="F619" s="5">
        <v>4</v>
      </c>
      <c r="G619" s="26"/>
      <c r="H619" s="5"/>
      <c r="I619" s="5"/>
      <c r="J619" s="5"/>
      <c r="K619" s="5" t="str">
        <f>IF(COUNTA(H619:J619)=2,ROUND(PRODUCT(H619:J619),2),"")</f>
        <v/>
      </c>
      <c r="L619" s="5" t="str">
        <f>IF(OR(AND(COUNTA(H619:J619)=3,K619=""),AND(COUNTA(H619:J619)=1,K619&lt;&gt;"")),ROUND(PRODUCT(H619:K619),2),"")</f>
        <v/>
      </c>
      <c r="M619" s="5">
        <f>IF(L619&lt;&gt;"",ROUND(PRODUCT(F619,G619,L619),2),IF(K619&lt;&gt;"",ROUND(PRODUCT(F619,G619,K619),2),ROUND(PRODUCT(F619:J619),2)))</f>
        <v>4</v>
      </c>
      <c r="N619" s="5"/>
    </row>
    <row r="620" spans="1:14" x14ac:dyDescent="0.3">
      <c r="A620" s="23" t="s">
        <v>405</v>
      </c>
      <c r="B620" s="23" t="s">
        <v>545</v>
      </c>
      <c r="C620" s="23" t="str">
        <f>VLOOKUP(B620,CPU!$B:$J,2,FALSE)</f>
        <v>PRÓPRIA</v>
      </c>
      <c r="D620" s="24" t="str">
        <f>VLOOKUP(B620,CPU!$B:$J,3,FALSE)</f>
        <v>RELATÓRIO TÉCNICO</v>
      </c>
      <c r="E620" s="23" t="str">
        <f>VLOOKUP(B620,CPU!$B:$J,4,FALSE)</f>
        <v>UN</v>
      </c>
      <c r="F620" s="23"/>
      <c r="G620" s="23"/>
      <c r="H620" s="23"/>
      <c r="I620" s="23"/>
      <c r="J620" s="23"/>
      <c r="K620" s="23"/>
      <c r="L620" s="23"/>
      <c r="M620" s="23"/>
      <c r="N620" s="5">
        <f>SUM($M$621:$M$621)</f>
        <v>1</v>
      </c>
    </row>
    <row r="621" spans="1:14" x14ac:dyDescent="0.3">
      <c r="A621" s="23" t="s">
        <v>869</v>
      </c>
      <c r="B621" s="70" t="s">
        <v>517</v>
      </c>
      <c r="C621" s="71"/>
      <c r="D621" s="71"/>
      <c r="E621" s="72"/>
      <c r="F621" s="5">
        <v>1</v>
      </c>
      <c r="G621" s="26"/>
      <c r="H621" s="5"/>
      <c r="I621" s="5"/>
      <c r="J621" s="5"/>
      <c r="K621" s="5" t="str">
        <f>IF(COUNTA(H621:J621)=2,ROUND(PRODUCT(H621:J621),2),"")</f>
        <v/>
      </c>
      <c r="L621" s="5" t="str">
        <f>IF(OR(AND(COUNTA(H621:J621)=3,K621=""),AND(COUNTA(H621:J621)=1,K621&lt;&gt;"")),ROUND(PRODUCT(H621:K621),2),"")</f>
        <v/>
      </c>
      <c r="M621" s="5">
        <f>IF(L621&lt;&gt;"",ROUND(PRODUCT(F621,G621,L621),2),IF(K621&lt;&gt;"",ROUND(PRODUCT(F621,G621,K621),2),ROUND(PRODUCT(F621:J621),2)))</f>
        <v>1</v>
      </c>
      <c r="N621" s="5"/>
    </row>
    <row r="622" spans="1:14" x14ac:dyDescent="0.3">
      <c r="A622" s="23" t="s">
        <v>406</v>
      </c>
      <c r="B622" s="23" t="s">
        <v>547</v>
      </c>
      <c r="C622" s="23" t="str">
        <f>VLOOKUP(B622,CPU!$B:$J,2,FALSE)</f>
        <v>PRÓPRIA</v>
      </c>
      <c r="D622" s="24" t="str">
        <f>VLOOKUP(B622,CPU!$B:$J,3,FALSE)</f>
        <v>ANÁLISE FÍSICO-QUÍMICA DA ÁGUA</v>
      </c>
      <c r="E622" s="23" t="str">
        <f>VLOOKUP(B622,CPU!$B:$J,4,FALSE)</f>
        <v>UN</v>
      </c>
      <c r="F622" s="23"/>
      <c r="G622" s="23"/>
      <c r="H622" s="23"/>
      <c r="I622" s="23"/>
      <c r="J622" s="23"/>
      <c r="K622" s="23"/>
      <c r="L622" s="23"/>
      <c r="M622" s="23"/>
      <c r="N622" s="5">
        <f>SUM($M$623:$M$623)</f>
        <v>1</v>
      </c>
    </row>
    <row r="623" spans="1:14" x14ac:dyDescent="0.3">
      <c r="A623" s="23" t="s">
        <v>870</v>
      </c>
      <c r="B623" s="70" t="s">
        <v>517</v>
      </c>
      <c r="C623" s="71"/>
      <c r="D623" s="71"/>
      <c r="E623" s="72"/>
      <c r="F623" s="5">
        <v>1</v>
      </c>
      <c r="G623" s="26"/>
      <c r="H623" s="5"/>
      <c r="I623" s="5"/>
      <c r="J623" s="5"/>
      <c r="K623" s="5" t="str">
        <f>IF(COUNTA(H623:J623)=2,ROUND(PRODUCT(H623:J623),2),"")</f>
        <v/>
      </c>
      <c r="L623" s="5" t="str">
        <f>IF(OR(AND(COUNTA(H623:J623)=3,K623=""),AND(COUNTA(H623:J623)=1,K623&lt;&gt;"")),ROUND(PRODUCT(H623:K623),2),"")</f>
        <v/>
      </c>
      <c r="M623" s="5">
        <f>IF(L623&lt;&gt;"",ROUND(PRODUCT(F623,G623,L623),2),IF(K623&lt;&gt;"",ROUND(PRODUCT(F623,G623,K623),2),ROUND(PRODUCT(F623:J623),2)))</f>
        <v>1</v>
      </c>
      <c r="N623" s="5"/>
    </row>
    <row r="624" spans="1:14" x14ac:dyDescent="0.3">
      <c r="A624" s="23" t="s">
        <v>407</v>
      </c>
      <c r="B624" s="23" t="s">
        <v>549</v>
      </c>
      <c r="C624" s="23" t="str">
        <f>VLOOKUP(B624,CPU!$B:$J,2,FALSE)</f>
        <v>PRÓPRIA</v>
      </c>
      <c r="D624" s="24" t="str">
        <f>VLOOKUP(B624,CPU!$B:$J,3,FALSE)</f>
        <v>FORNECIMENTO E INSTALAÇÃO DE REVESTIMENTO GEOMECÂNICO STANDART DN-154-S</v>
      </c>
      <c r="E624" s="23" t="str">
        <f>VLOOKUP(B624,CPU!$B:$J,4,FALSE)</f>
        <v>M</v>
      </c>
      <c r="F624" s="23"/>
      <c r="G624" s="23"/>
      <c r="H624" s="23"/>
      <c r="I624" s="23"/>
      <c r="J624" s="23"/>
      <c r="K624" s="23"/>
      <c r="L624" s="23"/>
      <c r="M624" s="23"/>
      <c r="N624" s="5">
        <f>SUM($M$625:$M$625)</f>
        <v>21</v>
      </c>
    </row>
    <row r="625" spans="1:14" x14ac:dyDescent="0.3">
      <c r="A625" s="23" t="s">
        <v>871</v>
      </c>
      <c r="B625" s="70" t="s">
        <v>532</v>
      </c>
      <c r="C625" s="71"/>
      <c r="D625" s="71"/>
      <c r="E625" s="72"/>
      <c r="F625" s="5">
        <v>21</v>
      </c>
      <c r="G625" s="26"/>
      <c r="H625" s="5"/>
      <c r="I625" s="5"/>
      <c r="J625" s="5"/>
      <c r="K625" s="5" t="str">
        <f>IF(COUNTA(H625:J625)=2,ROUND(PRODUCT(H625:J625),2),"")</f>
        <v/>
      </c>
      <c r="L625" s="5" t="str">
        <f>IF(OR(AND(COUNTA(H625:J625)=3,K625=""),AND(COUNTA(H625:J625)=1,K625&lt;&gt;"")),ROUND(PRODUCT(H625:K625),2),"")</f>
        <v/>
      </c>
      <c r="M625" s="5">
        <f>IF(L625&lt;&gt;"",ROUND(PRODUCT(F625,G625,L625),2),IF(K625&lt;&gt;"",ROUND(PRODUCT(F625,G625,K625),2),ROUND(PRODUCT(F625:J625),2)))</f>
        <v>21</v>
      </c>
      <c r="N625" s="5"/>
    </row>
    <row r="626" spans="1:14" x14ac:dyDescent="0.3">
      <c r="A626" s="23" t="s">
        <v>408</v>
      </c>
      <c r="B626" s="23" t="s">
        <v>551</v>
      </c>
      <c r="C626" s="23" t="str">
        <f>VLOOKUP(B626,CPU!$B:$J,2,FALSE)</f>
        <v>PRÓPRIA</v>
      </c>
      <c r="D626" s="24" t="str">
        <f>VLOOKUP(B626,CPU!$B:$J,3,FALSE)</f>
        <v>FORNECIMENTO E INSTALAÇÃO DE TAMPA PARA POÇO</v>
      </c>
      <c r="E626" s="23" t="str">
        <f>VLOOKUP(B626,CPU!$B:$J,4,FALSE)</f>
        <v>UN</v>
      </c>
      <c r="F626" s="23"/>
      <c r="G626" s="23"/>
      <c r="H626" s="23"/>
      <c r="I626" s="23"/>
      <c r="J626" s="23"/>
      <c r="K626" s="23"/>
      <c r="L626" s="23"/>
      <c r="M626" s="23"/>
      <c r="N626" s="5">
        <f>SUM($M$627:$M$627)</f>
        <v>1</v>
      </c>
    </row>
    <row r="627" spans="1:14" x14ac:dyDescent="0.3">
      <c r="A627" s="23" t="s">
        <v>872</v>
      </c>
      <c r="B627" s="70" t="s">
        <v>517</v>
      </c>
      <c r="C627" s="71"/>
      <c r="D627" s="71"/>
      <c r="E627" s="72"/>
      <c r="F627" s="5">
        <v>1</v>
      </c>
      <c r="G627" s="26"/>
      <c r="H627" s="5"/>
      <c r="I627" s="5"/>
      <c r="J627" s="5"/>
      <c r="K627" s="5" t="str">
        <f>IF(COUNTA(H627:J627)=2,ROUND(PRODUCT(H627:J627),2),"")</f>
        <v/>
      </c>
      <c r="L627" s="5" t="str">
        <f>IF(OR(AND(COUNTA(H627:J627)=3,K627=""),AND(COUNTA(H627:J627)=1,K627&lt;&gt;"")),ROUND(PRODUCT(H627:K627),2),"")</f>
        <v/>
      </c>
      <c r="M627" s="5">
        <f>IF(L627&lt;&gt;"",ROUND(PRODUCT(F627,G627,L627),2),IF(K627&lt;&gt;"",ROUND(PRODUCT(F627,G627,K627),2),ROUND(PRODUCT(F627:J627),2)))</f>
        <v>1</v>
      </c>
      <c r="N627" s="5"/>
    </row>
    <row r="628" spans="1:14" x14ac:dyDescent="0.3">
      <c r="A628" s="12" t="s">
        <v>113</v>
      </c>
      <c r="B628" s="51" t="s">
        <v>553</v>
      </c>
      <c r="C628" s="52"/>
      <c r="D628" s="52"/>
      <c r="E628" s="52"/>
      <c r="F628" s="52"/>
      <c r="G628" s="52"/>
      <c r="H628" s="52"/>
      <c r="I628" s="52"/>
      <c r="J628" s="52"/>
      <c r="K628" s="52"/>
      <c r="L628" s="52"/>
      <c r="M628" s="52"/>
      <c r="N628" s="53"/>
    </row>
    <row r="629" spans="1:14" x14ac:dyDescent="0.3">
      <c r="A629" s="23" t="s">
        <v>409</v>
      </c>
      <c r="B629" s="23" t="s">
        <v>554</v>
      </c>
      <c r="C629" s="23" t="str">
        <f>VLOOKUP(B629,CPU!$B:$J,2,FALSE)</f>
        <v>PRÓPRIA</v>
      </c>
      <c r="D629" s="24" t="str">
        <f>VLOOKUP(B629,CPU!$B:$J,3,FALSE)</f>
        <v>FORNECIMENTO E INSTALAÇÃO DE TUBO EDUTOR DE PVC DE 1.1/2'' COM LUVA</v>
      </c>
      <c r="E629" s="23" t="str">
        <f>VLOOKUP(B629,CPU!$B:$J,4,FALSE)</f>
        <v>M</v>
      </c>
      <c r="F629" s="23"/>
      <c r="G629" s="23"/>
      <c r="H629" s="23"/>
      <c r="I629" s="23"/>
      <c r="J629" s="23"/>
      <c r="K629" s="23"/>
      <c r="L629" s="23"/>
      <c r="M629" s="23"/>
      <c r="N629" s="5">
        <f>SUM($M$630:$M$630)</f>
        <v>90</v>
      </c>
    </row>
    <row r="630" spans="1:14" x14ac:dyDescent="0.3">
      <c r="A630" s="23" t="s">
        <v>873</v>
      </c>
      <c r="B630" s="70" t="s">
        <v>517</v>
      </c>
      <c r="C630" s="71"/>
      <c r="D630" s="71"/>
      <c r="E630" s="72"/>
      <c r="F630" s="5">
        <v>90</v>
      </c>
      <c r="G630" s="26"/>
      <c r="H630" s="5"/>
      <c r="I630" s="5"/>
      <c r="J630" s="5"/>
      <c r="K630" s="5" t="str">
        <f>IF(COUNTA(H630:J630)=2,ROUND(PRODUCT(H630:J630),2),"")</f>
        <v/>
      </c>
      <c r="L630" s="5" t="str">
        <f>IF(OR(AND(COUNTA(H630:J630)=3,K630=""),AND(COUNTA(H630:J630)=1,K630&lt;&gt;"")),ROUND(PRODUCT(H630:K630),2),"")</f>
        <v/>
      </c>
      <c r="M630" s="5">
        <f>IF(L630&lt;&gt;"",ROUND(PRODUCT(F630,G630,L630),2),IF(K630&lt;&gt;"",ROUND(PRODUCT(F630,G630,K630),2),ROUND(PRODUCT(F630:J630),2)))</f>
        <v>90</v>
      </c>
      <c r="N630" s="5"/>
    </row>
    <row r="631" spans="1:14" x14ac:dyDescent="0.3">
      <c r="A631" s="23" t="s">
        <v>410</v>
      </c>
      <c r="B631" s="23" t="s">
        <v>556</v>
      </c>
      <c r="C631" s="23" t="str">
        <f>VLOOKUP(B631,CPU!$B:$J,2,FALSE)</f>
        <v>PRÓPRIA</v>
      </c>
      <c r="D631" s="24" t="str">
        <f>VLOOKUP(B631,CPU!$B:$J,3,FALSE)</f>
        <v>BARRILETE (CURVAS E CONEXÕES)</v>
      </c>
      <c r="E631" s="23" t="str">
        <f>VLOOKUP(B631,CPU!$B:$J,4,FALSE)</f>
        <v>UN</v>
      </c>
      <c r="F631" s="23"/>
      <c r="G631" s="23"/>
      <c r="H631" s="23"/>
      <c r="I631" s="23"/>
      <c r="J631" s="23"/>
      <c r="K631" s="23"/>
      <c r="L631" s="23"/>
      <c r="M631" s="23"/>
      <c r="N631" s="5">
        <f>SUM($M$632:$M$632)</f>
        <v>1</v>
      </c>
    </row>
    <row r="632" spans="1:14" x14ac:dyDescent="0.3">
      <c r="A632" s="23" t="s">
        <v>874</v>
      </c>
      <c r="B632" s="70" t="s">
        <v>517</v>
      </c>
      <c r="C632" s="71"/>
      <c r="D632" s="71"/>
      <c r="E632" s="72"/>
      <c r="F632" s="5">
        <v>1</v>
      </c>
      <c r="G632" s="26"/>
      <c r="H632" s="5"/>
      <c r="I632" s="5"/>
      <c r="J632" s="5"/>
      <c r="K632" s="5" t="str">
        <f>IF(COUNTA(H632:J632)=2,ROUND(PRODUCT(H632:J632),2),"")</f>
        <v/>
      </c>
      <c r="L632" s="5" t="str">
        <f>IF(OR(AND(COUNTA(H632:J632)=3,K632=""),AND(COUNTA(H632:J632)=1,K632&lt;&gt;"")),ROUND(PRODUCT(H632:K632),2),"")</f>
        <v/>
      </c>
      <c r="M632" s="5">
        <f>IF(L632&lt;&gt;"",ROUND(PRODUCT(F632,G632,L632),2),IF(K632&lt;&gt;"",ROUND(PRODUCT(F632,G632,K632),2),ROUND(PRODUCT(F632:J632),2)))</f>
        <v>1</v>
      </c>
      <c r="N632" s="5"/>
    </row>
    <row r="633" spans="1:14" x14ac:dyDescent="0.3">
      <c r="A633" s="23" t="s">
        <v>411</v>
      </c>
      <c r="B633" s="23" t="s">
        <v>558</v>
      </c>
      <c r="C633" s="23" t="str">
        <f>VLOOKUP(B633,CPU!$B:$J,2,FALSE)</f>
        <v>PRÓPRIA</v>
      </c>
      <c r="D633" s="24" t="str">
        <f>VLOOKUP(B633,CPU!$B:$J,3,FALSE)</f>
        <v>AQUISIÇÃO E INSTALAÇÃO DE DOSADOR DE CLORO</v>
      </c>
      <c r="E633" s="23" t="str">
        <f>VLOOKUP(B633,CPU!$B:$J,4,FALSE)</f>
        <v>UND</v>
      </c>
      <c r="F633" s="23"/>
      <c r="G633" s="23"/>
      <c r="H633" s="23"/>
      <c r="I633" s="23"/>
      <c r="J633" s="23"/>
      <c r="K633" s="23"/>
      <c r="L633" s="23"/>
      <c r="M633" s="23"/>
      <c r="N633" s="5">
        <f>SUM($M$634:$M$634)</f>
        <v>1</v>
      </c>
    </row>
    <row r="634" spans="1:14" x14ac:dyDescent="0.3">
      <c r="A634" s="23" t="s">
        <v>875</v>
      </c>
      <c r="B634" s="70" t="s">
        <v>517</v>
      </c>
      <c r="C634" s="71"/>
      <c r="D634" s="71"/>
      <c r="E634" s="72"/>
      <c r="F634" s="5">
        <v>1</v>
      </c>
      <c r="G634" s="26"/>
      <c r="H634" s="5"/>
      <c r="I634" s="5"/>
      <c r="J634" s="5"/>
      <c r="K634" s="5" t="str">
        <f>IF(COUNTA(H634:J634)=2,ROUND(PRODUCT(H634:J634),2),"")</f>
        <v/>
      </c>
      <c r="L634" s="5" t="str">
        <f>IF(OR(AND(COUNTA(H634:J634)=3,K634=""),AND(COUNTA(H634:J634)=1,K634&lt;&gt;"")),ROUND(PRODUCT(H634:K634),2),"")</f>
        <v/>
      </c>
      <c r="M634" s="5">
        <f>IF(L634&lt;&gt;"",ROUND(PRODUCT(F634,G634,L634),2),IF(K634&lt;&gt;"",ROUND(PRODUCT(F634,G634,K634),2),ROUND(PRODUCT(F634:J634),2)))</f>
        <v>1</v>
      </c>
      <c r="N634" s="5"/>
    </row>
    <row r="635" spans="1:14" x14ac:dyDescent="0.3">
      <c r="A635" s="12" t="s">
        <v>114</v>
      </c>
      <c r="B635" s="51" t="s">
        <v>560</v>
      </c>
      <c r="C635" s="52"/>
      <c r="D635" s="52"/>
      <c r="E635" s="52"/>
      <c r="F635" s="52"/>
      <c r="G635" s="52"/>
      <c r="H635" s="52"/>
      <c r="I635" s="52"/>
      <c r="J635" s="52"/>
      <c r="K635" s="52"/>
      <c r="L635" s="52"/>
      <c r="M635" s="52"/>
      <c r="N635" s="53"/>
    </row>
    <row r="636" spans="1:14" x14ac:dyDescent="0.3">
      <c r="A636" s="15" t="s">
        <v>115</v>
      </c>
      <c r="B636" s="48" t="s">
        <v>514</v>
      </c>
      <c r="C636" s="49"/>
      <c r="D636" s="49"/>
      <c r="E636" s="49"/>
      <c r="F636" s="49"/>
      <c r="G636" s="49"/>
      <c r="H636" s="49"/>
      <c r="I636" s="49"/>
      <c r="J636" s="49"/>
      <c r="K636" s="49"/>
      <c r="L636" s="49"/>
      <c r="M636" s="49"/>
      <c r="N636" s="50"/>
    </row>
    <row r="637" spans="1:14" x14ac:dyDescent="0.3">
      <c r="A637" s="23" t="s">
        <v>412</v>
      </c>
      <c r="B637" s="23">
        <v>98524</v>
      </c>
      <c r="C637" s="23" t="str">
        <f>VLOOKUP(B637,CPU!$B:$J,2,FALSE)</f>
        <v>SINAPI</v>
      </c>
      <c r="D637" s="24" t="str">
        <f>VLOOKUP(B637,CPU!$B:$J,3,FALSE)</f>
        <v>LIMPEZA MANUAL DE VEGETAÇÃO EM TERRENO COM ENXADA. AF_03/2024</v>
      </c>
      <c r="E637" s="23" t="str">
        <f>VLOOKUP(B637,CPU!$B:$J,4,FALSE)</f>
        <v>M2</v>
      </c>
      <c r="F637" s="23"/>
      <c r="G637" s="23"/>
      <c r="H637" s="23"/>
      <c r="I637" s="23"/>
      <c r="J637" s="23"/>
      <c r="K637" s="23"/>
      <c r="L637" s="23"/>
      <c r="M637" s="23"/>
      <c r="N637" s="5">
        <f>SUM($M$638:$M$638)</f>
        <v>100</v>
      </c>
    </row>
    <row r="638" spans="1:14" x14ac:dyDescent="0.3">
      <c r="A638" s="23" t="s">
        <v>876</v>
      </c>
      <c r="B638" s="70" t="s">
        <v>517</v>
      </c>
      <c r="C638" s="71"/>
      <c r="D638" s="71"/>
      <c r="E638" s="72"/>
      <c r="F638" s="5"/>
      <c r="G638" s="26"/>
      <c r="H638" s="5"/>
      <c r="I638" s="5">
        <v>10</v>
      </c>
      <c r="J638" s="5">
        <v>10</v>
      </c>
      <c r="K638" s="5">
        <f>IF(COUNTA(H638:J638)=2,ROUND(PRODUCT(H638:J638),2),"")</f>
        <v>100</v>
      </c>
      <c r="L638" s="5" t="str">
        <f>IF(OR(AND(COUNTA(H638:J638)=3,K638=""),AND(COUNTA(H638:J638)=1,K638&lt;&gt;"")),ROUND(PRODUCT(H638:K638),2),"")</f>
        <v/>
      </c>
      <c r="M638" s="5">
        <f>IF(L638&lt;&gt;"",ROUND(PRODUCT(F638,G638,L638),2),IF(K638&lt;&gt;"",ROUND(PRODUCT(F638,G638,K638),2),ROUND(PRODUCT(F638:J638),2)))</f>
        <v>100</v>
      </c>
      <c r="N638" s="5"/>
    </row>
    <row r="639" spans="1:14" ht="28.8" x14ac:dyDescent="0.3">
      <c r="A639" s="23" t="s">
        <v>413</v>
      </c>
      <c r="B639" s="23">
        <v>99059</v>
      </c>
      <c r="C639" s="23" t="str">
        <f>VLOOKUP(B639,CPU!$B:$J,2,FALSE)</f>
        <v>SINAPI</v>
      </c>
      <c r="D639" s="24" t="str">
        <f>VLOOKUP(B639,CPU!$B:$J,3,FALSE)</f>
        <v>LOCAÇÃO CONVENCIONAL DE OBRA, UTILIZANDO GABARITO DE TÁBUAS CORRIDAS PONTALETADAS A CADA 2,00M - 2 UTILIZAÇÕES. AF_03/2024</v>
      </c>
      <c r="E639" s="23" t="str">
        <f>VLOOKUP(B639,CPU!$B:$J,4,FALSE)</f>
        <v>M</v>
      </c>
      <c r="F639" s="23"/>
      <c r="G639" s="23"/>
      <c r="H639" s="23"/>
      <c r="I639" s="23"/>
      <c r="J639" s="23"/>
      <c r="K639" s="23"/>
      <c r="L639" s="23"/>
      <c r="M639" s="23"/>
      <c r="N639" s="5">
        <f>SUM($M$640:$M$640)</f>
        <v>10.199999999999999</v>
      </c>
    </row>
    <row r="640" spans="1:14" x14ac:dyDescent="0.3">
      <c r="A640" s="23" t="s">
        <v>877</v>
      </c>
      <c r="B640" s="70" t="s">
        <v>517</v>
      </c>
      <c r="C640" s="71"/>
      <c r="D640" s="71"/>
      <c r="E640" s="72"/>
      <c r="F640" s="5"/>
      <c r="G640" s="26">
        <v>1</v>
      </c>
      <c r="H640" s="5">
        <v>10.199999999999999</v>
      </c>
      <c r="I640" s="5"/>
      <c r="J640" s="5"/>
      <c r="K640" s="5" t="str">
        <f>IF(COUNTA(H640:J640)=2,ROUND(PRODUCT(H640:J640),2),"")</f>
        <v/>
      </c>
      <c r="L640" s="5" t="str">
        <f>IF(OR(AND(COUNTA(H640:J640)=3,K640=""),AND(COUNTA(H640:J640)=1,K640&lt;&gt;"")),ROUND(PRODUCT(H640:K640),2),"")</f>
        <v/>
      </c>
      <c r="M640" s="5">
        <f>IF(L640&lt;&gt;"",ROUND(PRODUCT(F640,G640,L640),2),IF(K640&lt;&gt;"",ROUND(PRODUCT(F640,G640,K640),2),ROUND(PRODUCT(F640:J640),2)))</f>
        <v>10.199999999999999</v>
      </c>
      <c r="N640" s="5"/>
    </row>
    <row r="641" spans="1:14" x14ac:dyDescent="0.3">
      <c r="A641" s="15" t="s">
        <v>116</v>
      </c>
      <c r="B641" s="48" t="s">
        <v>563</v>
      </c>
      <c r="C641" s="49"/>
      <c r="D641" s="49"/>
      <c r="E641" s="49"/>
      <c r="F641" s="49"/>
      <c r="G641" s="49"/>
      <c r="H641" s="49"/>
      <c r="I641" s="49"/>
      <c r="J641" s="49"/>
      <c r="K641" s="49"/>
      <c r="L641" s="49"/>
      <c r="M641" s="49"/>
      <c r="N641" s="50"/>
    </row>
    <row r="642" spans="1:14" x14ac:dyDescent="0.3">
      <c r="A642" s="23" t="s">
        <v>414</v>
      </c>
      <c r="B642" s="23">
        <v>93358</v>
      </c>
      <c r="C642" s="23" t="str">
        <f>VLOOKUP(B642,CPU!$B:$J,2,FALSE)</f>
        <v>SINAPI</v>
      </c>
      <c r="D642" s="24" t="str">
        <f>VLOOKUP(B642,CPU!$B:$J,3,FALSE)</f>
        <v>ESCAVAÇÃO MANUAL DE VALA. AF_09/2024</v>
      </c>
      <c r="E642" s="23" t="str">
        <f>VLOOKUP(B642,CPU!$B:$J,4,FALSE)</f>
        <v>M3</v>
      </c>
      <c r="F642" s="23"/>
      <c r="G642" s="23"/>
      <c r="H642" s="23"/>
      <c r="I642" s="23"/>
      <c r="J642" s="23"/>
      <c r="K642" s="23"/>
      <c r="L642" s="23"/>
      <c r="M642" s="23"/>
      <c r="N642" s="5">
        <f>SUM($M$643:$M$644)</f>
        <v>1.54</v>
      </c>
    </row>
    <row r="643" spans="1:14" x14ac:dyDescent="0.3">
      <c r="A643" s="23" t="s">
        <v>878</v>
      </c>
      <c r="B643" s="70" t="s">
        <v>517</v>
      </c>
      <c r="C643" s="71"/>
      <c r="D643" s="71"/>
      <c r="E643" s="72"/>
      <c r="F643" s="5"/>
      <c r="G643" s="26">
        <v>2</v>
      </c>
      <c r="H643" s="5">
        <v>2.2999999999999998</v>
      </c>
      <c r="I643" s="5">
        <v>0.3</v>
      </c>
      <c r="J643" s="5">
        <v>0.6</v>
      </c>
      <c r="K643" s="5" t="str">
        <f>IF(COUNTA(H643:J643)=2,ROUND(PRODUCT(H643:J643),2),"")</f>
        <v/>
      </c>
      <c r="L643" s="5">
        <f>IF(OR(AND(COUNTA(H643:J643)=3,K643=""),AND(COUNTA(H643:J643)=1,K643&lt;&gt;"")),ROUND(PRODUCT(H643:K643),2),"")</f>
        <v>0.41</v>
      </c>
      <c r="M643" s="5">
        <f>IF(L643&lt;&gt;"",ROUND(PRODUCT(F643,G643,L643),2),IF(K643&lt;&gt;"",ROUND(PRODUCT(F643,G643,K643),2),ROUND(PRODUCT(F643:J643),2)))</f>
        <v>0.82</v>
      </c>
      <c r="N643" s="5"/>
    </row>
    <row r="644" spans="1:14" x14ac:dyDescent="0.3">
      <c r="A644" s="23" t="s">
        <v>879</v>
      </c>
      <c r="B644" s="70" t="s">
        <v>517</v>
      </c>
      <c r="C644" s="71"/>
      <c r="D644" s="71"/>
      <c r="E644" s="72"/>
      <c r="F644" s="5"/>
      <c r="G644" s="26">
        <v>2</v>
      </c>
      <c r="H644" s="5">
        <v>2</v>
      </c>
      <c r="I644" s="5">
        <v>0.3</v>
      </c>
      <c r="J644" s="5">
        <v>0.6</v>
      </c>
      <c r="K644" s="5" t="str">
        <f>IF(COUNTA(H644:J644)=2,ROUND(PRODUCT(H644:J644),2),"")</f>
        <v/>
      </c>
      <c r="L644" s="5">
        <f>IF(OR(AND(COUNTA(H644:J644)=3,K644=""),AND(COUNTA(H644:J644)=1,K644&lt;&gt;"")),ROUND(PRODUCT(H644:K644),2),"")</f>
        <v>0.36</v>
      </c>
      <c r="M644" s="5">
        <f>IF(L644&lt;&gt;"",ROUND(PRODUCT(F644,G644,L644),2),IF(K644&lt;&gt;"",ROUND(PRODUCT(F644,G644,K644),2),ROUND(PRODUCT(F644:J644),2)))</f>
        <v>0.72</v>
      </c>
      <c r="N644" s="5"/>
    </row>
    <row r="645" spans="1:14" x14ac:dyDescent="0.3">
      <c r="A645" s="15" t="s">
        <v>117</v>
      </c>
      <c r="B645" s="48" t="s">
        <v>566</v>
      </c>
      <c r="C645" s="49"/>
      <c r="D645" s="49"/>
      <c r="E645" s="49"/>
      <c r="F645" s="49"/>
      <c r="G645" s="49"/>
      <c r="H645" s="49"/>
      <c r="I645" s="49"/>
      <c r="J645" s="49"/>
      <c r="K645" s="49"/>
      <c r="L645" s="49"/>
      <c r="M645" s="49"/>
      <c r="N645" s="50"/>
    </row>
    <row r="646" spans="1:14" ht="28.8" x14ac:dyDescent="0.3">
      <c r="A646" s="23" t="s">
        <v>415</v>
      </c>
      <c r="B646" s="23">
        <v>96617</v>
      </c>
      <c r="C646" s="23" t="str">
        <f>VLOOKUP(B646,CPU!$B:$J,2,FALSE)</f>
        <v>SINAPI</v>
      </c>
      <c r="D646" s="24" t="str">
        <f>VLOOKUP(B646,CPU!$B:$J,3,FALSE)</f>
        <v>LASTRO DE CONCRETO MAGRO, APLICADO EM BLOCOS DE COROAMENTO OU SAPATAS, ESPESSURA DE 3 CM. AF_01/2024</v>
      </c>
      <c r="E646" s="23" t="str">
        <f>VLOOKUP(B646,CPU!$B:$J,4,FALSE)</f>
        <v>M2</v>
      </c>
      <c r="F646" s="23"/>
      <c r="G646" s="23"/>
      <c r="H646" s="23"/>
      <c r="I646" s="23"/>
      <c r="J646" s="23"/>
      <c r="K646" s="23"/>
      <c r="L646" s="23"/>
      <c r="M646" s="23"/>
      <c r="N646" s="5">
        <f>SUM($M$647:$M$648)</f>
        <v>2.58</v>
      </c>
    </row>
    <row r="647" spans="1:14" x14ac:dyDescent="0.3">
      <c r="A647" s="23" t="s">
        <v>880</v>
      </c>
      <c r="B647" s="70" t="s">
        <v>517</v>
      </c>
      <c r="C647" s="71"/>
      <c r="D647" s="71"/>
      <c r="E647" s="72"/>
      <c r="F647" s="5"/>
      <c r="G647" s="26">
        <v>2</v>
      </c>
      <c r="H647" s="5">
        <v>2.2999999999999998</v>
      </c>
      <c r="I647" s="5">
        <v>0.3</v>
      </c>
      <c r="J647" s="5"/>
      <c r="K647" s="5">
        <f>IF(COUNTA(H647:J647)=2,ROUND(PRODUCT(H647:J647),2),"")</f>
        <v>0.69</v>
      </c>
      <c r="L647" s="5" t="str">
        <f>IF(OR(AND(COUNTA(H647:J647)=3,K647=""),AND(COUNTA(H647:J647)=1,K647&lt;&gt;"")),ROUND(PRODUCT(H647:K647),2),"")</f>
        <v/>
      </c>
      <c r="M647" s="5">
        <f>IF(L647&lt;&gt;"",ROUND(PRODUCT(F647,G647,L647),2),IF(K647&lt;&gt;"",ROUND(PRODUCT(F647,G647,K647),2),ROUND(PRODUCT(F647:J647),2)))</f>
        <v>1.38</v>
      </c>
      <c r="N647" s="5"/>
    </row>
    <row r="648" spans="1:14" x14ac:dyDescent="0.3">
      <c r="A648" s="23" t="s">
        <v>881</v>
      </c>
      <c r="B648" s="70" t="s">
        <v>517</v>
      </c>
      <c r="C648" s="71"/>
      <c r="D648" s="71"/>
      <c r="E648" s="72"/>
      <c r="F648" s="5"/>
      <c r="G648" s="26">
        <v>2</v>
      </c>
      <c r="H648" s="5">
        <v>2</v>
      </c>
      <c r="I648" s="5">
        <v>0.3</v>
      </c>
      <c r="J648" s="5"/>
      <c r="K648" s="5">
        <f>IF(COUNTA(H648:J648)=2,ROUND(PRODUCT(H648:J648),2),"")</f>
        <v>0.6</v>
      </c>
      <c r="L648" s="5" t="str">
        <f>IF(OR(AND(COUNTA(H648:J648)=3,K648=""),AND(COUNTA(H648:J648)=1,K648&lt;&gt;"")),ROUND(PRODUCT(H648:K648),2),"")</f>
        <v/>
      </c>
      <c r="M648" s="5">
        <f>IF(L648&lt;&gt;"",ROUND(PRODUCT(F648,G648,L648),2),IF(K648&lt;&gt;"",ROUND(PRODUCT(F648,G648,K648),2),ROUND(PRODUCT(F648:J648),2)))</f>
        <v>1.2</v>
      </c>
      <c r="N648" s="5"/>
    </row>
    <row r="649" spans="1:14" ht="28.8" x14ac:dyDescent="0.3">
      <c r="A649" s="23" t="s">
        <v>416</v>
      </c>
      <c r="B649" s="23">
        <v>103800</v>
      </c>
      <c r="C649" s="23" t="str">
        <f>VLOOKUP(B649,CPU!$B:$J,2,FALSE)</f>
        <v>SINAPI</v>
      </c>
      <c r="D649" s="24" t="str">
        <f>VLOOKUP(B649,CPU!$B:$J,3,FALSE)</f>
        <v>PEDRA ARGAMASSADA COM CIMENTO E AREIA 1:3, 40% DE ARGAMASSA EM VOLUME - AREIA E PEDRA DE MÃO COMERCIAIS - FORNECIMENTO E ASSENTAMENTO. AF_08/2022</v>
      </c>
      <c r="E649" s="23" t="str">
        <f>VLOOKUP(B649,CPU!$B:$J,4,FALSE)</f>
        <v>M3</v>
      </c>
      <c r="F649" s="23"/>
      <c r="G649" s="23"/>
      <c r="H649" s="23"/>
      <c r="I649" s="23"/>
      <c r="J649" s="23"/>
      <c r="K649" s="23"/>
      <c r="L649" s="23"/>
      <c r="M649" s="23"/>
      <c r="N649" s="5">
        <f>SUM($M$650:$M$651)</f>
        <v>1.04</v>
      </c>
    </row>
    <row r="650" spans="1:14" x14ac:dyDescent="0.3">
      <c r="A650" s="23" t="s">
        <v>882</v>
      </c>
      <c r="B650" s="70" t="s">
        <v>517</v>
      </c>
      <c r="C650" s="71"/>
      <c r="D650" s="71"/>
      <c r="E650" s="72"/>
      <c r="F650" s="5"/>
      <c r="G650" s="26">
        <v>2</v>
      </c>
      <c r="H650" s="5">
        <v>2.2999999999999998</v>
      </c>
      <c r="I650" s="5">
        <v>0.3</v>
      </c>
      <c r="J650" s="5">
        <v>0.4</v>
      </c>
      <c r="K650" s="5" t="str">
        <f>IF(COUNTA(H650:J650)=2,ROUND(PRODUCT(H650:J650),2),"")</f>
        <v/>
      </c>
      <c r="L650" s="5">
        <f>IF(OR(AND(COUNTA(H650:J650)=3,K650=""),AND(COUNTA(H650:J650)=1,K650&lt;&gt;"")),ROUND(PRODUCT(H650:K650),2),"")</f>
        <v>0.28000000000000003</v>
      </c>
      <c r="M650" s="5">
        <f>IF(L650&lt;&gt;"",ROUND(PRODUCT(F650,G650,L650),2),IF(K650&lt;&gt;"",ROUND(PRODUCT(F650,G650,K650),2),ROUND(PRODUCT(F650:J650),2)))</f>
        <v>0.56000000000000005</v>
      </c>
      <c r="N650" s="5"/>
    </row>
    <row r="651" spans="1:14" x14ac:dyDescent="0.3">
      <c r="A651" s="23" t="s">
        <v>883</v>
      </c>
      <c r="B651" s="70" t="s">
        <v>517</v>
      </c>
      <c r="C651" s="71"/>
      <c r="D651" s="71"/>
      <c r="E651" s="72"/>
      <c r="F651" s="5"/>
      <c r="G651" s="26">
        <v>2</v>
      </c>
      <c r="H651" s="5">
        <v>2</v>
      </c>
      <c r="I651" s="5">
        <v>0.3</v>
      </c>
      <c r="J651" s="5">
        <v>0.4</v>
      </c>
      <c r="K651" s="5" t="str">
        <f>IF(COUNTA(H651:J651)=2,ROUND(PRODUCT(H651:J651),2),"")</f>
        <v/>
      </c>
      <c r="L651" s="5">
        <f>IF(OR(AND(COUNTA(H651:J651)=3,K651=""),AND(COUNTA(H651:J651)=1,K651&lt;&gt;"")),ROUND(PRODUCT(H651:K651),2),"")</f>
        <v>0.24</v>
      </c>
      <c r="M651" s="5">
        <f>IF(L651&lt;&gt;"",ROUND(PRODUCT(F651,G651,L651),2),IF(K651&lt;&gt;"",ROUND(PRODUCT(F651,G651,K651),2),ROUND(PRODUCT(F651:J651),2)))</f>
        <v>0.48</v>
      </c>
      <c r="N651" s="5"/>
    </row>
    <row r="652" spans="1:14" ht="43.2" x14ac:dyDescent="0.3">
      <c r="A652" s="23" t="s">
        <v>417</v>
      </c>
      <c r="B652" s="23">
        <v>103335</v>
      </c>
      <c r="C652" s="23" t="str">
        <f>VLOOKUP(B652,CPU!$B:$J,2,FALSE)</f>
        <v>SINAPI</v>
      </c>
      <c r="D652" s="24" t="str">
        <f>VLOOKUP(B652,CPU!$B:$J,3,FALSE)</f>
        <v>ALVENARIA DE VEDAÇÃO DE BLOCOS CERÂMICOS FURADOS NA HORIZONTAL DE 14X9X19 CM (ESPESSURA 14 CM, BLOCO DEITADO) E ARGAMASSA DE ASSENTAMENTO COM PREPARO MANUAL. AF_12/2021</v>
      </c>
      <c r="E652" s="23" t="str">
        <f>VLOOKUP(B652,CPU!$B:$J,4,FALSE)</f>
        <v>M2</v>
      </c>
      <c r="F652" s="23"/>
      <c r="G652" s="23"/>
      <c r="H652" s="23"/>
      <c r="I652" s="23"/>
      <c r="J652" s="23"/>
      <c r="K652" s="23"/>
      <c r="L652" s="23"/>
      <c r="M652" s="23"/>
      <c r="N652" s="5">
        <f>SUM($M$653:$M$654)</f>
        <v>1.7200000000000002</v>
      </c>
    </row>
    <row r="653" spans="1:14" x14ac:dyDescent="0.3">
      <c r="A653" s="23" t="s">
        <v>884</v>
      </c>
      <c r="B653" s="70" t="s">
        <v>517</v>
      </c>
      <c r="C653" s="71"/>
      <c r="D653" s="71"/>
      <c r="E653" s="72"/>
      <c r="F653" s="5"/>
      <c r="G653" s="26">
        <v>2</v>
      </c>
      <c r="H653" s="5">
        <v>2.2999999999999998</v>
      </c>
      <c r="I653" s="5"/>
      <c r="J653" s="5">
        <v>0.2</v>
      </c>
      <c r="K653" s="5">
        <f>IF(COUNTA(H653:J653)=2,ROUND(PRODUCT(H653:J653),2),"")</f>
        <v>0.46</v>
      </c>
      <c r="L653" s="5" t="str">
        <f>IF(OR(AND(COUNTA(H653:J653)=3,K653=""),AND(COUNTA(H653:J653)=1,K653&lt;&gt;"")),ROUND(PRODUCT(H653:K653),2),"")</f>
        <v/>
      </c>
      <c r="M653" s="5">
        <f>IF(L653&lt;&gt;"",ROUND(PRODUCT(F653,G653,L653),2),IF(K653&lt;&gt;"",ROUND(PRODUCT(F653,G653,K653),2),ROUND(PRODUCT(F653:J653),2)))</f>
        <v>0.92</v>
      </c>
      <c r="N653" s="5"/>
    </row>
    <row r="654" spans="1:14" x14ac:dyDescent="0.3">
      <c r="A654" s="23" t="s">
        <v>885</v>
      </c>
      <c r="B654" s="70" t="s">
        <v>517</v>
      </c>
      <c r="C654" s="71"/>
      <c r="D654" s="71"/>
      <c r="E654" s="72"/>
      <c r="F654" s="5"/>
      <c r="G654" s="26">
        <v>2</v>
      </c>
      <c r="H654" s="5">
        <v>2</v>
      </c>
      <c r="I654" s="5"/>
      <c r="J654" s="5">
        <v>0.2</v>
      </c>
      <c r="K654" s="5">
        <f>IF(COUNTA(H654:J654)=2,ROUND(PRODUCT(H654:J654),2),"")</f>
        <v>0.4</v>
      </c>
      <c r="L654" s="5" t="str">
        <f>IF(OR(AND(COUNTA(H654:J654)=3,K654=""),AND(COUNTA(H654:J654)=1,K654&lt;&gt;"")),ROUND(PRODUCT(H654:K654),2),"")</f>
        <v/>
      </c>
      <c r="M654" s="5">
        <f>IF(L654&lt;&gt;"",ROUND(PRODUCT(F654,G654,L654),2),IF(K654&lt;&gt;"",ROUND(PRODUCT(F654,G654,K654),2),ROUND(PRODUCT(F654:J654),2)))</f>
        <v>0.8</v>
      </c>
      <c r="N654" s="5"/>
    </row>
    <row r="655" spans="1:14" x14ac:dyDescent="0.3">
      <c r="A655" s="15" t="s">
        <v>118</v>
      </c>
      <c r="B655" s="48" t="s">
        <v>573</v>
      </c>
      <c r="C655" s="49"/>
      <c r="D655" s="49"/>
      <c r="E655" s="49"/>
      <c r="F655" s="49"/>
      <c r="G655" s="49"/>
      <c r="H655" s="49"/>
      <c r="I655" s="49"/>
      <c r="J655" s="49"/>
      <c r="K655" s="49"/>
      <c r="L655" s="49"/>
      <c r="M655" s="49"/>
      <c r="N655" s="50"/>
    </row>
    <row r="656" spans="1:14" x14ac:dyDescent="0.3">
      <c r="A656" s="23" t="s">
        <v>418</v>
      </c>
      <c r="B656" s="23" t="s">
        <v>574</v>
      </c>
      <c r="C656" s="23" t="str">
        <f>VLOOKUP(B656,CPU!$B:$J,2,FALSE)</f>
        <v>PRÓPRIA</v>
      </c>
      <c r="D656" s="24" t="str">
        <f>VLOOKUP(B656,CPU!$B:$J,3,FALSE)</f>
        <v>CINTA DE AMARRAÇÃO DE ALVENARIA MOLDADA IN LOCO EM CONCRETO</v>
      </c>
      <c r="E656" s="23" t="str">
        <f>VLOOKUP(B656,CPU!$B:$J,4,FALSE)</f>
        <v>M</v>
      </c>
      <c r="F656" s="23"/>
      <c r="G656" s="23"/>
      <c r="H656" s="23"/>
      <c r="I656" s="23"/>
      <c r="J656" s="23"/>
      <c r="K656" s="23"/>
      <c r="L656" s="23"/>
      <c r="M656" s="23"/>
      <c r="N656" s="5">
        <f>SUM($M$657:$M$658)</f>
        <v>8.6</v>
      </c>
    </row>
    <row r="657" spans="1:14" x14ac:dyDescent="0.3">
      <c r="A657" s="23" t="s">
        <v>886</v>
      </c>
      <c r="B657" s="70" t="s">
        <v>517</v>
      </c>
      <c r="C657" s="71"/>
      <c r="D657" s="71"/>
      <c r="E657" s="72"/>
      <c r="F657" s="5"/>
      <c r="G657" s="26">
        <v>2</v>
      </c>
      <c r="H657" s="5">
        <v>2.2999999999999998</v>
      </c>
      <c r="I657" s="5"/>
      <c r="J657" s="5"/>
      <c r="K657" s="5" t="str">
        <f>IF(COUNTA(H657:J657)=2,ROUND(PRODUCT(H657:J657),2),"")</f>
        <v/>
      </c>
      <c r="L657" s="5" t="str">
        <f>IF(OR(AND(COUNTA(H657:J657)=3,K657=""),AND(COUNTA(H657:J657)=1,K657&lt;&gt;"")),ROUND(PRODUCT(H657:K657),2),"")</f>
        <v/>
      </c>
      <c r="M657" s="5">
        <f>IF(L657&lt;&gt;"",ROUND(PRODUCT(F657,G657,L657),2),IF(K657&lt;&gt;"",ROUND(PRODUCT(F657,G657,K657),2),ROUND(PRODUCT(F657:J657),2)))</f>
        <v>4.5999999999999996</v>
      </c>
      <c r="N657" s="5"/>
    </row>
    <row r="658" spans="1:14" x14ac:dyDescent="0.3">
      <c r="A658" s="23" t="s">
        <v>887</v>
      </c>
      <c r="B658" s="70" t="s">
        <v>517</v>
      </c>
      <c r="C658" s="71"/>
      <c r="D658" s="71"/>
      <c r="E658" s="72"/>
      <c r="F658" s="5"/>
      <c r="G658" s="26">
        <v>2</v>
      </c>
      <c r="H658" s="5">
        <v>2</v>
      </c>
      <c r="I658" s="5"/>
      <c r="J658" s="5"/>
      <c r="K658" s="5" t="str">
        <f>IF(COUNTA(H658:J658)=2,ROUND(PRODUCT(H658:J658),2),"")</f>
        <v/>
      </c>
      <c r="L658" s="5" t="str">
        <f>IF(OR(AND(COUNTA(H658:J658)=3,K658=""),AND(COUNTA(H658:J658)=1,K658&lt;&gt;"")),ROUND(PRODUCT(H658:K658),2),"")</f>
        <v/>
      </c>
      <c r="M658" s="5">
        <f>IF(L658&lt;&gt;"",ROUND(PRODUCT(F658,G658,L658),2),IF(K658&lt;&gt;"",ROUND(PRODUCT(F658,G658,K658),2),ROUND(PRODUCT(F658:J658),2)))</f>
        <v>4</v>
      </c>
      <c r="N658" s="5"/>
    </row>
    <row r="659" spans="1:14" ht="28.8" x14ac:dyDescent="0.3">
      <c r="A659" s="23" t="s">
        <v>419</v>
      </c>
      <c r="B659" s="23" t="s">
        <v>577</v>
      </c>
      <c r="C659" s="23" t="str">
        <f>VLOOKUP(B659,CPU!$B:$J,2,FALSE)</f>
        <v>PRÓPRIA</v>
      </c>
      <c r="D659" s="24" t="str">
        <f>VLOOKUP(B659,CPU!$B:$J,3,FALSE)</f>
        <v>(COMPOSIÇÃO REPRESENTATIVA) EXECUÇÃO DE ESTRUTURAS DE CONCRETO ARMADO, PARA EDIFICAÇÃO INSTITUCIONAL TÉRREA, FCK = 25 MPA</v>
      </c>
      <c r="E659" s="23" t="str">
        <f>VLOOKUP(B659,CPU!$B:$J,4,FALSE)</f>
        <v>M³</v>
      </c>
      <c r="F659" s="23"/>
      <c r="G659" s="23"/>
      <c r="H659" s="23"/>
      <c r="I659" s="23"/>
      <c r="J659" s="23"/>
      <c r="K659" s="23"/>
      <c r="L659" s="23"/>
      <c r="M659" s="23"/>
      <c r="N659" s="5">
        <f>SUM($M$660:$M$661)</f>
        <v>0.30000000000000004</v>
      </c>
    </row>
    <row r="660" spans="1:14" x14ac:dyDescent="0.3">
      <c r="A660" s="23" t="s">
        <v>888</v>
      </c>
      <c r="B660" s="70" t="s">
        <v>579</v>
      </c>
      <c r="C660" s="71"/>
      <c r="D660" s="71"/>
      <c r="E660" s="72"/>
      <c r="F660" s="5"/>
      <c r="G660" s="26">
        <v>2</v>
      </c>
      <c r="H660" s="5">
        <v>3.53</v>
      </c>
      <c r="I660" s="5">
        <v>0.15</v>
      </c>
      <c r="J660" s="5">
        <v>0.15</v>
      </c>
      <c r="K660" s="5" t="str">
        <f>IF(COUNTA(H660:J660)=2,ROUND(PRODUCT(H660:J660),2),"")</f>
        <v/>
      </c>
      <c r="L660" s="5">
        <f>IF(OR(AND(COUNTA(H660:J660)=3,K660=""),AND(COUNTA(H660:J660)=1,K660&lt;&gt;"")),ROUND(PRODUCT(H660:K660),2),"")</f>
        <v>0.08</v>
      </c>
      <c r="M660" s="5">
        <f>IF(L660&lt;&gt;"",ROUND(PRODUCT(F660,G660,L660),2),IF(K660&lt;&gt;"",ROUND(PRODUCT(F660,G660,K660),2),ROUND(PRODUCT(F660:J660),2)))</f>
        <v>0.16</v>
      </c>
      <c r="N660" s="5"/>
    </row>
    <row r="661" spans="1:14" x14ac:dyDescent="0.3">
      <c r="A661" s="23" t="s">
        <v>889</v>
      </c>
      <c r="B661" s="70" t="s">
        <v>579</v>
      </c>
      <c r="C661" s="71"/>
      <c r="D661" s="71"/>
      <c r="E661" s="72"/>
      <c r="F661" s="5"/>
      <c r="G661" s="26">
        <v>2</v>
      </c>
      <c r="H661" s="5">
        <v>2.95</v>
      </c>
      <c r="I661" s="5">
        <v>0.15</v>
      </c>
      <c r="J661" s="5">
        <v>0.15</v>
      </c>
      <c r="K661" s="5" t="str">
        <f>IF(COUNTA(H661:J661)=2,ROUND(PRODUCT(H661:J661),2),"")</f>
        <v/>
      </c>
      <c r="L661" s="5">
        <f>IF(OR(AND(COUNTA(H661:J661)=3,K661=""),AND(COUNTA(H661:J661)=1,K661&lt;&gt;"")),ROUND(PRODUCT(H661:K661),2),"")</f>
        <v>7.0000000000000007E-2</v>
      </c>
      <c r="M661" s="5">
        <f>IF(L661&lt;&gt;"",ROUND(PRODUCT(F661,G661,L661),2),IF(K661&lt;&gt;"",ROUND(PRODUCT(F661,G661,K661),2),ROUND(PRODUCT(F661:J661),2)))</f>
        <v>0.14000000000000001</v>
      </c>
      <c r="N661" s="5"/>
    </row>
    <row r="662" spans="1:14" x14ac:dyDescent="0.3">
      <c r="A662" s="15" t="s">
        <v>119</v>
      </c>
      <c r="B662" s="48" t="s">
        <v>581</v>
      </c>
      <c r="C662" s="49"/>
      <c r="D662" s="49"/>
      <c r="E662" s="49"/>
      <c r="F662" s="49"/>
      <c r="G662" s="49"/>
      <c r="H662" s="49"/>
      <c r="I662" s="49"/>
      <c r="J662" s="49"/>
      <c r="K662" s="49"/>
      <c r="L662" s="49"/>
      <c r="M662" s="49"/>
      <c r="N662" s="50"/>
    </row>
    <row r="663" spans="1:14" ht="43.2" x14ac:dyDescent="0.3">
      <c r="A663" s="23" t="s">
        <v>420</v>
      </c>
      <c r="B663" s="23">
        <v>103329</v>
      </c>
      <c r="C663" s="23" t="str">
        <f>VLOOKUP(B663,CPU!$B:$J,2,FALSE)</f>
        <v>SINAPI</v>
      </c>
      <c r="D663" s="24" t="str">
        <f>VLOOKUP(B663,CPU!$B:$J,3,FALSE)</f>
        <v>ALVENARIA DE VEDAÇÃO DE BLOCOS CERÂMICOS FURADOS NA HORIZONTAL DE 9X19X19 CM (ESPESSURA 9 CM) E ARGAMASSA DE ASSENTAMENTO COM PREPARO MANUAL. AF_12/2021</v>
      </c>
      <c r="E663" s="23" t="str">
        <f>VLOOKUP(B663,CPU!$B:$J,4,FALSE)</f>
        <v>M2</v>
      </c>
      <c r="F663" s="23"/>
      <c r="G663" s="23"/>
      <c r="H663" s="23"/>
      <c r="I663" s="23"/>
      <c r="J663" s="23"/>
      <c r="K663" s="23"/>
      <c r="L663" s="23"/>
      <c r="M663" s="23"/>
      <c r="N663" s="5">
        <f>SUM($M$664:$M$668)</f>
        <v>19.310000000000002</v>
      </c>
    </row>
    <row r="664" spans="1:14" x14ac:dyDescent="0.3">
      <c r="A664" s="23" t="s">
        <v>890</v>
      </c>
      <c r="B664" s="70" t="s">
        <v>517</v>
      </c>
      <c r="C664" s="71"/>
      <c r="D664" s="71"/>
      <c r="E664" s="72"/>
      <c r="F664" s="5"/>
      <c r="G664" s="26">
        <v>1</v>
      </c>
      <c r="H664" s="5">
        <v>2.2999999999999998</v>
      </c>
      <c r="I664" s="5">
        <v>2.2999999999999998</v>
      </c>
      <c r="J664" s="5"/>
      <c r="K664" s="5">
        <f>IF(COUNTA(H664:J664)=2,ROUND(PRODUCT(H664:J664),2),"")</f>
        <v>5.29</v>
      </c>
      <c r="L664" s="5" t="str">
        <f>IF(OR(AND(COUNTA(H664:J664)=3,K664=""),AND(COUNTA(H664:J664)=1,K664&lt;&gt;"")),ROUND(PRODUCT(H664:K664),2),"")</f>
        <v/>
      </c>
      <c r="M664" s="5">
        <f>IF(L664&lt;&gt;"",ROUND(PRODUCT(F664,G664,L664),2),IF(K664&lt;&gt;"",ROUND(PRODUCT(F664,G664,K664),2),ROUND(PRODUCT(F664:J664),2)))</f>
        <v>5.29</v>
      </c>
      <c r="N664" s="5"/>
    </row>
    <row r="665" spans="1:14" x14ac:dyDescent="0.3">
      <c r="A665" s="23" t="s">
        <v>891</v>
      </c>
      <c r="B665" s="70" t="s">
        <v>517</v>
      </c>
      <c r="C665" s="71"/>
      <c r="D665" s="71"/>
      <c r="E665" s="72"/>
      <c r="F665" s="5"/>
      <c r="G665" s="26">
        <v>1</v>
      </c>
      <c r="H665" s="5">
        <v>2.2999999999999998</v>
      </c>
      <c r="I665" s="5">
        <v>2.88</v>
      </c>
      <c r="J665" s="5"/>
      <c r="K665" s="5">
        <f>IF(COUNTA(H665:J665)=2,ROUND(PRODUCT(H665:J665),2),"")</f>
        <v>6.62</v>
      </c>
      <c r="L665" s="5" t="str">
        <f>IF(OR(AND(COUNTA(H665:J665)=3,K665=""),AND(COUNTA(H665:J665)=1,K665&lt;&gt;"")),ROUND(PRODUCT(H665:K665),2),"")</f>
        <v/>
      </c>
      <c r="M665" s="5">
        <f>IF(L665&lt;&gt;"",ROUND(PRODUCT(F665,G665,L665),2),IF(K665&lt;&gt;"",ROUND(PRODUCT(F665,G665,K665),2),ROUND(PRODUCT(F665:J665),2)))</f>
        <v>6.62</v>
      </c>
      <c r="N665" s="5"/>
    </row>
    <row r="666" spans="1:14" x14ac:dyDescent="0.3">
      <c r="A666" s="23" t="s">
        <v>892</v>
      </c>
      <c r="B666" s="70" t="s">
        <v>517</v>
      </c>
      <c r="C666" s="71"/>
      <c r="D666" s="71"/>
      <c r="E666" s="72"/>
      <c r="F666" s="5"/>
      <c r="G666" s="26">
        <v>2</v>
      </c>
      <c r="H666" s="5">
        <v>2.2999999999999998</v>
      </c>
      <c r="I666" s="5">
        <v>2.2999999999999998</v>
      </c>
      <c r="J666" s="5"/>
      <c r="K666" s="5">
        <f>IF(COUNTA(H666:J666)=2,ROUND(PRODUCT(H666:J666),2),"")</f>
        <v>5.29</v>
      </c>
      <c r="L666" s="5" t="str">
        <f>IF(OR(AND(COUNTA(H666:J666)=3,K666=""),AND(COUNTA(H666:J666)=1,K666&lt;&gt;"")),ROUND(PRODUCT(H666:K666),2),"")</f>
        <v/>
      </c>
      <c r="M666" s="5">
        <f>IF(L666&lt;&gt;"",ROUND(PRODUCT(F666,G666,L666),2),IF(K666&lt;&gt;"",ROUND(PRODUCT(F666,G666,K666),2),ROUND(PRODUCT(F666:J666),2)))</f>
        <v>10.58</v>
      </c>
      <c r="N666" s="5"/>
    </row>
    <row r="667" spans="1:14" x14ac:dyDescent="0.3">
      <c r="A667" s="23" t="s">
        <v>893</v>
      </c>
      <c r="B667" s="70" t="s">
        <v>517</v>
      </c>
      <c r="C667" s="71"/>
      <c r="D667" s="71"/>
      <c r="E667" s="72"/>
      <c r="F667" s="5"/>
      <c r="G667" s="26">
        <v>-3</v>
      </c>
      <c r="H667" s="5">
        <v>1</v>
      </c>
      <c r="I667" s="5">
        <v>0.5</v>
      </c>
      <c r="J667" s="5"/>
      <c r="K667" s="5">
        <f>IF(COUNTA(H667:J667)=2,ROUND(PRODUCT(H667:J667),2),"")</f>
        <v>0.5</v>
      </c>
      <c r="L667" s="5" t="str">
        <f>IF(OR(AND(COUNTA(H667:J667)=3,K667=""),AND(COUNTA(H667:J667)=1,K667&lt;&gt;"")),ROUND(PRODUCT(H667:K667),2),"")</f>
        <v/>
      </c>
      <c r="M667" s="5">
        <f>IF(L667&lt;&gt;"",ROUND(PRODUCT(F667,G667,L667),2),IF(K667&lt;&gt;"",ROUND(PRODUCT(F667,G667,K667),2),ROUND(PRODUCT(F667:J667),2)))</f>
        <v>-1.5</v>
      </c>
      <c r="N667" s="5"/>
    </row>
    <row r="668" spans="1:14" x14ac:dyDescent="0.3">
      <c r="A668" s="23" t="s">
        <v>894</v>
      </c>
      <c r="B668" s="70" t="s">
        <v>517</v>
      </c>
      <c r="C668" s="71"/>
      <c r="D668" s="71"/>
      <c r="E668" s="72"/>
      <c r="F668" s="5"/>
      <c r="G668" s="26">
        <v>-1</v>
      </c>
      <c r="H668" s="5">
        <v>0.8</v>
      </c>
      <c r="I668" s="5">
        <v>2.1</v>
      </c>
      <c r="J668" s="5"/>
      <c r="K668" s="5">
        <f>IF(COUNTA(H668:J668)=2,ROUND(PRODUCT(H668:J668),2),"")</f>
        <v>1.68</v>
      </c>
      <c r="L668" s="5" t="str">
        <f>IF(OR(AND(COUNTA(H668:J668)=3,K668=""),AND(COUNTA(H668:J668)=1,K668&lt;&gt;"")),ROUND(PRODUCT(H668:K668),2),"")</f>
        <v/>
      </c>
      <c r="M668" s="5">
        <f>IF(L668&lt;&gt;"",ROUND(PRODUCT(F668,G668,L668),2),IF(K668&lt;&gt;"",ROUND(PRODUCT(F668,G668,K668),2),ROUND(PRODUCT(F668:J668),2)))</f>
        <v>-1.68</v>
      </c>
      <c r="N668" s="5"/>
    </row>
    <row r="669" spans="1:14" ht="43.2" x14ac:dyDescent="0.3">
      <c r="A669" s="23" t="s">
        <v>421</v>
      </c>
      <c r="B669" s="23">
        <v>101161</v>
      </c>
      <c r="C669" s="23" t="str">
        <f>VLOOKUP(B669,CPU!$B:$J,2,FALSE)</f>
        <v>SINAPI</v>
      </c>
      <c r="D669" s="24" t="str">
        <f>VLOOKUP(B669,CPU!$B:$J,3,FALSE)</f>
        <v>ALVENARIA DE VEDAÇÃO COM ELEMENTO VAZADO DE CONCRETO (COBOGÓ) DE 7X50X50CM E ARGAMASSA DE ASSENTAMENTO COM PREPARO EM BETONEIRA. AF_05/2020</v>
      </c>
      <c r="E669" s="23" t="str">
        <f>VLOOKUP(B669,CPU!$B:$J,4,FALSE)</f>
        <v>M2</v>
      </c>
      <c r="F669" s="23"/>
      <c r="G669" s="23"/>
      <c r="H669" s="23"/>
      <c r="I669" s="23"/>
      <c r="J669" s="23"/>
      <c r="K669" s="23"/>
      <c r="L669" s="23"/>
      <c r="M669" s="23"/>
      <c r="N669" s="5">
        <f>SUM($M$670:$M$670)</f>
        <v>1.5</v>
      </c>
    </row>
    <row r="670" spans="1:14" x14ac:dyDescent="0.3">
      <c r="A670" s="23" t="s">
        <v>895</v>
      </c>
      <c r="B670" s="70" t="s">
        <v>517</v>
      </c>
      <c r="C670" s="71"/>
      <c r="D670" s="71"/>
      <c r="E670" s="72"/>
      <c r="F670" s="5"/>
      <c r="G670" s="26">
        <v>3</v>
      </c>
      <c r="H670" s="5">
        <v>1</v>
      </c>
      <c r="I670" s="5">
        <v>0.5</v>
      </c>
      <c r="J670" s="5"/>
      <c r="K670" s="5">
        <f>IF(COUNTA(H670:J670)=2,ROUND(PRODUCT(H670:J670),2),"")</f>
        <v>0.5</v>
      </c>
      <c r="L670" s="5" t="str">
        <f>IF(OR(AND(COUNTA(H670:J670)=3,K670=""),AND(COUNTA(H670:J670)=1,K670&lt;&gt;"")),ROUND(PRODUCT(H670:K670),2),"")</f>
        <v/>
      </c>
      <c r="M670" s="5">
        <f>IF(L670&lt;&gt;"",ROUND(PRODUCT(F670,G670,L670),2),IF(K670&lt;&gt;"",ROUND(PRODUCT(F670,G670,K670),2),ROUND(PRODUCT(F670:J670),2)))</f>
        <v>1.5</v>
      </c>
      <c r="N670" s="5"/>
    </row>
    <row r="671" spans="1:14" x14ac:dyDescent="0.3">
      <c r="A671" s="15" t="s">
        <v>120</v>
      </c>
      <c r="B671" s="48" t="s">
        <v>685</v>
      </c>
      <c r="C671" s="49"/>
      <c r="D671" s="49"/>
      <c r="E671" s="49"/>
      <c r="F671" s="49"/>
      <c r="G671" s="49"/>
      <c r="H671" s="49"/>
      <c r="I671" s="49"/>
      <c r="J671" s="49"/>
      <c r="K671" s="49"/>
      <c r="L671" s="49"/>
      <c r="M671" s="49"/>
      <c r="N671" s="50"/>
    </row>
    <row r="672" spans="1:14" ht="28.8" x14ac:dyDescent="0.3">
      <c r="A672" s="23" t="s">
        <v>422</v>
      </c>
      <c r="B672" s="23" t="s">
        <v>588</v>
      </c>
      <c r="C672" s="23" t="str">
        <f>VLOOKUP(B672,CPU!$B:$J,2,FALSE)</f>
        <v>PRÓPRIA</v>
      </c>
      <c r="D672" s="24" t="str">
        <f>VLOOKUP(B672,CPU!$B:$J,3,FALSE)</f>
        <v>TELHAMENTO COM TELHA CERÂMICA CAPA-CANAL, TIPO COLONIAL, COM ATÉ 2 ÁGUAS, INCLUSO TRANSPORTE VERTICAL</v>
      </c>
      <c r="E672" s="23" t="str">
        <f>VLOOKUP(B672,CPU!$B:$J,4,FALSE)</f>
        <v>M²</v>
      </c>
      <c r="F672" s="23"/>
      <c r="G672" s="23"/>
      <c r="H672" s="23"/>
      <c r="I672" s="23"/>
      <c r="J672" s="23"/>
      <c r="K672" s="23"/>
      <c r="L672" s="23"/>
      <c r="M672" s="23"/>
      <c r="N672" s="5">
        <f>SUM($M$673:$M$673)</f>
        <v>10.23</v>
      </c>
    </row>
    <row r="673" spans="1:14" x14ac:dyDescent="0.3">
      <c r="A673" s="23" t="s">
        <v>896</v>
      </c>
      <c r="B673" s="70" t="s">
        <v>517</v>
      </c>
      <c r="C673" s="71"/>
      <c r="D673" s="71"/>
      <c r="E673" s="72"/>
      <c r="F673" s="5"/>
      <c r="G673" s="26"/>
      <c r="H673" s="5">
        <v>3.1</v>
      </c>
      <c r="I673" s="5">
        <v>3.3</v>
      </c>
      <c r="J673" s="5"/>
      <c r="K673" s="5">
        <f>IF(COUNTA(H673:J673)=2,ROUND(PRODUCT(H673:J673),2),"")</f>
        <v>10.23</v>
      </c>
      <c r="L673" s="5" t="str">
        <f>IF(OR(AND(COUNTA(H673:J673)=3,K673=""),AND(COUNTA(H673:J673)=1,K673&lt;&gt;"")),ROUND(PRODUCT(H673:K673),2),"")</f>
        <v/>
      </c>
      <c r="M673" s="5">
        <f>IF(L673&lt;&gt;"",ROUND(PRODUCT(F673,G673,L673),2),IF(K673&lt;&gt;"",ROUND(PRODUCT(F673,G673,K673),2),ROUND(PRODUCT(F673:J673),2)))</f>
        <v>10.23</v>
      </c>
      <c r="N673" s="5"/>
    </row>
    <row r="674" spans="1:14" ht="28.8" x14ac:dyDescent="0.3">
      <c r="A674" s="23" t="s">
        <v>423</v>
      </c>
      <c r="B674" s="23" t="s">
        <v>590</v>
      </c>
      <c r="C674" s="23" t="str">
        <f>VLOOKUP(B674,CPU!$B:$J,2,FALSE)</f>
        <v>PRÓPRIA</v>
      </c>
      <c r="D674" s="24" t="str">
        <f>VLOOKUP(B674,CPU!$B:$J,3,FALSE)</f>
        <v>TRAMA DE MADEIRA COMPOSTA POR RIPAS, CAIBROS E TERÇAS PARA TELHADOS DE ATÉ 2 ÁGUAS PARA TELHA CERÂMICA CAPA-CANAL, INCLUSO TRANSPORTE VERTICAL</v>
      </c>
      <c r="E674" s="23" t="str">
        <f>VLOOKUP(B674,CPU!$B:$J,4,FALSE)</f>
        <v>M²</v>
      </c>
      <c r="F674" s="23"/>
      <c r="G674" s="23"/>
      <c r="H674" s="23"/>
      <c r="I674" s="23"/>
      <c r="J674" s="23"/>
      <c r="K674" s="23"/>
      <c r="L674" s="23"/>
      <c r="M674" s="23"/>
      <c r="N674" s="5">
        <f>SUM($M$675:$M$675)</f>
        <v>10.23</v>
      </c>
    </row>
    <row r="675" spans="1:14" x14ac:dyDescent="0.3">
      <c r="A675" s="23" t="s">
        <v>897</v>
      </c>
      <c r="B675" s="70" t="s">
        <v>517</v>
      </c>
      <c r="C675" s="71"/>
      <c r="D675" s="71"/>
      <c r="E675" s="72"/>
      <c r="F675" s="5"/>
      <c r="G675" s="26"/>
      <c r="H675" s="5">
        <v>3.1</v>
      </c>
      <c r="I675" s="5">
        <v>3.3</v>
      </c>
      <c r="J675" s="5"/>
      <c r="K675" s="5">
        <f>IF(COUNTA(H675:J675)=2,ROUND(PRODUCT(H675:J675),2),"")</f>
        <v>10.23</v>
      </c>
      <c r="L675" s="5" t="str">
        <f>IF(OR(AND(COUNTA(H675:J675)=3,K675=""),AND(COUNTA(H675:J675)=1,K675&lt;&gt;"")),ROUND(PRODUCT(H675:K675),2),"")</f>
        <v/>
      </c>
      <c r="M675" s="5">
        <f>IF(L675&lt;&gt;"",ROUND(PRODUCT(F675,G675,L675),2),IF(K675&lt;&gt;"",ROUND(PRODUCT(F675,G675,K675),2),ROUND(PRODUCT(F675:J675),2)))</f>
        <v>10.23</v>
      </c>
      <c r="N675" s="5"/>
    </row>
    <row r="676" spans="1:14" x14ac:dyDescent="0.3">
      <c r="A676" s="15" t="s">
        <v>121</v>
      </c>
      <c r="B676" s="48" t="s">
        <v>592</v>
      </c>
      <c r="C676" s="49"/>
      <c r="D676" s="49"/>
      <c r="E676" s="49"/>
      <c r="F676" s="49"/>
      <c r="G676" s="49"/>
      <c r="H676" s="49"/>
      <c r="I676" s="49"/>
      <c r="J676" s="49"/>
      <c r="K676" s="49"/>
      <c r="L676" s="49"/>
      <c r="M676" s="49"/>
      <c r="N676" s="50"/>
    </row>
    <row r="677" spans="1:14" ht="28.8" x14ac:dyDescent="0.3">
      <c r="A677" s="23" t="s">
        <v>424</v>
      </c>
      <c r="B677" s="23">
        <v>96617</v>
      </c>
      <c r="C677" s="23" t="str">
        <f>VLOOKUP(B677,CPU!$B:$J,2,FALSE)</f>
        <v>SINAPI</v>
      </c>
      <c r="D677" s="24" t="str">
        <f>VLOOKUP(B677,CPU!$B:$J,3,FALSE)</f>
        <v>LASTRO DE CONCRETO MAGRO, APLICADO EM BLOCOS DE COROAMENTO OU SAPATAS, ESPESSURA DE 3 CM. AF_01/2024</v>
      </c>
      <c r="E677" s="23" t="str">
        <f>VLOOKUP(B677,CPU!$B:$J,4,FALSE)</f>
        <v>M2</v>
      </c>
      <c r="F677" s="23"/>
      <c r="G677" s="23"/>
      <c r="H677" s="23"/>
      <c r="I677" s="23"/>
      <c r="J677" s="23"/>
      <c r="K677" s="23"/>
      <c r="L677" s="23"/>
      <c r="M677" s="23"/>
      <c r="N677" s="5">
        <f>SUM($M$678:$M$678)</f>
        <v>4</v>
      </c>
    </row>
    <row r="678" spans="1:14" x14ac:dyDescent="0.3">
      <c r="A678" s="23" t="s">
        <v>898</v>
      </c>
      <c r="B678" s="70" t="s">
        <v>517</v>
      </c>
      <c r="C678" s="71"/>
      <c r="D678" s="71"/>
      <c r="E678" s="72"/>
      <c r="F678" s="5"/>
      <c r="G678" s="26"/>
      <c r="H678" s="5">
        <v>2</v>
      </c>
      <c r="I678" s="5">
        <v>2</v>
      </c>
      <c r="J678" s="5"/>
      <c r="K678" s="5">
        <f>IF(COUNTA(H678:J678)=2,ROUND(PRODUCT(H678:J678),2),"")</f>
        <v>4</v>
      </c>
      <c r="L678" s="5" t="str">
        <f>IF(OR(AND(COUNTA(H678:J678)=3,K678=""),AND(COUNTA(H678:J678)=1,K678&lt;&gt;"")),ROUND(PRODUCT(H678:K678),2),"")</f>
        <v/>
      </c>
      <c r="M678" s="5">
        <f>IF(L678&lt;&gt;"",ROUND(PRODUCT(F678,G678,L678),2),IF(K678&lt;&gt;"",ROUND(PRODUCT(F678,G678,K678),2),ROUND(PRODUCT(F678:J678),2)))</f>
        <v>4</v>
      </c>
      <c r="N678" s="5"/>
    </row>
    <row r="679" spans="1:14" ht="28.8" x14ac:dyDescent="0.3">
      <c r="A679" s="23" t="s">
        <v>425</v>
      </c>
      <c r="B679" s="23">
        <v>101749</v>
      </c>
      <c r="C679" s="23" t="str">
        <f>VLOOKUP(B679,CPU!$B:$J,2,FALSE)</f>
        <v>SINAPI</v>
      </c>
      <c r="D679" s="24" t="str">
        <f>VLOOKUP(B679,CPU!$B:$J,3,FALSE)</f>
        <v>PISO CIMENTADO, TRAÇO 1:3 (CIMENTO E AREIA), ACABAMENTO LISO, ESPESSURA 4,0 CM, PREPARO MECÂNICO DA ARGAMASSA. AF_09/2020</v>
      </c>
      <c r="E679" s="23" t="str">
        <f>VLOOKUP(B679,CPU!$B:$J,4,FALSE)</f>
        <v>M2</v>
      </c>
      <c r="F679" s="23"/>
      <c r="G679" s="23"/>
      <c r="H679" s="23"/>
      <c r="I679" s="23"/>
      <c r="J679" s="23"/>
      <c r="K679" s="23"/>
      <c r="L679" s="23"/>
      <c r="M679" s="23"/>
      <c r="N679" s="5">
        <f>SUM($M$680:$M$680)</f>
        <v>4</v>
      </c>
    </row>
    <row r="680" spans="1:14" x14ac:dyDescent="0.3">
      <c r="A680" s="23" t="s">
        <v>899</v>
      </c>
      <c r="B680" s="70" t="s">
        <v>517</v>
      </c>
      <c r="C680" s="71"/>
      <c r="D680" s="71"/>
      <c r="E680" s="72"/>
      <c r="F680" s="5"/>
      <c r="G680" s="26"/>
      <c r="H680" s="5">
        <v>2</v>
      </c>
      <c r="I680" s="5">
        <v>2</v>
      </c>
      <c r="J680" s="5"/>
      <c r="K680" s="5">
        <f>IF(COUNTA(H680:J680)=2,ROUND(PRODUCT(H680:J680),2),"")</f>
        <v>4</v>
      </c>
      <c r="L680" s="5" t="str">
        <f>IF(OR(AND(COUNTA(H680:J680)=3,K680=""),AND(COUNTA(H680:J680)=1,K680&lt;&gt;"")),ROUND(PRODUCT(H680:K680),2),"")</f>
        <v/>
      </c>
      <c r="M680" s="5">
        <f>IF(L680&lt;&gt;"",ROUND(PRODUCT(F680,G680,L680),2),IF(K680&lt;&gt;"",ROUND(PRODUCT(F680,G680,K680),2),ROUND(PRODUCT(F680:J680),2)))</f>
        <v>4</v>
      </c>
      <c r="N680" s="5"/>
    </row>
    <row r="681" spans="1:14" ht="43.2" x14ac:dyDescent="0.3">
      <c r="A681" s="23" t="s">
        <v>426</v>
      </c>
      <c r="B681" s="23">
        <v>94994</v>
      </c>
      <c r="C681" s="23" t="str">
        <f>VLOOKUP(B681,CPU!$B:$J,2,FALSE)</f>
        <v>SINAPI</v>
      </c>
      <c r="D681" s="24" t="str">
        <f>VLOOKUP(B681,CPU!$B:$J,3,FALSE)</f>
        <v>EXECUÇÃO DE PASSEIO (CALÇADA) OU PISO DE CONCRETO COM CONCRETO MOLDADO IN LOCO, FEITO EM OBRA, ACABAMENTO CONVENCIONAL, ESPESSURA 8 CM, ARMADO. AF_08/2022</v>
      </c>
      <c r="E681" s="23" t="str">
        <f>VLOOKUP(B681,CPU!$B:$J,4,FALSE)</f>
        <v>M2</v>
      </c>
      <c r="F681" s="23"/>
      <c r="G681" s="23"/>
      <c r="H681" s="23"/>
      <c r="I681" s="23"/>
      <c r="J681" s="23"/>
      <c r="K681" s="23"/>
      <c r="L681" s="23"/>
      <c r="M681" s="23"/>
      <c r="N681" s="5">
        <f>SUM($M$682:$M$683)</f>
        <v>5.6</v>
      </c>
    </row>
    <row r="682" spans="1:14" x14ac:dyDescent="0.3">
      <c r="A682" s="23" t="s">
        <v>900</v>
      </c>
      <c r="B682" s="70" t="s">
        <v>517</v>
      </c>
      <c r="C682" s="71"/>
      <c r="D682" s="71"/>
      <c r="E682" s="72"/>
      <c r="F682" s="5"/>
      <c r="G682" s="26">
        <v>2</v>
      </c>
      <c r="H682" s="5">
        <v>3.3</v>
      </c>
      <c r="I682" s="5">
        <v>0.5</v>
      </c>
      <c r="J682" s="5"/>
      <c r="K682" s="5">
        <f>IF(COUNTA(H682:J682)=2,ROUND(PRODUCT(H682:J682),2),"")</f>
        <v>1.65</v>
      </c>
      <c r="L682" s="5" t="str">
        <f>IF(OR(AND(COUNTA(H682:J682)=3,K682=""),AND(COUNTA(H682:J682)=1,K682&lt;&gt;"")),ROUND(PRODUCT(H682:K682),2),"")</f>
        <v/>
      </c>
      <c r="M682" s="5">
        <f>IF(L682&lt;&gt;"",ROUND(PRODUCT(F682,G682,L682),2),IF(K682&lt;&gt;"",ROUND(PRODUCT(F682,G682,K682),2),ROUND(PRODUCT(F682:J682),2)))</f>
        <v>3.3</v>
      </c>
      <c r="N682" s="5"/>
    </row>
    <row r="683" spans="1:14" x14ac:dyDescent="0.3">
      <c r="A683" s="23" t="s">
        <v>901</v>
      </c>
      <c r="B683" s="70" t="s">
        <v>517</v>
      </c>
      <c r="C683" s="71"/>
      <c r="D683" s="71"/>
      <c r="E683" s="72"/>
      <c r="F683" s="5"/>
      <c r="G683" s="26">
        <v>2</v>
      </c>
      <c r="H683" s="5">
        <v>2.2999999999999998</v>
      </c>
      <c r="I683" s="5">
        <v>0.5</v>
      </c>
      <c r="J683" s="5"/>
      <c r="K683" s="5">
        <f>IF(COUNTA(H683:J683)=2,ROUND(PRODUCT(H683:J683),2),"")</f>
        <v>1.1499999999999999</v>
      </c>
      <c r="L683" s="5" t="str">
        <f>IF(OR(AND(COUNTA(H683:J683)=3,K683=""),AND(COUNTA(H683:J683)=1,K683&lt;&gt;"")),ROUND(PRODUCT(H683:K683),2),"")</f>
        <v/>
      </c>
      <c r="M683" s="5">
        <f>IF(L683&lt;&gt;"",ROUND(PRODUCT(F683,G683,L683),2),IF(K683&lt;&gt;"",ROUND(PRODUCT(F683,G683,K683),2),ROUND(PRODUCT(F683:J683),2)))</f>
        <v>2.2999999999999998</v>
      </c>
      <c r="N683" s="5"/>
    </row>
    <row r="684" spans="1:14" x14ac:dyDescent="0.3">
      <c r="A684" s="15" t="s">
        <v>122</v>
      </c>
      <c r="B684" s="48" t="s">
        <v>597</v>
      </c>
      <c r="C684" s="49"/>
      <c r="D684" s="49"/>
      <c r="E684" s="49"/>
      <c r="F684" s="49"/>
      <c r="G684" s="49"/>
      <c r="H684" s="49"/>
      <c r="I684" s="49"/>
      <c r="J684" s="49"/>
      <c r="K684" s="49"/>
      <c r="L684" s="49"/>
      <c r="M684" s="49"/>
      <c r="N684" s="50"/>
    </row>
    <row r="685" spans="1:14" ht="43.2" x14ac:dyDescent="0.3">
      <c r="A685" s="23" t="s">
        <v>427</v>
      </c>
      <c r="B685" s="23">
        <v>87904</v>
      </c>
      <c r="C685" s="23" t="str">
        <f>VLOOKUP(B685,CPU!$B:$J,2,FALSE)</f>
        <v>SINAPI</v>
      </c>
      <c r="D685" s="24" t="str">
        <f>VLOOKUP(B685,CPU!$B:$J,3,FALSE)</f>
        <v>CHAPISCO APLICADO EM ALVENARIA (COM PRESENÇA DE VÃOS) E ESTRUTURAS DE CONCRETO DE FACHADA, COM COLHER DE PEDREIRO. ARGAMASSA TRAÇO 1:3 COM PREPARO MANUAL. AF_10/2022</v>
      </c>
      <c r="E685" s="23" t="str">
        <f>VLOOKUP(B685,CPU!$B:$J,4,FALSE)</f>
        <v>M2</v>
      </c>
      <c r="F685" s="23"/>
      <c r="G685" s="23"/>
      <c r="H685" s="23"/>
      <c r="I685" s="23"/>
      <c r="J685" s="23"/>
      <c r="K685" s="23"/>
      <c r="L685" s="23"/>
      <c r="M685" s="23"/>
      <c r="N685" s="5">
        <f>SUM($M$686:$M$686)</f>
        <v>38.619999999999997</v>
      </c>
    </row>
    <row r="686" spans="1:14" x14ac:dyDescent="0.3">
      <c r="A686" s="23" t="s">
        <v>902</v>
      </c>
      <c r="B686" s="70" t="s">
        <v>599</v>
      </c>
      <c r="C686" s="71"/>
      <c r="D686" s="71"/>
      <c r="E686" s="72"/>
      <c r="F686" s="5"/>
      <c r="G686" s="26">
        <v>2</v>
      </c>
      <c r="H686" s="5"/>
      <c r="I686" s="5"/>
      <c r="J686" s="5"/>
      <c r="K686" s="5">
        <v>19.309999999999999</v>
      </c>
      <c r="L686" s="5" t="str">
        <f>IF(OR(AND(COUNTA(H686:J686)=3,K686=""),AND(COUNTA(H686:J686)=1,K686&lt;&gt;"")),ROUND(PRODUCT(H686:K686),2),"")</f>
        <v/>
      </c>
      <c r="M686" s="5">
        <f>IF(L686&lt;&gt;"",ROUND(PRODUCT(F686,G686,L686),2),IF(K686&lt;&gt;"",ROUND(PRODUCT(F686,G686,K686),2),ROUND(PRODUCT(F686:J686),2)))</f>
        <v>38.619999999999997</v>
      </c>
      <c r="N686" s="5"/>
    </row>
    <row r="687" spans="1:14" ht="43.2" x14ac:dyDescent="0.3">
      <c r="A687" s="23" t="s">
        <v>428</v>
      </c>
      <c r="B687" s="23">
        <v>87530</v>
      </c>
      <c r="C687" s="23" t="str">
        <f>VLOOKUP(B687,CPU!$B:$J,2,FALSE)</f>
        <v>SINAPI</v>
      </c>
      <c r="D687" s="24" t="str">
        <f>VLOOKUP(B687,CPU!$B:$J,3,FALSE)</f>
        <v>MASSA ÚNICA, EM ARGAMASSA TRAÇO 1:2:8, PREPARO MANUAL, APLICADA MANUALMENTE EM PAREDES INTERNAS DE AMBIENTES COM ÁREA ENTRE 5M² E 10M², E = 17,5MM, COM TALISCAS. AF_03/2024</v>
      </c>
      <c r="E687" s="23" t="str">
        <f>VLOOKUP(B687,CPU!$B:$J,4,FALSE)</f>
        <v>M2</v>
      </c>
      <c r="F687" s="23"/>
      <c r="G687" s="23"/>
      <c r="H687" s="23"/>
      <c r="I687" s="23"/>
      <c r="J687" s="23"/>
      <c r="K687" s="23"/>
      <c r="L687" s="23"/>
      <c r="M687" s="23"/>
      <c r="N687" s="5">
        <f>SUM($M$688:$M$688)</f>
        <v>38.619999999999997</v>
      </c>
    </row>
    <row r="688" spans="1:14" x14ac:dyDescent="0.3">
      <c r="A688" s="23" t="s">
        <v>903</v>
      </c>
      <c r="B688" s="70" t="s">
        <v>599</v>
      </c>
      <c r="C688" s="71"/>
      <c r="D688" s="71"/>
      <c r="E688" s="72"/>
      <c r="F688" s="5"/>
      <c r="G688" s="26">
        <v>2</v>
      </c>
      <c r="H688" s="5"/>
      <c r="I688" s="5"/>
      <c r="J688" s="5"/>
      <c r="K688" s="5">
        <v>19.309999999999999</v>
      </c>
      <c r="L688" s="5" t="str">
        <f>IF(OR(AND(COUNTA(H688:J688)=3,K688=""),AND(COUNTA(H688:J688)=1,K688&lt;&gt;"")),ROUND(PRODUCT(H688:K688),2),"")</f>
        <v/>
      </c>
      <c r="M688" s="5">
        <f>IF(L688&lt;&gt;"",ROUND(PRODUCT(F688,G688,L688),2),IF(K688&lt;&gt;"",ROUND(PRODUCT(F688,G688,K688),2),ROUND(PRODUCT(F688:J688),2)))</f>
        <v>38.619999999999997</v>
      </c>
      <c r="N688" s="5"/>
    </row>
    <row r="689" spans="1:14" x14ac:dyDescent="0.3">
      <c r="A689" s="15" t="s">
        <v>123</v>
      </c>
      <c r="B689" s="48" t="s">
        <v>601</v>
      </c>
      <c r="C689" s="49"/>
      <c r="D689" s="49"/>
      <c r="E689" s="49"/>
      <c r="F689" s="49"/>
      <c r="G689" s="49"/>
      <c r="H689" s="49"/>
      <c r="I689" s="49"/>
      <c r="J689" s="49"/>
      <c r="K689" s="49"/>
      <c r="L689" s="49"/>
      <c r="M689" s="49"/>
      <c r="N689" s="50"/>
    </row>
    <row r="690" spans="1:14" x14ac:dyDescent="0.3">
      <c r="A690" s="23" t="s">
        <v>429</v>
      </c>
      <c r="B690" s="23">
        <v>100701</v>
      </c>
      <c r="C690" s="23" t="str">
        <f>VLOOKUP(B690,CPU!$B:$J,2,FALSE)</f>
        <v>SINAPI</v>
      </c>
      <c r="D690" s="24" t="str">
        <f>VLOOKUP(B690,CPU!$B:$J,3,FALSE)</f>
        <v>PORTA DE FERRO, DE ABRIR, TIPO GRADE COM CHAPA, COM GUARNIÇÕES. AF_12/2019</v>
      </c>
      <c r="E690" s="23" t="str">
        <f>VLOOKUP(B690,CPU!$B:$J,4,FALSE)</f>
        <v>M2</v>
      </c>
      <c r="F690" s="23"/>
      <c r="G690" s="23"/>
      <c r="H690" s="23"/>
      <c r="I690" s="23"/>
      <c r="J690" s="23"/>
      <c r="K690" s="23"/>
      <c r="L690" s="23"/>
      <c r="M690" s="23"/>
      <c r="N690" s="5">
        <f>SUM($M$691:$M$691)</f>
        <v>1.68</v>
      </c>
    </row>
    <row r="691" spans="1:14" x14ac:dyDescent="0.3">
      <c r="A691" s="23" t="s">
        <v>904</v>
      </c>
      <c r="B691" s="70" t="s">
        <v>517</v>
      </c>
      <c r="C691" s="71"/>
      <c r="D691" s="71"/>
      <c r="E691" s="72"/>
      <c r="F691" s="5"/>
      <c r="G691" s="26">
        <v>1</v>
      </c>
      <c r="H691" s="5"/>
      <c r="I691" s="5">
        <v>0.8</v>
      </c>
      <c r="J691" s="5">
        <v>2.1</v>
      </c>
      <c r="K691" s="5">
        <f>IF(COUNTA(H691:J691)=2,ROUND(PRODUCT(H691:J691),2),"")</f>
        <v>1.68</v>
      </c>
      <c r="L691" s="5" t="str">
        <f>IF(OR(AND(COUNTA(H691:J691)=3,K691=""),AND(COUNTA(H691:J691)=1,K691&lt;&gt;"")),ROUND(PRODUCT(H691:K691),2),"")</f>
        <v/>
      </c>
      <c r="M691" s="5">
        <f>IF(L691&lt;&gt;"",ROUND(PRODUCT(F691,G691,L691),2),IF(K691&lt;&gt;"",ROUND(PRODUCT(F691,G691,K691),2),ROUND(PRODUCT(F691:J691),2)))</f>
        <v>1.68</v>
      </c>
      <c r="N691" s="5"/>
    </row>
    <row r="692" spans="1:14" x14ac:dyDescent="0.3">
      <c r="A692" s="23" t="s">
        <v>430</v>
      </c>
      <c r="B692" s="23" t="s">
        <v>603</v>
      </c>
      <c r="C692" s="23" t="str">
        <f>VLOOKUP(B692,CPU!$B:$J,2,FALSE)</f>
        <v>PRÓPRIA</v>
      </c>
      <c r="D692" s="24" t="str">
        <f>VLOOKUP(B692,CPU!$B:$J,3,FALSE)</f>
        <v>PORTÃO DE FERRO EM BARRA CHATA TIPO TIJOLINHO (REF: C1999-SEINFRA 28)</v>
      </c>
      <c r="E692" s="23" t="str">
        <f>VLOOKUP(B692,CPU!$B:$J,4,FALSE)</f>
        <v>M2</v>
      </c>
      <c r="F692" s="23"/>
      <c r="G692" s="23"/>
      <c r="H692" s="23"/>
      <c r="I692" s="23"/>
      <c r="J692" s="23"/>
      <c r="K692" s="23"/>
      <c r="L692" s="23"/>
      <c r="M692" s="23"/>
      <c r="N692" s="5">
        <f>SUM($M$693:$M$693)</f>
        <v>6</v>
      </c>
    </row>
    <row r="693" spans="1:14" x14ac:dyDescent="0.3">
      <c r="A693" s="23" t="s">
        <v>905</v>
      </c>
      <c r="B693" s="70" t="s">
        <v>517</v>
      </c>
      <c r="C693" s="71"/>
      <c r="D693" s="71"/>
      <c r="E693" s="72"/>
      <c r="F693" s="5"/>
      <c r="G693" s="26"/>
      <c r="H693" s="5"/>
      <c r="I693" s="5">
        <v>3</v>
      </c>
      <c r="J693" s="5">
        <v>2</v>
      </c>
      <c r="K693" s="5">
        <f>IF(COUNTA(H693:J693)=2,ROUND(PRODUCT(H693:J693),2),"")</f>
        <v>6</v>
      </c>
      <c r="L693" s="5" t="str">
        <f>IF(OR(AND(COUNTA(H693:J693)=3,K693=""),AND(COUNTA(H693:J693)=1,K693&lt;&gt;"")),ROUND(PRODUCT(H693:K693),2),"")</f>
        <v/>
      </c>
      <c r="M693" s="5">
        <f>IF(L693&lt;&gt;"",ROUND(PRODUCT(F693,G693,L693),2),IF(K693&lt;&gt;"",ROUND(PRODUCT(F693,G693,K693),2),ROUND(PRODUCT(F693:J693),2)))</f>
        <v>6</v>
      </c>
      <c r="N693" s="5"/>
    </row>
    <row r="694" spans="1:14" x14ac:dyDescent="0.3">
      <c r="A694" s="15" t="s">
        <v>124</v>
      </c>
      <c r="B694" s="48" t="s">
        <v>605</v>
      </c>
      <c r="C694" s="49"/>
      <c r="D694" s="49"/>
      <c r="E694" s="49"/>
      <c r="F694" s="49"/>
      <c r="G694" s="49"/>
      <c r="H694" s="49"/>
      <c r="I694" s="49"/>
      <c r="J694" s="49"/>
      <c r="K694" s="49"/>
      <c r="L694" s="49"/>
      <c r="M694" s="49"/>
      <c r="N694" s="50"/>
    </row>
    <row r="695" spans="1:14" x14ac:dyDescent="0.3">
      <c r="A695" s="23" t="s">
        <v>431</v>
      </c>
      <c r="B695" s="23" t="s">
        <v>606</v>
      </c>
      <c r="C695" s="23" t="str">
        <f>VLOOKUP(B695,CPU!$B:$J,2,FALSE)</f>
        <v>PRÓPRIA</v>
      </c>
      <c r="D695" s="24" t="str">
        <f>VLOOKUP(B695,CPU!$B:$J,3,FALSE)</f>
        <v>CAIAÇÃO EM TRES DEMÃOS EM PAREDES (REF: C0589-SEINFRA 28)</v>
      </c>
      <c r="E695" s="23" t="str">
        <f>VLOOKUP(B695,CPU!$B:$J,4,FALSE)</f>
        <v>M2</v>
      </c>
      <c r="F695" s="23"/>
      <c r="G695" s="23"/>
      <c r="H695" s="23"/>
      <c r="I695" s="23"/>
      <c r="J695" s="23"/>
      <c r="K695" s="23"/>
      <c r="L695" s="23"/>
      <c r="M695" s="23"/>
      <c r="N695" s="5">
        <f>SUM($M$696:$M$696)</f>
        <v>38.619999999999997</v>
      </c>
    </row>
    <row r="696" spans="1:14" x14ac:dyDescent="0.3">
      <c r="A696" s="23" t="s">
        <v>906</v>
      </c>
      <c r="B696" s="70" t="s">
        <v>599</v>
      </c>
      <c r="C696" s="71"/>
      <c r="D696" s="71"/>
      <c r="E696" s="72"/>
      <c r="F696" s="5"/>
      <c r="G696" s="26">
        <v>2</v>
      </c>
      <c r="H696" s="5"/>
      <c r="I696" s="5"/>
      <c r="J696" s="5"/>
      <c r="K696" s="5">
        <v>19.309999999999999</v>
      </c>
      <c r="L696" s="5" t="str">
        <f>IF(OR(AND(COUNTA(H696:J696)=3,K696=""),AND(COUNTA(H696:J696)=1,K696&lt;&gt;"")),ROUND(PRODUCT(H696:K696),2),"")</f>
        <v/>
      </c>
      <c r="M696" s="5">
        <f>IF(L696&lt;&gt;"",ROUND(PRODUCT(F696,G696,L696),2),IF(K696&lt;&gt;"",ROUND(PRODUCT(F696,G696,K696),2),ROUND(PRODUCT(F696:J696),2)))</f>
        <v>38.619999999999997</v>
      </c>
      <c r="N696" s="5"/>
    </row>
    <row r="697" spans="1:14" ht="43.2" x14ac:dyDescent="0.3">
      <c r="A697" s="23" t="s">
        <v>432</v>
      </c>
      <c r="B697" s="23">
        <v>100758</v>
      </c>
      <c r="C697" s="23" t="str">
        <f>VLOOKUP(B697,CPU!$B:$J,2,FALSE)</f>
        <v>SINAPI</v>
      </c>
      <c r="D697" s="24" t="str">
        <f>VLOOKUP(B697,CPU!$B:$J,3,FALSE)</f>
        <v>PINTURA COM TINTA ALQUÍDICA DE ACABAMENTO (ESMALTE SINTÉTICO ACETINADO) APLICADA A ROLO OU PINCEL SOBRE SUPERFÍCIES METÁLICAS (EXCETO PERFIL) EXECUTADO EM OBRA (02 DEMÃOS). AF_01/2020</v>
      </c>
      <c r="E697" s="23" t="str">
        <f>VLOOKUP(B697,CPU!$B:$J,4,FALSE)</f>
        <v>M2</v>
      </c>
      <c r="F697" s="23"/>
      <c r="G697" s="23"/>
      <c r="H697" s="23"/>
      <c r="I697" s="23"/>
      <c r="J697" s="23"/>
      <c r="K697" s="23"/>
      <c r="L697" s="23"/>
      <c r="M697" s="23"/>
      <c r="N697" s="5">
        <f>SUM($M$698:$M$698)</f>
        <v>3.36</v>
      </c>
    </row>
    <row r="698" spans="1:14" x14ac:dyDescent="0.3">
      <c r="A698" s="23" t="s">
        <v>907</v>
      </c>
      <c r="B698" s="70" t="s">
        <v>609</v>
      </c>
      <c r="C698" s="71"/>
      <c r="D698" s="71"/>
      <c r="E698" s="72"/>
      <c r="F698" s="5"/>
      <c r="G698" s="26">
        <v>2</v>
      </c>
      <c r="H698" s="5"/>
      <c r="I698" s="5">
        <v>0.8</v>
      </c>
      <c r="J698" s="5">
        <v>2.1</v>
      </c>
      <c r="K698" s="5">
        <f>IF(COUNTA(H698:J698)=2,ROUND(PRODUCT(H698:J698),2),"")</f>
        <v>1.68</v>
      </c>
      <c r="L698" s="5" t="str">
        <f>IF(OR(AND(COUNTA(H698:J698)=3,K698=""),AND(COUNTA(H698:J698)=1,K698&lt;&gt;"")),ROUND(PRODUCT(H698:K698),2),"")</f>
        <v/>
      </c>
      <c r="M698" s="5">
        <f>IF(L698&lt;&gt;"",ROUND(PRODUCT(F698,G698,L698),2),IF(K698&lt;&gt;"",ROUND(PRODUCT(F698,G698,K698),2),ROUND(PRODUCT(F698:J698),2)))</f>
        <v>3.36</v>
      </c>
      <c r="N698" s="5"/>
    </row>
    <row r="699" spans="1:14" x14ac:dyDescent="0.3">
      <c r="A699" s="15" t="s">
        <v>125</v>
      </c>
      <c r="B699" s="48" t="s">
        <v>610</v>
      </c>
      <c r="C699" s="49"/>
      <c r="D699" s="49"/>
      <c r="E699" s="49"/>
      <c r="F699" s="49"/>
      <c r="G699" s="49"/>
      <c r="H699" s="49"/>
      <c r="I699" s="49"/>
      <c r="J699" s="49"/>
      <c r="K699" s="49"/>
      <c r="L699" s="49"/>
      <c r="M699" s="49"/>
      <c r="N699" s="50"/>
    </row>
    <row r="700" spans="1:14" ht="43.2" x14ac:dyDescent="0.3">
      <c r="A700" s="23" t="s">
        <v>433</v>
      </c>
      <c r="B700" s="23">
        <v>101197</v>
      </c>
      <c r="C700" s="23" t="str">
        <f>VLOOKUP(B700,CPU!$B:$J,2,FALSE)</f>
        <v>SINAPI</v>
      </c>
      <c r="D700" s="24" t="str">
        <f>VLOOKUP(B700,CPU!$B:$J,3,FALSE)</f>
        <v>CERCA COM MOURÕES DE CONCRETO, SEÇÃO "T" PONTA INCLINADA, 10X10 CM, ESPAÇAMENTO DE 2,5 M, CRAVADOS 0,5 M, COM 11 FIOS DE ARAME FARPADO Nº 14 - FORNECIMENTO E INSTALAÇÃO. AF_05/2020</v>
      </c>
      <c r="E700" s="23" t="str">
        <f>VLOOKUP(B700,CPU!$B:$J,4,FALSE)</f>
        <v>M</v>
      </c>
      <c r="F700" s="23"/>
      <c r="G700" s="23"/>
      <c r="H700" s="23"/>
      <c r="I700" s="23"/>
      <c r="J700" s="23"/>
      <c r="K700" s="23"/>
      <c r="L700" s="23"/>
      <c r="M700" s="23"/>
      <c r="N700" s="5">
        <f>SUM($M$701:$M$702)</f>
        <v>37</v>
      </c>
    </row>
    <row r="701" spans="1:14" x14ac:dyDescent="0.3">
      <c r="A701" s="23" t="s">
        <v>908</v>
      </c>
      <c r="B701" s="70" t="s">
        <v>517</v>
      </c>
      <c r="C701" s="71"/>
      <c r="D701" s="71"/>
      <c r="E701" s="72"/>
      <c r="F701" s="5"/>
      <c r="G701" s="26">
        <v>4</v>
      </c>
      <c r="H701" s="5">
        <v>10</v>
      </c>
      <c r="I701" s="5"/>
      <c r="J701" s="5"/>
      <c r="K701" s="5" t="str">
        <f>IF(COUNTA(H701:J701)=2,ROUND(PRODUCT(H701:J701),2),"")</f>
        <v/>
      </c>
      <c r="L701" s="5" t="str">
        <f>IF(OR(AND(COUNTA(H701:J701)=3,K701=""),AND(COUNTA(H701:J701)=1,K701&lt;&gt;"")),ROUND(PRODUCT(H701:K701),2),"")</f>
        <v/>
      </c>
      <c r="M701" s="5">
        <f>IF(L701&lt;&gt;"",ROUND(PRODUCT(F701,G701,L701),2),IF(K701&lt;&gt;"",ROUND(PRODUCT(F701,G701,K701),2),ROUND(PRODUCT(F701:J701),2)))</f>
        <v>40</v>
      </c>
      <c r="N701" s="5"/>
    </row>
    <row r="702" spans="1:14" x14ac:dyDescent="0.3">
      <c r="A702" s="23" t="s">
        <v>909</v>
      </c>
      <c r="B702" s="70" t="s">
        <v>613</v>
      </c>
      <c r="C702" s="71"/>
      <c r="D702" s="71"/>
      <c r="E702" s="72"/>
      <c r="F702" s="5"/>
      <c r="G702" s="26">
        <v>-1</v>
      </c>
      <c r="H702" s="5">
        <v>3</v>
      </c>
      <c r="I702" s="5"/>
      <c r="J702" s="5"/>
      <c r="K702" s="5" t="str">
        <f>IF(COUNTA(H702:J702)=2,ROUND(PRODUCT(H702:J702),2),"")</f>
        <v/>
      </c>
      <c r="L702" s="5" t="str">
        <f>IF(OR(AND(COUNTA(H702:J702)=3,K702=""),AND(COUNTA(H702:J702)=1,K702&lt;&gt;"")),ROUND(PRODUCT(H702:K702),2),"")</f>
        <v/>
      </c>
      <c r="M702" s="5">
        <f>IF(L702&lt;&gt;"",ROUND(PRODUCT(F702,G702,L702),2),IF(K702&lt;&gt;"",ROUND(PRODUCT(F702,G702,K702),2),ROUND(PRODUCT(F702:J702),2)))</f>
        <v>-3</v>
      </c>
      <c r="N702" s="5"/>
    </row>
    <row r="703" spans="1:14" x14ac:dyDescent="0.3">
      <c r="A703" s="12" t="s">
        <v>126</v>
      </c>
      <c r="B703" s="51" t="s">
        <v>614</v>
      </c>
      <c r="C703" s="52"/>
      <c r="D703" s="52"/>
      <c r="E703" s="52"/>
      <c r="F703" s="52"/>
      <c r="G703" s="52"/>
      <c r="H703" s="52"/>
      <c r="I703" s="52"/>
      <c r="J703" s="52"/>
      <c r="K703" s="52"/>
      <c r="L703" s="52"/>
      <c r="M703" s="52"/>
      <c r="N703" s="53"/>
    </row>
    <row r="704" spans="1:14" ht="43.2" x14ac:dyDescent="0.3">
      <c r="A704" s="23" t="s">
        <v>434</v>
      </c>
      <c r="B704" s="23" t="s">
        <v>615</v>
      </c>
      <c r="C704" s="23" t="str">
        <f>VLOOKUP(B704,CPU!$B:$J,2,FALSE)</f>
        <v>PRÓPRIA</v>
      </c>
      <c r="D704" s="24" t="str">
        <f>VLOOKUP(B704,CPU!$B:$J,3,FALSE)</f>
        <v>FORNECIMENTO E INSTALAÇÃO DE KIT DE BOMBEAMENTO SOLAR P/ POÇO COM PROFUNDIDADE DE 100 A 120 M, INCLUSO BOMBA 3CV, INVERSOR, PAINÉIS, QUADRO DE COMANDO, DISJUNTORES, CABOS E CONEXÕES E ESTRUTURA TIPO SOLO</v>
      </c>
      <c r="E704" s="23" t="str">
        <f>VLOOKUP(B704,CPU!$B:$J,4,FALSE)</f>
        <v>UND</v>
      </c>
      <c r="F704" s="23"/>
      <c r="G704" s="23"/>
      <c r="H704" s="23"/>
      <c r="I704" s="23"/>
      <c r="J704" s="23"/>
      <c r="K704" s="23"/>
      <c r="L704" s="23"/>
      <c r="M704" s="23"/>
      <c r="N704" s="5">
        <f>SUM($M$705:$M$705)</f>
        <v>1</v>
      </c>
    </row>
    <row r="705" spans="1:14" x14ac:dyDescent="0.3">
      <c r="A705" s="23" t="s">
        <v>910</v>
      </c>
      <c r="B705" s="70" t="s">
        <v>517</v>
      </c>
      <c r="C705" s="71"/>
      <c r="D705" s="71"/>
      <c r="E705" s="72"/>
      <c r="F705" s="5">
        <v>1</v>
      </c>
      <c r="G705" s="26"/>
      <c r="H705" s="5"/>
      <c r="I705" s="5"/>
      <c r="J705" s="5"/>
      <c r="K705" s="5" t="str">
        <f>IF(COUNTA(H705:J705)=2,ROUND(PRODUCT(H705:J705),2),"")</f>
        <v/>
      </c>
      <c r="L705" s="5" t="str">
        <f>IF(OR(AND(COUNTA(H705:J705)=3,K705=""),AND(COUNTA(H705:J705)=1,K705&lt;&gt;"")),ROUND(PRODUCT(H705:K705),2),"")</f>
        <v/>
      </c>
      <c r="M705" s="5">
        <f>IF(L705&lt;&gt;"",ROUND(PRODUCT(F705,G705,L705),2),IF(K705&lt;&gt;"",ROUND(PRODUCT(F705,G705,K705),2),ROUND(PRODUCT(F705:J705),2)))</f>
        <v>1</v>
      </c>
      <c r="N705" s="5"/>
    </row>
    <row r="706" spans="1:14" x14ac:dyDescent="0.3">
      <c r="A706" s="23" t="s">
        <v>435</v>
      </c>
      <c r="B706" s="23" t="s">
        <v>617</v>
      </c>
      <c r="C706" s="23" t="str">
        <f>VLOOKUP(B706,CPU!$B:$J,2,FALSE)</f>
        <v>PRÓPRIA</v>
      </c>
      <c r="D706" s="24" t="str">
        <f>VLOOKUP(B706,CPU!$B:$J,3,FALSE)</f>
        <v>FORNECIMENTO E INSTALAÇÃO DE CABO CHATO SUBMERSO DE 3 X 6 MM²</v>
      </c>
      <c r="E706" s="23" t="str">
        <f>VLOOKUP(B706,CPU!$B:$J,4,FALSE)</f>
        <v>M</v>
      </c>
      <c r="F706" s="23"/>
      <c r="G706" s="23"/>
      <c r="H706" s="23"/>
      <c r="I706" s="23"/>
      <c r="J706" s="23"/>
      <c r="K706" s="23"/>
      <c r="L706" s="23"/>
      <c r="M706" s="23"/>
      <c r="N706" s="5">
        <f>SUM($M$707:$M$707)</f>
        <v>100</v>
      </c>
    </row>
    <row r="707" spans="1:14" x14ac:dyDescent="0.3">
      <c r="A707" s="23" t="s">
        <v>911</v>
      </c>
      <c r="B707" s="70" t="s">
        <v>517</v>
      </c>
      <c r="C707" s="71"/>
      <c r="D707" s="71"/>
      <c r="E707" s="72"/>
      <c r="F707" s="5">
        <v>100</v>
      </c>
      <c r="G707" s="26"/>
      <c r="H707" s="5"/>
      <c r="I707" s="5"/>
      <c r="J707" s="5"/>
      <c r="K707" s="5" t="str">
        <f>IF(COUNTA(H707:J707)=2,ROUND(PRODUCT(H707:J707),2),"")</f>
        <v/>
      </c>
      <c r="L707" s="5" t="str">
        <f>IF(OR(AND(COUNTA(H707:J707)=3,K707=""),AND(COUNTA(H707:J707)=1,K707&lt;&gt;"")),ROUND(PRODUCT(H707:K707),2),"")</f>
        <v/>
      </c>
      <c r="M707" s="5">
        <f>IF(L707&lt;&gt;"",ROUND(PRODUCT(F707,G707,L707),2),IF(K707&lt;&gt;"",ROUND(PRODUCT(F707,G707,K707),2),ROUND(PRODUCT(F707:J707),2)))</f>
        <v>100</v>
      </c>
      <c r="N707" s="5"/>
    </row>
    <row r="708" spans="1:14" x14ac:dyDescent="0.3">
      <c r="A708" s="12" t="s">
        <v>127</v>
      </c>
      <c r="B708" s="51" t="s">
        <v>619</v>
      </c>
      <c r="C708" s="52"/>
      <c r="D708" s="52"/>
      <c r="E708" s="52"/>
      <c r="F708" s="52"/>
      <c r="G708" s="52"/>
      <c r="H708" s="52"/>
      <c r="I708" s="52"/>
      <c r="J708" s="52"/>
      <c r="K708" s="52"/>
      <c r="L708" s="52"/>
      <c r="M708" s="52"/>
      <c r="N708" s="53"/>
    </row>
    <row r="709" spans="1:14" x14ac:dyDescent="0.3">
      <c r="A709" s="15" t="s">
        <v>128</v>
      </c>
      <c r="B709" s="48" t="s">
        <v>563</v>
      </c>
      <c r="C709" s="49"/>
      <c r="D709" s="49"/>
      <c r="E709" s="49"/>
      <c r="F709" s="49"/>
      <c r="G709" s="49"/>
      <c r="H709" s="49"/>
      <c r="I709" s="49"/>
      <c r="J709" s="49"/>
      <c r="K709" s="49"/>
      <c r="L709" s="49"/>
      <c r="M709" s="49"/>
      <c r="N709" s="50"/>
    </row>
    <row r="710" spans="1:14" x14ac:dyDescent="0.3">
      <c r="A710" s="23" t="s">
        <v>436</v>
      </c>
      <c r="B710" s="23">
        <v>93358</v>
      </c>
      <c r="C710" s="23" t="str">
        <f>VLOOKUP(B710,CPU!$B:$J,2,FALSE)</f>
        <v>SINAPI</v>
      </c>
      <c r="D710" s="24" t="str">
        <f>VLOOKUP(B710,CPU!$B:$J,3,FALSE)</f>
        <v>ESCAVAÇÃO MANUAL DE VALA. AF_09/2024</v>
      </c>
      <c r="E710" s="23" t="str">
        <f>VLOOKUP(B710,CPU!$B:$J,4,FALSE)</f>
        <v>M3</v>
      </c>
      <c r="F710" s="23"/>
      <c r="G710" s="23"/>
      <c r="H710" s="23"/>
      <c r="I710" s="23"/>
      <c r="J710" s="23"/>
      <c r="K710" s="23"/>
      <c r="L710" s="23"/>
      <c r="M710" s="23"/>
      <c r="N710" s="5">
        <f>SUM($M$711:$M$711)</f>
        <v>3.23</v>
      </c>
    </row>
    <row r="711" spans="1:14" x14ac:dyDescent="0.3">
      <c r="A711" s="23" t="s">
        <v>912</v>
      </c>
      <c r="B711" s="70" t="s">
        <v>517</v>
      </c>
      <c r="C711" s="71"/>
      <c r="D711" s="71"/>
      <c r="E711" s="72"/>
      <c r="F711" s="5"/>
      <c r="G711" s="26"/>
      <c r="H711" s="5">
        <v>3.6</v>
      </c>
      <c r="I711" s="5">
        <v>0.7</v>
      </c>
      <c r="J711" s="5">
        <v>1.28</v>
      </c>
      <c r="K711" s="5" t="str">
        <f>IF(COUNTA(H711:J711)=2,ROUND(PRODUCT(H711:J711),2),"")</f>
        <v/>
      </c>
      <c r="L711" s="5">
        <f>IF(OR(AND(COUNTA(H711:J711)=3,K711=""),AND(COUNTA(H711:J711)=1,K711&lt;&gt;"")),ROUND(PRODUCT(H711:K711),2),"")</f>
        <v>3.23</v>
      </c>
      <c r="M711" s="5">
        <f>IF(L711&lt;&gt;"",ROUND(PRODUCT(F711,G711,L711),2),IF(K711&lt;&gt;"",ROUND(PRODUCT(F711,G711,K711),2),ROUND(PRODUCT(F711:J711),2)))</f>
        <v>3.23</v>
      </c>
      <c r="N711" s="5"/>
    </row>
    <row r="712" spans="1:14" x14ac:dyDescent="0.3">
      <c r="A712" s="23" t="s">
        <v>437</v>
      </c>
      <c r="B712" s="23" t="s">
        <v>621</v>
      </c>
      <c r="C712" s="23" t="str">
        <f>VLOOKUP(B712,CPU!$B:$J,2,FALSE)</f>
        <v>PRÓPRIA</v>
      </c>
      <c r="D712" s="24" t="str">
        <f>VLOOKUP(B712,CPU!$B:$J,3,FALSE)</f>
        <v>REATERRO DE VALA COM COMPACTAÇÃO MANUAL</v>
      </c>
      <c r="E712" s="23" t="str">
        <f>VLOOKUP(B712,CPU!$B:$J,4,FALSE)</f>
        <v>M³</v>
      </c>
      <c r="F712" s="23"/>
      <c r="G712" s="23"/>
      <c r="H712" s="23"/>
      <c r="I712" s="23"/>
      <c r="J712" s="23"/>
      <c r="K712" s="23"/>
      <c r="L712" s="23"/>
      <c r="M712" s="23"/>
      <c r="N712" s="5">
        <f>SUM($M$713:$M$713)</f>
        <v>3.23</v>
      </c>
    </row>
    <row r="713" spans="1:14" x14ac:dyDescent="0.3">
      <c r="A713" s="23" t="s">
        <v>913</v>
      </c>
      <c r="B713" s="70" t="s">
        <v>517</v>
      </c>
      <c r="C713" s="71"/>
      <c r="D713" s="71"/>
      <c r="E713" s="72"/>
      <c r="F713" s="5"/>
      <c r="G713" s="26"/>
      <c r="H713" s="5">
        <v>3.6</v>
      </c>
      <c r="I713" s="5">
        <v>0.7</v>
      </c>
      <c r="J713" s="5">
        <v>1.28</v>
      </c>
      <c r="K713" s="5" t="str">
        <f>IF(COUNTA(H713:J713)=2,ROUND(PRODUCT(H713:J713),2),"")</f>
        <v/>
      </c>
      <c r="L713" s="5">
        <f>IF(OR(AND(COUNTA(H713:J713)=3,K713=""),AND(COUNTA(H713:J713)=1,K713&lt;&gt;"")),ROUND(PRODUCT(H713:K713),2),"")</f>
        <v>3.23</v>
      </c>
      <c r="M713" s="5">
        <f>IF(L713&lt;&gt;"",ROUND(PRODUCT(F713,G713,L713),2),IF(K713&lt;&gt;"",ROUND(PRODUCT(F713,G713,K713),2),ROUND(PRODUCT(F713:J713),2)))</f>
        <v>3.23</v>
      </c>
      <c r="N713" s="5"/>
    </row>
    <row r="714" spans="1:14" x14ac:dyDescent="0.3">
      <c r="A714" s="15" t="s">
        <v>129</v>
      </c>
      <c r="B714" s="48" t="s">
        <v>566</v>
      </c>
      <c r="C714" s="49"/>
      <c r="D714" s="49"/>
      <c r="E714" s="49"/>
      <c r="F714" s="49"/>
      <c r="G714" s="49"/>
      <c r="H714" s="49"/>
      <c r="I714" s="49"/>
      <c r="J714" s="49"/>
      <c r="K714" s="49"/>
      <c r="L714" s="49"/>
      <c r="M714" s="49"/>
      <c r="N714" s="50"/>
    </row>
    <row r="715" spans="1:14" x14ac:dyDescent="0.3">
      <c r="A715" s="23" t="s">
        <v>438</v>
      </c>
      <c r="B715" s="23" t="s">
        <v>623</v>
      </c>
      <c r="C715" s="23" t="str">
        <f>VLOOKUP(B715,CPU!$B:$J,2,FALSE)</f>
        <v>PRÓPRIA</v>
      </c>
      <c r="D715" s="24" t="str">
        <f>VLOOKUP(B715,CPU!$B:$J,3,FALSE)</f>
        <v>BLOCO DE ANCORAGEM EM CONCRETO SIMPLES FCK=10MPA (REF: C3403-SEINFRA 28)</v>
      </c>
      <c r="E715" s="23" t="str">
        <f>VLOOKUP(B715,CPU!$B:$J,4,FALSE)</f>
        <v>M3</v>
      </c>
      <c r="F715" s="23"/>
      <c r="G715" s="23"/>
      <c r="H715" s="23"/>
      <c r="I715" s="23"/>
      <c r="J715" s="23"/>
      <c r="K715" s="23"/>
      <c r="L715" s="23"/>
      <c r="M715" s="23"/>
      <c r="N715" s="5">
        <f>SUM($M$716:$M$716)</f>
        <v>0.26</v>
      </c>
    </row>
    <row r="716" spans="1:14" x14ac:dyDescent="0.3">
      <c r="A716" s="23" t="s">
        <v>914</v>
      </c>
      <c r="B716" s="70" t="s">
        <v>517</v>
      </c>
      <c r="C716" s="71"/>
      <c r="D716" s="71"/>
      <c r="E716" s="72"/>
      <c r="F716" s="5"/>
      <c r="G716" s="26">
        <v>2</v>
      </c>
      <c r="H716" s="5">
        <v>0.5</v>
      </c>
      <c r="I716" s="5">
        <v>0.5</v>
      </c>
      <c r="J716" s="5">
        <v>0.5</v>
      </c>
      <c r="K716" s="5" t="str">
        <f>IF(COUNTA(H716:J716)=2,ROUND(PRODUCT(H716:J716),2),"")</f>
        <v/>
      </c>
      <c r="L716" s="5">
        <f>IF(OR(AND(COUNTA(H716:J716)=3,K716=""),AND(COUNTA(H716:J716)=1,K716&lt;&gt;"")),ROUND(PRODUCT(H716:K716),2),"")</f>
        <v>0.13</v>
      </c>
      <c r="M716" s="5">
        <f>IF(L716&lt;&gt;"",ROUND(PRODUCT(F716,G716,L716),2),IF(K716&lt;&gt;"",ROUND(PRODUCT(F716,G716,K716),2),ROUND(PRODUCT(F716:J716),2)))</f>
        <v>0.26</v>
      </c>
      <c r="N716" s="5"/>
    </row>
    <row r="717" spans="1:14" x14ac:dyDescent="0.3">
      <c r="A717" s="15" t="s">
        <v>130</v>
      </c>
      <c r="B717" s="48" t="s">
        <v>625</v>
      </c>
      <c r="C717" s="49"/>
      <c r="D717" s="49"/>
      <c r="E717" s="49"/>
      <c r="F717" s="49"/>
      <c r="G717" s="49"/>
      <c r="H717" s="49"/>
      <c r="I717" s="49"/>
      <c r="J717" s="49"/>
      <c r="K717" s="49"/>
      <c r="L717" s="49"/>
      <c r="M717" s="49"/>
      <c r="N717" s="50"/>
    </row>
    <row r="718" spans="1:14" ht="28.8" x14ac:dyDescent="0.3">
      <c r="A718" s="23" t="s">
        <v>439</v>
      </c>
      <c r="B718" s="23">
        <v>94498</v>
      </c>
      <c r="C718" s="23" t="str">
        <f>VLOOKUP(B718,CPU!$B:$J,2,FALSE)</f>
        <v>SINAPI</v>
      </c>
      <c r="D718" s="24" t="str">
        <f>VLOOKUP(B718,CPU!$B:$J,3,FALSE)</f>
        <v>REGISTRO DE GAVETA BRUTO, LATÃO, ROSCÁVEL, 2" - FORNECIMENTO E INSTALAÇÃO. AF_08/2021</v>
      </c>
      <c r="E718" s="23" t="str">
        <f>VLOOKUP(B718,CPU!$B:$J,4,FALSE)</f>
        <v>UN</v>
      </c>
      <c r="F718" s="23"/>
      <c r="G718" s="23"/>
      <c r="H718" s="23"/>
      <c r="I718" s="23"/>
      <c r="J718" s="23"/>
      <c r="K718" s="23"/>
      <c r="L718" s="23"/>
      <c r="M718" s="23"/>
      <c r="N718" s="5">
        <f>SUM($M$719:$M$719)</f>
        <v>1</v>
      </c>
    </row>
    <row r="719" spans="1:14" x14ac:dyDescent="0.3">
      <c r="A719" s="23" t="s">
        <v>915</v>
      </c>
      <c r="B719" s="70" t="s">
        <v>517</v>
      </c>
      <c r="C719" s="71"/>
      <c r="D719" s="71"/>
      <c r="E719" s="72"/>
      <c r="F719" s="5">
        <v>1</v>
      </c>
      <c r="G719" s="26"/>
      <c r="H719" s="5"/>
      <c r="I719" s="5"/>
      <c r="J719" s="5"/>
      <c r="K719" s="5" t="str">
        <f>IF(COUNTA(H719:J719)=2,ROUND(PRODUCT(H719:J719),2),"")</f>
        <v/>
      </c>
      <c r="L719" s="5" t="str">
        <f>IF(OR(AND(COUNTA(H719:J719)=3,K719=""),AND(COUNTA(H719:J719)=1,K719&lt;&gt;"")),ROUND(PRODUCT(H719:K719),2),"")</f>
        <v/>
      </c>
      <c r="M719" s="5">
        <f>IF(L719&lt;&gt;"",ROUND(PRODUCT(F719,G719,L719),2),IF(K719&lt;&gt;"",ROUND(PRODUCT(F719,G719,K719),2),ROUND(PRODUCT(F719:J719),2)))</f>
        <v>1</v>
      </c>
      <c r="N719" s="5"/>
    </row>
    <row r="720" spans="1:14" ht="28.8" x14ac:dyDescent="0.3">
      <c r="A720" s="23" t="s">
        <v>440</v>
      </c>
      <c r="B720" s="23" t="s">
        <v>627</v>
      </c>
      <c r="C720" s="23" t="str">
        <f>VLOOKUP(B720,CPU!$B:$J,2,FALSE)</f>
        <v>PRÓPRIA</v>
      </c>
      <c r="D720" s="24" t="str">
        <f>VLOOKUP(B720,CPU!$B:$J,3,FALSE)</f>
        <v>AQUISIÇÃO E ASSENTAMENTO DE TUBO RÍGIDO PVC, CLASSE 12, DN 50 MM, INCLUSO CONEXÕES</v>
      </c>
      <c r="E720" s="23" t="str">
        <f>VLOOKUP(B720,CPU!$B:$J,4,FALSE)</f>
        <v>M</v>
      </c>
      <c r="F720" s="23"/>
      <c r="G720" s="23"/>
      <c r="H720" s="23"/>
      <c r="I720" s="23"/>
      <c r="J720" s="23"/>
      <c r="K720" s="23"/>
      <c r="L720" s="23"/>
      <c r="M720" s="23"/>
      <c r="N720" s="5">
        <f>SUM($M$721:$M$721)</f>
        <v>16</v>
      </c>
    </row>
    <row r="721" spans="1:14" x14ac:dyDescent="0.3">
      <c r="A721" s="23" t="s">
        <v>916</v>
      </c>
      <c r="B721" s="70" t="s">
        <v>517</v>
      </c>
      <c r="C721" s="71"/>
      <c r="D721" s="71"/>
      <c r="E721" s="72"/>
      <c r="F721" s="5">
        <v>16</v>
      </c>
      <c r="G721" s="26"/>
      <c r="H721" s="5"/>
      <c r="I721" s="5"/>
      <c r="J721" s="5"/>
      <c r="K721" s="5" t="str">
        <f>IF(COUNTA(H721:J721)=2,ROUND(PRODUCT(H721:J721),2),"")</f>
        <v/>
      </c>
      <c r="L721" s="5" t="str">
        <f>IF(OR(AND(COUNTA(H721:J721)=3,K721=""),AND(COUNTA(H721:J721)=1,K721&lt;&gt;"")),ROUND(PRODUCT(H721:K721),2),"")</f>
        <v/>
      </c>
      <c r="M721" s="5">
        <f>IF(L721&lt;&gt;"",ROUND(PRODUCT(F721,G721,L721),2),IF(K721&lt;&gt;"",ROUND(PRODUCT(F721,G721,K721),2),ROUND(PRODUCT(F721:J721),2)))</f>
        <v>16</v>
      </c>
      <c r="N721" s="5"/>
    </row>
    <row r="722" spans="1:14" x14ac:dyDescent="0.3">
      <c r="A722" s="12" t="s">
        <v>131</v>
      </c>
      <c r="B722" s="51" t="s">
        <v>629</v>
      </c>
      <c r="C722" s="52"/>
      <c r="D722" s="52"/>
      <c r="E722" s="52"/>
      <c r="F722" s="52"/>
      <c r="G722" s="52"/>
      <c r="H722" s="52"/>
      <c r="I722" s="52"/>
      <c r="J722" s="52"/>
      <c r="K722" s="52"/>
      <c r="L722" s="52"/>
      <c r="M722" s="52"/>
      <c r="N722" s="53"/>
    </row>
    <row r="723" spans="1:14" ht="72" x14ac:dyDescent="0.3">
      <c r="A723" s="23" t="s">
        <v>441</v>
      </c>
      <c r="B723" s="23" t="s">
        <v>630</v>
      </c>
      <c r="C723" s="23" t="str">
        <f>VLOOKUP(B723,CPU!$B:$J,2,FALSE)</f>
        <v>PRÓPRIA</v>
      </c>
      <c r="D723" s="24" t="str">
        <f>VLOOKUP(B723,CPU!$B:$J,3,FALSE)</f>
        <v>FORNECIMENTO E INSTALAÇÃO DE RESERVATÓRIO ELEVADO C/ CAIXA D'AGUA EM POLIESTER REFORCADO COM FIBRA DE VIDRO DE 10.000 LITROS, APOIADO EM ESTRUTURA PRÉ-MOLDADA EM CONCRETO, COMPOSTA DE CAPITEL P/APOIO DA CAIXA E PILAR C/ALTURA ÚTIL = 10,00M, INCLUSO FRETE E MONTAGEM NO LOCAL, COM FUNDAÇÃO EM CONCRETO SIMPLES FCK=20MPA</v>
      </c>
      <c r="E723" s="23" t="str">
        <f>VLOOKUP(B723,CPU!$B:$J,4,FALSE)</f>
        <v>UND</v>
      </c>
      <c r="F723" s="23"/>
      <c r="G723" s="23"/>
      <c r="H723" s="23"/>
      <c r="I723" s="23"/>
      <c r="J723" s="23"/>
      <c r="K723" s="23"/>
      <c r="L723" s="23"/>
      <c r="M723" s="23"/>
      <c r="N723" s="5">
        <f>SUM($M$724:$M$724)</f>
        <v>1</v>
      </c>
    </row>
    <row r="724" spans="1:14" x14ac:dyDescent="0.3">
      <c r="A724" s="23" t="s">
        <v>917</v>
      </c>
      <c r="B724" s="70" t="s">
        <v>517</v>
      </c>
      <c r="C724" s="71"/>
      <c r="D724" s="71"/>
      <c r="E724" s="72"/>
      <c r="F724" s="5">
        <v>1</v>
      </c>
      <c r="G724" s="26"/>
      <c r="H724" s="5"/>
      <c r="I724" s="5"/>
      <c r="J724" s="5"/>
      <c r="K724" s="5" t="str">
        <f>IF(COUNTA(H724:J724)=2,ROUND(PRODUCT(H724:J724),2),"")</f>
        <v/>
      </c>
      <c r="L724" s="5" t="str">
        <f>IF(OR(AND(COUNTA(H724:J724)=3,K724=""),AND(COUNTA(H724:J724)=1,K724&lt;&gt;"")),ROUND(PRODUCT(H724:K724),2),"")</f>
        <v/>
      </c>
      <c r="M724" s="5">
        <f>IF(L724&lt;&gt;"",ROUND(PRODUCT(F724,G724,L724),2),IF(K724&lt;&gt;"",ROUND(PRODUCT(F724,G724,K724),2),ROUND(PRODUCT(F724:J724),2)))</f>
        <v>1</v>
      </c>
      <c r="N724" s="5"/>
    </row>
    <row r="725" spans="1:14" ht="28.8" x14ac:dyDescent="0.3">
      <c r="A725" s="23" t="s">
        <v>442</v>
      </c>
      <c r="B725" s="23">
        <v>94498</v>
      </c>
      <c r="C725" s="23" t="str">
        <f>VLOOKUP(B725,CPU!$B:$J,2,FALSE)</f>
        <v>SINAPI</v>
      </c>
      <c r="D725" s="24" t="str">
        <f>VLOOKUP(B725,CPU!$B:$J,3,FALSE)</f>
        <v>REGISTRO DE GAVETA BRUTO, LATÃO, ROSCÁVEL, 2" - FORNECIMENTO E INSTALAÇÃO. AF_08/2021</v>
      </c>
      <c r="E725" s="23" t="str">
        <f>VLOOKUP(B725,CPU!$B:$J,4,FALSE)</f>
        <v>UN</v>
      </c>
      <c r="F725" s="23"/>
      <c r="G725" s="23"/>
      <c r="H725" s="23"/>
      <c r="I725" s="23"/>
      <c r="J725" s="23"/>
      <c r="K725" s="23"/>
      <c r="L725" s="23"/>
      <c r="M725" s="23"/>
      <c r="N725" s="5">
        <f>SUM($M$726:$M$726)</f>
        <v>2</v>
      </c>
    </row>
    <row r="726" spans="1:14" x14ac:dyDescent="0.3">
      <c r="A726" s="23" t="s">
        <v>918</v>
      </c>
      <c r="B726" s="70" t="s">
        <v>517</v>
      </c>
      <c r="C726" s="71"/>
      <c r="D726" s="71"/>
      <c r="E726" s="72"/>
      <c r="F726" s="5">
        <v>2</v>
      </c>
      <c r="G726" s="26"/>
      <c r="H726" s="5"/>
      <c r="I726" s="5"/>
      <c r="J726" s="5"/>
      <c r="K726" s="5" t="str">
        <f>IF(COUNTA(H726:J726)=2,ROUND(PRODUCT(H726:J726),2),"")</f>
        <v/>
      </c>
      <c r="L726" s="5" t="str">
        <f>IF(OR(AND(COUNTA(H726:J726)=3,K726=""),AND(COUNTA(H726:J726)=1,K726&lt;&gt;"")),ROUND(PRODUCT(H726:K726),2),"")</f>
        <v/>
      </c>
      <c r="M726" s="5">
        <f>IF(L726&lt;&gt;"",ROUND(PRODUCT(F726,G726,L726),2),IF(K726&lt;&gt;"",ROUND(PRODUCT(F726,G726,K726),2),ROUND(PRODUCT(F726:J726),2)))</f>
        <v>2</v>
      </c>
      <c r="N726" s="5"/>
    </row>
    <row r="727" spans="1:14" ht="28.8" x14ac:dyDescent="0.3">
      <c r="A727" s="23" t="s">
        <v>443</v>
      </c>
      <c r="B727" s="23" t="s">
        <v>640</v>
      </c>
      <c r="C727" s="23" t="str">
        <f>VLOOKUP(B727,CPU!$B:$J,2,FALSE)</f>
        <v>PRÓPRIA</v>
      </c>
      <c r="D727" s="24" t="str">
        <f>VLOOKUP(B727,CPU!$B:$J,3,FALSE)</f>
        <v>AQUISIÇÃO E ASSENTAMENTO DE TUBO RÍGIDO PVC, CLASSE 12, DN 60 MM, INCLUSO CONEXÕES</v>
      </c>
      <c r="E727" s="23" t="str">
        <f>VLOOKUP(B727,CPU!$B:$J,4,FALSE)</f>
        <v>M</v>
      </c>
      <c r="F727" s="23"/>
      <c r="G727" s="23"/>
      <c r="H727" s="23"/>
      <c r="I727" s="23"/>
      <c r="J727" s="23"/>
      <c r="K727" s="23"/>
      <c r="L727" s="23"/>
      <c r="M727" s="23"/>
      <c r="N727" s="5">
        <f>SUM($M$728:$M$728)</f>
        <v>22</v>
      </c>
    </row>
    <row r="728" spans="1:14" x14ac:dyDescent="0.3">
      <c r="A728" s="23" t="s">
        <v>919</v>
      </c>
      <c r="B728" s="70" t="s">
        <v>1618</v>
      </c>
      <c r="C728" s="71"/>
      <c r="D728" s="71"/>
      <c r="E728" s="72"/>
      <c r="F728" s="5">
        <v>22</v>
      </c>
      <c r="G728" s="26"/>
      <c r="H728" s="5"/>
      <c r="I728" s="5"/>
      <c r="J728" s="5"/>
      <c r="K728" s="5" t="str">
        <f>IF(COUNTA(H728:J728)=2,ROUND(PRODUCT(H728:J728),2),"")</f>
        <v/>
      </c>
      <c r="L728" s="5" t="str">
        <f>IF(OR(AND(COUNTA(H728:J728)=3,K728=""),AND(COUNTA(H728:J728)=1,K728&lt;&gt;"")),ROUND(PRODUCT(H728:K728),2),"")</f>
        <v/>
      </c>
      <c r="M728" s="5">
        <f>IF(L728&lt;&gt;"",ROUND(PRODUCT(F728,G728,L728),2),IF(K728&lt;&gt;"",ROUND(PRODUCT(F728,G728,K728),2),ROUND(PRODUCT(F728:J728),2)))</f>
        <v>22</v>
      </c>
      <c r="N728" s="5"/>
    </row>
    <row r="729" spans="1:14" x14ac:dyDescent="0.3">
      <c r="A729" s="12" t="s">
        <v>132</v>
      </c>
      <c r="B729" s="51" t="s">
        <v>634</v>
      </c>
      <c r="C729" s="52"/>
      <c r="D729" s="52"/>
      <c r="E729" s="52"/>
      <c r="F729" s="52"/>
      <c r="G729" s="52"/>
      <c r="H729" s="52"/>
      <c r="I729" s="52"/>
      <c r="J729" s="52"/>
      <c r="K729" s="52"/>
      <c r="L729" s="52"/>
      <c r="M729" s="52"/>
      <c r="N729" s="53"/>
    </row>
    <row r="730" spans="1:14" x14ac:dyDescent="0.3">
      <c r="A730" s="15" t="s">
        <v>133</v>
      </c>
      <c r="B730" s="48" t="s">
        <v>563</v>
      </c>
      <c r="C730" s="49"/>
      <c r="D730" s="49"/>
      <c r="E730" s="49"/>
      <c r="F730" s="49"/>
      <c r="G730" s="49"/>
      <c r="H730" s="49"/>
      <c r="I730" s="49"/>
      <c r="J730" s="49"/>
      <c r="K730" s="49"/>
      <c r="L730" s="49"/>
      <c r="M730" s="49"/>
      <c r="N730" s="50"/>
    </row>
    <row r="731" spans="1:14" ht="57.6" x14ac:dyDescent="0.3">
      <c r="A731" s="23" t="s">
        <v>444</v>
      </c>
      <c r="B731" s="23">
        <v>102314</v>
      </c>
      <c r="C731" s="23" t="str">
        <f>VLOOKUP(B731,CPU!$B:$J,2,FALSE)</f>
        <v>SINAPI</v>
      </c>
      <c r="D731" s="24" t="str">
        <f>VLOOKUP(B731,CPU!$B:$J,3,FALSE)</f>
        <v>ESCAVAÇÃO MECANIZADA DE VALA COM PROF. ATÉ 1,5 M (MÉDIA MONTANTE E JUSANTE/UMA COMPOSIÇÃO POR TRECHO),COM ESCAVADEIRA (0,8 M3), LARG. MENOR QUE 1,5 M, EM SOLO DE 2A CATEGORIA, LOCAIS COM BAIXO NÍVEL DE INTERFERÊNCIA. AF_09/2024</v>
      </c>
      <c r="E731" s="23" t="str">
        <f>VLOOKUP(B731,CPU!$B:$J,4,FALSE)</f>
        <v>M3</v>
      </c>
      <c r="F731" s="23"/>
      <c r="G731" s="23"/>
      <c r="H731" s="23"/>
      <c r="I731" s="23"/>
      <c r="J731" s="23"/>
      <c r="K731" s="23"/>
      <c r="L731" s="23"/>
      <c r="M731" s="23"/>
      <c r="N731" s="5">
        <f>SUM($M$732:$M$733)</f>
        <v>420.44</v>
      </c>
    </row>
    <row r="732" spans="1:14" x14ac:dyDescent="0.3">
      <c r="A732" s="23" t="s">
        <v>920</v>
      </c>
      <c r="B732" s="70" t="s">
        <v>517</v>
      </c>
      <c r="C732" s="71"/>
      <c r="D732" s="71"/>
      <c r="E732" s="72"/>
      <c r="F732" s="5"/>
      <c r="G732" s="26"/>
      <c r="H732" s="5">
        <v>1007</v>
      </c>
      <c r="I732" s="5">
        <v>0.5</v>
      </c>
      <c r="J732" s="5">
        <v>0.8</v>
      </c>
      <c r="K732" s="5" t="str">
        <f>IF(COUNTA(H732:J732)=2,ROUND(PRODUCT(H732:J732),2),"")</f>
        <v/>
      </c>
      <c r="L732" s="5">
        <f>IF(OR(AND(COUNTA(H732:J732)=3,K732=""),AND(COUNTA(H732:J732)=1,K732&lt;&gt;"")),ROUND(PRODUCT(H732:K732),2),"")</f>
        <v>402.8</v>
      </c>
      <c r="M732" s="5">
        <f>IF(L732&lt;&gt;"",ROUND(PRODUCT(F732,G732,L732),2),IF(K732&lt;&gt;"",ROUND(PRODUCT(F732,G732,K732),2),ROUND(PRODUCT(F732:J732),2)))</f>
        <v>402.8</v>
      </c>
      <c r="N732" s="5"/>
    </row>
    <row r="733" spans="1:14" x14ac:dyDescent="0.3">
      <c r="A733" s="23" t="s">
        <v>921</v>
      </c>
      <c r="B733" s="70" t="s">
        <v>517</v>
      </c>
      <c r="C733" s="71"/>
      <c r="D733" s="71"/>
      <c r="E733" s="72"/>
      <c r="F733" s="5"/>
      <c r="G733" s="26">
        <v>21</v>
      </c>
      <c r="H733" s="5">
        <v>7</v>
      </c>
      <c r="I733" s="5">
        <v>0.3</v>
      </c>
      <c r="J733" s="5">
        <v>0.4</v>
      </c>
      <c r="K733" s="5" t="str">
        <f>IF(COUNTA(H733:J733)=2,ROUND(PRODUCT(H733:J733),2),"")</f>
        <v/>
      </c>
      <c r="L733" s="5">
        <f>IF(OR(AND(COUNTA(H733:J733)=3,K733=""),AND(COUNTA(H733:J733)=1,K733&lt;&gt;"")),ROUND(PRODUCT(H733:K733),2),"")</f>
        <v>0.84</v>
      </c>
      <c r="M733" s="5">
        <f>IF(L733&lt;&gt;"",ROUND(PRODUCT(F733,G733,L733),2),IF(K733&lt;&gt;"",ROUND(PRODUCT(F733,G733,K733),2),ROUND(PRODUCT(F733:J733),2)))</f>
        <v>17.64</v>
      </c>
      <c r="N733" s="5"/>
    </row>
    <row r="734" spans="1:14" ht="57.6" x14ac:dyDescent="0.3">
      <c r="A734" s="23" t="s">
        <v>445</v>
      </c>
      <c r="B734" s="23" t="s">
        <v>637</v>
      </c>
      <c r="C734" s="23" t="str">
        <f>VLOOKUP(B734,CPU!$B:$J,2,FALSE)</f>
        <v>PRÓPRIA</v>
      </c>
      <c r="D734" s="24" t="str">
        <f>VLOOKUP(B734,CPU!$B:$J,3,FALSE)</f>
        <v>REATERRO MECANIZADO DE VALA COM RETROESCAVADEIRA (CAPACIDADE DA CAÇAMBA DA RETRO: 0,26 M³/POTÊNCIA: 88 HP), LARGURA ATÉ 0,8 M, PROFUNDIDADE ATÉ 1,5 M, COM SOLO (SEM SUBSTITUIÇÃO) DE 1ª CATEGORIA. AF_08/2023 (REF: 104733-SINAPI-05/2025)</v>
      </c>
      <c r="E734" s="23" t="str">
        <f>VLOOKUP(B734,CPU!$B:$J,4,FALSE)</f>
        <v>M3</v>
      </c>
      <c r="F734" s="23"/>
      <c r="G734" s="23"/>
      <c r="H734" s="23"/>
      <c r="I734" s="23"/>
      <c r="J734" s="23"/>
      <c r="K734" s="23"/>
      <c r="L734" s="23"/>
      <c r="M734" s="23"/>
      <c r="N734" s="5">
        <f>SUM($M$735:$M$736)</f>
        <v>420.44</v>
      </c>
    </row>
    <row r="735" spans="1:14" x14ac:dyDescent="0.3">
      <c r="A735" s="23" t="s">
        <v>922</v>
      </c>
      <c r="B735" s="70" t="s">
        <v>517</v>
      </c>
      <c r="C735" s="71"/>
      <c r="D735" s="71"/>
      <c r="E735" s="72"/>
      <c r="F735" s="5"/>
      <c r="G735" s="26"/>
      <c r="H735" s="5">
        <v>1007</v>
      </c>
      <c r="I735" s="5">
        <v>0.5</v>
      </c>
      <c r="J735" s="5">
        <v>0.8</v>
      </c>
      <c r="K735" s="5" t="str">
        <f>IF(COUNTA(H735:J735)=2,ROUND(PRODUCT(H735:J735),2),"")</f>
        <v/>
      </c>
      <c r="L735" s="5">
        <f>IF(OR(AND(COUNTA(H735:J735)=3,K735=""),AND(COUNTA(H735:J735)=1,K735&lt;&gt;"")),ROUND(PRODUCT(H735:K735),2),"")</f>
        <v>402.8</v>
      </c>
      <c r="M735" s="5">
        <f>IF(L735&lt;&gt;"",ROUND(PRODUCT(F735,G735,L735),2),IF(K735&lt;&gt;"",ROUND(PRODUCT(F735,G735,K735),2),ROUND(PRODUCT(F735:J735),2)))</f>
        <v>402.8</v>
      </c>
      <c r="N735" s="5"/>
    </row>
    <row r="736" spans="1:14" x14ac:dyDescent="0.3">
      <c r="A736" s="23" t="s">
        <v>923</v>
      </c>
      <c r="B736" s="70" t="s">
        <v>517</v>
      </c>
      <c r="C736" s="71"/>
      <c r="D736" s="71"/>
      <c r="E736" s="72"/>
      <c r="F736" s="5"/>
      <c r="G736" s="26">
        <v>21</v>
      </c>
      <c r="H736" s="5">
        <v>7</v>
      </c>
      <c r="I736" s="5">
        <v>0.3</v>
      </c>
      <c r="J736" s="5">
        <v>0.4</v>
      </c>
      <c r="K736" s="5" t="str">
        <f>IF(COUNTA(H736:J736)=2,ROUND(PRODUCT(H736:J736),2),"")</f>
        <v/>
      </c>
      <c r="L736" s="5">
        <f>IF(OR(AND(COUNTA(H736:J736)=3,K736=""),AND(COUNTA(H736:J736)=1,K736&lt;&gt;"")),ROUND(PRODUCT(H736:K736),2),"")</f>
        <v>0.84</v>
      </c>
      <c r="M736" s="5">
        <f>IF(L736&lt;&gt;"",ROUND(PRODUCT(F736,G736,L736),2),IF(K736&lt;&gt;"",ROUND(PRODUCT(F736,G736,K736),2),ROUND(PRODUCT(F736:J736),2)))</f>
        <v>17.64</v>
      </c>
      <c r="N736" s="5"/>
    </row>
    <row r="737" spans="1:14" x14ac:dyDescent="0.3">
      <c r="A737" s="15" t="s">
        <v>134</v>
      </c>
      <c r="B737" s="48" t="s">
        <v>625</v>
      </c>
      <c r="C737" s="49"/>
      <c r="D737" s="49"/>
      <c r="E737" s="49"/>
      <c r="F737" s="49"/>
      <c r="G737" s="49"/>
      <c r="H737" s="49"/>
      <c r="I737" s="49"/>
      <c r="J737" s="49"/>
      <c r="K737" s="49"/>
      <c r="L737" s="49"/>
      <c r="M737" s="49"/>
      <c r="N737" s="50"/>
    </row>
    <row r="738" spans="1:14" ht="28.8" x14ac:dyDescent="0.3">
      <c r="A738" s="23" t="s">
        <v>446</v>
      </c>
      <c r="B738" s="23" t="s">
        <v>640</v>
      </c>
      <c r="C738" s="23" t="str">
        <f>VLOOKUP(B738,CPU!$B:$J,2,FALSE)</f>
        <v>PRÓPRIA</v>
      </c>
      <c r="D738" s="24" t="str">
        <f>VLOOKUP(B738,CPU!$B:$J,3,FALSE)</f>
        <v>AQUISIÇÃO E ASSENTAMENTO DE TUBO RÍGIDO PVC, CLASSE 12, DN 60 MM, INCLUSO CONEXÕES</v>
      </c>
      <c r="E738" s="23" t="str">
        <f>VLOOKUP(B738,CPU!$B:$J,4,FALSE)</f>
        <v>M</v>
      </c>
      <c r="F738" s="23"/>
      <c r="G738" s="23"/>
      <c r="H738" s="23"/>
      <c r="I738" s="23"/>
      <c r="J738" s="23"/>
      <c r="K738" s="23"/>
      <c r="L738" s="23"/>
      <c r="M738" s="23"/>
      <c r="N738" s="5">
        <f>SUM($M$739:$M$739)</f>
        <v>1007</v>
      </c>
    </row>
    <row r="739" spans="1:14" x14ac:dyDescent="0.3">
      <c r="A739" s="23" t="s">
        <v>924</v>
      </c>
      <c r="B739" s="70" t="s">
        <v>517</v>
      </c>
      <c r="C739" s="71"/>
      <c r="D739" s="71"/>
      <c r="E739" s="72"/>
      <c r="F739" s="5"/>
      <c r="G739" s="26"/>
      <c r="H739" s="5">
        <v>1007</v>
      </c>
      <c r="I739" s="5"/>
      <c r="J739" s="5"/>
      <c r="K739" s="5" t="str">
        <f>IF(COUNTA(H739:J739)=2,ROUND(PRODUCT(H739:J739),2),"")</f>
        <v/>
      </c>
      <c r="L739" s="5" t="str">
        <f>IF(OR(AND(COUNTA(H739:J739)=3,K739=""),AND(COUNTA(H739:J739)=1,K739&lt;&gt;"")),ROUND(PRODUCT(H739:K739),2),"")</f>
        <v/>
      </c>
      <c r="M739" s="5">
        <f>IF(L739&lt;&gt;"",ROUND(PRODUCT(F739,G739,L739),2),IF(K739&lt;&gt;"",ROUND(PRODUCT(F739,G739,K739),2),ROUND(PRODUCT(F739:J739),2)))</f>
        <v>1007</v>
      </c>
      <c r="N739" s="5"/>
    </row>
    <row r="740" spans="1:14" x14ac:dyDescent="0.3">
      <c r="A740" s="23" t="s">
        <v>447</v>
      </c>
      <c r="B740" s="23" t="s">
        <v>642</v>
      </c>
      <c r="C740" s="23" t="str">
        <f>VLOOKUP(B740,CPU!$B:$J,2,FALSE)</f>
        <v>PRÓPRIA</v>
      </c>
      <c r="D740" s="24" t="str">
        <f>VLOOKUP(B740,CPU!$B:$J,3,FALSE)</f>
        <v>LIGAÇÃO DOMICILIAR</v>
      </c>
      <c r="E740" s="23" t="str">
        <f>VLOOKUP(B740,CPU!$B:$J,4,FALSE)</f>
        <v>UND</v>
      </c>
      <c r="F740" s="23"/>
      <c r="G740" s="23"/>
      <c r="H740" s="23"/>
      <c r="I740" s="23"/>
      <c r="J740" s="23"/>
      <c r="K740" s="23"/>
      <c r="L740" s="23"/>
      <c r="M740" s="23"/>
      <c r="N740" s="5">
        <f>SUM($M$741:$M$741)</f>
        <v>21</v>
      </c>
    </row>
    <row r="741" spans="1:14" x14ac:dyDescent="0.3">
      <c r="A741" s="23" t="s">
        <v>925</v>
      </c>
      <c r="B741" s="70" t="s">
        <v>517</v>
      </c>
      <c r="C741" s="71"/>
      <c r="D741" s="71"/>
      <c r="E741" s="72"/>
      <c r="F741" s="5">
        <v>21</v>
      </c>
      <c r="G741" s="26"/>
      <c r="H741" s="5"/>
      <c r="I741" s="5"/>
      <c r="J741" s="5"/>
      <c r="K741" s="5" t="str">
        <f>IF(COUNTA(H741:J741)=2,ROUND(PRODUCT(H741:J741),2),"")</f>
        <v/>
      </c>
      <c r="L741" s="5" t="str">
        <f>IF(OR(AND(COUNTA(H741:J741)=3,K741=""),AND(COUNTA(H741:J741)=1,K741&lt;&gt;"")),ROUND(PRODUCT(H741:K741),2),"")</f>
        <v/>
      </c>
      <c r="M741" s="5">
        <f>IF(L741&lt;&gt;"",ROUND(PRODUCT(F741,G741,L741),2),IF(K741&lt;&gt;"",ROUND(PRODUCT(F741,G741,K741),2),ROUND(PRODUCT(F741:J741),2)))</f>
        <v>21</v>
      </c>
      <c r="N741" s="5"/>
    </row>
    <row r="742" spans="1:14" x14ac:dyDescent="0.3">
      <c r="A742" s="9">
        <v>7</v>
      </c>
      <c r="B742" s="54" t="s">
        <v>926</v>
      </c>
      <c r="C742" s="55"/>
      <c r="D742" s="55"/>
      <c r="E742" s="55"/>
      <c r="F742" s="55"/>
      <c r="G742" s="55"/>
      <c r="H742" s="55"/>
      <c r="I742" s="55"/>
      <c r="J742" s="55"/>
      <c r="K742" s="55"/>
      <c r="L742" s="55"/>
      <c r="M742" s="55"/>
      <c r="N742" s="56"/>
    </row>
    <row r="743" spans="1:14" x14ac:dyDescent="0.3">
      <c r="A743" s="12" t="s">
        <v>135</v>
      </c>
      <c r="B743" s="51" t="s">
        <v>521</v>
      </c>
      <c r="C743" s="52"/>
      <c r="D743" s="52"/>
      <c r="E743" s="52"/>
      <c r="F743" s="52"/>
      <c r="G743" s="52"/>
      <c r="H743" s="52"/>
      <c r="I743" s="52"/>
      <c r="J743" s="52"/>
      <c r="K743" s="52"/>
      <c r="L743" s="52"/>
      <c r="M743" s="52"/>
      <c r="N743" s="53"/>
    </row>
    <row r="744" spans="1:14" x14ac:dyDescent="0.3">
      <c r="A744" s="23" t="s">
        <v>448</v>
      </c>
      <c r="B744" s="23" t="s">
        <v>522</v>
      </c>
      <c r="C744" s="23" t="str">
        <f>VLOOKUP(B744,CPU!$B:$J,2,FALSE)</f>
        <v>PRÓPRIA</v>
      </c>
      <c r="D744" s="24" t="str">
        <f>VLOOKUP(B744,CPU!$B:$J,3,FALSE)</f>
        <v>LOCAÇÃO DO POÇO COM ESTUDO GEOLÓGICO/HIDROGEOLÓGICO/GEOFÍSICO</v>
      </c>
      <c r="E744" s="23" t="str">
        <f>VLOOKUP(B744,CPU!$B:$J,4,FALSE)</f>
        <v>UN</v>
      </c>
      <c r="F744" s="23"/>
      <c r="G744" s="23"/>
      <c r="H744" s="23"/>
      <c r="I744" s="23"/>
      <c r="J744" s="23"/>
      <c r="K744" s="23"/>
      <c r="L744" s="23"/>
      <c r="M744" s="23"/>
      <c r="N744" s="5">
        <f>SUM($M$745:$M$745)</f>
        <v>1</v>
      </c>
    </row>
    <row r="745" spans="1:14" x14ac:dyDescent="0.3">
      <c r="A745" s="23" t="s">
        <v>927</v>
      </c>
      <c r="B745" s="70" t="s">
        <v>517</v>
      </c>
      <c r="C745" s="71"/>
      <c r="D745" s="71"/>
      <c r="E745" s="72"/>
      <c r="F745" s="5">
        <v>1</v>
      </c>
      <c r="G745" s="26"/>
      <c r="H745" s="5"/>
      <c r="I745" s="5"/>
      <c r="J745" s="5"/>
      <c r="K745" s="5" t="str">
        <f>IF(COUNTA(H745:J745)=2,ROUND(PRODUCT(H745:J745),2),"")</f>
        <v/>
      </c>
      <c r="L745" s="5" t="str">
        <f>IF(OR(AND(COUNTA(H745:J745)=3,K745=""),AND(COUNTA(H745:J745)=1,K745&lt;&gt;"")),ROUND(PRODUCT(H745:K745),2),"")</f>
        <v/>
      </c>
      <c r="M745" s="5">
        <f>IF(L745&lt;&gt;"",ROUND(PRODUCT(F745,G745,L745),2),IF(K745&lt;&gt;"",ROUND(PRODUCT(F745,G745,K745),2),ROUND(PRODUCT(F745:J745),2)))</f>
        <v>1</v>
      </c>
      <c r="N745" s="5"/>
    </row>
    <row r="746" spans="1:14" x14ac:dyDescent="0.3">
      <c r="A746" s="23" t="s">
        <v>449</v>
      </c>
      <c r="B746" s="23" t="s">
        <v>524</v>
      </c>
      <c r="C746" s="23" t="str">
        <f>VLOOKUP(B746,CPU!$B:$J,2,FALSE)</f>
        <v>PRÓPRIA</v>
      </c>
      <c r="D746" s="24" t="str">
        <f>VLOOKUP(B746,CPU!$B:$J,3,FALSE)</f>
        <v>TRANSPORTE DE MÁQUINAS E EQUIPAMENTOS</v>
      </c>
      <c r="E746" s="23" t="str">
        <f>VLOOKUP(B746,CPU!$B:$J,4,FALSE)</f>
        <v>KM</v>
      </c>
      <c r="F746" s="23"/>
      <c r="G746" s="23"/>
      <c r="H746" s="23"/>
      <c r="I746" s="23"/>
      <c r="J746" s="23"/>
      <c r="K746" s="23"/>
      <c r="L746" s="23"/>
      <c r="M746" s="23"/>
      <c r="N746" s="5">
        <f>SUM($M$747:$M$747)</f>
        <v>16.5</v>
      </c>
    </row>
    <row r="747" spans="1:14" x14ac:dyDescent="0.3">
      <c r="A747" s="23" t="s">
        <v>928</v>
      </c>
      <c r="B747" s="70" t="s">
        <v>647</v>
      </c>
      <c r="C747" s="71"/>
      <c r="D747" s="71"/>
      <c r="E747" s="72"/>
      <c r="F747" s="5">
        <v>16.5</v>
      </c>
      <c r="G747" s="26"/>
      <c r="H747" s="5"/>
      <c r="I747" s="5"/>
      <c r="J747" s="5"/>
      <c r="K747" s="5" t="str">
        <f>IF(COUNTA(H747:J747)=2,ROUND(PRODUCT(H747:J747),2),"")</f>
        <v/>
      </c>
      <c r="L747" s="5" t="str">
        <f>IF(OR(AND(COUNTA(H747:J747)=3,K747=""),AND(COUNTA(H747:J747)=1,K747&lt;&gt;"")),ROUND(PRODUCT(H747:K747),2),"")</f>
        <v/>
      </c>
      <c r="M747" s="5">
        <f>IF(L747&lt;&gt;"",ROUND(PRODUCT(F747,G747,L747),2),IF(K747&lt;&gt;"",ROUND(PRODUCT(F747,G747,K747),2),ROUND(PRODUCT(F747:J747),2)))</f>
        <v>16.5</v>
      </c>
      <c r="N747" s="5"/>
    </row>
    <row r="748" spans="1:14" x14ac:dyDescent="0.3">
      <c r="A748" s="23" t="s">
        <v>450</v>
      </c>
      <c r="B748" s="23" t="s">
        <v>524</v>
      </c>
      <c r="C748" s="23" t="str">
        <f>VLOOKUP(B748,CPU!$B:$J,2,FALSE)</f>
        <v>PRÓPRIA</v>
      </c>
      <c r="D748" s="24" t="str">
        <f>VLOOKUP(B748,CPU!$B:$J,3,FALSE)</f>
        <v>TRANSPORTE DE MÁQUINAS E EQUIPAMENTOS</v>
      </c>
      <c r="E748" s="23" t="str">
        <f>VLOOKUP(B748,CPU!$B:$J,4,FALSE)</f>
        <v>KM</v>
      </c>
      <c r="F748" s="23"/>
      <c r="G748" s="23"/>
      <c r="H748" s="23"/>
      <c r="I748" s="23"/>
      <c r="J748" s="23"/>
      <c r="K748" s="23"/>
      <c r="L748" s="23"/>
      <c r="M748" s="23"/>
      <c r="N748" s="5">
        <f>SUM($M$749:$M$749)</f>
        <v>16.5</v>
      </c>
    </row>
    <row r="749" spans="1:14" x14ac:dyDescent="0.3">
      <c r="A749" s="23" t="s">
        <v>929</v>
      </c>
      <c r="B749" s="70" t="s">
        <v>649</v>
      </c>
      <c r="C749" s="71"/>
      <c r="D749" s="71"/>
      <c r="E749" s="72"/>
      <c r="F749" s="5">
        <v>16.5</v>
      </c>
      <c r="G749" s="26"/>
      <c r="H749" s="5"/>
      <c r="I749" s="5"/>
      <c r="J749" s="5"/>
      <c r="K749" s="5" t="str">
        <f>IF(COUNTA(H749:J749)=2,ROUND(PRODUCT(H749:J749),2),"")</f>
        <v/>
      </c>
      <c r="L749" s="5" t="str">
        <f>IF(OR(AND(COUNTA(H749:J749)=3,K749=""),AND(COUNTA(H749:J749)=1,K749&lt;&gt;"")),ROUND(PRODUCT(H749:K749),2),"")</f>
        <v/>
      </c>
      <c r="M749" s="5">
        <f>IF(L749&lt;&gt;"",ROUND(PRODUCT(F749,G749,L749),2),IF(K749&lt;&gt;"",ROUND(PRODUCT(F749,G749,K749),2),ROUND(PRODUCT(F749:J749),2)))</f>
        <v>16.5</v>
      </c>
      <c r="N749" s="5"/>
    </row>
    <row r="750" spans="1:14" x14ac:dyDescent="0.3">
      <c r="A750" s="23" t="s">
        <v>451</v>
      </c>
      <c r="B750" s="23" t="s">
        <v>528</v>
      </c>
      <c r="C750" s="23" t="str">
        <f>VLOOKUP(B750,CPU!$B:$J,2,FALSE)</f>
        <v>PRÓPRIA</v>
      </c>
      <c r="D750" s="24" t="str">
        <f>VLOOKUP(B750,CPU!$B:$J,3,FALSE)</f>
        <v>PERFILAGEM ÓTICA</v>
      </c>
      <c r="E750" s="23" t="str">
        <f>VLOOKUP(B750,CPU!$B:$J,4,FALSE)</f>
        <v>UN</v>
      </c>
      <c r="F750" s="23"/>
      <c r="G750" s="23"/>
      <c r="H750" s="23"/>
      <c r="I750" s="23"/>
      <c r="J750" s="23"/>
      <c r="K750" s="23"/>
      <c r="L750" s="23"/>
      <c r="M750" s="23"/>
      <c r="N750" s="5">
        <f>SUM($M$751:$M$751)</f>
        <v>1</v>
      </c>
    </row>
    <row r="751" spans="1:14" x14ac:dyDescent="0.3">
      <c r="A751" s="23" t="s">
        <v>930</v>
      </c>
      <c r="B751" s="70" t="s">
        <v>517</v>
      </c>
      <c r="C751" s="71"/>
      <c r="D751" s="71"/>
      <c r="E751" s="72"/>
      <c r="F751" s="5">
        <v>1</v>
      </c>
      <c r="G751" s="26"/>
      <c r="H751" s="5"/>
      <c r="I751" s="5"/>
      <c r="J751" s="5"/>
      <c r="K751" s="5" t="str">
        <f>IF(COUNTA(H751:J751)=2,ROUND(PRODUCT(H751:J751),2),"")</f>
        <v/>
      </c>
      <c r="L751" s="5" t="str">
        <f>IF(OR(AND(COUNTA(H751:J751)=3,K751=""),AND(COUNTA(H751:J751)=1,K751&lt;&gt;"")),ROUND(PRODUCT(H751:K751),2),"")</f>
        <v/>
      </c>
      <c r="M751" s="5">
        <f>IF(L751&lt;&gt;"",ROUND(PRODUCT(F751,G751,L751),2),IF(K751&lt;&gt;"",ROUND(PRODUCT(F751,G751,K751),2),ROUND(PRODUCT(F751:J751),2)))</f>
        <v>1</v>
      </c>
      <c r="N751" s="5"/>
    </row>
    <row r="752" spans="1:14" x14ac:dyDescent="0.3">
      <c r="A752" s="23" t="s">
        <v>452</v>
      </c>
      <c r="B752" s="23" t="s">
        <v>530</v>
      </c>
      <c r="C752" s="23" t="str">
        <f>VLOOKUP(B752,CPU!$B:$J,2,FALSE)</f>
        <v>PRÓPRIA</v>
      </c>
      <c r="D752" s="24" t="str">
        <f>VLOOKUP(B752,CPU!$B:$J,3,FALSE)</f>
        <v>PERFURAÇÃO EM ROCHA SEDIMENTAR DN 10" (REF: 06230/ORSE-ORSE-04/2025)</v>
      </c>
      <c r="E752" s="23" t="str">
        <f>VLOOKUP(B752,CPU!$B:$J,4,FALSE)</f>
        <v>M</v>
      </c>
      <c r="F752" s="23"/>
      <c r="G752" s="23"/>
      <c r="H752" s="23"/>
      <c r="I752" s="23"/>
      <c r="J752" s="23"/>
      <c r="K752" s="23"/>
      <c r="L752" s="23"/>
      <c r="M752" s="23"/>
      <c r="N752" s="5">
        <f>SUM($M$753:$M$753)</f>
        <v>20</v>
      </c>
    </row>
    <row r="753" spans="1:14" x14ac:dyDescent="0.3">
      <c r="A753" s="23" t="s">
        <v>931</v>
      </c>
      <c r="B753" s="70" t="s">
        <v>532</v>
      </c>
      <c r="C753" s="71"/>
      <c r="D753" s="71"/>
      <c r="E753" s="72"/>
      <c r="F753" s="5">
        <v>20</v>
      </c>
      <c r="G753" s="26"/>
      <c r="H753" s="5"/>
      <c r="I753" s="5"/>
      <c r="J753" s="5"/>
      <c r="K753" s="5" t="str">
        <f>IF(COUNTA(H753:J753)=2,ROUND(PRODUCT(H753:J753),2),"")</f>
        <v/>
      </c>
      <c r="L753" s="5" t="str">
        <f>IF(OR(AND(COUNTA(H753:J753)=3,K753=""),AND(COUNTA(H753:J753)=1,K753&lt;&gt;"")),ROUND(PRODUCT(H753:K753),2),"")</f>
        <v/>
      </c>
      <c r="M753" s="5">
        <f>IF(L753&lt;&gt;"",ROUND(PRODUCT(F753,G753,L753),2),IF(K753&lt;&gt;"",ROUND(PRODUCT(F753,G753,K753),2),ROUND(PRODUCT(F753:J753),2)))</f>
        <v>20</v>
      </c>
      <c r="N753" s="5"/>
    </row>
    <row r="754" spans="1:14" x14ac:dyDescent="0.3">
      <c r="A754" s="23" t="s">
        <v>453</v>
      </c>
      <c r="B754" s="23" t="s">
        <v>533</v>
      </c>
      <c r="C754" s="23" t="str">
        <f>VLOOKUP(B754,CPU!$B:$J,2,FALSE)</f>
        <v>PRÓPRIA</v>
      </c>
      <c r="D754" s="24" t="str">
        <f>VLOOKUP(B754,CPU!$B:$J,3,FALSE)</f>
        <v>PERFURAÇÃO EM ROCHA CRISTALINA DN 6" (REF: 06237/ORSE-ORSE-04/2025)</v>
      </c>
      <c r="E754" s="23" t="str">
        <f>VLOOKUP(B754,CPU!$B:$J,4,FALSE)</f>
        <v>M</v>
      </c>
      <c r="F754" s="23"/>
      <c r="G754" s="23"/>
      <c r="H754" s="23"/>
      <c r="I754" s="23"/>
      <c r="J754" s="23"/>
      <c r="K754" s="23"/>
      <c r="L754" s="23"/>
      <c r="M754" s="23"/>
      <c r="N754" s="5">
        <f>SUM($M$755:$M$755)</f>
        <v>80</v>
      </c>
    </row>
    <row r="755" spans="1:14" x14ac:dyDescent="0.3">
      <c r="A755" s="23" t="s">
        <v>932</v>
      </c>
      <c r="B755" s="70" t="s">
        <v>532</v>
      </c>
      <c r="C755" s="71"/>
      <c r="D755" s="71"/>
      <c r="E755" s="72"/>
      <c r="F755" s="5">
        <v>80</v>
      </c>
      <c r="G755" s="26"/>
      <c r="H755" s="5"/>
      <c r="I755" s="5"/>
      <c r="J755" s="5"/>
      <c r="K755" s="5" t="str">
        <f>IF(COUNTA(H755:J755)=2,ROUND(PRODUCT(H755:J755),2),"")</f>
        <v/>
      </c>
      <c r="L755" s="5" t="str">
        <f>IF(OR(AND(COUNTA(H755:J755)=3,K755=""),AND(COUNTA(H755:J755)=1,K755&lt;&gt;"")),ROUND(PRODUCT(H755:K755),2),"")</f>
        <v/>
      </c>
      <c r="M755" s="5">
        <f>IF(L755&lt;&gt;"",ROUND(PRODUCT(F755,G755,L755),2),IF(K755&lt;&gt;"",ROUND(PRODUCT(F755,G755,K755),2),ROUND(PRODUCT(F755:J755),2)))</f>
        <v>80</v>
      </c>
      <c r="N755" s="5"/>
    </row>
    <row r="756" spans="1:14" x14ac:dyDescent="0.3">
      <c r="A756" s="23" t="s">
        <v>454</v>
      </c>
      <c r="B756" s="23" t="s">
        <v>535</v>
      </c>
      <c r="C756" s="23" t="str">
        <f>VLOOKUP(B756,CPU!$B:$J,2,FALSE)</f>
        <v>PRÓPRIA</v>
      </c>
      <c r="D756" s="24" t="str">
        <f>VLOOKUP(B756,CPU!$B:$J,3,FALSE)</f>
        <v>CIMENTAÇÃO SANITÁRIA</v>
      </c>
      <c r="E756" s="23" t="str">
        <f>VLOOKUP(B756,CPU!$B:$J,4,FALSE)</f>
        <v>M</v>
      </c>
      <c r="F756" s="23"/>
      <c r="G756" s="23"/>
      <c r="H756" s="23"/>
      <c r="I756" s="23"/>
      <c r="J756" s="23"/>
      <c r="K756" s="23"/>
      <c r="L756" s="23"/>
      <c r="M756" s="23"/>
      <c r="N756" s="5">
        <f>SUM($M$757:$M$757)</f>
        <v>10</v>
      </c>
    </row>
    <row r="757" spans="1:14" x14ac:dyDescent="0.3">
      <c r="A757" s="23" t="s">
        <v>933</v>
      </c>
      <c r="B757" s="70" t="s">
        <v>517</v>
      </c>
      <c r="C757" s="71"/>
      <c r="D757" s="71"/>
      <c r="E757" s="72"/>
      <c r="F757" s="5">
        <v>10</v>
      </c>
      <c r="G757" s="26"/>
      <c r="H757" s="5"/>
      <c r="I757" s="5"/>
      <c r="J757" s="5"/>
      <c r="K757" s="5" t="str">
        <f>IF(COUNTA(H757:J757)=2,ROUND(PRODUCT(H757:J757),2),"")</f>
        <v/>
      </c>
      <c r="L757" s="5" t="str">
        <f>IF(OR(AND(COUNTA(H757:J757)=3,K757=""),AND(COUNTA(H757:J757)=1,K757&lt;&gt;"")),ROUND(PRODUCT(H757:K757),2),"")</f>
        <v/>
      </c>
      <c r="M757" s="5">
        <f>IF(L757&lt;&gt;"",ROUND(PRODUCT(F757,G757,L757),2),IF(K757&lt;&gt;"",ROUND(PRODUCT(F757,G757,K757),2),ROUND(PRODUCT(F757:J757),2)))</f>
        <v>10</v>
      </c>
      <c r="N757" s="5"/>
    </row>
    <row r="758" spans="1:14" x14ac:dyDescent="0.3">
      <c r="A758" s="23" t="s">
        <v>455</v>
      </c>
      <c r="B758" s="23" t="s">
        <v>537</v>
      </c>
      <c r="C758" s="23" t="str">
        <f>VLOOKUP(B758,CPU!$B:$J,2,FALSE)</f>
        <v>PRÓPRIA</v>
      </c>
      <c r="D758" s="24" t="str">
        <f>VLOOKUP(B758,CPU!$B:$J,3,FALSE)</f>
        <v>LAJE DE PROTEÇÃO EM CONCRETO (1,0 M X 1,0 M X 0,15 M)</v>
      </c>
      <c r="E758" s="23" t="str">
        <f>VLOOKUP(B758,CPU!$B:$J,4,FALSE)</f>
        <v>M³</v>
      </c>
      <c r="F758" s="23"/>
      <c r="G758" s="23"/>
      <c r="H758" s="23"/>
      <c r="I758" s="23"/>
      <c r="J758" s="23"/>
      <c r="K758" s="23"/>
      <c r="L758" s="23"/>
      <c r="M758" s="23"/>
      <c r="N758" s="5">
        <f>SUM($M$759:$M$759)</f>
        <v>0.15</v>
      </c>
    </row>
    <row r="759" spans="1:14" x14ac:dyDescent="0.3">
      <c r="A759" s="23" t="s">
        <v>934</v>
      </c>
      <c r="B759" s="70" t="s">
        <v>517</v>
      </c>
      <c r="C759" s="71"/>
      <c r="D759" s="71"/>
      <c r="E759" s="72"/>
      <c r="F759" s="5"/>
      <c r="G759" s="26"/>
      <c r="H759" s="5">
        <v>1</v>
      </c>
      <c r="I759" s="5">
        <v>1</v>
      </c>
      <c r="J759" s="5">
        <v>0.15</v>
      </c>
      <c r="K759" s="5" t="str">
        <f>IF(COUNTA(H759:J759)=2,ROUND(PRODUCT(H759:J759),2),"")</f>
        <v/>
      </c>
      <c r="L759" s="5">
        <f>IF(OR(AND(COUNTA(H759:J759)=3,K759=""),AND(COUNTA(H759:J759)=1,K759&lt;&gt;"")),ROUND(PRODUCT(H759:K759),2),"")</f>
        <v>0.15</v>
      </c>
      <c r="M759" s="5">
        <f>IF(L759&lt;&gt;"",ROUND(PRODUCT(F759,G759,L759),2),IF(K759&lt;&gt;"",ROUND(PRODUCT(F759,G759,K759),2),ROUND(PRODUCT(F759:J759),2)))</f>
        <v>0.15</v>
      </c>
      <c r="N759" s="5"/>
    </row>
    <row r="760" spans="1:14" x14ac:dyDescent="0.3">
      <c r="A760" s="23" t="s">
        <v>456</v>
      </c>
      <c r="B760" s="23" t="s">
        <v>539</v>
      </c>
      <c r="C760" s="23" t="str">
        <f>VLOOKUP(B760,CPU!$B:$J,2,FALSE)</f>
        <v>PRÓPRIA</v>
      </c>
      <c r="D760" s="24" t="str">
        <f>VLOOKUP(B760,CPU!$B:$J,3,FALSE)</f>
        <v>DESENVOLVIMENTO COM BOMBA SUBMERSA</v>
      </c>
      <c r="E760" s="23" t="str">
        <f>VLOOKUP(B760,CPU!$B:$J,4,FALSE)</f>
        <v>H</v>
      </c>
      <c r="F760" s="23"/>
      <c r="G760" s="23"/>
      <c r="H760" s="23"/>
      <c r="I760" s="23"/>
      <c r="J760" s="23"/>
      <c r="K760" s="23"/>
      <c r="L760" s="23"/>
      <c r="M760" s="23"/>
      <c r="N760" s="5">
        <f>SUM($M$761:$M$761)</f>
        <v>6</v>
      </c>
    </row>
    <row r="761" spans="1:14" x14ac:dyDescent="0.3">
      <c r="A761" s="23" t="s">
        <v>935</v>
      </c>
      <c r="B761" s="70" t="s">
        <v>517</v>
      </c>
      <c r="C761" s="71"/>
      <c r="D761" s="71"/>
      <c r="E761" s="72"/>
      <c r="F761" s="5">
        <v>6</v>
      </c>
      <c r="G761" s="26"/>
      <c r="H761" s="5"/>
      <c r="I761" s="5"/>
      <c r="J761" s="5"/>
      <c r="K761" s="5" t="str">
        <f>IF(COUNTA(H761:J761)=2,ROUND(PRODUCT(H761:J761),2),"")</f>
        <v/>
      </c>
      <c r="L761" s="5" t="str">
        <f>IF(OR(AND(COUNTA(H761:J761)=3,K761=""),AND(COUNTA(H761:J761)=1,K761&lt;&gt;"")),ROUND(PRODUCT(H761:K761),2),"")</f>
        <v/>
      </c>
      <c r="M761" s="5">
        <f>IF(L761&lt;&gt;"",ROUND(PRODUCT(F761,G761,L761),2),IF(K761&lt;&gt;"",ROUND(PRODUCT(F761,G761,K761),2),ROUND(PRODUCT(F761:J761),2)))</f>
        <v>6</v>
      </c>
      <c r="N761" s="5"/>
    </row>
    <row r="762" spans="1:14" x14ac:dyDescent="0.3">
      <c r="A762" s="23" t="s">
        <v>457</v>
      </c>
      <c r="B762" s="23" t="s">
        <v>541</v>
      </c>
      <c r="C762" s="23" t="str">
        <f>VLOOKUP(B762,CPU!$B:$J,2,FALSE)</f>
        <v>PRÓPRIA</v>
      </c>
      <c r="D762" s="24" t="str">
        <f>VLOOKUP(B762,CPU!$B:$J,3,FALSE)</f>
        <v>TESTE VAZÃO COM BOMBA SUBMERSA</v>
      </c>
      <c r="E762" s="23" t="str">
        <f>VLOOKUP(B762,CPU!$B:$J,4,FALSE)</f>
        <v>H</v>
      </c>
      <c r="F762" s="23"/>
      <c r="G762" s="23"/>
      <c r="H762" s="23"/>
      <c r="I762" s="23"/>
      <c r="J762" s="23"/>
      <c r="K762" s="23"/>
      <c r="L762" s="23"/>
      <c r="M762" s="23"/>
      <c r="N762" s="5">
        <f>SUM($M$763:$M$763)</f>
        <v>24</v>
      </c>
    </row>
    <row r="763" spans="1:14" x14ac:dyDescent="0.3">
      <c r="A763" s="23" t="s">
        <v>936</v>
      </c>
      <c r="B763" s="70" t="s">
        <v>517</v>
      </c>
      <c r="C763" s="71"/>
      <c r="D763" s="71"/>
      <c r="E763" s="72"/>
      <c r="F763" s="5">
        <v>24</v>
      </c>
      <c r="G763" s="26"/>
      <c r="H763" s="5"/>
      <c r="I763" s="5"/>
      <c r="J763" s="5"/>
      <c r="K763" s="5" t="str">
        <f>IF(COUNTA(H763:J763)=2,ROUND(PRODUCT(H763:J763),2),"")</f>
        <v/>
      </c>
      <c r="L763" s="5" t="str">
        <f>IF(OR(AND(COUNTA(H763:J763)=3,K763=""),AND(COUNTA(H763:J763)=1,K763&lt;&gt;"")),ROUND(PRODUCT(H763:K763),2),"")</f>
        <v/>
      </c>
      <c r="M763" s="5">
        <f>IF(L763&lt;&gt;"",ROUND(PRODUCT(F763,G763,L763),2),IF(K763&lt;&gt;"",ROUND(PRODUCT(F763,G763,K763),2),ROUND(PRODUCT(F763:J763),2)))</f>
        <v>24</v>
      </c>
      <c r="N763" s="5"/>
    </row>
    <row r="764" spans="1:14" x14ac:dyDescent="0.3">
      <c r="A764" s="23" t="s">
        <v>458</v>
      </c>
      <c r="B764" s="23" t="s">
        <v>543</v>
      </c>
      <c r="C764" s="23" t="str">
        <f>VLOOKUP(B764,CPU!$B:$J,2,FALSE)</f>
        <v>PRÓPRIA</v>
      </c>
      <c r="D764" s="24" t="str">
        <f>VLOOKUP(B764,CPU!$B:$J,3,FALSE)</f>
        <v>DESINFECÇÃO</v>
      </c>
      <c r="E764" s="23" t="str">
        <f>VLOOKUP(B764,CPU!$B:$J,4,FALSE)</f>
        <v>H</v>
      </c>
      <c r="F764" s="23"/>
      <c r="G764" s="23"/>
      <c r="H764" s="23"/>
      <c r="I764" s="23"/>
      <c r="J764" s="23"/>
      <c r="K764" s="23"/>
      <c r="L764" s="23"/>
      <c r="M764" s="23"/>
      <c r="N764" s="5">
        <f>SUM($M$765:$M$765)</f>
        <v>4</v>
      </c>
    </row>
    <row r="765" spans="1:14" x14ac:dyDescent="0.3">
      <c r="A765" s="23" t="s">
        <v>937</v>
      </c>
      <c r="B765" s="70" t="s">
        <v>517</v>
      </c>
      <c r="C765" s="71"/>
      <c r="D765" s="71"/>
      <c r="E765" s="72"/>
      <c r="F765" s="5">
        <v>4</v>
      </c>
      <c r="G765" s="26"/>
      <c r="H765" s="5"/>
      <c r="I765" s="5"/>
      <c r="J765" s="5"/>
      <c r="K765" s="5" t="str">
        <f>IF(COUNTA(H765:J765)=2,ROUND(PRODUCT(H765:J765),2),"")</f>
        <v/>
      </c>
      <c r="L765" s="5" t="str">
        <f>IF(OR(AND(COUNTA(H765:J765)=3,K765=""),AND(COUNTA(H765:J765)=1,K765&lt;&gt;"")),ROUND(PRODUCT(H765:K765),2),"")</f>
        <v/>
      </c>
      <c r="M765" s="5">
        <f>IF(L765&lt;&gt;"",ROUND(PRODUCT(F765,G765,L765),2),IF(K765&lt;&gt;"",ROUND(PRODUCT(F765,G765,K765),2),ROUND(PRODUCT(F765:J765),2)))</f>
        <v>4</v>
      </c>
      <c r="N765" s="5"/>
    </row>
    <row r="766" spans="1:14" x14ac:dyDescent="0.3">
      <c r="A766" s="23" t="s">
        <v>459</v>
      </c>
      <c r="B766" s="23" t="s">
        <v>545</v>
      </c>
      <c r="C766" s="23" t="str">
        <f>VLOOKUP(B766,CPU!$B:$J,2,FALSE)</f>
        <v>PRÓPRIA</v>
      </c>
      <c r="D766" s="24" t="str">
        <f>VLOOKUP(B766,CPU!$B:$J,3,FALSE)</f>
        <v>RELATÓRIO TÉCNICO</v>
      </c>
      <c r="E766" s="23" t="str">
        <f>VLOOKUP(B766,CPU!$B:$J,4,FALSE)</f>
        <v>UN</v>
      </c>
      <c r="F766" s="23"/>
      <c r="G766" s="23"/>
      <c r="H766" s="23"/>
      <c r="I766" s="23"/>
      <c r="J766" s="23"/>
      <c r="K766" s="23"/>
      <c r="L766" s="23"/>
      <c r="M766" s="23"/>
      <c r="N766" s="5">
        <f>SUM($M$767:$M$767)</f>
        <v>1</v>
      </c>
    </row>
    <row r="767" spans="1:14" x14ac:dyDescent="0.3">
      <c r="A767" s="23" t="s">
        <v>938</v>
      </c>
      <c r="B767" s="70" t="s">
        <v>517</v>
      </c>
      <c r="C767" s="71"/>
      <c r="D767" s="71"/>
      <c r="E767" s="72"/>
      <c r="F767" s="5">
        <v>1</v>
      </c>
      <c r="G767" s="26"/>
      <c r="H767" s="5"/>
      <c r="I767" s="5"/>
      <c r="J767" s="5"/>
      <c r="K767" s="5" t="str">
        <f>IF(COUNTA(H767:J767)=2,ROUND(PRODUCT(H767:J767),2),"")</f>
        <v/>
      </c>
      <c r="L767" s="5" t="str">
        <f>IF(OR(AND(COUNTA(H767:J767)=3,K767=""),AND(COUNTA(H767:J767)=1,K767&lt;&gt;"")),ROUND(PRODUCT(H767:K767),2),"")</f>
        <v/>
      </c>
      <c r="M767" s="5">
        <f>IF(L767&lt;&gt;"",ROUND(PRODUCT(F767,G767,L767),2),IF(K767&lt;&gt;"",ROUND(PRODUCT(F767,G767,K767),2),ROUND(PRODUCT(F767:J767),2)))</f>
        <v>1</v>
      </c>
      <c r="N767" s="5"/>
    </row>
    <row r="768" spans="1:14" x14ac:dyDescent="0.3">
      <c r="A768" s="23" t="s">
        <v>460</v>
      </c>
      <c r="B768" s="23" t="s">
        <v>547</v>
      </c>
      <c r="C768" s="23" t="str">
        <f>VLOOKUP(B768,CPU!$B:$J,2,FALSE)</f>
        <v>PRÓPRIA</v>
      </c>
      <c r="D768" s="24" t="str">
        <f>VLOOKUP(B768,CPU!$B:$J,3,FALSE)</f>
        <v>ANÁLISE FÍSICO-QUÍMICA DA ÁGUA</v>
      </c>
      <c r="E768" s="23" t="str">
        <f>VLOOKUP(B768,CPU!$B:$J,4,FALSE)</f>
        <v>UN</v>
      </c>
      <c r="F768" s="23"/>
      <c r="G768" s="23"/>
      <c r="H768" s="23"/>
      <c r="I768" s="23"/>
      <c r="J768" s="23"/>
      <c r="K768" s="23"/>
      <c r="L768" s="23"/>
      <c r="M768" s="23"/>
      <c r="N768" s="5">
        <f>SUM($M$769:$M$769)</f>
        <v>1</v>
      </c>
    </row>
    <row r="769" spans="1:14" x14ac:dyDescent="0.3">
      <c r="A769" s="23" t="s">
        <v>939</v>
      </c>
      <c r="B769" s="70" t="s">
        <v>517</v>
      </c>
      <c r="C769" s="71"/>
      <c r="D769" s="71"/>
      <c r="E769" s="72"/>
      <c r="F769" s="5">
        <v>1</v>
      </c>
      <c r="G769" s="26"/>
      <c r="H769" s="5"/>
      <c r="I769" s="5"/>
      <c r="J769" s="5"/>
      <c r="K769" s="5" t="str">
        <f>IF(COUNTA(H769:J769)=2,ROUND(PRODUCT(H769:J769),2),"")</f>
        <v/>
      </c>
      <c r="L769" s="5" t="str">
        <f>IF(OR(AND(COUNTA(H769:J769)=3,K769=""),AND(COUNTA(H769:J769)=1,K769&lt;&gt;"")),ROUND(PRODUCT(H769:K769),2),"")</f>
        <v/>
      </c>
      <c r="M769" s="5">
        <f>IF(L769&lt;&gt;"",ROUND(PRODUCT(F769,G769,L769),2),IF(K769&lt;&gt;"",ROUND(PRODUCT(F769,G769,K769),2),ROUND(PRODUCT(F769:J769),2)))</f>
        <v>1</v>
      </c>
      <c r="N769" s="5"/>
    </row>
    <row r="770" spans="1:14" x14ac:dyDescent="0.3">
      <c r="A770" s="23" t="s">
        <v>461</v>
      </c>
      <c r="B770" s="23" t="s">
        <v>549</v>
      </c>
      <c r="C770" s="23" t="str">
        <f>VLOOKUP(B770,CPU!$B:$J,2,FALSE)</f>
        <v>PRÓPRIA</v>
      </c>
      <c r="D770" s="24" t="str">
        <f>VLOOKUP(B770,CPU!$B:$J,3,FALSE)</f>
        <v>FORNECIMENTO E INSTALAÇÃO DE REVESTIMENTO GEOMECÂNICO STANDART DN-154-S</v>
      </c>
      <c r="E770" s="23" t="str">
        <f>VLOOKUP(B770,CPU!$B:$J,4,FALSE)</f>
        <v>M</v>
      </c>
      <c r="F770" s="23"/>
      <c r="G770" s="23"/>
      <c r="H770" s="23"/>
      <c r="I770" s="23"/>
      <c r="J770" s="23"/>
      <c r="K770" s="23"/>
      <c r="L770" s="23"/>
      <c r="M770" s="23"/>
      <c r="N770" s="5">
        <f>SUM($M$771:$M$771)</f>
        <v>21</v>
      </c>
    </row>
    <row r="771" spans="1:14" x14ac:dyDescent="0.3">
      <c r="A771" s="23" t="s">
        <v>940</v>
      </c>
      <c r="B771" s="70" t="s">
        <v>532</v>
      </c>
      <c r="C771" s="71"/>
      <c r="D771" s="71"/>
      <c r="E771" s="72"/>
      <c r="F771" s="5">
        <v>21</v>
      </c>
      <c r="G771" s="26"/>
      <c r="H771" s="5"/>
      <c r="I771" s="5"/>
      <c r="J771" s="5"/>
      <c r="K771" s="5" t="str">
        <f>IF(COUNTA(H771:J771)=2,ROUND(PRODUCT(H771:J771),2),"")</f>
        <v/>
      </c>
      <c r="L771" s="5" t="str">
        <f>IF(OR(AND(COUNTA(H771:J771)=3,K771=""),AND(COUNTA(H771:J771)=1,K771&lt;&gt;"")),ROUND(PRODUCT(H771:K771),2),"")</f>
        <v/>
      </c>
      <c r="M771" s="5">
        <f>IF(L771&lt;&gt;"",ROUND(PRODUCT(F771,G771,L771),2),IF(K771&lt;&gt;"",ROUND(PRODUCT(F771,G771,K771),2),ROUND(PRODUCT(F771:J771),2)))</f>
        <v>21</v>
      </c>
      <c r="N771" s="5"/>
    </row>
    <row r="772" spans="1:14" x14ac:dyDescent="0.3">
      <c r="A772" s="23" t="s">
        <v>462</v>
      </c>
      <c r="B772" s="23" t="s">
        <v>551</v>
      </c>
      <c r="C772" s="23" t="str">
        <f>VLOOKUP(B772,CPU!$B:$J,2,FALSE)</f>
        <v>PRÓPRIA</v>
      </c>
      <c r="D772" s="24" t="str">
        <f>VLOOKUP(B772,CPU!$B:$J,3,FALSE)</f>
        <v>FORNECIMENTO E INSTALAÇÃO DE TAMPA PARA POÇO</v>
      </c>
      <c r="E772" s="23" t="str">
        <f>VLOOKUP(B772,CPU!$B:$J,4,FALSE)</f>
        <v>UN</v>
      </c>
      <c r="F772" s="23"/>
      <c r="G772" s="23"/>
      <c r="H772" s="23"/>
      <c r="I772" s="23"/>
      <c r="J772" s="23"/>
      <c r="K772" s="23"/>
      <c r="L772" s="23"/>
      <c r="M772" s="23"/>
      <c r="N772" s="5">
        <f>SUM($M$773:$M$773)</f>
        <v>1</v>
      </c>
    </row>
    <row r="773" spans="1:14" x14ac:dyDescent="0.3">
      <c r="A773" s="23" t="s">
        <v>941</v>
      </c>
      <c r="B773" s="70" t="s">
        <v>517</v>
      </c>
      <c r="C773" s="71"/>
      <c r="D773" s="71"/>
      <c r="E773" s="72"/>
      <c r="F773" s="5">
        <v>1</v>
      </c>
      <c r="G773" s="26"/>
      <c r="H773" s="5"/>
      <c r="I773" s="5"/>
      <c r="J773" s="5"/>
      <c r="K773" s="5" t="str">
        <f>IF(COUNTA(H773:J773)=2,ROUND(PRODUCT(H773:J773),2),"")</f>
        <v/>
      </c>
      <c r="L773" s="5" t="str">
        <f>IF(OR(AND(COUNTA(H773:J773)=3,K773=""),AND(COUNTA(H773:J773)=1,K773&lt;&gt;"")),ROUND(PRODUCT(H773:K773),2),"")</f>
        <v/>
      </c>
      <c r="M773" s="5">
        <f>IF(L773&lt;&gt;"",ROUND(PRODUCT(F773,G773,L773),2),IF(K773&lt;&gt;"",ROUND(PRODUCT(F773,G773,K773),2),ROUND(PRODUCT(F773:J773),2)))</f>
        <v>1</v>
      </c>
      <c r="N773" s="5"/>
    </row>
    <row r="774" spans="1:14" x14ac:dyDescent="0.3">
      <c r="A774" s="12" t="s">
        <v>136</v>
      </c>
      <c r="B774" s="51" t="s">
        <v>553</v>
      </c>
      <c r="C774" s="52"/>
      <c r="D774" s="52"/>
      <c r="E774" s="52"/>
      <c r="F774" s="52"/>
      <c r="G774" s="52"/>
      <c r="H774" s="52"/>
      <c r="I774" s="52"/>
      <c r="J774" s="52"/>
      <c r="K774" s="52"/>
      <c r="L774" s="52"/>
      <c r="M774" s="52"/>
      <c r="N774" s="53"/>
    </row>
    <row r="775" spans="1:14" x14ac:dyDescent="0.3">
      <c r="A775" s="23" t="s">
        <v>463</v>
      </c>
      <c r="B775" s="23" t="s">
        <v>554</v>
      </c>
      <c r="C775" s="23" t="str">
        <f>VLOOKUP(B775,CPU!$B:$J,2,FALSE)</f>
        <v>PRÓPRIA</v>
      </c>
      <c r="D775" s="24" t="str">
        <f>VLOOKUP(B775,CPU!$B:$J,3,FALSE)</f>
        <v>FORNECIMENTO E INSTALAÇÃO DE TUBO EDUTOR DE PVC DE 1.1/2'' COM LUVA</v>
      </c>
      <c r="E775" s="23" t="str">
        <f>VLOOKUP(B775,CPU!$B:$J,4,FALSE)</f>
        <v>M</v>
      </c>
      <c r="F775" s="23"/>
      <c r="G775" s="23"/>
      <c r="H775" s="23"/>
      <c r="I775" s="23"/>
      <c r="J775" s="23"/>
      <c r="K775" s="23"/>
      <c r="L775" s="23"/>
      <c r="M775" s="23"/>
      <c r="N775" s="5">
        <f>SUM($M$776:$M$776)</f>
        <v>90</v>
      </c>
    </row>
    <row r="776" spans="1:14" x14ac:dyDescent="0.3">
      <c r="A776" s="23" t="s">
        <v>942</v>
      </c>
      <c r="B776" s="70" t="s">
        <v>517</v>
      </c>
      <c r="C776" s="71"/>
      <c r="D776" s="71"/>
      <c r="E776" s="72"/>
      <c r="F776" s="5">
        <v>90</v>
      </c>
      <c r="G776" s="26"/>
      <c r="H776" s="5"/>
      <c r="I776" s="5"/>
      <c r="J776" s="5"/>
      <c r="K776" s="5" t="str">
        <f>IF(COUNTA(H776:J776)=2,ROUND(PRODUCT(H776:J776),2),"")</f>
        <v/>
      </c>
      <c r="L776" s="5" t="str">
        <f>IF(OR(AND(COUNTA(H776:J776)=3,K776=""),AND(COUNTA(H776:J776)=1,K776&lt;&gt;"")),ROUND(PRODUCT(H776:K776),2),"")</f>
        <v/>
      </c>
      <c r="M776" s="5">
        <f>IF(L776&lt;&gt;"",ROUND(PRODUCT(F776,G776,L776),2),IF(K776&lt;&gt;"",ROUND(PRODUCT(F776,G776,K776),2),ROUND(PRODUCT(F776:J776),2)))</f>
        <v>90</v>
      </c>
      <c r="N776" s="5"/>
    </row>
    <row r="777" spans="1:14" x14ac:dyDescent="0.3">
      <c r="A777" s="23" t="s">
        <v>464</v>
      </c>
      <c r="B777" s="23" t="s">
        <v>556</v>
      </c>
      <c r="C777" s="23" t="str">
        <f>VLOOKUP(B777,CPU!$B:$J,2,FALSE)</f>
        <v>PRÓPRIA</v>
      </c>
      <c r="D777" s="24" t="str">
        <f>VLOOKUP(B777,CPU!$B:$J,3,FALSE)</f>
        <v>BARRILETE (CURVAS E CONEXÕES)</v>
      </c>
      <c r="E777" s="23" t="str">
        <f>VLOOKUP(B777,CPU!$B:$J,4,FALSE)</f>
        <v>UN</v>
      </c>
      <c r="F777" s="23"/>
      <c r="G777" s="23"/>
      <c r="H777" s="23"/>
      <c r="I777" s="23"/>
      <c r="J777" s="23"/>
      <c r="K777" s="23"/>
      <c r="L777" s="23"/>
      <c r="M777" s="23"/>
      <c r="N777" s="5">
        <f>SUM($M$778:$M$778)</f>
        <v>1</v>
      </c>
    </row>
    <row r="778" spans="1:14" x14ac:dyDescent="0.3">
      <c r="A778" s="23" t="s">
        <v>943</v>
      </c>
      <c r="B778" s="70" t="s">
        <v>517</v>
      </c>
      <c r="C778" s="71"/>
      <c r="D778" s="71"/>
      <c r="E778" s="72"/>
      <c r="F778" s="5">
        <v>1</v>
      </c>
      <c r="G778" s="26"/>
      <c r="H778" s="5"/>
      <c r="I778" s="5"/>
      <c r="J778" s="5"/>
      <c r="K778" s="5" t="str">
        <f>IF(COUNTA(H778:J778)=2,ROUND(PRODUCT(H778:J778),2),"")</f>
        <v/>
      </c>
      <c r="L778" s="5" t="str">
        <f>IF(OR(AND(COUNTA(H778:J778)=3,K778=""),AND(COUNTA(H778:J778)=1,K778&lt;&gt;"")),ROUND(PRODUCT(H778:K778),2),"")</f>
        <v/>
      </c>
      <c r="M778" s="5">
        <f>IF(L778&lt;&gt;"",ROUND(PRODUCT(F778,G778,L778),2),IF(K778&lt;&gt;"",ROUND(PRODUCT(F778,G778,K778),2),ROUND(PRODUCT(F778:J778),2)))</f>
        <v>1</v>
      </c>
      <c r="N778" s="5"/>
    </row>
    <row r="779" spans="1:14" x14ac:dyDescent="0.3">
      <c r="A779" s="23" t="s">
        <v>465</v>
      </c>
      <c r="B779" s="23" t="s">
        <v>558</v>
      </c>
      <c r="C779" s="23" t="str">
        <f>VLOOKUP(B779,CPU!$B:$J,2,FALSE)</f>
        <v>PRÓPRIA</v>
      </c>
      <c r="D779" s="24" t="str">
        <f>VLOOKUP(B779,CPU!$B:$J,3,FALSE)</f>
        <v>AQUISIÇÃO E INSTALAÇÃO DE DOSADOR DE CLORO</v>
      </c>
      <c r="E779" s="23" t="str">
        <f>VLOOKUP(B779,CPU!$B:$J,4,FALSE)</f>
        <v>UND</v>
      </c>
      <c r="F779" s="23"/>
      <c r="G779" s="23"/>
      <c r="H779" s="23"/>
      <c r="I779" s="23"/>
      <c r="J779" s="23"/>
      <c r="K779" s="23"/>
      <c r="L779" s="23"/>
      <c r="M779" s="23"/>
      <c r="N779" s="5">
        <f>SUM($M$780:$M$780)</f>
        <v>1</v>
      </c>
    </row>
    <row r="780" spans="1:14" x14ac:dyDescent="0.3">
      <c r="A780" s="23" t="s">
        <v>944</v>
      </c>
      <c r="B780" s="70" t="s">
        <v>517</v>
      </c>
      <c r="C780" s="71"/>
      <c r="D780" s="71"/>
      <c r="E780" s="72"/>
      <c r="F780" s="5">
        <v>1</v>
      </c>
      <c r="G780" s="26"/>
      <c r="H780" s="5"/>
      <c r="I780" s="5"/>
      <c r="J780" s="5"/>
      <c r="K780" s="5" t="str">
        <f>IF(COUNTA(H780:J780)=2,ROUND(PRODUCT(H780:J780),2),"")</f>
        <v/>
      </c>
      <c r="L780" s="5" t="str">
        <f>IF(OR(AND(COUNTA(H780:J780)=3,K780=""),AND(COUNTA(H780:J780)=1,K780&lt;&gt;"")),ROUND(PRODUCT(H780:K780),2),"")</f>
        <v/>
      </c>
      <c r="M780" s="5">
        <f>IF(L780&lt;&gt;"",ROUND(PRODUCT(F780,G780,L780),2),IF(K780&lt;&gt;"",ROUND(PRODUCT(F780,G780,K780),2),ROUND(PRODUCT(F780:J780),2)))</f>
        <v>1</v>
      </c>
      <c r="N780" s="5"/>
    </row>
    <row r="781" spans="1:14" x14ac:dyDescent="0.3">
      <c r="A781" s="12" t="s">
        <v>137</v>
      </c>
      <c r="B781" s="51" t="s">
        <v>560</v>
      </c>
      <c r="C781" s="52"/>
      <c r="D781" s="52"/>
      <c r="E781" s="52"/>
      <c r="F781" s="52"/>
      <c r="G781" s="52"/>
      <c r="H781" s="52"/>
      <c r="I781" s="52"/>
      <c r="J781" s="52"/>
      <c r="K781" s="52"/>
      <c r="L781" s="52"/>
      <c r="M781" s="52"/>
      <c r="N781" s="53"/>
    </row>
    <row r="782" spans="1:14" x14ac:dyDescent="0.3">
      <c r="A782" s="15" t="s">
        <v>138</v>
      </c>
      <c r="B782" s="48" t="s">
        <v>514</v>
      </c>
      <c r="C782" s="49"/>
      <c r="D782" s="49"/>
      <c r="E782" s="49"/>
      <c r="F782" s="49"/>
      <c r="G782" s="49"/>
      <c r="H782" s="49"/>
      <c r="I782" s="49"/>
      <c r="J782" s="49"/>
      <c r="K782" s="49"/>
      <c r="L782" s="49"/>
      <c r="M782" s="49"/>
      <c r="N782" s="50"/>
    </row>
    <row r="783" spans="1:14" x14ac:dyDescent="0.3">
      <c r="A783" s="23" t="s">
        <v>466</v>
      </c>
      <c r="B783" s="23">
        <v>98524</v>
      </c>
      <c r="C783" s="23" t="str">
        <f>VLOOKUP(B783,CPU!$B:$J,2,FALSE)</f>
        <v>SINAPI</v>
      </c>
      <c r="D783" s="24" t="str">
        <f>VLOOKUP(B783,CPU!$B:$J,3,FALSE)</f>
        <v>LIMPEZA MANUAL DE VEGETAÇÃO EM TERRENO COM ENXADA. AF_03/2024</v>
      </c>
      <c r="E783" s="23" t="str">
        <f>VLOOKUP(B783,CPU!$B:$J,4,FALSE)</f>
        <v>M2</v>
      </c>
      <c r="F783" s="23"/>
      <c r="G783" s="23"/>
      <c r="H783" s="23"/>
      <c r="I783" s="23"/>
      <c r="J783" s="23"/>
      <c r="K783" s="23"/>
      <c r="L783" s="23"/>
      <c r="M783" s="23"/>
      <c r="N783" s="5">
        <f>SUM($M$784:$M$784)</f>
        <v>100</v>
      </c>
    </row>
    <row r="784" spans="1:14" x14ac:dyDescent="0.3">
      <c r="A784" s="23" t="s">
        <v>945</v>
      </c>
      <c r="B784" s="70" t="s">
        <v>517</v>
      </c>
      <c r="C784" s="71"/>
      <c r="D784" s="71"/>
      <c r="E784" s="72"/>
      <c r="F784" s="5"/>
      <c r="G784" s="26"/>
      <c r="H784" s="5"/>
      <c r="I784" s="5">
        <v>10</v>
      </c>
      <c r="J784" s="5">
        <v>10</v>
      </c>
      <c r="K784" s="5">
        <f>IF(COUNTA(H784:J784)=2,ROUND(PRODUCT(H784:J784),2),"")</f>
        <v>100</v>
      </c>
      <c r="L784" s="5" t="str">
        <f>IF(OR(AND(COUNTA(H784:J784)=3,K784=""),AND(COUNTA(H784:J784)=1,K784&lt;&gt;"")),ROUND(PRODUCT(H784:K784),2),"")</f>
        <v/>
      </c>
      <c r="M784" s="5">
        <f>IF(L784&lt;&gt;"",ROUND(PRODUCT(F784,G784,L784),2),IF(K784&lt;&gt;"",ROUND(PRODUCT(F784,G784,K784),2),ROUND(PRODUCT(F784:J784),2)))</f>
        <v>100</v>
      </c>
      <c r="N784" s="5"/>
    </row>
    <row r="785" spans="1:14" ht="28.8" x14ac:dyDescent="0.3">
      <c r="A785" s="23" t="s">
        <v>467</v>
      </c>
      <c r="B785" s="23">
        <v>99059</v>
      </c>
      <c r="C785" s="23" t="str">
        <f>VLOOKUP(B785,CPU!$B:$J,2,FALSE)</f>
        <v>SINAPI</v>
      </c>
      <c r="D785" s="24" t="str">
        <f>VLOOKUP(B785,CPU!$B:$J,3,FALSE)</f>
        <v>LOCAÇÃO CONVENCIONAL DE OBRA, UTILIZANDO GABARITO DE TÁBUAS CORRIDAS PONTALETADAS A CADA 2,00M - 2 UTILIZAÇÕES. AF_03/2024</v>
      </c>
      <c r="E785" s="23" t="str">
        <f>VLOOKUP(B785,CPU!$B:$J,4,FALSE)</f>
        <v>M</v>
      </c>
      <c r="F785" s="23"/>
      <c r="G785" s="23"/>
      <c r="H785" s="23"/>
      <c r="I785" s="23"/>
      <c r="J785" s="23"/>
      <c r="K785" s="23"/>
      <c r="L785" s="23"/>
      <c r="M785" s="23"/>
      <c r="N785" s="5">
        <f>SUM($M$786:$M$786)</f>
        <v>10.199999999999999</v>
      </c>
    </row>
    <row r="786" spans="1:14" x14ac:dyDescent="0.3">
      <c r="A786" s="23" t="s">
        <v>946</v>
      </c>
      <c r="B786" s="70" t="s">
        <v>517</v>
      </c>
      <c r="C786" s="71"/>
      <c r="D786" s="71"/>
      <c r="E786" s="72"/>
      <c r="F786" s="5"/>
      <c r="G786" s="26">
        <v>1</v>
      </c>
      <c r="H786" s="5">
        <v>10.199999999999999</v>
      </c>
      <c r="I786" s="5"/>
      <c r="J786" s="5"/>
      <c r="K786" s="5" t="str">
        <f>IF(COUNTA(H786:J786)=2,ROUND(PRODUCT(H786:J786),2),"")</f>
        <v/>
      </c>
      <c r="L786" s="5" t="str">
        <f>IF(OR(AND(COUNTA(H786:J786)=3,K786=""),AND(COUNTA(H786:J786)=1,K786&lt;&gt;"")),ROUND(PRODUCT(H786:K786),2),"")</f>
        <v/>
      </c>
      <c r="M786" s="5">
        <f>IF(L786&lt;&gt;"",ROUND(PRODUCT(F786,G786,L786),2),IF(K786&lt;&gt;"",ROUND(PRODUCT(F786,G786,K786),2),ROUND(PRODUCT(F786:J786),2)))</f>
        <v>10.199999999999999</v>
      </c>
      <c r="N786" s="5"/>
    </row>
    <row r="787" spans="1:14" x14ac:dyDescent="0.3">
      <c r="A787" s="15" t="s">
        <v>139</v>
      </c>
      <c r="B787" s="48" t="s">
        <v>563</v>
      </c>
      <c r="C787" s="49"/>
      <c r="D787" s="49"/>
      <c r="E787" s="49"/>
      <c r="F787" s="49"/>
      <c r="G787" s="49"/>
      <c r="H787" s="49"/>
      <c r="I787" s="49"/>
      <c r="J787" s="49"/>
      <c r="K787" s="49"/>
      <c r="L787" s="49"/>
      <c r="M787" s="49"/>
      <c r="N787" s="50"/>
    </row>
    <row r="788" spans="1:14" x14ac:dyDescent="0.3">
      <c r="A788" s="23" t="s">
        <v>468</v>
      </c>
      <c r="B788" s="23">
        <v>93358</v>
      </c>
      <c r="C788" s="23" t="str">
        <f>VLOOKUP(B788,CPU!$B:$J,2,FALSE)</f>
        <v>SINAPI</v>
      </c>
      <c r="D788" s="24" t="str">
        <f>VLOOKUP(B788,CPU!$B:$J,3,FALSE)</f>
        <v>ESCAVAÇÃO MANUAL DE VALA. AF_09/2024</v>
      </c>
      <c r="E788" s="23" t="str">
        <f>VLOOKUP(B788,CPU!$B:$J,4,FALSE)</f>
        <v>M3</v>
      </c>
      <c r="F788" s="23"/>
      <c r="G788" s="23"/>
      <c r="H788" s="23"/>
      <c r="I788" s="23"/>
      <c r="J788" s="23"/>
      <c r="K788" s="23"/>
      <c r="L788" s="23"/>
      <c r="M788" s="23"/>
      <c r="N788" s="5">
        <f>SUM($M$789:$M$790)</f>
        <v>1.54</v>
      </c>
    </row>
    <row r="789" spans="1:14" x14ac:dyDescent="0.3">
      <c r="A789" s="23" t="s">
        <v>947</v>
      </c>
      <c r="B789" s="70" t="s">
        <v>517</v>
      </c>
      <c r="C789" s="71"/>
      <c r="D789" s="71"/>
      <c r="E789" s="72"/>
      <c r="F789" s="5"/>
      <c r="G789" s="26">
        <v>2</v>
      </c>
      <c r="H789" s="5">
        <v>2.2999999999999998</v>
      </c>
      <c r="I789" s="5">
        <v>0.3</v>
      </c>
      <c r="J789" s="5">
        <v>0.6</v>
      </c>
      <c r="K789" s="5" t="str">
        <f>IF(COUNTA(H789:J789)=2,ROUND(PRODUCT(H789:J789),2),"")</f>
        <v/>
      </c>
      <c r="L789" s="5">
        <f>IF(OR(AND(COUNTA(H789:J789)=3,K789=""),AND(COUNTA(H789:J789)=1,K789&lt;&gt;"")),ROUND(PRODUCT(H789:K789),2),"")</f>
        <v>0.41</v>
      </c>
      <c r="M789" s="5">
        <f>IF(L789&lt;&gt;"",ROUND(PRODUCT(F789,G789,L789),2),IF(K789&lt;&gt;"",ROUND(PRODUCT(F789,G789,K789),2),ROUND(PRODUCT(F789:J789),2)))</f>
        <v>0.82</v>
      </c>
      <c r="N789" s="5"/>
    </row>
    <row r="790" spans="1:14" x14ac:dyDescent="0.3">
      <c r="A790" s="23" t="s">
        <v>948</v>
      </c>
      <c r="B790" s="70" t="s">
        <v>517</v>
      </c>
      <c r="C790" s="71"/>
      <c r="D790" s="71"/>
      <c r="E790" s="72"/>
      <c r="F790" s="5"/>
      <c r="G790" s="26">
        <v>2</v>
      </c>
      <c r="H790" s="5">
        <v>2</v>
      </c>
      <c r="I790" s="5">
        <v>0.3</v>
      </c>
      <c r="J790" s="5">
        <v>0.6</v>
      </c>
      <c r="K790" s="5" t="str">
        <f>IF(COUNTA(H790:J790)=2,ROUND(PRODUCT(H790:J790),2),"")</f>
        <v/>
      </c>
      <c r="L790" s="5">
        <f>IF(OR(AND(COUNTA(H790:J790)=3,K790=""),AND(COUNTA(H790:J790)=1,K790&lt;&gt;"")),ROUND(PRODUCT(H790:K790),2),"")</f>
        <v>0.36</v>
      </c>
      <c r="M790" s="5">
        <f>IF(L790&lt;&gt;"",ROUND(PRODUCT(F790,G790,L790),2),IF(K790&lt;&gt;"",ROUND(PRODUCT(F790,G790,K790),2),ROUND(PRODUCT(F790:J790),2)))</f>
        <v>0.72</v>
      </c>
      <c r="N790" s="5"/>
    </row>
    <row r="791" spans="1:14" x14ac:dyDescent="0.3">
      <c r="A791" s="15" t="s">
        <v>140</v>
      </c>
      <c r="B791" s="48" t="s">
        <v>566</v>
      </c>
      <c r="C791" s="49"/>
      <c r="D791" s="49"/>
      <c r="E791" s="49"/>
      <c r="F791" s="49"/>
      <c r="G791" s="49"/>
      <c r="H791" s="49"/>
      <c r="I791" s="49"/>
      <c r="J791" s="49"/>
      <c r="K791" s="49"/>
      <c r="L791" s="49"/>
      <c r="M791" s="49"/>
      <c r="N791" s="50"/>
    </row>
    <row r="792" spans="1:14" ht="28.8" x14ac:dyDescent="0.3">
      <c r="A792" s="23" t="s">
        <v>469</v>
      </c>
      <c r="B792" s="23">
        <v>96617</v>
      </c>
      <c r="C792" s="23" t="str">
        <f>VLOOKUP(B792,CPU!$B:$J,2,FALSE)</f>
        <v>SINAPI</v>
      </c>
      <c r="D792" s="24" t="str">
        <f>VLOOKUP(B792,CPU!$B:$J,3,FALSE)</f>
        <v>LASTRO DE CONCRETO MAGRO, APLICADO EM BLOCOS DE COROAMENTO OU SAPATAS, ESPESSURA DE 3 CM. AF_01/2024</v>
      </c>
      <c r="E792" s="23" t="str">
        <f>VLOOKUP(B792,CPU!$B:$J,4,FALSE)</f>
        <v>M2</v>
      </c>
      <c r="F792" s="23"/>
      <c r="G792" s="23"/>
      <c r="H792" s="23"/>
      <c r="I792" s="23"/>
      <c r="J792" s="23"/>
      <c r="K792" s="23"/>
      <c r="L792" s="23"/>
      <c r="M792" s="23"/>
      <c r="N792" s="5">
        <f>SUM($M$793:$M$794)</f>
        <v>2.58</v>
      </c>
    </row>
    <row r="793" spans="1:14" x14ac:dyDescent="0.3">
      <c r="A793" s="23" t="s">
        <v>949</v>
      </c>
      <c r="B793" s="70" t="s">
        <v>517</v>
      </c>
      <c r="C793" s="71"/>
      <c r="D793" s="71"/>
      <c r="E793" s="72"/>
      <c r="F793" s="5"/>
      <c r="G793" s="26">
        <v>2</v>
      </c>
      <c r="H793" s="5">
        <v>2.2999999999999998</v>
      </c>
      <c r="I793" s="5">
        <v>0.3</v>
      </c>
      <c r="J793" s="5"/>
      <c r="K793" s="5">
        <f>IF(COUNTA(H793:J793)=2,ROUND(PRODUCT(H793:J793),2),"")</f>
        <v>0.69</v>
      </c>
      <c r="L793" s="5" t="str">
        <f>IF(OR(AND(COUNTA(H793:J793)=3,K793=""),AND(COUNTA(H793:J793)=1,K793&lt;&gt;"")),ROUND(PRODUCT(H793:K793),2),"")</f>
        <v/>
      </c>
      <c r="M793" s="5">
        <f>IF(L793&lt;&gt;"",ROUND(PRODUCT(F793,G793,L793),2),IF(K793&lt;&gt;"",ROUND(PRODUCT(F793,G793,K793),2),ROUND(PRODUCT(F793:J793),2)))</f>
        <v>1.38</v>
      </c>
      <c r="N793" s="5"/>
    </row>
    <row r="794" spans="1:14" x14ac:dyDescent="0.3">
      <c r="A794" s="23" t="s">
        <v>950</v>
      </c>
      <c r="B794" s="70" t="s">
        <v>517</v>
      </c>
      <c r="C794" s="71"/>
      <c r="D794" s="71"/>
      <c r="E794" s="72"/>
      <c r="F794" s="5"/>
      <c r="G794" s="26">
        <v>2</v>
      </c>
      <c r="H794" s="5">
        <v>2</v>
      </c>
      <c r="I794" s="5">
        <v>0.3</v>
      </c>
      <c r="J794" s="5"/>
      <c r="K794" s="5">
        <f>IF(COUNTA(H794:J794)=2,ROUND(PRODUCT(H794:J794),2),"")</f>
        <v>0.6</v>
      </c>
      <c r="L794" s="5" t="str">
        <f>IF(OR(AND(COUNTA(H794:J794)=3,K794=""),AND(COUNTA(H794:J794)=1,K794&lt;&gt;"")),ROUND(PRODUCT(H794:K794),2),"")</f>
        <v/>
      </c>
      <c r="M794" s="5">
        <f>IF(L794&lt;&gt;"",ROUND(PRODUCT(F794,G794,L794),2),IF(K794&lt;&gt;"",ROUND(PRODUCT(F794,G794,K794),2),ROUND(PRODUCT(F794:J794),2)))</f>
        <v>1.2</v>
      </c>
      <c r="N794" s="5"/>
    </row>
    <row r="795" spans="1:14" ht="28.8" x14ac:dyDescent="0.3">
      <c r="A795" s="23" t="s">
        <v>470</v>
      </c>
      <c r="B795" s="23">
        <v>103800</v>
      </c>
      <c r="C795" s="23" t="str">
        <f>VLOOKUP(B795,CPU!$B:$J,2,FALSE)</f>
        <v>SINAPI</v>
      </c>
      <c r="D795" s="24" t="str">
        <f>VLOOKUP(B795,CPU!$B:$J,3,FALSE)</f>
        <v>PEDRA ARGAMASSADA COM CIMENTO E AREIA 1:3, 40% DE ARGAMASSA EM VOLUME - AREIA E PEDRA DE MÃO COMERCIAIS - FORNECIMENTO E ASSENTAMENTO. AF_08/2022</v>
      </c>
      <c r="E795" s="23" t="str">
        <f>VLOOKUP(B795,CPU!$B:$J,4,FALSE)</f>
        <v>M3</v>
      </c>
      <c r="F795" s="23"/>
      <c r="G795" s="23"/>
      <c r="H795" s="23"/>
      <c r="I795" s="23"/>
      <c r="J795" s="23"/>
      <c r="K795" s="23"/>
      <c r="L795" s="23"/>
      <c r="M795" s="23"/>
      <c r="N795" s="5">
        <f>SUM($M$796:$M$797)</f>
        <v>1.04</v>
      </c>
    </row>
    <row r="796" spans="1:14" x14ac:dyDescent="0.3">
      <c r="A796" s="23" t="s">
        <v>951</v>
      </c>
      <c r="B796" s="70" t="s">
        <v>517</v>
      </c>
      <c r="C796" s="71"/>
      <c r="D796" s="71"/>
      <c r="E796" s="72"/>
      <c r="F796" s="5"/>
      <c r="G796" s="26">
        <v>2</v>
      </c>
      <c r="H796" s="5">
        <v>2.2999999999999998</v>
      </c>
      <c r="I796" s="5">
        <v>0.3</v>
      </c>
      <c r="J796" s="5">
        <v>0.4</v>
      </c>
      <c r="K796" s="5" t="str">
        <f>IF(COUNTA(H796:J796)=2,ROUND(PRODUCT(H796:J796),2),"")</f>
        <v/>
      </c>
      <c r="L796" s="5">
        <f>IF(OR(AND(COUNTA(H796:J796)=3,K796=""),AND(COUNTA(H796:J796)=1,K796&lt;&gt;"")),ROUND(PRODUCT(H796:K796),2),"")</f>
        <v>0.28000000000000003</v>
      </c>
      <c r="M796" s="5">
        <f>IF(L796&lt;&gt;"",ROUND(PRODUCT(F796,G796,L796),2),IF(K796&lt;&gt;"",ROUND(PRODUCT(F796,G796,K796),2),ROUND(PRODUCT(F796:J796),2)))</f>
        <v>0.56000000000000005</v>
      </c>
      <c r="N796" s="5"/>
    </row>
    <row r="797" spans="1:14" x14ac:dyDescent="0.3">
      <c r="A797" s="23" t="s">
        <v>952</v>
      </c>
      <c r="B797" s="70" t="s">
        <v>517</v>
      </c>
      <c r="C797" s="71"/>
      <c r="D797" s="71"/>
      <c r="E797" s="72"/>
      <c r="F797" s="5"/>
      <c r="G797" s="26">
        <v>2</v>
      </c>
      <c r="H797" s="5">
        <v>2</v>
      </c>
      <c r="I797" s="5">
        <v>0.3</v>
      </c>
      <c r="J797" s="5">
        <v>0.4</v>
      </c>
      <c r="K797" s="5" t="str">
        <f>IF(COUNTA(H797:J797)=2,ROUND(PRODUCT(H797:J797),2),"")</f>
        <v/>
      </c>
      <c r="L797" s="5">
        <f>IF(OR(AND(COUNTA(H797:J797)=3,K797=""),AND(COUNTA(H797:J797)=1,K797&lt;&gt;"")),ROUND(PRODUCT(H797:K797),2),"")</f>
        <v>0.24</v>
      </c>
      <c r="M797" s="5">
        <f>IF(L797&lt;&gt;"",ROUND(PRODUCT(F797,G797,L797),2),IF(K797&lt;&gt;"",ROUND(PRODUCT(F797,G797,K797),2),ROUND(PRODUCT(F797:J797),2)))</f>
        <v>0.48</v>
      </c>
      <c r="N797" s="5"/>
    </row>
    <row r="798" spans="1:14" ht="43.2" x14ac:dyDescent="0.3">
      <c r="A798" s="23" t="s">
        <v>471</v>
      </c>
      <c r="B798" s="23">
        <v>103335</v>
      </c>
      <c r="C798" s="23" t="str">
        <f>VLOOKUP(B798,CPU!$B:$J,2,FALSE)</f>
        <v>SINAPI</v>
      </c>
      <c r="D798" s="24" t="str">
        <f>VLOOKUP(B798,CPU!$B:$J,3,FALSE)</f>
        <v>ALVENARIA DE VEDAÇÃO DE BLOCOS CERÂMICOS FURADOS NA HORIZONTAL DE 14X9X19 CM (ESPESSURA 14 CM, BLOCO DEITADO) E ARGAMASSA DE ASSENTAMENTO COM PREPARO MANUAL. AF_12/2021</v>
      </c>
      <c r="E798" s="23" t="str">
        <f>VLOOKUP(B798,CPU!$B:$J,4,FALSE)</f>
        <v>M2</v>
      </c>
      <c r="F798" s="23"/>
      <c r="G798" s="23"/>
      <c r="H798" s="23"/>
      <c r="I798" s="23"/>
      <c r="J798" s="23"/>
      <c r="K798" s="23"/>
      <c r="L798" s="23"/>
      <c r="M798" s="23"/>
      <c r="N798" s="5">
        <f>SUM($M$799:$M$800)</f>
        <v>1.7200000000000002</v>
      </c>
    </row>
    <row r="799" spans="1:14" x14ac:dyDescent="0.3">
      <c r="A799" s="23" t="s">
        <v>953</v>
      </c>
      <c r="B799" s="70" t="s">
        <v>517</v>
      </c>
      <c r="C799" s="71"/>
      <c r="D799" s="71"/>
      <c r="E799" s="72"/>
      <c r="F799" s="5"/>
      <c r="G799" s="26">
        <v>2</v>
      </c>
      <c r="H799" s="5">
        <v>2.2999999999999998</v>
      </c>
      <c r="I799" s="5"/>
      <c r="J799" s="5">
        <v>0.2</v>
      </c>
      <c r="K799" s="5">
        <f>IF(COUNTA(H799:J799)=2,ROUND(PRODUCT(H799:J799),2),"")</f>
        <v>0.46</v>
      </c>
      <c r="L799" s="5" t="str">
        <f>IF(OR(AND(COUNTA(H799:J799)=3,K799=""),AND(COUNTA(H799:J799)=1,K799&lt;&gt;"")),ROUND(PRODUCT(H799:K799),2),"")</f>
        <v/>
      </c>
      <c r="M799" s="5">
        <f>IF(L799&lt;&gt;"",ROUND(PRODUCT(F799,G799,L799),2),IF(K799&lt;&gt;"",ROUND(PRODUCT(F799,G799,K799),2),ROUND(PRODUCT(F799:J799),2)))</f>
        <v>0.92</v>
      </c>
      <c r="N799" s="5"/>
    </row>
    <row r="800" spans="1:14" x14ac:dyDescent="0.3">
      <c r="A800" s="23" t="s">
        <v>954</v>
      </c>
      <c r="B800" s="70" t="s">
        <v>517</v>
      </c>
      <c r="C800" s="71"/>
      <c r="D800" s="71"/>
      <c r="E800" s="72"/>
      <c r="F800" s="5"/>
      <c r="G800" s="26">
        <v>2</v>
      </c>
      <c r="H800" s="5">
        <v>2</v>
      </c>
      <c r="I800" s="5"/>
      <c r="J800" s="5">
        <v>0.2</v>
      </c>
      <c r="K800" s="5">
        <f>IF(COUNTA(H800:J800)=2,ROUND(PRODUCT(H800:J800),2),"")</f>
        <v>0.4</v>
      </c>
      <c r="L800" s="5" t="str">
        <f>IF(OR(AND(COUNTA(H800:J800)=3,K800=""),AND(COUNTA(H800:J800)=1,K800&lt;&gt;"")),ROUND(PRODUCT(H800:K800),2),"")</f>
        <v/>
      </c>
      <c r="M800" s="5">
        <f>IF(L800&lt;&gt;"",ROUND(PRODUCT(F800,G800,L800),2),IF(K800&lt;&gt;"",ROUND(PRODUCT(F800,G800,K800),2),ROUND(PRODUCT(F800:J800),2)))</f>
        <v>0.8</v>
      </c>
      <c r="N800" s="5"/>
    </row>
    <row r="801" spans="1:14" x14ac:dyDescent="0.3">
      <c r="A801" s="15" t="s">
        <v>141</v>
      </c>
      <c r="B801" s="48" t="s">
        <v>573</v>
      </c>
      <c r="C801" s="49"/>
      <c r="D801" s="49"/>
      <c r="E801" s="49"/>
      <c r="F801" s="49"/>
      <c r="G801" s="49"/>
      <c r="H801" s="49"/>
      <c r="I801" s="49"/>
      <c r="J801" s="49"/>
      <c r="K801" s="49"/>
      <c r="L801" s="49"/>
      <c r="M801" s="49"/>
      <c r="N801" s="50"/>
    </row>
    <row r="802" spans="1:14" x14ac:dyDescent="0.3">
      <c r="A802" s="23" t="s">
        <v>472</v>
      </c>
      <c r="B802" s="23" t="s">
        <v>574</v>
      </c>
      <c r="C802" s="23" t="str">
        <f>VLOOKUP(B802,CPU!$B:$J,2,FALSE)</f>
        <v>PRÓPRIA</v>
      </c>
      <c r="D802" s="24" t="str">
        <f>VLOOKUP(B802,CPU!$B:$J,3,FALSE)</f>
        <v>CINTA DE AMARRAÇÃO DE ALVENARIA MOLDADA IN LOCO EM CONCRETO</v>
      </c>
      <c r="E802" s="23" t="str">
        <f>VLOOKUP(B802,CPU!$B:$J,4,FALSE)</f>
        <v>M</v>
      </c>
      <c r="F802" s="23"/>
      <c r="G802" s="23"/>
      <c r="H802" s="23"/>
      <c r="I802" s="23"/>
      <c r="J802" s="23"/>
      <c r="K802" s="23"/>
      <c r="L802" s="23"/>
      <c r="M802" s="23"/>
      <c r="N802" s="5">
        <f>SUM($M$803:$M$804)</f>
        <v>8.6</v>
      </c>
    </row>
    <row r="803" spans="1:14" x14ac:dyDescent="0.3">
      <c r="A803" s="23" t="s">
        <v>955</v>
      </c>
      <c r="B803" s="70" t="s">
        <v>517</v>
      </c>
      <c r="C803" s="71"/>
      <c r="D803" s="71"/>
      <c r="E803" s="72"/>
      <c r="F803" s="5"/>
      <c r="G803" s="26">
        <v>2</v>
      </c>
      <c r="H803" s="5">
        <v>2.2999999999999998</v>
      </c>
      <c r="I803" s="5"/>
      <c r="J803" s="5"/>
      <c r="K803" s="5" t="str">
        <f>IF(COUNTA(H803:J803)=2,ROUND(PRODUCT(H803:J803),2),"")</f>
        <v/>
      </c>
      <c r="L803" s="5" t="str">
        <f>IF(OR(AND(COUNTA(H803:J803)=3,K803=""),AND(COUNTA(H803:J803)=1,K803&lt;&gt;"")),ROUND(PRODUCT(H803:K803),2),"")</f>
        <v/>
      </c>
      <c r="M803" s="5">
        <f>IF(L803&lt;&gt;"",ROUND(PRODUCT(F803,G803,L803),2),IF(K803&lt;&gt;"",ROUND(PRODUCT(F803,G803,K803),2),ROUND(PRODUCT(F803:J803),2)))</f>
        <v>4.5999999999999996</v>
      </c>
      <c r="N803" s="5"/>
    </row>
    <row r="804" spans="1:14" x14ac:dyDescent="0.3">
      <c r="A804" s="23" t="s">
        <v>956</v>
      </c>
      <c r="B804" s="70" t="s">
        <v>517</v>
      </c>
      <c r="C804" s="71"/>
      <c r="D804" s="71"/>
      <c r="E804" s="72"/>
      <c r="F804" s="5"/>
      <c r="G804" s="26">
        <v>2</v>
      </c>
      <c r="H804" s="5">
        <v>2</v>
      </c>
      <c r="I804" s="5"/>
      <c r="J804" s="5"/>
      <c r="K804" s="5" t="str">
        <f>IF(COUNTA(H804:J804)=2,ROUND(PRODUCT(H804:J804),2),"")</f>
        <v/>
      </c>
      <c r="L804" s="5" t="str">
        <f>IF(OR(AND(COUNTA(H804:J804)=3,K804=""),AND(COUNTA(H804:J804)=1,K804&lt;&gt;"")),ROUND(PRODUCT(H804:K804),2),"")</f>
        <v/>
      </c>
      <c r="M804" s="5">
        <f>IF(L804&lt;&gt;"",ROUND(PRODUCT(F804,G804,L804),2),IF(K804&lt;&gt;"",ROUND(PRODUCT(F804,G804,K804),2),ROUND(PRODUCT(F804:J804),2)))</f>
        <v>4</v>
      </c>
      <c r="N804" s="5"/>
    </row>
    <row r="805" spans="1:14" ht="28.8" x14ac:dyDescent="0.3">
      <c r="A805" s="23" t="s">
        <v>473</v>
      </c>
      <c r="B805" s="23" t="s">
        <v>577</v>
      </c>
      <c r="C805" s="23" t="str">
        <f>VLOOKUP(B805,CPU!$B:$J,2,FALSE)</f>
        <v>PRÓPRIA</v>
      </c>
      <c r="D805" s="24" t="str">
        <f>VLOOKUP(B805,CPU!$B:$J,3,FALSE)</f>
        <v>(COMPOSIÇÃO REPRESENTATIVA) EXECUÇÃO DE ESTRUTURAS DE CONCRETO ARMADO, PARA EDIFICAÇÃO INSTITUCIONAL TÉRREA, FCK = 25 MPA</v>
      </c>
      <c r="E805" s="23" t="str">
        <f>VLOOKUP(B805,CPU!$B:$J,4,FALSE)</f>
        <v>M³</v>
      </c>
      <c r="F805" s="23"/>
      <c r="G805" s="23"/>
      <c r="H805" s="23"/>
      <c r="I805" s="23"/>
      <c r="J805" s="23"/>
      <c r="K805" s="23"/>
      <c r="L805" s="23"/>
      <c r="M805" s="23"/>
      <c r="N805" s="5">
        <f>SUM($M$806:$M$807)</f>
        <v>0.30000000000000004</v>
      </c>
    </row>
    <row r="806" spans="1:14" x14ac:dyDescent="0.3">
      <c r="A806" s="23" t="s">
        <v>957</v>
      </c>
      <c r="B806" s="70" t="s">
        <v>579</v>
      </c>
      <c r="C806" s="71"/>
      <c r="D806" s="71"/>
      <c r="E806" s="72"/>
      <c r="F806" s="5"/>
      <c r="G806" s="26">
        <v>2</v>
      </c>
      <c r="H806" s="5">
        <v>3.53</v>
      </c>
      <c r="I806" s="5">
        <v>0.15</v>
      </c>
      <c r="J806" s="5">
        <v>0.15</v>
      </c>
      <c r="K806" s="5" t="str">
        <f>IF(COUNTA(H806:J806)=2,ROUND(PRODUCT(H806:J806),2),"")</f>
        <v/>
      </c>
      <c r="L806" s="5">
        <f>IF(OR(AND(COUNTA(H806:J806)=3,K806=""),AND(COUNTA(H806:J806)=1,K806&lt;&gt;"")),ROUND(PRODUCT(H806:K806),2),"")</f>
        <v>0.08</v>
      </c>
      <c r="M806" s="5">
        <f>IF(L806&lt;&gt;"",ROUND(PRODUCT(F806,G806,L806),2),IF(K806&lt;&gt;"",ROUND(PRODUCT(F806,G806,K806),2),ROUND(PRODUCT(F806:J806),2)))</f>
        <v>0.16</v>
      </c>
      <c r="N806" s="5"/>
    </row>
    <row r="807" spans="1:14" x14ac:dyDescent="0.3">
      <c r="A807" s="23" t="s">
        <v>958</v>
      </c>
      <c r="B807" s="70" t="s">
        <v>579</v>
      </c>
      <c r="C807" s="71"/>
      <c r="D807" s="71"/>
      <c r="E807" s="72"/>
      <c r="F807" s="5"/>
      <c r="G807" s="26">
        <v>2</v>
      </c>
      <c r="H807" s="5">
        <v>2.95</v>
      </c>
      <c r="I807" s="5">
        <v>0.15</v>
      </c>
      <c r="J807" s="5">
        <v>0.15</v>
      </c>
      <c r="K807" s="5" t="str">
        <f>IF(COUNTA(H807:J807)=2,ROUND(PRODUCT(H807:J807),2),"")</f>
        <v/>
      </c>
      <c r="L807" s="5">
        <f>IF(OR(AND(COUNTA(H807:J807)=3,K807=""),AND(COUNTA(H807:J807)=1,K807&lt;&gt;"")),ROUND(PRODUCT(H807:K807),2),"")</f>
        <v>7.0000000000000007E-2</v>
      </c>
      <c r="M807" s="5">
        <f>IF(L807&lt;&gt;"",ROUND(PRODUCT(F807,G807,L807),2),IF(K807&lt;&gt;"",ROUND(PRODUCT(F807,G807,K807),2),ROUND(PRODUCT(F807:J807),2)))</f>
        <v>0.14000000000000001</v>
      </c>
      <c r="N807" s="5"/>
    </row>
    <row r="808" spans="1:14" x14ac:dyDescent="0.3">
      <c r="A808" s="15" t="s">
        <v>142</v>
      </c>
      <c r="B808" s="48" t="s">
        <v>581</v>
      </c>
      <c r="C808" s="49"/>
      <c r="D808" s="49"/>
      <c r="E808" s="49"/>
      <c r="F808" s="49"/>
      <c r="G808" s="49"/>
      <c r="H808" s="49"/>
      <c r="I808" s="49"/>
      <c r="J808" s="49"/>
      <c r="K808" s="49"/>
      <c r="L808" s="49"/>
      <c r="M808" s="49"/>
      <c r="N808" s="50"/>
    </row>
    <row r="809" spans="1:14" ht="43.2" x14ac:dyDescent="0.3">
      <c r="A809" s="23" t="s">
        <v>474</v>
      </c>
      <c r="B809" s="23">
        <v>103329</v>
      </c>
      <c r="C809" s="23" t="str">
        <f>VLOOKUP(B809,CPU!$B:$J,2,FALSE)</f>
        <v>SINAPI</v>
      </c>
      <c r="D809" s="24" t="str">
        <f>VLOOKUP(B809,CPU!$B:$J,3,FALSE)</f>
        <v>ALVENARIA DE VEDAÇÃO DE BLOCOS CERÂMICOS FURADOS NA HORIZONTAL DE 9X19X19 CM (ESPESSURA 9 CM) E ARGAMASSA DE ASSENTAMENTO COM PREPARO MANUAL. AF_12/2021</v>
      </c>
      <c r="E809" s="23" t="str">
        <f>VLOOKUP(B809,CPU!$B:$J,4,FALSE)</f>
        <v>M2</v>
      </c>
      <c r="F809" s="23"/>
      <c r="G809" s="23"/>
      <c r="H809" s="23"/>
      <c r="I809" s="23"/>
      <c r="J809" s="23"/>
      <c r="K809" s="23"/>
      <c r="L809" s="23"/>
      <c r="M809" s="23"/>
      <c r="N809" s="5">
        <f>SUM($M$810:$M$814)</f>
        <v>19.310000000000002</v>
      </c>
    </row>
    <row r="810" spans="1:14" x14ac:dyDescent="0.3">
      <c r="A810" s="23" t="s">
        <v>959</v>
      </c>
      <c r="B810" s="70" t="s">
        <v>517</v>
      </c>
      <c r="C810" s="71"/>
      <c r="D810" s="71"/>
      <c r="E810" s="72"/>
      <c r="F810" s="5"/>
      <c r="G810" s="26">
        <v>1</v>
      </c>
      <c r="H810" s="5">
        <v>2.2999999999999998</v>
      </c>
      <c r="I810" s="5">
        <v>2.2999999999999998</v>
      </c>
      <c r="J810" s="5"/>
      <c r="K810" s="5">
        <f>IF(COUNTA(H810:J810)=2,ROUND(PRODUCT(H810:J810),2),"")</f>
        <v>5.29</v>
      </c>
      <c r="L810" s="5" t="str">
        <f>IF(OR(AND(COUNTA(H810:J810)=3,K810=""),AND(COUNTA(H810:J810)=1,K810&lt;&gt;"")),ROUND(PRODUCT(H810:K810),2),"")</f>
        <v/>
      </c>
      <c r="M810" s="5">
        <f>IF(L810&lt;&gt;"",ROUND(PRODUCT(F810,G810,L810),2),IF(K810&lt;&gt;"",ROUND(PRODUCT(F810,G810,K810),2),ROUND(PRODUCT(F810:J810),2)))</f>
        <v>5.29</v>
      </c>
      <c r="N810" s="5"/>
    </row>
    <row r="811" spans="1:14" x14ac:dyDescent="0.3">
      <c r="A811" s="23" t="s">
        <v>960</v>
      </c>
      <c r="B811" s="70" t="s">
        <v>517</v>
      </c>
      <c r="C811" s="71"/>
      <c r="D811" s="71"/>
      <c r="E811" s="72"/>
      <c r="F811" s="5"/>
      <c r="G811" s="26">
        <v>1</v>
      </c>
      <c r="H811" s="5">
        <v>2.2999999999999998</v>
      </c>
      <c r="I811" s="5">
        <v>2.88</v>
      </c>
      <c r="J811" s="5"/>
      <c r="K811" s="5">
        <f>IF(COUNTA(H811:J811)=2,ROUND(PRODUCT(H811:J811),2),"")</f>
        <v>6.62</v>
      </c>
      <c r="L811" s="5" t="str">
        <f>IF(OR(AND(COUNTA(H811:J811)=3,K811=""),AND(COUNTA(H811:J811)=1,K811&lt;&gt;"")),ROUND(PRODUCT(H811:K811),2),"")</f>
        <v/>
      </c>
      <c r="M811" s="5">
        <f>IF(L811&lt;&gt;"",ROUND(PRODUCT(F811,G811,L811),2),IF(K811&lt;&gt;"",ROUND(PRODUCT(F811,G811,K811),2),ROUND(PRODUCT(F811:J811),2)))</f>
        <v>6.62</v>
      </c>
      <c r="N811" s="5"/>
    </row>
    <row r="812" spans="1:14" x14ac:dyDescent="0.3">
      <c r="A812" s="23" t="s">
        <v>961</v>
      </c>
      <c r="B812" s="70" t="s">
        <v>517</v>
      </c>
      <c r="C812" s="71"/>
      <c r="D812" s="71"/>
      <c r="E812" s="72"/>
      <c r="F812" s="5"/>
      <c r="G812" s="26">
        <v>2</v>
      </c>
      <c r="H812" s="5">
        <v>2.2999999999999998</v>
      </c>
      <c r="I812" s="5">
        <v>2.2999999999999998</v>
      </c>
      <c r="J812" s="5"/>
      <c r="K812" s="5">
        <f>IF(COUNTA(H812:J812)=2,ROUND(PRODUCT(H812:J812),2),"")</f>
        <v>5.29</v>
      </c>
      <c r="L812" s="5" t="str">
        <f>IF(OR(AND(COUNTA(H812:J812)=3,K812=""),AND(COUNTA(H812:J812)=1,K812&lt;&gt;"")),ROUND(PRODUCT(H812:K812),2),"")</f>
        <v/>
      </c>
      <c r="M812" s="5">
        <f>IF(L812&lt;&gt;"",ROUND(PRODUCT(F812,G812,L812),2),IF(K812&lt;&gt;"",ROUND(PRODUCT(F812,G812,K812),2),ROUND(PRODUCT(F812:J812),2)))</f>
        <v>10.58</v>
      </c>
      <c r="N812" s="5"/>
    </row>
    <row r="813" spans="1:14" x14ac:dyDescent="0.3">
      <c r="A813" s="23" t="s">
        <v>962</v>
      </c>
      <c r="B813" s="70" t="s">
        <v>517</v>
      </c>
      <c r="C813" s="71"/>
      <c r="D813" s="71"/>
      <c r="E813" s="72"/>
      <c r="F813" s="5"/>
      <c r="G813" s="26">
        <v>-3</v>
      </c>
      <c r="H813" s="5">
        <v>1</v>
      </c>
      <c r="I813" s="5">
        <v>0.5</v>
      </c>
      <c r="J813" s="5"/>
      <c r="K813" s="5">
        <f>IF(COUNTA(H813:J813)=2,ROUND(PRODUCT(H813:J813),2),"")</f>
        <v>0.5</v>
      </c>
      <c r="L813" s="5" t="str">
        <f>IF(OR(AND(COUNTA(H813:J813)=3,K813=""),AND(COUNTA(H813:J813)=1,K813&lt;&gt;"")),ROUND(PRODUCT(H813:K813),2),"")</f>
        <v/>
      </c>
      <c r="M813" s="5">
        <f>IF(L813&lt;&gt;"",ROUND(PRODUCT(F813,G813,L813),2),IF(K813&lt;&gt;"",ROUND(PRODUCT(F813,G813,K813),2),ROUND(PRODUCT(F813:J813),2)))</f>
        <v>-1.5</v>
      </c>
      <c r="N813" s="5"/>
    </row>
    <row r="814" spans="1:14" x14ac:dyDescent="0.3">
      <c r="A814" s="23" t="s">
        <v>963</v>
      </c>
      <c r="B814" s="70" t="s">
        <v>517</v>
      </c>
      <c r="C814" s="71"/>
      <c r="D814" s="71"/>
      <c r="E814" s="72"/>
      <c r="F814" s="5"/>
      <c r="G814" s="26">
        <v>-1</v>
      </c>
      <c r="H814" s="5">
        <v>0.8</v>
      </c>
      <c r="I814" s="5">
        <v>2.1</v>
      </c>
      <c r="J814" s="5"/>
      <c r="K814" s="5">
        <f>IF(COUNTA(H814:J814)=2,ROUND(PRODUCT(H814:J814),2),"")</f>
        <v>1.68</v>
      </c>
      <c r="L814" s="5" t="str">
        <f>IF(OR(AND(COUNTA(H814:J814)=3,K814=""),AND(COUNTA(H814:J814)=1,K814&lt;&gt;"")),ROUND(PRODUCT(H814:K814),2),"")</f>
        <v/>
      </c>
      <c r="M814" s="5">
        <f>IF(L814&lt;&gt;"",ROUND(PRODUCT(F814,G814,L814),2),IF(K814&lt;&gt;"",ROUND(PRODUCT(F814,G814,K814),2),ROUND(PRODUCT(F814:J814),2)))</f>
        <v>-1.68</v>
      </c>
      <c r="N814" s="5"/>
    </row>
    <row r="815" spans="1:14" ht="43.2" x14ac:dyDescent="0.3">
      <c r="A815" s="23" t="s">
        <v>475</v>
      </c>
      <c r="B815" s="23">
        <v>101161</v>
      </c>
      <c r="C815" s="23" t="str">
        <f>VLOOKUP(B815,CPU!$B:$J,2,FALSE)</f>
        <v>SINAPI</v>
      </c>
      <c r="D815" s="24" t="str">
        <f>VLOOKUP(B815,CPU!$B:$J,3,FALSE)</f>
        <v>ALVENARIA DE VEDAÇÃO COM ELEMENTO VAZADO DE CONCRETO (COBOGÓ) DE 7X50X50CM E ARGAMASSA DE ASSENTAMENTO COM PREPARO EM BETONEIRA. AF_05/2020</v>
      </c>
      <c r="E815" s="23" t="str">
        <f>VLOOKUP(B815,CPU!$B:$J,4,FALSE)</f>
        <v>M2</v>
      </c>
      <c r="F815" s="23"/>
      <c r="G815" s="23"/>
      <c r="H815" s="23"/>
      <c r="I815" s="23"/>
      <c r="J815" s="23"/>
      <c r="K815" s="23"/>
      <c r="L815" s="23"/>
      <c r="M815" s="23"/>
      <c r="N815" s="5">
        <f>SUM($M$816:$M$816)</f>
        <v>1.5</v>
      </c>
    </row>
    <row r="816" spans="1:14" x14ac:dyDescent="0.3">
      <c r="A816" s="23" t="s">
        <v>964</v>
      </c>
      <c r="B816" s="70" t="s">
        <v>517</v>
      </c>
      <c r="C816" s="71"/>
      <c r="D816" s="71"/>
      <c r="E816" s="72"/>
      <c r="F816" s="5"/>
      <c r="G816" s="26">
        <v>3</v>
      </c>
      <c r="H816" s="5">
        <v>1</v>
      </c>
      <c r="I816" s="5">
        <v>0.5</v>
      </c>
      <c r="J816" s="5"/>
      <c r="K816" s="5">
        <f>IF(COUNTA(H816:J816)=2,ROUND(PRODUCT(H816:J816),2),"")</f>
        <v>0.5</v>
      </c>
      <c r="L816" s="5" t="str">
        <f>IF(OR(AND(COUNTA(H816:J816)=3,K816=""),AND(COUNTA(H816:J816)=1,K816&lt;&gt;"")),ROUND(PRODUCT(H816:K816),2),"")</f>
        <v/>
      </c>
      <c r="M816" s="5">
        <f>IF(L816&lt;&gt;"",ROUND(PRODUCT(F816,G816,L816),2),IF(K816&lt;&gt;"",ROUND(PRODUCT(F816,G816,K816),2),ROUND(PRODUCT(F816:J816),2)))</f>
        <v>1.5</v>
      </c>
      <c r="N816" s="5"/>
    </row>
    <row r="817" spans="1:14" x14ac:dyDescent="0.3">
      <c r="A817" s="15" t="s">
        <v>143</v>
      </c>
      <c r="B817" s="48" t="s">
        <v>685</v>
      </c>
      <c r="C817" s="49"/>
      <c r="D817" s="49"/>
      <c r="E817" s="49"/>
      <c r="F817" s="49"/>
      <c r="G817" s="49"/>
      <c r="H817" s="49"/>
      <c r="I817" s="49"/>
      <c r="J817" s="49"/>
      <c r="K817" s="49"/>
      <c r="L817" s="49"/>
      <c r="M817" s="49"/>
      <c r="N817" s="50"/>
    </row>
    <row r="818" spans="1:14" ht="28.8" x14ac:dyDescent="0.3">
      <c r="A818" s="23" t="s">
        <v>476</v>
      </c>
      <c r="B818" s="23" t="s">
        <v>588</v>
      </c>
      <c r="C818" s="23" t="str">
        <f>VLOOKUP(B818,CPU!$B:$J,2,FALSE)</f>
        <v>PRÓPRIA</v>
      </c>
      <c r="D818" s="24" t="str">
        <f>VLOOKUP(B818,CPU!$B:$J,3,FALSE)</f>
        <v>TELHAMENTO COM TELHA CERÂMICA CAPA-CANAL, TIPO COLONIAL, COM ATÉ 2 ÁGUAS, INCLUSO TRANSPORTE VERTICAL</v>
      </c>
      <c r="E818" s="23" t="str">
        <f>VLOOKUP(B818,CPU!$B:$J,4,FALSE)</f>
        <v>M²</v>
      </c>
      <c r="F818" s="23"/>
      <c r="G818" s="23"/>
      <c r="H818" s="23"/>
      <c r="I818" s="23"/>
      <c r="J818" s="23"/>
      <c r="K818" s="23"/>
      <c r="L818" s="23"/>
      <c r="M818" s="23"/>
      <c r="N818" s="5">
        <f>SUM($M$819:$M$819)</f>
        <v>10.23</v>
      </c>
    </row>
    <row r="819" spans="1:14" x14ac:dyDescent="0.3">
      <c r="A819" s="23" t="s">
        <v>965</v>
      </c>
      <c r="B819" s="70" t="s">
        <v>517</v>
      </c>
      <c r="C819" s="71"/>
      <c r="D819" s="71"/>
      <c r="E819" s="72"/>
      <c r="F819" s="5"/>
      <c r="G819" s="26"/>
      <c r="H819" s="5">
        <v>3.1</v>
      </c>
      <c r="I819" s="5">
        <v>3.3</v>
      </c>
      <c r="J819" s="5"/>
      <c r="K819" s="5">
        <f>IF(COUNTA(H819:J819)=2,ROUND(PRODUCT(H819:J819),2),"")</f>
        <v>10.23</v>
      </c>
      <c r="L819" s="5" t="str">
        <f>IF(OR(AND(COUNTA(H819:J819)=3,K819=""),AND(COUNTA(H819:J819)=1,K819&lt;&gt;"")),ROUND(PRODUCT(H819:K819),2),"")</f>
        <v/>
      </c>
      <c r="M819" s="5">
        <f>IF(L819&lt;&gt;"",ROUND(PRODUCT(F819,G819,L819),2),IF(K819&lt;&gt;"",ROUND(PRODUCT(F819,G819,K819),2),ROUND(PRODUCT(F819:J819),2)))</f>
        <v>10.23</v>
      </c>
      <c r="N819" s="5"/>
    </row>
    <row r="820" spans="1:14" ht="28.8" x14ac:dyDescent="0.3">
      <c r="A820" s="23" t="s">
        <v>477</v>
      </c>
      <c r="B820" s="23" t="s">
        <v>590</v>
      </c>
      <c r="C820" s="23" t="str">
        <f>VLOOKUP(B820,CPU!$B:$J,2,FALSE)</f>
        <v>PRÓPRIA</v>
      </c>
      <c r="D820" s="24" t="str">
        <f>VLOOKUP(B820,CPU!$B:$J,3,FALSE)</f>
        <v>TRAMA DE MADEIRA COMPOSTA POR RIPAS, CAIBROS E TERÇAS PARA TELHADOS DE ATÉ 2 ÁGUAS PARA TELHA CERÂMICA CAPA-CANAL, INCLUSO TRANSPORTE VERTICAL</v>
      </c>
      <c r="E820" s="23" t="str">
        <f>VLOOKUP(B820,CPU!$B:$J,4,FALSE)</f>
        <v>M²</v>
      </c>
      <c r="F820" s="23"/>
      <c r="G820" s="23"/>
      <c r="H820" s="23"/>
      <c r="I820" s="23"/>
      <c r="J820" s="23"/>
      <c r="K820" s="23"/>
      <c r="L820" s="23"/>
      <c r="M820" s="23"/>
      <c r="N820" s="5">
        <f>SUM($M$821:$M$821)</f>
        <v>10.23</v>
      </c>
    </row>
    <row r="821" spans="1:14" x14ac:dyDescent="0.3">
      <c r="A821" s="23" t="s">
        <v>966</v>
      </c>
      <c r="B821" s="70" t="s">
        <v>517</v>
      </c>
      <c r="C821" s="71"/>
      <c r="D821" s="71"/>
      <c r="E821" s="72"/>
      <c r="F821" s="5"/>
      <c r="G821" s="26"/>
      <c r="H821" s="5">
        <v>3.1</v>
      </c>
      <c r="I821" s="5">
        <v>3.3</v>
      </c>
      <c r="J821" s="5"/>
      <c r="K821" s="5">
        <f>IF(COUNTA(H821:J821)=2,ROUND(PRODUCT(H821:J821),2),"")</f>
        <v>10.23</v>
      </c>
      <c r="L821" s="5" t="str">
        <f>IF(OR(AND(COUNTA(H821:J821)=3,K821=""),AND(COUNTA(H821:J821)=1,K821&lt;&gt;"")),ROUND(PRODUCT(H821:K821),2),"")</f>
        <v/>
      </c>
      <c r="M821" s="5">
        <f>IF(L821&lt;&gt;"",ROUND(PRODUCT(F821,G821,L821),2),IF(K821&lt;&gt;"",ROUND(PRODUCT(F821,G821,K821),2),ROUND(PRODUCT(F821:J821),2)))</f>
        <v>10.23</v>
      </c>
      <c r="N821" s="5"/>
    </row>
    <row r="822" spans="1:14" x14ac:dyDescent="0.3">
      <c r="A822" s="15" t="s">
        <v>144</v>
      </c>
      <c r="B822" s="48" t="s">
        <v>592</v>
      </c>
      <c r="C822" s="49"/>
      <c r="D822" s="49"/>
      <c r="E822" s="49"/>
      <c r="F822" s="49"/>
      <c r="G822" s="49"/>
      <c r="H822" s="49"/>
      <c r="I822" s="49"/>
      <c r="J822" s="49"/>
      <c r="K822" s="49"/>
      <c r="L822" s="49"/>
      <c r="M822" s="49"/>
      <c r="N822" s="50"/>
    </row>
    <row r="823" spans="1:14" ht="28.8" x14ac:dyDescent="0.3">
      <c r="A823" s="23" t="s">
        <v>478</v>
      </c>
      <c r="B823" s="23">
        <v>96617</v>
      </c>
      <c r="C823" s="23" t="str">
        <f>VLOOKUP(B823,CPU!$B:$J,2,FALSE)</f>
        <v>SINAPI</v>
      </c>
      <c r="D823" s="24" t="str">
        <f>VLOOKUP(B823,CPU!$B:$J,3,FALSE)</f>
        <v>LASTRO DE CONCRETO MAGRO, APLICADO EM BLOCOS DE COROAMENTO OU SAPATAS, ESPESSURA DE 3 CM. AF_01/2024</v>
      </c>
      <c r="E823" s="23" t="str">
        <f>VLOOKUP(B823,CPU!$B:$J,4,FALSE)</f>
        <v>M2</v>
      </c>
      <c r="F823" s="23"/>
      <c r="G823" s="23"/>
      <c r="H823" s="23"/>
      <c r="I823" s="23"/>
      <c r="J823" s="23"/>
      <c r="K823" s="23"/>
      <c r="L823" s="23"/>
      <c r="M823" s="23"/>
      <c r="N823" s="5">
        <f>SUM($M$824:$M$824)</f>
        <v>4</v>
      </c>
    </row>
    <row r="824" spans="1:14" x14ac:dyDescent="0.3">
      <c r="A824" s="23" t="s">
        <v>967</v>
      </c>
      <c r="B824" s="70" t="s">
        <v>517</v>
      </c>
      <c r="C824" s="71"/>
      <c r="D824" s="71"/>
      <c r="E824" s="72"/>
      <c r="F824" s="5"/>
      <c r="G824" s="26"/>
      <c r="H824" s="5">
        <v>2</v>
      </c>
      <c r="I824" s="5">
        <v>2</v>
      </c>
      <c r="J824" s="5"/>
      <c r="K824" s="5">
        <f>IF(COUNTA(H824:J824)=2,ROUND(PRODUCT(H824:J824),2),"")</f>
        <v>4</v>
      </c>
      <c r="L824" s="5" t="str">
        <f>IF(OR(AND(COUNTA(H824:J824)=3,K824=""),AND(COUNTA(H824:J824)=1,K824&lt;&gt;"")),ROUND(PRODUCT(H824:K824),2),"")</f>
        <v/>
      </c>
      <c r="M824" s="5">
        <f>IF(L824&lt;&gt;"",ROUND(PRODUCT(F824,G824,L824),2),IF(K824&lt;&gt;"",ROUND(PRODUCT(F824,G824,K824),2),ROUND(PRODUCT(F824:J824),2)))</f>
        <v>4</v>
      </c>
      <c r="N824" s="5"/>
    </row>
    <row r="825" spans="1:14" ht="28.8" x14ac:dyDescent="0.3">
      <c r="A825" s="23" t="s">
        <v>479</v>
      </c>
      <c r="B825" s="23">
        <v>101749</v>
      </c>
      <c r="C825" s="23" t="str">
        <f>VLOOKUP(B825,CPU!$B:$J,2,FALSE)</f>
        <v>SINAPI</v>
      </c>
      <c r="D825" s="24" t="str">
        <f>VLOOKUP(B825,CPU!$B:$J,3,FALSE)</f>
        <v>PISO CIMENTADO, TRAÇO 1:3 (CIMENTO E AREIA), ACABAMENTO LISO, ESPESSURA 4,0 CM, PREPARO MECÂNICO DA ARGAMASSA. AF_09/2020</v>
      </c>
      <c r="E825" s="23" t="str">
        <f>VLOOKUP(B825,CPU!$B:$J,4,FALSE)</f>
        <v>M2</v>
      </c>
      <c r="F825" s="23"/>
      <c r="G825" s="23"/>
      <c r="H825" s="23"/>
      <c r="I825" s="23"/>
      <c r="J825" s="23"/>
      <c r="K825" s="23"/>
      <c r="L825" s="23"/>
      <c r="M825" s="23"/>
      <c r="N825" s="5">
        <f>SUM($M$826:$M$826)</f>
        <v>4</v>
      </c>
    </row>
    <row r="826" spans="1:14" x14ac:dyDescent="0.3">
      <c r="A826" s="23" t="s">
        <v>968</v>
      </c>
      <c r="B826" s="70" t="s">
        <v>517</v>
      </c>
      <c r="C826" s="71"/>
      <c r="D826" s="71"/>
      <c r="E826" s="72"/>
      <c r="F826" s="5"/>
      <c r="G826" s="26"/>
      <c r="H826" s="5">
        <v>2</v>
      </c>
      <c r="I826" s="5">
        <v>2</v>
      </c>
      <c r="J826" s="5"/>
      <c r="K826" s="5">
        <f>IF(COUNTA(H826:J826)=2,ROUND(PRODUCT(H826:J826),2),"")</f>
        <v>4</v>
      </c>
      <c r="L826" s="5" t="str">
        <f>IF(OR(AND(COUNTA(H826:J826)=3,K826=""),AND(COUNTA(H826:J826)=1,K826&lt;&gt;"")),ROUND(PRODUCT(H826:K826),2),"")</f>
        <v/>
      </c>
      <c r="M826" s="5">
        <f>IF(L826&lt;&gt;"",ROUND(PRODUCT(F826,G826,L826),2),IF(K826&lt;&gt;"",ROUND(PRODUCT(F826,G826,K826),2),ROUND(PRODUCT(F826:J826),2)))</f>
        <v>4</v>
      </c>
      <c r="N826" s="5"/>
    </row>
    <row r="827" spans="1:14" ht="43.2" x14ac:dyDescent="0.3">
      <c r="A827" s="23" t="s">
        <v>480</v>
      </c>
      <c r="B827" s="23">
        <v>94994</v>
      </c>
      <c r="C827" s="23" t="str">
        <f>VLOOKUP(B827,CPU!$B:$J,2,FALSE)</f>
        <v>SINAPI</v>
      </c>
      <c r="D827" s="24" t="str">
        <f>VLOOKUP(B827,CPU!$B:$J,3,FALSE)</f>
        <v>EXECUÇÃO DE PASSEIO (CALÇADA) OU PISO DE CONCRETO COM CONCRETO MOLDADO IN LOCO, FEITO EM OBRA, ACABAMENTO CONVENCIONAL, ESPESSURA 8 CM, ARMADO. AF_08/2022</v>
      </c>
      <c r="E827" s="23" t="str">
        <f>VLOOKUP(B827,CPU!$B:$J,4,FALSE)</f>
        <v>M2</v>
      </c>
      <c r="F827" s="23"/>
      <c r="G827" s="23"/>
      <c r="H827" s="23"/>
      <c r="I827" s="23"/>
      <c r="J827" s="23"/>
      <c r="K827" s="23"/>
      <c r="L827" s="23"/>
      <c r="M827" s="23"/>
      <c r="N827" s="5">
        <f>SUM($M$828:$M$829)</f>
        <v>5.6</v>
      </c>
    </row>
    <row r="828" spans="1:14" x14ac:dyDescent="0.3">
      <c r="A828" s="23" t="s">
        <v>969</v>
      </c>
      <c r="B828" s="70" t="s">
        <v>517</v>
      </c>
      <c r="C828" s="71"/>
      <c r="D828" s="71"/>
      <c r="E828" s="72"/>
      <c r="F828" s="5"/>
      <c r="G828" s="26">
        <v>2</v>
      </c>
      <c r="H828" s="5">
        <v>3.3</v>
      </c>
      <c r="I828" s="5">
        <v>0.5</v>
      </c>
      <c r="J828" s="5"/>
      <c r="K828" s="5">
        <f>IF(COUNTA(H828:J828)=2,ROUND(PRODUCT(H828:J828),2),"")</f>
        <v>1.65</v>
      </c>
      <c r="L828" s="5" t="str">
        <f>IF(OR(AND(COUNTA(H828:J828)=3,K828=""),AND(COUNTA(H828:J828)=1,K828&lt;&gt;"")),ROUND(PRODUCT(H828:K828),2),"")</f>
        <v/>
      </c>
      <c r="M828" s="5">
        <f>IF(L828&lt;&gt;"",ROUND(PRODUCT(F828,G828,L828),2),IF(K828&lt;&gt;"",ROUND(PRODUCT(F828,G828,K828),2),ROUND(PRODUCT(F828:J828),2)))</f>
        <v>3.3</v>
      </c>
      <c r="N828" s="5"/>
    </row>
    <row r="829" spans="1:14" x14ac:dyDescent="0.3">
      <c r="A829" s="23" t="s">
        <v>970</v>
      </c>
      <c r="B829" s="70" t="s">
        <v>517</v>
      </c>
      <c r="C829" s="71"/>
      <c r="D829" s="71"/>
      <c r="E829" s="72"/>
      <c r="F829" s="5"/>
      <c r="G829" s="26">
        <v>2</v>
      </c>
      <c r="H829" s="5">
        <v>2.2999999999999998</v>
      </c>
      <c r="I829" s="5">
        <v>0.5</v>
      </c>
      <c r="J829" s="5"/>
      <c r="K829" s="5">
        <f>IF(COUNTA(H829:J829)=2,ROUND(PRODUCT(H829:J829),2),"")</f>
        <v>1.1499999999999999</v>
      </c>
      <c r="L829" s="5" t="str">
        <f>IF(OR(AND(COUNTA(H829:J829)=3,K829=""),AND(COUNTA(H829:J829)=1,K829&lt;&gt;"")),ROUND(PRODUCT(H829:K829),2),"")</f>
        <v/>
      </c>
      <c r="M829" s="5">
        <f>IF(L829&lt;&gt;"",ROUND(PRODUCT(F829,G829,L829),2),IF(K829&lt;&gt;"",ROUND(PRODUCT(F829,G829,K829),2),ROUND(PRODUCT(F829:J829),2)))</f>
        <v>2.2999999999999998</v>
      </c>
      <c r="N829" s="5"/>
    </row>
    <row r="830" spans="1:14" x14ac:dyDescent="0.3">
      <c r="A830" s="15" t="s">
        <v>145</v>
      </c>
      <c r="B830" s="48" t="s">
        <v>597</v>
      </c>
      <c r="C830" s="49"/>
      <c r="D830" s="49"/>
      <c r="E830" s="49"/>
      <c r="F830" s="49"/>
      <c r="G830" s="49"/>
      <c r="H830" s="49"/>
      <c r="I830" s="49"/>
      <c r="J830" s="49"/>
      <c r="K830" s="49"/>
      <c r="L830" s="49"/>
      <c r="M830" s="49"/>
      <c r="N830" s="50"/>
    </row>
    <row r="831" spans="1:14" ht="43.2" x14ac:dyDescent="0.3">
      <c r="A831" s="23" t="s">
        <v>481</v>
      </c>
      <c r="B831" s="23">
        <v>87904</v>
      </c>
      <c r="C831" s="23" t="str">
        <f>VLOOKUP(B831,CPU!$B:$J,2,FALSE)</f>
        <v>SINAPI</v>
      </c>
      <c r="D831" s="24" t="str">
        <f>VLOOKUP(B831,CPU!$B:$J,3,FALSE)</f>
        <v>CHAPISCO APLICADO EM ALVENARIA (COM PRESENÇA DE VÃOS) E ESTRUTURAS DE CONCRETO DE FACHADA, COM COLHER DE PEDREIRO. ARGAMASSA TRAÇO 1:3 COM PREPARO MANUAL. AF_10/2022</v>
      </c>
      <c r="E831" s="23" t="str">
        <f>VLOOKUP(B831,CPU!$B:$J,4,FALSE)</f>
        <v>M2</v>
      </c>
      <c r="F831" s="23"/>
      <c r="G831" s="23"/>
      <c r="H831" s="23"/>
      <c r="I831" s="23"/>
      <c r="J831" s="23"/>
      <c r="K831" s="23"/>
      <c r="L831" s="23"/>
      <c r="M831" s="23"/>
      <c r="N831" s="5">
        <f>SUM($M$832:$M$832)</f>
        <v>38.619999999999997</v>
      </c>
    </row>
    <row r="832" spans="1:14" x14ac:dyDescent="0.3">
      <c r="A832" s="23" t="s">
        <v>971</v>
      </c>
      <c r="B832" s="70" t="s">
        <v>599</v>
      </c>
      <c r="C832" s="71"/>
      <c r="D832" s="71"/>
      <c r="E832" s="72"/>
      <c r="F832" s="5"/>
      <c r="G832" s="26">
        <v>2</v>
      </c>
      <c r="H832" s="5"/>
      <c r="I832" s="5"/>
      <c r="J832" s="5"/>
      <c r="K832" s="5">
        <v>19.309999999999999</v>
      </c>
      <c r="L832" s="5" t="str">
        <f>IF(OR(AND(COUNTA(H832:J832)=3,K832=""),AND(COUNTA(H832:J832)=1,K832&lt;&gt;"")),ROUND(PRODUCT(H832:K832),2),"")</f>
        <v/>
      </c>
      <c r="M832" s="5">
        <f>IF(L832&lt;&gt;"",ROUND(PRODUCT(F832,G832,L832),2),IF(K832&lt;&gt;"",ROUND(PRODUCT(F832,G832,K832),2),ROUND(PRODUCT(F832:J832),2)))</f>
        <v>38.619999999999997</v>
      </c>
      <c r="N832" s="5"/>
    </row>
    <row r="833" spans="1:14" ht="43.2" x14ac:dyDescent="0.3">
      <c r="A833" s="23" t="s">
        <v>482</v>
      </c>
      <c r="B833" s="23">
        <v>87530</v>
      </c>
      <c r="C833" s="23" t="str">
        <f>VLOOKUP(B833,CPU!$B:$J,2,FALSE)</f>
        <v>SINAPI</v>
      </c>
      <c r="D833" s="24" t="str">
        <f>VLOOKUP(B833,CPU!$B:$J,3,FALSE)</f>
        <v>MASSA ÚNICA, EM ARGAMASSA TRAÇO 1:2:8, PREPARO MANUAL, APLICADA MANUALMENTE EM PAREDES INTERNAS DE AMBIENTES COM ÁREA ENTRE 5M² E 10M², E = 17,5MM, COM TALISCAS. AF_03/2024</v>
      </c>
      <c r="E833" s="23" t="str">
        <f>VLOOKUP(B833,CPU!$B:$J,4,FALSE)</f>
        <v>M2</v>
      </c>
      <c r="F833" s="23"/>
      <c r="G833" s="23"/>
      <c r="H833" s="23"/>
      <c r="I833" s="23"/>
      <c r="J833" s="23"/>
      <c r="K833" s="23"/>
      <c r="L833" s="23"/>
      <c r="M833" s="23"/>
      <c r="N833" s="5">
        <f>SUM($M$834:$M$834)</f>
        <v>38.619999999999997</v>
      </c>
    </row>
    <row r="834" spans="1:14" x14ac:dyDescent="0.3">
      <c r="A834" s="23" t="s">
        <v>972</v>
      </c>
      <c r="B834" s="70" t="s">
        <v>599</v>
      </c>
      <c r="C834" s="71"/>
      <c r="D834" s="71"/>
      <c r="E834" s="72"/>
      <c r="F834" s="5"/>
      <c r="G834" s="26">
        <v>2</v>
      </c>
      <c r="H834" s="5"/>
      <c r="I834" s="5"/>
      <c r="J834" s="5"/>
      <c r="K834" s="5">
        <v>19.309999999999999</v>
      </c>
      <c r="L834" s="5" t="str">
        <f>IF(OR(AND(COUNTA(H834:J834)=3,K834=""),AND(COUNTA(H834:J834)=1,K834&lt;&gt;"")),ROUND(PRODUCT(H834:K834),2),"")</f>
        <v/>
      </c>
      <c r="M834" s="5">
        <f>IF(L834&lt;&gt;"",ROUND(PRODUCT(F834,G834,L834),2),IF(K834&lt;&gt;"",ROUND(PRODUCT(F834,G834,K834),2),ROUND(PRODUCT(F834:J834),2)))</f>
        <v>38.619999999999997</v>
      </c>
      <c r="N834" s="5"/>
    </row>
    <row r="835" spans="1:14" x14ac:dyDescent="0.3">
      <c r="A835" s="15" t="s">
        <v>146</v>
      </c>
      <c r="B835" s="48" t="s">
        <v>601</v>
      </c>
      <c r="C835" s="49"/>
      <c r="D835" s="49"/>
      <c r="E835" s="49"/>
      <c r="F835" s="49"/>
      <c r="G835" s="49"/>
      <c r="H835" s="49"/>
      <c r="I835" s="49"/>
      <c r="J835" s="49"/>
      <c r="K835" s="49"/>
      <c r="L835" s="49"/>
      <c r="M835" s="49"/>
      <c r="N835" s="50"/>
    </row>
    <row r="836" spans="1:14" x14ac:dyDescent="0.3">
      <c r="A836" s="23" t="s">
        <v>483</v>
      </c>
      <c r="B836" s="23">
        <v>100701</v>
      </c>
      <c r="C836" s="23" t="str">
        <f>VLOOKUP(B836,CPU!$B:$J,2,FALSE)</f>
        <v>SINAPI</v>
      </c>
      <c r="D836" s="24" t="str">
        <f>VLOOKUP(B836,CPU!$B:$J,3,FALSE)</f>
        <v>PORTA DE FERRO, DE ABRIR, TIPO GRADE COM CHAPA, COM GUARNIÇÕES. AF_12/2019</v>
      </c>
      <c r="E836" s="23" t="str">
        <f>VLOOKUP(B836,CPU!$B:$J,4,FALSE)</f>
        <v>M2</v>
      </c>
      <c r="F836" s="23"/>
      <c r="G836" s="23"/>
      <c r="H836" s="23"/>
      <c r="I836" s="23"/>
      <c r="J836" s="23"/>
      <c r="K836" s="23"/>
      <c r="L836" s="23"/>
      <c r="M836" s="23"/>
      <c r="N836" s="5">
        <f>SUM($M$837:$M$837)</f>
        <v>1.68</v>
      </c>
    </row>
    <row r="837" spans="1:14" x14ac:dyDescent="0.3">
      <c r="A837" s="23" t="s">
        <v>973</v>
      </c>
      <c r="B837" s="70" t="s">
        <v>517</v>
      </c>
      <c r="C837" s="71"/>
      <c r="D837" s="71"/>
      <c r="E837" s="72"/>
      <c r="F837" s="5"/>
      <c r="G837" s="26">
        <v>1</v>
      </c>
      <c r="H837" s="5"/>
      <c r="I837" s="5">
        <v>0.8</v>
      </c>
      <c r="J837" s="5">
        <v>2.1</v>
      </c>
      <c r="K837" s="5">
        <f>IF(COUNTA(H837:J837)=2,ROUND(PRODUCT(H837:J837),2),"")</f>
        <v>1.68</v>
      </c>
      <c r="L837" s="5" t="str">
        <f>IF(OR(AND(COUNTA(H837:J837)=3,K837=""),AND(COUNTA(H837:J837)=1,K837&lt;&gt;"")),ROUND(PRODUCT(H837:K837),2),"")</f>
        <v/>
      </c>
      <c r="M837" s="5">
        <f>IF(L837&lt;&gt;"",ROUND(PRODUCT(F837,G837,L837),2),IF(K837&lt;&gt;"",ROUND(PRODUCT(F837,G837,K837),2),ROUND(PRODUCT(F837:J837),2)))</f>
        <v>1.68</v>
      </c>
      <c r="N837" s="5"/>
    </row>
    <row r="838" spans="1:14" x14ac:dyDescent="0.3">
      <c r="A838" s="23" t="s">
        <v>484</v>
      </c>
      <c r="B838" s="23" t="s">
        <v>603</v>
      </c>
      <c r="C838" s="23" t="str">
        <f>VLOOKUP(B838,CPU!$B:$J,2,FALSE)</f>
        <v>PRÓPRIA</v>
      </c>
      <c r="D838" s="24" t="str">
        <f>VLOOKUP(B838,CPU!$B:$J,3,FALSE)</f>
        <v>PORTÃO DE FERRO EM BARRA CHATA TIPO TIJOLINHO (REF: C1999-SEINFRA 28)</v>
      </c>
      <c r="E838" s="23" t="str">
        <f>VLOOKUP(B838,CPU!$B:$J,4,FALSE)</f>
        <v>M2</v>
      </c>
      <c r="F838" s="23"/>
      <c r="G838" s="23"/>
      <c r="H838" s="23"/>
      <c r="I838" s="23"/>
      <c r="J838" s="23"/>
      <c r="K838" s="23"/>
      <c r="L838" s="23"/>
      <c r="M838" s="23"/>
      <c r="N838" s="5">
        <f>SUM($M$839:$M$839)</f>
        <v>6</v>
      </c>
    </row>
    <row r="839" spans="1:14" x14ac:dyDescent="0.3">
      <c r="A839" s="23" t="s">
        <v>974</v>
      </c>
      <c r="B839" s="70" t="s">
        <v>517</v>
      </c>
      <c r="C839" s="71"/>
      <c r="D839" s="71"/>
      <c r="E839" s="72"/>
      <c r="F839" s="5"/>
      <c r="G839" s="26"/>
      <c r="H839" s="5"/>
      <c r="I839" s="5">
        <v>3</v>
      </c>
      <c r="J839" s="5">
        <v>2</v>
      </c>
      <c r="K839" s="5">
        <f>IF(COUNTA(H839:J839)=2,ROUND(PRODUCT(H839:J839),2),"")</f>
        <v>6</v>
      </c>
      <c r="L839" s="5" t="str">
        <f>IF(OR(AND(COUNTA(H839:J839)=3,K839=""),AND(COUNTA(H839:J839)=1,K839&lt;&gt;"")),ROUND(PRODUCT(H839:K839),2),"")</f>
        <v/>
      </c>
      <c r="M839" s="5">
        <f>IF(L839&lt;&gt;"",ROUND(PRODUCT(F839,G839,L839),2),IF(K839&lt;&gt;"",ROUND(PRODUCT(F839,G839,K839),2),ROUND(PRODUCT(F839:J839),2)))</f>
        <v>6</v>
      </c>
      <c r="N839" s="5"/>
    </row>
    <row r="840" spans="1:14" x14ac:dyDescent="0.3">
      <c r="A840" s="15" t="s">
        <v>147</v>
      </c>
      <c r="B840" s="48" t="s">
        <v>605</v>
      </c>
      <c r="C840" s="49"/>
      <c r="D840" s="49"/>
      <c r="E840" s="49"/>
      <c r="F840" s="49"/>
      <c r="G840" s="49"/>
      <c r="H840" s="49"/>
      <c r="I840" s="49"/>
      <c r="J840" s="49"/>
      <c r="K840" s="49"/>
      <c r="L840" s="49"/>
      <c r="M840" s="49"/>
      <c r="N840" s="50"/>
    </row>
    <row r="841" spans="1:14" x14ac:dyDescent="0.3">
      <c r="A841" s="23" t="s">
        <v>485</v>
      </c>
      <c r="B841" s="23" t="s">
        <v>606</v>
      </c>
      <c r="C841" s="23" t="str">
        <f>VLOOKUP(B841,CPU!$B:$J,2,FALSE)</f>
        <v>PRÓPRIA</v>
      </c>
      <c r="D841" s="24" t="str">
        <f>VLOOKUP(B841,CPU!$B:$J,3,FALSE)</f>
        <v>CAIAÇÃO EM TRES DEMÃOS EM PAREDES (REF: C0589-SEINFRA 28)</v>
      </c>
      <c r="E841" s="23" t="str">
        <f>VLOOKUP(B841,CPU!$B:$J,4,FALSE)</f>
        <v>M2</v>
      </c>
      <c r="F841" s="23"/>
      <c r="G841" s="23"/>
      <c r="H841" s="23"/>
      <c r="I841" s="23"/>
      <c r="J841" s="23"/>
      <c r="K841" s="23"/>
      <c r="L841" s="23"/>
      <c r="M841" s="23"/>
      <c r="N841" s="5">
        <f>SUM($M$842:$M$842)</f>
        <v>38.619999999999997</v>
      </c>
    </row>
    <row r="842" spans="1:14" x14ac:dyDescent="0.3">
      <c r="A842" s="23" t="s">
        <v>975</v>
      </c>
      <c r="B842" s="70" t="s">
        <v>599</v>
      </c>
      <c r="C842" s="71"/>
      <c r="D842" s="71"/>
      <c r="E842" s="72"/>
      <c r="F842" s="5"/>
      <c r="G842" s="26">
        <v>2</v>
      </c>
      <c r="H842" s="5"/>
      <c r="I842" s="5"/>
      <c r="J842" s="5"/>
      <c r="K842" s="5">
        <v>19.309999999999999</v>
      </c>
      <c r="L842" s="5" t="str">
        <f>IF(OR(AND(COUNTA(H842:J842)=3,K842=""),AND(COUNTA(H842:J842)=1,K842&lt;&gt;"")),ROUND(PRODUCT(H842:K842),2),"")</f>
        <v/>
      </c>
      <c r="M842" s="5">
        <f>IF(L842&lt;&gt;"",ROUND(PRODUCT(F842,G842,L842),2),IF(K842&lt;&gt;"",ROUND(PRODUCT(F842,G842,K842),2),ROUND(PRODUCT(F842:J842),2)))</f>
        <v>38.619999999999997</v>
      </c>
      <c r="N842" s="5"/>
    </row>
    <row r="843" spans="1:14" ht="43.2" x14ac:dyDescent="0.3">
      <c r="A843" s="23" t="s">
        <v>486</v>
      </c>
      <c r="B843" s="23">
        <v>100758</v>
      </c>
      <c r="C843" s="23" t="str">
        <f>VLOOKUP(B843,CPU!$B:$J,2,FALSE)</f>
        <v>SINAPI</v>
      </c>
      <c r="D843" s="24" t="str">
        <f>VLOOKUP(B843,CPU!$B:$J,3,FALSE)</f>
        <v>PINTURA COM TINTA ALQUÍDICA DE ACABAMENTO (ESMALTE SINTÉTICO ACETINADO) APLICADA A ROLO OU PINCEL SOBRE SUPERFÍCIES METÁLICAS (EXCETO PERFIL) EXECUTADO EM OBRA (02 DEMÃOS). AF_01/2020</v>
      </c>
      <c r="E843" s="23" t="str">
        <f>VLOOKUP(B843,CPU!$B:$J,4,FALSE)</f>
        <v>M2</v>
      </c>
      <c r="F843" s="23"/>
      <c r="G843" s="23"/>
      <c r="H843" s="23"/>
      <c r="I843" s="23"/>
      <c r="J843" s="23"/>
      <c r="K843" s="23"/>
      <c r="L843" s="23"/>
      <c r="M843" s="23"/>
      <c r="N843" s="5">
        <f>SUM($M$844:$M$844)</f>
        <v>3.36</v>
      </c>
    </row>
    <row r="844" spans="1:14" x14ac:dyDescent="0.3">
      <c r="A844" s="23" t="s">
        <v>976</v>
      </c>
      <c r="B844" s="70" t="s">
        <v>609</v>
      </c>
      <c r="C844" s="71"/>
      <c r="D844" s="71"/>
      <c r="E844" s="72"/>
      <c r="F844" s="5"/>
      <c r="G844" s="26">
        <v>2</v>
      </c>
      <c r="H844" s="5"/>
      <c r="I844" s="5">
        <v>0.8</v>
      </c>
      <c r="J844" s="5">
        <v>2.1</v>
      </c>
      <c r="K844" s="5">
        <f>IF(COUNTA(H844:J844)=2,ROUND(PRODUCT(H844:J844),2),"")</f>
        <v>1.68</v>
      </c>
      <c r="L844" s="5" t="str">
        <f>IF(OR(AND(COUNTA(H844:J844)=3,K844=""),AND(COUNTA(H844:J844)=1,K844&lt;&gt;"")),ROUND(PRODUCT(H844:K844),2),"")</f>
        <v/>
      </c>
      <c r="M844" s="5">
        <f>IF(L844&lt;&gt;"",ROUND(PRODUCT(F844,G844,L844),2),IF(K844&lt;&gt;"",ROUND(PRODUCT(F844,G844,K844),2),ROUND(PRODUCT(F844:J844),2)))</f>
        <v>3.36</v>
      </c>
      <c r="N844" s="5"/>
    </row>
    <row r="845" spans="1:14" x14ac:dyDescent="0.3">
      <c r="A845" s="15" t="s">
        <v>148</v>
      </c>
      <c r="B845" s="48" t="s">
        <v>610</v>
      </c>
      <c r="C845" s="49"/>
      <c r="D845" s="49"/>
      <c r="E845" s="49"/>
      <c r="F845" s="49"/>
      <c r="G845" s="49"/>
      <c r="H845" s="49"/>
      <c r="I845" s="49"/>
      <c r="J845" s="49"/>
      <c r="K845" s="49"/>
      <c r="L845" s="49"/>
      <c r="M845" s="49"/>
      <c r="N845" s="50"/>
    </row>
    <row r="846" spans="1:14" ht="43.2" x14ac:dyDescent="0.3">
      <c r="A846" s="23" t="s">
        <v>487</v>
      </c>
      <c r="B846" s="23">
        <v>101197</v>
      </c>
      <c r="C846" s="23" t="str">
        <f>VLOOKUP(B846,CPU!$B:$J,2,FALSE)</f>
        <v>SINAPI</v>
      </c>
      <c r="D846" s="24" t="str">
        <f>VLOOKUP(B846,CPU!$B:$J,3,FALSE)</f>
        <v>CERCA COM MOURÕES DE CONCRETO, SEÇÃO "T" PONTA INCLINADA, 10X10 CM, ESPAÇAMENTO DE 2,5 M, CRAVADOS 0,5 M, COM 11 FIOS DE ARAME FARPADO Nº 14 - FORNECIMENTO E INSTALAÇÃO. AF_05/2020</v>
      </c>
      <c r="E846" s="23" t="str">
        <f>VLOOKUP(B846,CPU!$B:$J,4,FALSE)</f>
        <v>M</v>
      </c>
      <c r="F846" s="23"/>
      <c r="G846" s="23"/>
      <c r="H846" s="23"/>
      <c r="I846" s="23"/>
      <c r="J846" s="23"/>
      <c r="K846" s="23"/>
      <c r="L846" s="23"/>
      <c r="M846" s="23"/>
      <c r="N846" s="5">
        <f>SUM($M$847:$M$848)</f>
        <v>37</v>
      </c>
    </row>
    <row r="847" spans="1:14" x14ac:dyDescent="0.3">
      <c r="A847" s="23" t="s">
        <v>977</v>
      </c>
      <c r="B847" s="70" t="s">
        <v>517</v>
      </c>
      <c r="C847" s="71"/>
      <c r="D847" s="71"/>
      <c r="E847" s="72"/>
      <c r="F847" s="5"/>
      <c r="G847" s="26">
        <v>4</v>
      </c>
      <c r="H847" s="5">
        <v>10</v>
      </c>
      <c r="I847" s="5"/>
      <c r="J847" s="5"/>
      <c r="K847" s="5" t="str">
        <f>IF(COUNTA(H847:J847)=2,ROUND(PRODUCT(H847:J847),2),"")</f>
        <v/>
      </c>
      <c r="L847" s="5" t="str">
        <f>IF(OR(AND(COUNTA(H847:J847)=3,K847=""),AND(COUNTA(H847:J847)=1,K847&lt;&gt;"")),ROUND(PRODUCT(H847:K847),2),"")</f>
        <v/>
      </c>
      <c r="M847" s="5">
        <f>IF(L847&lt;&gt;"",ROUND(PRODUCT(F847,G847,L847),2),IF(K847&lt;&gt;"",ROUND(PRODUCT(F847,G847,K847),2),ROUND(PRODUCT(F847:J847),2)))</f>
        <v>40</v>
      </c>
      <c r="N847" s="5"/>
    </row>
    <row r="848" spans="1:14" x14ac:dyDescent="0.3">
      <c r="A848" s="23" t="s">
        <v>978</v>
      </c>
      <c r="B848" s="70" t="s">
        <v>613</v>
      </c>
      <c r="C848" s="71"/>
      <c r="D848" s="71"/>
      <c r="E848" s="72"/>
      <c r="F848" s="5"/>
      <c r="G848" s="26">
        <v>-1</v>
      </c>
      <c r="H848" s="5">
        <v>3</v>
      </c>
      <c r="I848" s="5"/>
      <c r="J848" s="5"/>
      <c r="K848" s="5" t="str">
        <f>IF(COUNTA(H848:J848)=2,ROUND(PRODUCT(H848:J848),2),"")</f>
        <v/>
      </c>
      <c r="L848" s="5" t="str">
        <f>IF(OR(AND(COUNTA(H848:J848)=3,K848=""),AND(COUNTA(H848:J848)=1,K848&lt;&gt;"")),ROUND(PRODUCT(H848:K848),2),"")</f>
        <v/>
      </c>
      <c r="M848" s="5">
        <f>IF(L848&lt;&gt;"",ROUND(PRODUCT(F848,G848,L848),2),IF(K848&lt;&gt;"",ROUND(PRODUCT(F848,G848,K848),2),ROUND(PRODUCT(F848:J848),2)))</f>
        <v>-3</v>
      </c>
      <c r="N848" s="5"/>
    </row>
    <row r="849" spans="1:14" x14ac:dyDescent="0.3">
      <c r="A849" s="12" t="s">
        <v>149</v>
      </c>
      <c r="B849" s="51" t="s">
        <v>614</v>
      </c>
      <c r="C849" s="52"/>
      <c r="D849" s="52"/>
      <c r="E849" s="52"/>
      <c r="F849" s="52"/>
      <c r="G849" s="52"/>
      <c r="H849" s="52"/>
      <c r="I849" s="52"/>
      <c r="J849" s="52"/>
      <c r="K849" s="52"/>
      <c r="L849" s="52"/>
      <c r="M849" s="52"/>
      <c r="N849" s="53"/>
    </row>
    <row r="850" spans="1:14" ht="43.2" x14ac:dyDescent="0.3">
      <c r="A850" s="23" t="s">
        <v>488</v>
      </c>
      <c r="B850" s="23" t="s">
        <v>615</v>
      </c>
      <c r="C850" s="23" t="str">
        <f>VLOOKUP(B850,CPU!$B:$J,2,FALSE)</f>
        <v>PRÓPRIA</v>
      </c>
      <c r="D850" s="24" t="str">
        <f>VLOOKUP(B850,CPU!$B:$J,3,FALSE)</f>
        <v>FORNECIMENTO E INSTALAÇÃO DE KIT DE BOMBEAMENTO SOLAR P/ POÇO COM PROFUNDIDADE DE 100 A 120 M, INCLUSO BOMBA 3CV, INVERSOR, PAINÉIS, QUADRO DE COMANDO, DISJUNTORES, CABOS E CONEXÕES E ESTRUTURA TIPO SOLO</v>
      </c>
      <c r="E850" s="23" t="str">
        <f>VLOOKUP(B850,CPU!$B:$J,4,FALSE)</f>
        <v>UND</v>
      </c>
      <c r="F850" s="23"/>
      <c r="G850" s="23"/>
      <c r="H850" s="23"/>
      <c r="I850" s="23"/>
      <c r="J850" s="23"/>
      <c r="K850" s="23"/>
      <c r="L850" s="23"/>
      <c r="M850" s="23"/>
      <c r="N850" s="5">
        <f>SUM($M$851:$M$851)</f>
        <v>1</v>
      </c>
    </row>
    <row r="851" spans="1:14" x14ac:dyDescent="0.3">
      <c r="A851" s="23" t="s">
        <v>979</v>
      </c>
      <c r="B851" s="70" t="s">
        <v>517</v>
      </c>
      <c r="C851" s="71"/>
      <c r="D851" s="71"/>
      <c r="E851" s="72"/>
      <c r="F851" s="5">
        <v>1</v>
      </c>
      <c r="G851" s="26"/>
      <c r="H851" s="5"/>
      <c r="I851" s="5"/>
      <c r="J851" s="5"/>
      <c r="K851" s="5" t="str">
        <f>IF(COUNTA(H851:J851)=2,ROUND(PRODUCT(H851:J851),2),"")</f>
        <v/>
      </c>
      <c r="L851" s="5" t="str">
        <f>IF(OR(AND(COUNTA(H851:J851)=3,K851=""),AND(COUNTA(H851:J851)=1,K851&lt;&gt;"")),ROUND(PRODUCT(H851:K851),2),"")</f>
        <v/>
      </c>
      <c r="M851" s="5">
        <f>IF(L851&lt;&gt;"",ROUND(PRODUCT(F851,G851,L851),2),IF(K851&lt;&gt;"",ROUND(PRODUCT(F851,G851,K851),2),ROUND(PRODUCT(F851:J851),2)))</f>
        <v>1</v>
      </c>
      <c r="N851" s="5"/>
    </row>
    <row r="852" spans="1:14" x14ac:dyDescent="0.3">
      <c r="A852" s="23" t="s">
        <v>489</v>
      </c>
      <c r="B852" s="23" t="s">
        <v>617</v>
      </c>
      <c r="C852" s="23" t="str">
        <f>VLOOKUP(B852,CPU!$B:$J,2,FALSE)</f>
        <v>PRÓPRIA</v>
      </c>
      <c r="D852" s="24" t="str">
        <f>VLOOKUP(B852,CPU!$B:$J,3,FALSE)</f>
        <v>FORNECIMENTO E INSTALAÇÃO DE CABO CHATO SUBMERSO DE 3 X 6 MM²</v>
      </c>
      <c r="E852" s="23" t="str">
        <f>VLOOKUP(B852,CPU!$B:$J,4,FALSE)</f>
        <v>M</v>
      </c>
      <c r="F852" s="23"/>
      <c r="G852" s="23"/>
      <c r="H852" s="23"/>
      <c r="I852" s="23"/>
      <c r="J852" s="23"/>
      <c r="K852" s="23"/>
      <c r="L852" s="23"/>
      <c r="M852" s="23"/>
      <c r="N852" s="5">
        <f>SUM($M$853:$M$853)</f>
        <v>100</v>
      </c>
    </row>
    <row r="853" spans="1:14" x14ac:dyDescent="0.3">
      <c r="A853" s="23" t="s">
        <v>980</v>
      </c>
      <c r="B853" s="70" t="s">
        <v>517</v>
      </c>
      <c r="C853" s="71"/>
      <c r="D853" s="71"/>
      <c r="E853" s="72"/>
      <c r="F853" s="5">
        <v>100</v>
      </c>
      <c r="G853" s="26"/>
      <c r="H853" s="5"/>
      <c r="I853" s="5"/>
      <c r="J853" s="5"/>
      <c r="K853" s="5" t="str">
        <f>IF(COUNTA(H853:J853)=2,ROUND(PRODUCT(H853:J853),2),"")</f>
        <v/>
      </c>
      <c r="L853" s="5" t="str">
        <f>IF(OR(AND(COUNTA(H853:J853)=3,K853=""),AND(COUNTA(H853:J853)=1,K853&lt;&gt;"")),ROUND(PRODUCT(H853:K853),2),"")</f>
        <v/>
      </c>
      <c r="M853" s="5">
        <f>IF(L853&lt;&gt;"",ROUND(PRODUCT(F853,G853,L853),2),IF(K853&lt;&gt;"",ROUND(PRODUCT(F853,G853,K853),2),ROUND(PRODUCT(F853:J853),2)))</f>
        <v>100</v>
      </c>
      <c r="N853" s="5"/>
    </row>
    <row r="854" spans="1:14" x14ac:dyDescent="0.3">
      <c r="A854" s="12" t="s">
        <v>150</v>
      </c>
      <c r="B854" s="51" t="s">
        <v>619</v>
      </c>
      <c r="C854" s="52"/>
      <c r="D854" s="52"/>
      <c r="E854" s="52"/>
      <c r="F854" s="52"/>
      <c r="G854" s="52"/>
      <c r="H854" s="52"/>
      <c r="I854" s="52"/>
      <c r="J854" s="52"/>
      <c r="K854" s="52"/>
      <c r="L854" s="52"/>
      <c r="M854" s="52"/>
      <c r="N854" s="53"/>
    </row>
    <row r="855" spans="1:14" x14ac:dyDescent="0.3">
      <c r="A855" s="15" t="s">
        <v>151</v>
      </c>
      <c r="B855" s="48" t="s">
        <v>563</v>
      </c>
      <c r="C855" s="49"/>
      <c r="D855" s="49"/>
      <c r="E855" s="49"/>
      <c r="F855" s="49"/>
      <c r="G855" s="49"/>
      <c r="H855" s="49"/>
      <c r="I855" s="49"/>
      <c r="J855" s="49"/>
      <c r="K855" s="49"/>
      <c r="L855" s="49"/>
      <c r="M855" s="49"/>
      <c r="N855" s="50"/>
    </row>
    <row r="856" spans="1:14" x14ac:dyDescent="0.3">
      <c r="A856" s="23" t="s">
        <v>490</v>
      </c>
      <c r="B856" s="23">
        <v>93358</v>
      </c>
      <c r="C856" s="23" t="str">
        <f>VLOOKUP(B856,CPU!$B:$J,2,FALSE)</f>
        <v>SINAPI</v>
      </c>
      <c r="D856" s="24" t="str">
        <f>VLOOKUP(B856,CPU!$B:$J,3,FALSE)</f>
        <v>ESCAVAÇÃO MANUAL DE VALA. AF_09/2024</v>
      </c>
      <c r="E856" s="23" t="str">
        <f>VLOOKUP(B856,CPU!$B:$J,4,FALSE)</f>
        <v>M3</v>
      </c>
      <c r="F856" s="23"/>
      <c r="G856" s="23"/>
      <c r="H856" s="23"/>
      <c r="I856" s="23"/>
      <c r="J856" s="23"/>
      <c r="K856" s="23"/>
      <c r="L856" s="23"/>
      <c r="M856" s="23"/>
      <c r="N856" s="5">
        <f>SUM($M$857:$M$857)</f>
        <v>3.23</v>
      </c>
    </row>
    <row r="857" spans="1:14" x14ac:dyDescent="0.3">
      <c r="A857" s="23" t="s">
        <v>981</v>
      </c>
      <c r="B857" s="70" t="s">
        <v>517</v>
      </c>
      <c r="C857" s="71"/>
      <c r="D857" s="71"/>
      <c r="E857" s="72"/>
      <c r="F857" s="5"/>
      <c r="G857" s="26"/>
      <c r="H857" s="5">
        <v>3.6</v>
      </c>
      <c r="I857" s="5">
        <v>0.7</v>
      </c>
      <c r="J857" s="5">
        <v>1.28</v>
      </c>
      <c r="K857" s="5" t="str">
        <f>IF(COUNTA(H857:J857)=2,ROUND(PRODUCT(H857:J857),2),"")</f>
        <v/>
      </c>
      <c r="L857" s="5">
        <f>IF(OR(AND(COUNTA(H857:J857)=3,K857=""),AND(COUNTA(H857:J857)=1,K857&lt;&gt;"")),ROUND(PRODUCT(H857:K857),2),"")</f>
        <v>3.23</v>
      </c>
      <c r="M857" s="5">
        <f>IF(L857&lt;&gt;"",ROUND(PRODUCT(F857,G857,L857),2),IF(K857&lt;&gt;"",ROUND(PRODUCT(F857,G857,K857),2),ROUND(PRODUCT(F857:J857),2)))</f>
        <v>3.23</v>
      </c>
      <c r="N857" s="5"/>
    </row>
    <row r="858" spans="1:14" x14ac:dyDescent="0.3">
      <c r="A858" s="23" t="s">
        <v>491</v>
      </c>
      <c r="B858" s="23" t="s">
        <v>621</v>
      </c>
      <c r="C858" s="23" t="str">
        <f>VLOOKUP(B858,CPU!$B:$J,2,FALSE)</f>
        <v>PRÓPRIA</v>
      </c>
      <c r="D858" s="24" t="str">
        <f>VLOOKUP(B858,CPU!$B:$J,3,FALSE)</f>
        <v>REATERRO DE VALA COM COMPACTAÇÃO MANUAL</v>
      </c>
      <c r="E858" s="23" t="str">
        <f>VLOOKUP(B858,CPU!$B:$J,4,FALSE)</f>
        <v>M³</v>
      </c>
      <c r="F858" s="23"/>
      <c r="G858" s="23"/>
      <c r="H858" s="23"/>
      <c r="I858" s="23"/>
      <c r="J858" s="23"/>
      <c r="K858" s="23"/>
      <c r="L858" s="23"/>
      <c r="M858" s="23"/>
      <c r="N858" s="5">
        <f>SUM($M$859:$M$859)</f>
        <v>3.23</v>
      </c>
    </row>
    <row r="859" spans="1:14" x14ac:dyDescent="0.3">
      <c r="A859" s="23" t="s">
        <v>982</v>
      </c>
      <c r="B859" s="70" t="s">
        <v>517</v>
      </c>
      <c r="C859" s="71"/>
      <c r="D859" s="71"/>
      <c r="E859" s="72"/>
      <c r="F859" s="5"/>
      <c r="G859" s="26"/>
      <c r="H859" s="5">
        <v>3.6</v>
      </c>
      <c r="I859" s="5">
        <v>0.7</v>
      </c>
      <c r="J859" s="5">
        <v>1.28</v>
      </c>
      <c r="K859" s="5" t="str">
        <f>IF(COUNTA(H859:J859)=2,ROUND(PRODUCT(H859:J859),2),"")</f>
        <v/>
      </c>
      <c r="L859" s="5">
        <f>IF(OR(AND(COUNTA(H859:J859)=3,K859=""),AND(COUNTA(H859:J859)=1,K859&lt;&gt;"")),ROUND(PRODUCT(H859:K859),2),"")</f>
        <v>3.23</v>
      </c>
      <c r="M859" s="5">
        <f>IF(L859&lt;&gt;"",ROUND(PRODUCT(F859,G859,L859),2),IF(K859&lt;&gt;"",ROUND(PRODUCT(F859,G859,K859),2),ROUND(PRODUCT(F859:J859),2)))</f>
        <v>3.23</v>
      </c>
      <c r="N859" s="5"/>
    </row>
    <row r="860" spans="1:14" x14ac:dyDescent="0.3">
      <c r="A860" s="15" t="s">
        <v>152</v>
      </c>
      <c r="B860" s="48" t="s">
        <v>566</v>
      </c>
      <c r="C860" s="49"/>
      <c r="D860" s="49"/>
      <c r="E860" s="49"/>
      <c r="F860" s="49"/>
      <c r="G860" s="49"/>
      <c r="H860" s="49"/>
      <c r="I860" s="49"/>
      <c r="J860" s="49"/>
      <c r="K860" s="49"/>
      <c r="L860" s="49"/>
      <c r="M860" s="49"/>
      <c r="N860" s="50"/>
    </row>
    <row r="861" spans="1:14" x14ac:dyDescent="0.3">
      <c r="A861" s="23" t="s">
        <v>492</v>
      </c>
      <c r="B861" s="23" t="s">
        <v>623</v>
      </c>
      <c r="C861" s="23" t="str">
        <f>VLOOKUP(B861,CPU!$B:$J,2,FALSE)</f>
        <v>PRÓPRIA</v>
      </c>
      <c r="D861" s="24" t="str">
        <f>VLOOKUP(B861,CPU!$B:$J,3,FALSE)</f>
        <v>BLOCO DE ANCORAGEM EM CONCRETO SIMPLES FCK=10MPA (REF: C3403-SEINFRA 28)</v>
      </c>
      <c r="E861" s="23" t="str">
        <f>VLOOKUP(B861,CPU!$B:$J,4,FALSE)</f>
        <v>M3</v>
      </c>
      <c r="F861" s="23"/>
      <c r="G861" s="23"/>
      <c r="H861" s="23"/>
      <c r="I861" s="23"/>
      <c r="J861" s="23"/>
      <c r="K861" s="23"/>
      <c r="L861" s="23"/>
      <c r="M861" s="23"/>
      <c r="N861" s="5">
        <f>SUM($M$862:$M$862)</f>
        <v>0.26</v>
      </c>
    </row>
    <row r="862" spans="1:14" x14ac:dyDescent="0.3">
      <c r="A862" s="23" t="s">
        <v>983</v>
      </c>
      <c r="B862" s="70" t="s">
        <v>517</v>
      </c>
      <c r="C862" s="71"/>
      <c r="D862" s="71"/>
      <c r="E862" s="72"/>
      <c r="F862" s="5"/>
      <c r="G862" s="26">
        <v>2</v>
      </c>
      <c r="H862" s="5">
        <v>0.5</v>
      </c>
      <c r="I862" s="5">
        <v>0.5</v>
      </c>
      <c r="J862" s="5">
        <v>0.5</v>
      </c>
      <c r="K862" s="5" t="str">
        <f>IF(COUNTA(H862:J862)=2,ROUND(PRODUCT(H862:J862),2),"")</f>
        <v/>
      </c>
      <c r="L862" s="5">
        <f>IF(OR(AND(COUNTA(H862:J862)=3,K862=""),AND(COUNTA(H862:J862)=1,K862&lt;&gt;"")),ROUND(PRODUCT(H862:K862),2),"")</f>
        <v>0.13</v>
      </c>
      <c r="M862" s="5">
        <f>IF(L862&lt;&gt;"",ROUND(PRODUCT(F862,G862,L862),2),IF(K862&lt;&gt;"",ROUND(PRODUCT(F862,G862,K862),2),ROUND(PRODUCT(F862:J862),2)))</f>
        <v>0.26</v>
      </c>
      <c r="N862" s="5"/>
    </row>
    <row r="863" spans="1:14" x14ac:dyDescent="0.3">
      <c r="A863" s="15" t="s">
        <v>153</v>
      </c>
      <c r="B863" s="48" t="s">
        <v>625</v>
      </c>
      <c r="C863" s="49"/>
      <c r="D863" s="49"/>
      <c r="E863" s="49"/>
      <c r="F863" s="49"/>
      <c r="G863" s="49"/>
      <c r="H863" s="49"/>
      <c r="I863" s="49"/>
      <c r="J863" s="49"/>
      <c r="K863" s="49"/>
      <c r="L863" s="49"/>
      <c r="M863" s="49"/>
      <c r="N863" s="50"/>
    </row>
    <row r="864" spans="1:14" ht="28.8" x14ac:dyDescent="0.3">
      <c r="A864" s="23" t="s">
        <v>493</v>
      </c>
      <c r="B864" s="23">
        <v>94498</v>
      </c>
      <c r="C864" s="23" t="str">
        <f>VLOOKUP(B864,CPU!$B:$J,2,FALSE)</f>
        <v>SINAPI</v>
      </c>
      <c r="D864" s="24" t="str">
        <f>VLOOKUP(B864,CPU!$B:$J,3,FALSE)</f>
        <v>REGISTRO DE GAVETA BRUTO, LATÃO, ROSCÁVEL, 2" - FORNECIMENTO E INSTALAÇÃO. AF_08/2021</v>
      </c>
      <c r="E864" s="23" t="str">
        <f>VLOOKUP(B864,CPU!$B:$J,4,FALSE)</f>
        <v>UN</v>
      </c>
      <c r="F864" s="23"/>
      <c r="G864" s="23"/>
      <c r="H864" s="23"/>
      <c r="I864" s="23"/>
      <c r="J864" s="23"/>
      <c r="K864" s="23"/>
      <c r="L864" s="23"/>
      <c r="M864" s="23"/>
      <c r="N864" s="5">
        <f>SUM($M$865:$M$865)</f>
        <v>1</v>
      </c>
    </row>
    <row r="865" spans="1:14" x14ac:dyDescent="0.3">
      <c r="A865" s="23" t="s">
        <v>984</v>
      </c>
      <c r="B865" s="70" t="s">
        <v>517</v>
      </c>
      <c r="C865" s="71"/>
      <c r="D865" s="71"/>
      <c r="E865" s="72"/>
      <c r="F865" s="5">
        <v>1</v>
      </c>
      <c r="G865" s="26"/>
      <c r="H865" s="5"/>
      <c r="I865" s="5"/>
      <c r="J865" s="5"/>
      <c r="K865" s="5" t="str">
        <f>IF(COUNTA(H865:J865)=2,ROUND(PRODUCT(H865:J865),2),"")</f>
        <v/>
      </c>
      <c r="L865" s="5" t="str">
        <f>IF(OR(AND(COUNTA(H865:J865)=3,K865=""),AND(COUNTA(H865:J865)=1,K865&lt;&gt;"")),ROUND(PRODUCT(H865:K865),2),"")</f>
        <v/>
      </c>
      <c r="M865" s="5">
        <f>IF(L865&lt;&gt;"",ROUND(PRODUCT(F865,G865,L865),2),IF(K865&lt;&gt;"",ROUND(PRODUCT(F865,G865,K865),2),ROUND(PRODUCT(F865:J865),2)))</f>
        <v>1</v>
      </c>
      <c r="N865" s="5"/>
    </row>
    <row r="866" spans="1:14" ht="28.8" x14ac:dyDescent="0.3">
      <c r="A866" s="23" t="s">
        <v>494</v>
      </c>
      <c r="B866" s="23" t="s">
        <v>627</v>
      </c>
      <c r="C866" s="23" t="str">
        <f>VLOOKUP(B866,CPU!$B:$J,2,FALSE)</f>
        <v>PRÓPRIA</v>
      </c>
      <c r="D866" s="24" t="str">
        <f>VLOOKUP(B866,CPU!$B:$J,3,FALSE)</f>
        <v>AQUISIÇÃO E ASSENTAMENTO DE TUBO RÍGIDO PVC, CLASSE 12, DN 50 MM, INCLUSO CONEXÕES</v>
      </c>
      <c r="E866" s="23" t="str">
        <f>VLOOKUP(B866,CPU!$B:$J,4,FALSE)</f>
        <v>M</v>
      </c>
      <c r="F866" s="23"/>
      <c r="G866" s="23"/>
      <c r="H866" s="23"/>
      <c r="I866" s="23"/>
      <c r="J866" s="23"/>
      <c r="K866" s="23"/>
      <c r="L866" s="23"/>
      <c r="M866" s="23"/>
      <c r="N866" s="5">
        <f>SUM($M$867:$M$867)</f>
        <v>16</v>
      </c>
    </row>
    <row r="867" spans="1:14" x14ac:dyDescent="0.3">
      <c r="A867" s="23" t="s">
        <v>985</v>
      </c>
      <c r="B867" s="70" t="s">
        <v>517</v>
      </c>
      <c r="C867" s="71"/>
      <c r="D867" s="71"/>
      <c r="E867" s="72"/>
      <c r="F867" s="5">
        <v>16</v>
      </c>
      <c r="G867" s="26"/>
      <c r="H867" s="5"/>
      <c r="I867" s="5"/>
      <c r="J867" s="5"/>
      <c r="K867" s="5" t="str">
        <f>IF(COUNTA(H867:J867)=2,ROUND(PRODUCT(H867:J867),2),"")</f>
        <v/>
      </c>
      <c r="L867" s="5" t="str">
        <f>IF(OR(AND(COUNTA(H867:J867)=3,K867=""),AND(COUNTA(H867:J867)=1,K867&lt;&gt;"")),ROUND(PRODUCT(H867:K867),2),"")</f>
        <v/>
      </c>
      <c r="M867" s="5">
        <f>IF(L867&lt;&gt;"",ROUND(PRODUCT(F867,G867,L867),2),IF(K867&lt;&gt;"",ROUND(PRODUCT(F867,G867,K867),2),ROUND(PRODUCT(F867:J867),2)))</f>
        <v>16</v>
      </c>
      <c r="N867" s="5"/>
    </row>
    <row r="868" spans="1:14" x14ac:dyDescent="0.3">
      <c r="A868" s="12" t="s">
        <v>154</v>
      </c>
      <c r="B868" s="51" t="s">
        <v>629</v>
      </c>
      <c r="C868" s="52"/>
      <c r="D868" s="52"/>
      <c r="E868" s="52"/>
      <c r="F868" s="52"/>
      <c r="G868" s="52"/>
      <c r="H868" s="52"/>
      <c r="I868" s="52"/>
      <c r="J868" s="52"/>
      <c r="K868" s="52"/>
      <c r="L868" s="52"/>
      <c r="M868" s="52"/>
      <c r="N868" s="53"/>
    </row>
    <row r="869" spans="1:14" ht="72" x14ac:dyDescent="0.3">
      <c r="A869" s="23" t="s">
        <v>495</v>
      </c>
      <c r="B869" s="23" t="s">
        <v>630</v>
      </c>
      <c r="C869" s="23" t="str">
        <f>VLOOKUP(B869,CPU!$B:$J,2,FALSE)</f>
        <v>PRÓPRIA</v>
      </c>
      <c r="D869" s="24" t="str">
        <f>VLOOKUP(B869,CPU!$B:$J,3,FALSE)</f>
        <v>FORNECIMENTO E INSTALAÇÃO DE RESERVATÓRIO ELEVADO C/ CAIXA D'AGUA EM POLIESTER REFORCADO COM FIBRA DE VIDRO DE 10.000 LITROS, APOIADO EM ESTRUTURA PRÉ-MOLDADA EM CONCRETO, COMPOSTA DE CAPITEL P/APOIO DA CAIXA E PILAR C/ALTURA ÚTIL = 10,00M, INCLUSO FRETE E MONTAGEM NO LOCAL, COM FUNDAÇÃO EM CONCRETO SIMPLES FCK=20MPA</v>
      </c>
      <c r="E869" s="23" t="str">
        <f>VLOOKUP(B869,CPU!$B:$J,4,FALSE)</f>
        <v>UND</v>
      </c>
      <c r="F869" s="23"/>
      <c r="G869" s="23"/>
      <c r="H869" s="23"/>
      <c r="I869" s="23"/>
      <c r="J869" s="23"/>
      <c r="K869" s="23"/>
      <c r="L869" s="23"/>
      <c r="M869" s="23"/>
      <c r="N869" s="5">
        <f>SUM($M$870:$M$870)</f>
        <v>1</v>
      </c>
    </row>
    <row r="870" spans="1:14" x14ac:dyDescent="0.3">
      <c r="A870" s="23" t="s">
        <v>986</v>
      </c>
      <c r="B870" s="70" t="s">
        <v>517</v>
      </c>
      <c r="C870" s="71"/>
      <c r="D870" s="71"/>
      <c r="E870" s="72"/>
      <c r="F870" s="5">
        <v>1</v>
      </c>
      <c r="G870" s="26"/>
      <c r="H870" s="5"/>
      <c r="I870" s="5"/>
      <c r="J870" s="5"/>
      <c r="K870" s="5" t="str">
        <f>IF(COUNTA(H870:J870)=2,ROUND(PRODUCT(H870:J870),2),"")</f>
        <v/>
      </c>
      <c r="L870" s="5" t="str">
        <f>IF(OR(AND(COUNTA(H870:J870)=3,K870=""),AND(COUNTA(H870:J870)=1,K870&lt;&gt;"")),ROUND(PRODUCT(H870:K870),2),"")</f>
        <v/>
      </c>
      <c r="M870" s="5">
        <f>IF(L870&lt;&gt;"",ROUND(PRODUCT(F870,G870,L870),2),IF(K870&lt;&gt;"",ROUND(PRODUCT(F870,G870,K870),2),ROUND(PRODUCT(F870:J870),2)))</f>
        <v>1</v>
      </c>
      <c r="N870" s="5"/>
    </row>
    <row r="871" spans="1:14" ht="28.8" x14ac:dyDescent="0.3">
      <c r="A871" s="23" t="s">
        <v>496</v>
      </c>
      <c r="B871" s="23">
        <v>94498</v>
      </c>
      <c r="C871" s="23" t="str">
        <f>VLOOKUP(B871,CPU!$B:$J,2,FALSE)</f>
        <v>SINAPI</v>
      </c>
      <c r="D871" s="24" t="str">
        <f>VLOOKUP(B871,CPU!$B:$J,3,FALSE)</f>
        <v>REGISTRO DE GAVETA BRUTO, LATÃO, ROSCÁVEL, 2" - FORNECIMENTO E INSTALAÇÃO. AF_08/2021</v>
      </c>
      <c r="E871" s="23" t="str">
        <f>VLOOKUP(B871,CPU!$B:$J,4,FALSE)</f>
        <v>UN</v>
      </c>
      <c r="F871" s="23"/>
      <c r="G871" s="23"/>
      <c r="H871" s="23"/>
      <c r="I871" s="23"/>
      <c r="J871" s="23"/>
      <c r="K871" s="23"/>
      <c r="L871" s="23"/>
      <c r="M871" s="23"/>
      <c r="N871" s="5">
        <f>SUM($M$872:$M$872)</f>
        <v>2</v>
      </c>
    </row>
    <row r="872" spans="1:14" x14ac:dyDescent="0.3">
      <c r="A872" s="23" t="s">
        <v>987</v>
      </c>
      <c r="B872" s="70" t="s">
        <v>517</v>
      </c>
      <c r="C872" s="71"/>
      <c r="D872" s="71"/>
      <c r="E872" s="72"/>
      <c r="F872" s="5">
        <v>2</v>
      </c>
      <c r="G872" s="26"/>
      <c r="H872" s="5"/>
      <c r="I872" s="5"/>
      <c r="J872" s="5"/>
      <c r="K872" s="5" t="str">
        <f>IF(COUNTA(H872:J872)=2,ROUND(PRODUCT(H872:J872),2),"")</f>
        <v/>
      </c>
      <c r="L872" s="5" t="str">
        <f>IF(OR(AND(COUNTA(H872:J872)=3,K872=""),AND(COUNTA(H872:J872)=1,K872&lt;&gt;"")),ROUND(PRODUCT(H872:K872),2),"")</f>
        <v/>
      </c>
      <c r="M872" s="5">
        <f>IF(L872&lt;&gt;"",ROUND(PRODUCT(F872,G872,L872),2),IF(K872&lt;&gt;"",ROUND(PRODUCT(F872,G872,K872),2),ROUND(PRODUCT(F872:J872),2)))</f>
        <v>2</v>
      </c>
      <c r="N872" s="5"/>
    </row>
    <row r="873" spans="1:14" ht="28.8" x14ac:dyDescent="0.3">
      <c r="A873" s="23" t="s">
        <v>497</v>
      </c>
      <c r="B873" s="23" t="s">
        <v>640</v>
      </c>
      <c r="C873" s="23" t="str">
        <f>VLOOKUP(B873,CPU!$B:$J,2,FALSE)</f>
        <v>PRÓPRIA</v>
      </c>
      <c r="D873" s="24" t="str">
        <f>VLOOKUP(B873,CPU!$B:$J,3,FALSE)</f>
        <v>AQUISIÇÃO E ASSENTAMENTO DE TUBO RÍGIDO PVC, CLASSE 12, DN 60 MM, INCLUSO CONEXÕES</v>
      </c>
      <c r="E873" s="23" t="str">
        <f>VLOOKUP(B873,CPU!$B:$J,4,FALSE)</f>
        <v>M</v>
      </c>
      <c r="F873" s="23"/>
      <c r="G873" s="23"/>
      <c r="H873" s="23"/>
      <c r="I873" s="23"/>
      <c r="J873" s="23"/>
      <c r="K873" s="23"/>
      <c r="L873" s="23"/>
      <c r="M873" s="23"/>
      <c r="N873" s="5">
        <f>SUM($M$874:$M$874)</f>
        <v>22</v>
      </c>
    </row>
    <row r="874" spans="1:14" x14ac:dyDescent="0.3">
      <c r="A874" s="23" t="s">
        <v>988</v>
      </c>
      <c r="B874" s="70" t="s">
        <v>1618</v>
      </c>
      <c r="C874" s="71"/>
      <c r="D874" s="71"/>
      <c r="E874" s="72"/>
      <c r="F874" s="5">
        <v>22</v>
      </c>
      <c r="G874" s="26"/>
      <c r="H874" s="5"/>
      <c r="I874" s="5"/>
      <c r="J874" s="5"/>
      <c r="K874" s="5" t="str">
        <f>IF(COUNTA(H874:J874)=2,ROUND(PRODUCT(H874:J874),2),"")</f>
        <v/>
      </c>
      <c r="L874" s="5" t="str">
        <f>IF(OR(AND(COUNTA(H874:J874)=3,K874=""),AND(COUNTA(H874:J874)=1,K874&lt;&gt;"")),ROUND(PRODUCT(H874:K874),2),"")</f>
        <v/>
      </c>
      <c r="M874" s="5">
        <f>IF(L874&lt;&gt;"",ROUND(PRODUCT(F874,G874,L874),2),IF(K874&lt;&gt;"",ROUND(PRODUCT(F874,G874,K874),2),ROUND(PRODUCT(F874:J874),2)))</f>
        <v>22</v>
      </c>
      <c r="N874" s="5"/>
    </row>
    <row r="875" spans="1:14" x14ac:dyDescent="0.3">
      <c r="A875" s="12" t="s">
        <v>155</v>
      </c>
      <c r="B875" s="51" t="s">
        <v>634</v>
      </c>
      <c r="C875" s="52"/>
      <c r="D875" s="52"/>
      <c r="E875" s="52"/>
      <c r="F875" s="52"/>
      <c r="G875" s="52"/>
      <c r="H875" s="52"/>
      <c r="I875" s="52"/>
      <c r="J875" s="52"/>
      <c r="K875" s="52"/>
      <c r="L875" s="52"/>
      <c r="M875" s="52"/>
      <c r="N875" s="53"/>
    </row>
    <row r="876" spans="1:14" x14ac:dyDescent="0.3">
      <c r="A876" s="15" t="s">
        <v>156</v>
      </c>
      <c r="B876" s="48" t="s">
        <v>563</v>
      </c>
      <c r="C876" s="49"/>
      <c r="D876" s="49"/>
      <c r="E876" s="49"/>
      <c r="F876" s="49"/>
      <c r="G876" s="49"/>
      <c r="H876" s="49"/>
      <c r="I876" s="49"/>
      <c r="J876" s="49"/>
      <c r="K876" s="49"/>
      <c r="L876" s="49"/>
      <c r="M876" s="49"/>
      <c r="N876" s="50"/>
    </row>
    <row r="877" spans="1:14" ht="57.6" x14ac:dyDescent="0.3">
      <c r="A877" s="23" t="s">
        <v>498</v>
      </c>
      <c r="B877" s="23">
        <v>102314</v>
      </c>
      <c r="C877" s="23" t="str">
        <f>VLOOKUP(B877,CPU!$B:$J,2,FALSE)</f>
        <v>SINAPI</v>
      </c>
      <c r="D877" s="24" t="str">
        <f>VLOOKUP(B877,CPU!$B:$J,3,FALSE)</f>
        <v>ESCAVAÇÃO MECANIZADA DE VALA COM PROF. ATÉ 1,5 M (MÉDIA MONTANTE E JUSANTE/UMA COMPOSIÇÃO POR TRECHO),COM ESCAVADEIRA (0,8 M3), LARG. MENOR QUE 1,5 M, EM SOLO DE 2A CATEGORIA, LOCAIS COM BAIXO NÍVEL DE INTERFERÊNCIA. AF_09/2024</v>
      </c>
      <c r="E877" s="23" t="str">
        <f>VLOOKUP(B877,CPU!$B:$J,4,FALSE)</f>
        <v>M3</v>
      </c>
      <c r="F877" s="23"/>
      <c r="G877" s="23"/>
      <c r="H877" s="23"/>
      <c r="I877" s="23"/>
      <c r="J877" s="23"/>
      <c r="K877" s="23"/>
      <c r="L877" s="23"/>
      <c r="M877" s="23"/>
      <c r="N877" s="5">
        <f>SUM($M$878:$M$879)</f>
        <v>553.32000000000005</v>
      </c>
    </row>
    <row r="878" spans="1:14" x14ac:dyDescent="0.3">
      <c r="A878" s="23" t="s">
        <v>989</v>
      </c>
      <c r="B878" s="70" t="s">
        <v>517</v>
      </c>
      <c r="C878" s="71"/>
      <c r="D878" s="71"/>
      <c r="E878" s="72"/>
      <c r="F878" s="5"/>
      <c r="G878" s="26"/>
      <c r="H878" s="5">
        <v>1276.2</v>
      </c>
      <c r="I878" s="5">
        <v>0.5</v>
      </c>
      <c r="J878" s="5">
        <v>0.8</v>
      </c>
      <c r="K878" s="5" t="str">
        <f>IF(COUNTA(H878:J878)=2,ROUND(PRODUCT(H878:J878),2),"")</f>
        <v/>
      </c>
      <c r="L878" s="5">
        <f>IF(OR(AND(COUNTA(H878:J878)=3,K878=""),AND(COUNTA(H878:J878)=1,K878&lt;&gt;"")),ROUND(PRODUCT(H878:K878),2),"")</f>
        <v>510.48</v>
      </c>
      <c r="M878" s="5">
        <f>IF(L878&lt;&gt;"",ROUND(PRODUCT(F878,G878,L878),2),IF(K878&lt;&gt;"",ROUND(PRODUCT(F878,G878,K878),2),ROUND(PRODUCT(F878:J878),2)))</f>
        <v>510.48</v>
      </c>
      <c r="N878" s="5"/>
    </row>
    <row r="879" spans="1:14" x14ac:dyDescent="0.3">
      <c r="A879" s="23" t="s">
        <v>990</v>
      </c>
      <c r="B879" s="70" t="s">
        <v>517</v>
      </c>
      <c r="C879" s="71"/>
      <c r="D879" s="71"/>
      <c r="E879" s="72"/>
      <c r="F879" s="5"/>
      <c r="G879" s="26">
        <v>51</v>
      </c>
      <c r="H879" s="5">
        <v>7</v>
      </c>
      <c r="I879" s="5">
        <v>0.3</v>
      </c>
      <c r="J879" s="5">
        <v>0.4</v>
      </c>
      <c r="K879" s="5" t="str">
        <f>IF(COUNTA(H879:J879)=2,ROUND(PRODUCT(H879:J879),2),"")</f>
        <v/>
      </c>
      <c r="L879" s="5">
        <f>IF(OR(AND(COUNTA(H879:J879)=3,K879=""),AND(COUNTA(H879:J879)=1,K879&lt;&gt;"")),ROUND(PRODUCT(H879:K879),2),"")</f>
        <v>0.84</v>
      </c>
      <c r="M879" s="5">
        <f>IF(L879&lt;&gt;"",ROUND(PRODUCT(F879,G879,L879),2),IF(K879&lt;&gt;"",ROUND(PRODUCT(F879,G879,K879),2),ROUND(PRODUCT(F879:J879),2)))</f>
        <v>42.84</v>
      </c>
      <c r="N879" s="5"/>
    </row>
    <row r="880" spans="1:14" ht="57.6" x14ac:dyDescent="0.3">
      <c r="A880" s="23" t="s">
        <v>499</v>
      </c>
      <c r="B880" s="23" t="s">
        <v>637</v>
      </c>
      <c r="C880" s="23" t="str">
        <f>VLOOKUP(B880,CPU!$B:$J,2,FALSE)</f>
        <v>PRÓPRIA</v>
      </c>
      <c r="D880" s="24" t="str">
        <f>VLOOKUP(B880,CPU!$B:$J,3,FALSE)</f>
        <v>REATERRO MECANIZADO DE VALA COM RETROESCAVADEIRA (CAPACIDADE DA CAÇAMBA DA RETRO: 0,26 M³/POTÊNCIA: 88 HP), LARGURA ATÉ 0,8 M, PROFUNDIDADE ATÉ 1,5 M, COM SOLO (SEM SUBSTITUIÇÃO) DE 1ª CATEGORIA. AF_08/2023 (REF: 104733-SINAPI-05/2025)</v>
      </c>
      <c r="E880" s="23" t="str">
        <f>VLOOKUP(B880,CPU!$B:$J,4,FALSE)</f>
        <v>M3</v>
      </c>
      <c r="F880" s="23"/>
      <c r="G880" s="23"/>
      <c r="H880" s="23"/>
      <c r="I880" s="23"/>
      <c r="J880" s="23"/>
      <c r="K880" s="23"/>
      <c r="L880" s="23"/>
      <c r="M880" s="23"/>
      <c r="N880" s="5">
        <f>SUM($M$881:$M$882)</f>
        <v>553.32000000000005</v>
      </c>
    </row>
    <row r="881" spans="1:14" x14ac:dyDescent="0.3">
      <c r="A881" s="23" t="s">
        <v>991</v>
      </c>
      <c r="B881" s="70" t="s">
        <v>517</v>
      </c>
      <c r="C881" s="71"/>
      <c r="D881" s="71"/>
      <c r="E881" s="72"/>
      <c r="F881" s="5"/>
      <c r="G881" s="26"/>
      <c r="H881" s="5">
        <v>1276.2</v>
      </c>
      <c r="I881" s="5">
        <v>0.5</v>
      </c>
      <c r="J881" s="5">
        <v>0.8</v>
      </c>
      <c r="K881" s="5" t="str">
        <f>IF(COUNTA(H881:J881)=2,ROUND(PRODUCT(H881:J881),2),"")</f>
        <v/>
      </c>
      <c r="L881" s="5">
        <f>IF(OR(AND(COUNTA(H881:J881)=3,K881=""),AND(COUNTA(H881:J881)=1,K881&lt;&gt;"")),ROUND(PRODUCT(H881:K881),2),"")</f>
        <v>510.48</v>
      </c>
      <c r="M881" s="5">
        <f>IF(L881&lt;&gt;"",ROUND(PRODUCT(F881,G881,L881),2),IF(K881&lt;&gt;"",ROUND(PRODUCT(F881,G881,K881),2),ROUND(PRODUCT(F881:J881),2)))</f>
        <v>510.48</v>
      </c>
      <c r="N881" s="5"/>
    </row>
    <row r="882" spans="1:14" x14ac:dyDescent="0.3">
      <c r="A882" s="23" t="s">
        <v>992</v>
      </c>
      <c r="B882" s="70" t="s">
        <v>517</v>
      </c>
      <c r="C882" s="71"/>
      <c r="D882" s="71"/>
      <c r="E882" s="72"/>
      <c r="F882" s="5"/>
      <c r="G882" s="26">
        <v>51</v>
      </c>
      <c r="H882" s="5">
        <v>7</v>
      </c>
      <c r="I882" s="5">
        <v>0.3</v>
      </c>
      <c r="J882" s="5">
        <v>0.4</v>
      </c>
      <c r="K882" s="5" t="str">
        <f>IF(COUNTA(H882:J882)=2,ROUND(PRODUCT(H882:J882),2),"")</f>
        <v/>
      </c>
      <c r="L882" s="5">
        <f>IF(OR(AND(COUNTA(H882:J882)=3,K882=""),AND(COUNTA(H882:J882)=1,K882&lt;&gt;"")),ROUND(PRODUCT(H882:K882),2),"")</f>
        <v>0.84</v>
      </c>
      <c r="M882" s="5">
        <f>IF(L882&lt;&gt;"",ROUND(PRODUCT(F882,G882,L882),2),IF(K882&lt;&gt;"",ROUND(PRODUCT(F882,G882,K882),2),ROUND(PRODUCT(F882:J882),2)))</f>
        <v>42.84</v>
      </c>
      <c r="N882" s="5"/>
    </row>
    <row r="883" spans="1:14" x14ac:dyDescent="0.3">
      <c r="A883" s="15" t="s">
        <v>157</v>
      </c>
      <c r="B883" s="48" t="s">
        <v>625</v>
      </c>
      <c r="C883" s="49"/>
      <c r="D883" s="49"/>
      <c r="E883" s="49"/>
      <c r="F883" s="49"/>
      <c r="G883" s="49"/>
      <c r="H883" s="49"/>
      <c r="I883" s="49"/>
      <c r="J883" s="49"/>
      <c r="K883" s="49"/>
      <c r="L883" s="49"/>
      <c r="M883" s="49"/>
      <c r="N883" s="50"/>
    </row>
    <row r="884" spans="1:14" ht="28.8" x14ac:dyDescent="0.3">
      <c r="A884" s="23" t="s">
        <v>500</v>
      </c>
      <c r="B884" s="23" t="s">
        <v>640</v>
      </c>
      <c r="C884" s="23" t="str">
        <f>VLOOKUP(B884,CPU!$B:$J,2,FALSE)</f>
        <v>PRÓPRIA</v>
      </c>
      <c r="D884" s="24" t="str">
        <f>VLOOKUP(B884,CPU!$B:$J,3,FALSE)</f>
        <v>AQUISIÇÃO E ASSENTAMENTO DE TUBO RÍGIDO PVC, CLASSE 12, DN 60 MM, INCLUSO CONEXÕES</v>
      </c>
      <c r="E884" s="23" t="str">
        <f>VLOOKUP(B884,CPU!$B:$J,4,FALSE)</f>
        <v>M</v>
      </c>
      <c r="F884" s="23"/>
      <c r="G884" s="23"/>
      <c r="H884" s="23"/>
      <c r="I884" s="23"/>
      <c r="J884" s="23"/>
      <c r="K884" s="23"/>
      <c r="L884" s="23"/>
      <c r="M884" s="23"/>
      <c r="N884" s="5">
        <f>SUM($M$885:$M$885)</f>
        <v>1276.2</v>
      </c>
    </row>
    <row r="885" spans="1:14" x14ac:dyDescent="0.3">
      <c r="A885" s="23" t="s">
        <v>993</v>
      </c>
      <c r="B885" s="70" t="s">
        <v>517</v>
      </c>
      <c r="C885" s="71"/>
      <c r="D885" s="71"/>
      <c r="E885" s="72"/>
      <c r="F885" s="5"/>
      <c r="G885" s="26"/>
      <c r="H885" s="5">
        <v>1276.2</v>
      </c>
      <c r="I885" s="5"/>
      <c r="J885" s="5"/>
      <c r="K885" s="5" t="str">
        <f>IF(COUNTA(H885:J885)=2,ROUND(PRODUCT(H885:J885),2),"")</f>
        <v/>
      </c>
      <c r="L885" s="5" t="str">
        <f>IF(OR(AND(COUNTA(H885:J885)=3,K885=""),AND(COUNTA(H885:J885)=1,K885&lt;&gt;"")),ROUND(PRODUCT(H885:K885),2),"")</f>
        <v/>
      </c>
      <c r="M885" s="5">
        <f>IF(L885&lt;&gt;"",ROUND(PRODUCT(F885,G885,L885),2),IF(K885&lt;&gt;"",ROUND(PRODUCT(F885,G885,K885),2),ROUND(PRODUCT(F885:J885),2)))</f>
        <v>1276.2</v>
      </c>
      <c r="N885" s="5"/>
    </row>
    <row r="886" spans="1:14" x14ac:dyDescent="0.3">
      <c r="A886" s="23" t="s">
        <v>501</v>
      </c>
      <c r="B886" s="23" t="s">
        <v>642</v>
      </c>
      <c r="C886" s="23" t="str">
        <f>VLOOKUP(B886,CPU!$B:$J,2,FALSE)</f>
        <v>PRÓPRIA</v>
      </c>
      <c r="D886" s="24" t="str">
        <f>VLOOKUP(B886,CPU!$B:$J,3,FALSE)</f>
        <v>LIGAÇÃO DOMICILIAR</v>
      </c>
      <c r="E886" s="23" t="str">
        <f>VLOOKUP(B886,CPU!$B:$J,4,FALSE)</f>
        <v>UND</v>
      </c>
      <c r="F886" s="23"/>
      <c r="G886" s="23"/>
      <c r="H886" s="23"/>
      <c r="I886" s="23"/>
      <c r="J886" s="23"/>
      <c r="K886" s="23"/>
      <c r="L886" s="23"/>
      <c r="M886" s="23"/>
      <c r="N886" s="5">
        <f>SUM($M$887:$M$887)</f>
        <v>51</v>
      </c>
    </row>
    <row r="887" spans="1:14" x14ac:dyDescent="0.3">
      <c r="A887" s="23" t="s">
        <v>994</v>
      </c>
      <c r="B887" s="70" t="s">
        <v>517</v>
      </c>
      <c r="C887" s="71"/>
      <c r="D887" s="71"/>
      <c r="E887" s="72"/>
      <c r="F887" s="5">
        <v>51</v>
      </c>
      <c r="G887" s="26"/>
      <c r="H887" s="5"/>
      <c r="I887" s="5"/>
      <c r="J887" s="5"/>
      <c r="K887" s="5" t="str">
        <f>IF(COUNTA(H887:J887)=2,ROUND(PRODUCT(H887:J887),2),"")</f>
        <v/>
      </c>
      <c r="L887" s="5" t="str">
        <f>IF(OR(AND(COUNTA(H887:J887)=3,K887=""),AND(COUNTA(H887:J887)=1,K887&lt;&gt;"")),ROUND(PRODUCT(H887:K887),2),"")</f>
        <v/>
      </c>
      <c r="M887" s="5">
        <f>IF(L887&lt;&gt;"",ROUND(PRODUCT(F887,G887,L887),2),IF(K887&lt;&gt;"",ROUND(PRODUCT(F887,G887,K887),2),ROUND(PRODUCT(F887:J887),2)))</f>
        <v>51</v>
      </c>
      <c r="N887" s="5"/>
    </row>
  </sheetData>
  <mergeCells count="558">
    <mergeCell ref="A1:N1"/>
    <mergeCell ref="A2:N2"/>
    <mergeCell ref="A3:N3"/>
    <mergeCell ref="B7:N7"/>
    <mergeCell ref="B9:E9"/>
    <mergeCell ref="B11:E11"/>
    <mergeCell ref="B23:E23"/>
    <mergeCell ref="B25:E25"/>
    <mergeCell ref="B27:E27"/>
    <mergeCell ref="B29:E29"/>
    <mergeCell ref="B31:E31"/>
    <mergeCell ref="B33:E33"/>
    <mergeCell ref="B12:N12"/>
    <mergeCell ref="B13:N13"/>
    <mergeCell ref="B15:E15"/>
    <mergeCell ref="B17:E17"/>
    <mergeCell ref="B19:E19"/>
    <mergeCell ref="B21:E21"/>
    <mergeCell ref="B46:E46"/>
    <mergeCell ref="B48:E48"/>
    <mergeCell ref="B50:E50"/>
    <mergeCell ref="B51:N51"/>
    <mergeCell ref="B52:N52"/>
    <mergeCell ref="B54:E54"/>
    <mergeCell ref="B35:E35"/>
    <mergeCell ref="B37:E37"/>
    <mergeCell ref="B39:E39"/>
    <mergeCell ref="B41:E41"/>
    <mergeCell ref="B43:E43"/>
    <mergeCell ref="B44:N44"/>
    <mergeCell ref="B64:E64"/>
    <mergeCell ref="B66:E66"/>
    <mergeCell ref="B67:E67"/>
    <mergeCell ref="B69:E69"/>
    <mergeCell ref="B70:E70"/>
    <mergeCell ref="B71:N71"/>
    <mergeCell ref="B56:E56"/>
    <mergeCell ref="B57:N57"/>
    <mergeCell ref="B59:E59"/>
    <mergeCell ref="B60:E60"/>
    <mergeCell ref="B61:N61"/>
    <mergeCell ref="B63:E63"/>
    <mergeCell ref="B81:E81"/>
    <mergeCell ref="B82:E82"/>
    <mergeCell ref="B83:E83"/>
    <mergeCell ref="B84:E84"/>
    <mergeCell ref="B86:E86"/>
    <mergeCell ref="B87:N87"/>
    <mergeCell ref="B73:E73"/>
    <mergeCell ref="B74:E74"/>
    <mergeCell ref="B76:E76"/>
    <mergeCell ref="B77:E77"/>
    <mergeCell ref="B78:N78"/>
    <mergeCell ref="B80:E80"/>
    <mergeCell ref="B99:E99"/>
    <mergeCell ref="B100:N100"/>
    <mergeCell ref="B102:E102"/>
    <mergeCell ref="B104:E104"/>
    <mergeCell ref="B105:N105"/>
    <mergeCell ref="B107:E107"/>
    <mergeCell ref="B89:E89"/>
    <mergeCell ref="B91:E91"/>
    <mergeCell ref="B92:N92"/>
    <mergeCell ref="B94:E94"/>
    <mergeCell ref="B96:E96"/>
    <mergeCell ref="B98:E98"/>
    <mergeCell ref="B118:E118"/>
    <mergeCell ref="B119:N119"/>
    <mergeCell ref="B121:E121"/>
    <mergeCell ref="B123:E123"/>
    <mergeCell ref="B124:N124"/>
    <mergeCell ref="B125:N125"/>
    <mergeCell ref="B109:E109"/>
    <mergeCell ref="B110:N110"/>
    <mergeCell ref="B112:E112"/>
    <mergeCell ref="B114:E114"/>
    <mergeCell ref="B115:N115"/>
    <mergeCell ref="B117:E117"/>
    <mergeCell ref="B137:E137"/>
    <mergeCell ref="B138:N138"/>
    <mergeCell ref="B140:E140"/>
    <mergeCell ref="B142:E142"/>
    <mergeCell ref="B144:E144"/>
    <mergeCell ref="B145:N145"/>
    <mergeCell ref="B127:E127"/>
    <mergeCell ref="B129:E129"/>
    <mergeCell ref="B130:N130"/>
    <mergeCell ref="B132:E132"/>
    <mergeCell ref="B133:N133"/>
    <mergeCell ref="B135:E135"/>
    <mergeCell ref="B155:E155"/>
    <mergeCell ref="B157:E157"/>
    <mergeCell ref="B158:N158"/>
    <mergeCell ref="B159:N159"/>
    <mergeCell ref="B161:E161"/>
    <mergeCell ref="B163:E163"/>
    <mergeCell ref="B146:N146"/>
    <mergeCell ref="B148:E148"/>
    <mergeCell ref="B149:E149"/>
    <mergeCell ref="B151:E151"/>
    <mergeCell ref="B152:E152"/>
    <mergeCell ref="B153:N153"/>
    <mergeCell ref="B177:E177"/>
    <mergeCell ref="B179:E179"/>
    <mergeCell ref="B181:E181"/>
    <mergeCell ref="B183:E183"/>
    <mergeCell ref="B185:E185"/>
    <mergeCell ref="B187:E187"/>
    <mergeCell ref="B165:E165"/>
    <mergeCell ref="B167:E167"/>
    <mergeCell ref="B169:E169"/>
    <mergeCell ref="B171:E171"/>
    <mergeCell ref="B173:E173"/>
    <mergeCell ref="B175:E175"/>
    <mergeCell ref="B198:N198"/>
    <mergeCell ref="B200:E200"/>
    <mergeCell ref="B202:E202"/>
    <mergeCell ref="B203:N203"/>
    <mergeCell ref="B205:E205"/>
    <mergeCell ref="B206:E206"/>
    <mergeCell ref="B189:E189"/>
    <mergeCell ref="B190:N190"/>
    <mergeCell ref="B192:E192"/>
    <mergeCell ref="B194:E194"/>
    <mergeCell ref="B196:E196"/>
    <mergeCell ref="B197:N197"/>
    <mergeCell ref="B216:E216"/>
    <mergeCell ref="B217:N217"/>
    <mergeCell ref="B219:E219"/>
    <mergeCell ref="B220:E220"/>
    <mergeCell ref="B222:E222"/>
    <mergeCell ref="B223:E223"/>
    <mergeCell ref="B207:N207"/>
    <mergeCell ref="B209:E209"/>
    <mergeCell ref="B210:E210"/>
    <mergeCell ref="B212:E212"/>
    <mergeCell ref="B213:E213"/>
    <mergeCell ref="B215:E215"/>
    <mergeCell ref="B232:E232"/>
    <mergeCell ref="B233:N233"/>
    <mergeCell ref="B235:E235"/>
    <mergeCell ref="B237:E237"/>
    <mergeCell ref="B238:N238"/>
    <mergeCell ref="B240:E240"/>
    <mergeCell ref="B224:N224"/>
    <mergeCell ref="B226:E226"/>
    <mergeCell ref="B227:E227"/>
    <mergeCell ref="B228:E228"/>
    <mergeCell ref="B229:E229"/>
    <mergeCell ref="B230:E230"/>
    <mergeCell ref="B251:N251"/>
    <mergeCell ref="B253:E253"/>
    <mergeCell ref="B255:E255"/>
    <mergeCell ref="B256:N256"/>
    <mergeCell ref="B258:E258"/>
    <mergeCell ref="B260:E260"/>
    <mergeCell ref="B242:E242"/>
    <mergeCell ref="B244:E244"/>
    <mergeCell ref="B245:E245"/>
    <mergeCell ref="B246:N246"/>
    <mergeCell ref="B248:E248"/>
    <mergeCell ref="B250:E250"/>
    <mergeCell ref="B270:N270"/>
    <mergeCell ref="B271:N271"/>
    <mergeCell ref="B273:E273"/>
    <mergeCell ref="B275:E275"/>
    <mergeCell ref="B276:N276"/>
    <mergeCell ref="B278:E278"/>
    <mergeCell ref="B261:N261"/>
    <mergeCell ref="B263:E263"/>
    <mergeCell ref="B264:E264"/>
    <mergeCell ref="B265:N265"/>
    <mergeCell ref="B267:E267"/>
    <mergeCell ref="B269:E269"/>
    <mergeCell ref="B290:E290"/>
    <mergeCell ref="B291:N291"/>
    <mergeCell ref="B292:N292"/>
    <mergeCell ref="B294:E294"/>
    <mergeCell ref="B295:E295"/>
    <mergeCell ref="B297:E297"/>
    <mergeCell ref="B279:N279"/>
    <mergeCell ref="B281:E281"/>
    <mergeCell ref="B283:E283"/>
    <mergeCell ref="B284:N284"/>
    <mergeCell ref="B286:E286"/>
    <mergeCell ref="B288:E288"/>
    <mergeCell ref="B307:E307"/>
    <mergeCell ref="B309:E309"/>
    <mergeCell ref="B311:E311"/>
    <mergeCell ref="B313:E313"/>
    <mergeCell ref="B315:E315"/>
    <mergeCell ref="B317:E317"/>
    <mergeCell ref="B298:E298"/>
    <mergeCell ref="B299:N299"/>
    <mergeCell ref="B301:E301"/>
    <mergeCell ref="B303:E303"/>
    <mergeCell ref="B304:N304"/>
    <mergeCell ref="B305:N305"/>
    <mergeCell ref="B331:E331"/>
    <mergeCell ref="B333:E333"/>
    <mergeCell ref="B335:E335"/>
    <mergeCell ref="B336:N336"/>
    <mergeCell ref="B338:E338"/>
    <mergeCell ref="B340:E340"/>
    <mergeCell ref="B319:E319"/>
    <mergeCell ref="B321:E321"/>
    <mergeCell ref="B323:E323"/>
    <mergeCell ref="B325:E325"/>
    <mergeCell ref="B327:E327"/>
    <mergeCell ref="B329:E329"/>
    <mergeCell ref="B351:E351"/>
    <mergeCell ref="B352:E352"/>
    <mergeCell ref="B353:N353"/>
    <mergeCell ref="B355:E355"/>
    <mergeCell ref="B356:E356"/>
    <mergeCell ref="B358:E358"/>
    <mergeCell ref="B342:E342"/>
    <mergeCell ref="B343:N343"/>
    <mergeCell ref="B344:N344"/>
    <mergeCell ref="B346:E346"/>
    <mergeCell ref="B348:E348"/>
    <mergeCell ref="B349:N349"/>
    <mergeCell ref="B368:E368"/>
    <mergeCell ref="B369:E369"/>
    <mergeCell ref="B370:N370"/>
    <mergeCell ref="B372:E372"/>
    <mergeCell ref="B373:E373"/>
    <mergeCell ref="B374:E374"/>
    <mergeCell ref="B359:E359"/>
    <mergeCell ref="B361:E361"/>
    <mergeCell ref="B362:E362"/>
    <mergeCell ref="B363:N363"/>
    <mergeCell ref="B365:E365"/>
    <mergeCell ref="B366:E366"/>
    <mergeCell ref="B384:N384"/>
    <mergeCell ref="B386:E386"/>
    <mergeCell ref="B388:E388"/>
    <mergeCell ref="B390:E390"/>
    <mergeCell ref="B391:E391"/>
    <mergeCell ref="B392:N392"/>
    <mergeCell ref="B375:E375"/>
    <mergeCell ref="B376:E376"/>
    <mergeCell ref="B378:E378"/>
    <mergeCell ref="B379:N379"/>
    <mergeCell ref="B381:E381"/>
    <mergeCell ref="B383:E383"/>
    <mergeCell ref="B404:E404"/>
    <mergeCell ref="B406:E406"/>
    <mergeCell ref="B407:N407"/>
    <mergeCell ref="B409:E409"/>
    <mergeCell ref="B410:E410"/>
    <mergeCell ref="B411:N411"/>
    <mergeCell ref="B394:E394"/>
    <mergeCell ref="B396:E396"/>
    <mergeCell ref="B397:N397"/>
    <mergeCell ref="B399:E399"/>
    <mergeCell ref="B401:E401"/>
    <mergeCell ref="B402:N402"/>
    <mergeCell ref="B422:N422"/>
    <mergeCell ref="B424:E424"/>
    <mergeCell ref="B425:N425"/>
    <mergeCell ref="B427:E427"/>
    <mergeCell ref="B429:E429"/>
    <mergeCell ref="B430:N430"/>
    <mergeCell ref="B413:E413"/>
    <mergeCell ref="B415:E415"/>
    <mergeCell ref="B416:N416"/>
    <mergeCell ref="B417:N417"/>
    <mergeCell ref="B419:E419"/>
    <mergeCell ref="B421:E421"/>
    <mergeCell ref="B441:E441"/>
    <mergeCell ref="B443:E443"/>
    <mergeCell ref="B444:E444"/>
    <mergeCell ref="B445:N445"/>
    <mergeCell ref="B447:E447"/>
    <mergeCell ref="B449:E449"/>
    <mergeCell ref="B432:E432"/>
    <mergeCell ref="B434:E434"/>
    <mergeCell ref="B436:E436"/>
    <mergeCell ref="B437:N437"/>
    <mergeCell ref="B438:N438"/>
    <mergeCell ref="B440:E440"/>
    <mergeCell ref="B461:E461"/>
    <mergeCell ref="B463:E463"/>
    <mergeCell ref="B465:E465"/>
    <mergeCell ref="B467:E467"/>
    <mergeCell ref="B469:E469"/>
    <mergeCell ref="B471:E471"/>
    <mergeCell ref="B450:N450"/>
    <mergeCell ref="B451:N451"/>
    <mergeCell ref="B453:E453"/>
    <mergeCell ref="B455:E455"/>
    <mergeCell ref="B457:E457"/>
    <mergeCell ref="B459:E459"/>
    <mergeCell ref="B484:E484"/>
    <mergeCell ref="B486:E486"/>
    <mergeCell ref="B488:E488"/>
    <mergeCell ref="B489:N489"/>
    <mergeCell ref="B490:N490"/>
    <mergeCell ref="B492:E492"/>
    <mergeCell ref="B473:E473"/>
    <mergeCell ref="B475:E475"/>
    <mergeCell ref="B477:E477"/>
    <mergeCell ref="B479:E479"/>
    <mergeCell ref="B481:E481"/>
    <mergeCell ref="B482:N482"/>
    <mergeCell ref="B502:E502"/>
    <mergeCell ref="B504:E504"/>
    <mergeCell ref="B505:E505"/>
    <mergeCell ref="B507:E507"/>
    <mergeCell ref="B508:E508"/>
    <mergeCell ref="B509:N509"/>
    <mergeCell ref="B494:E494"/>
    <mergeCell ref="B495:N495"/>
    <mergeCell ref="B497:E497"/>
    <mergeCell ref="B498:E498"/>
    <mergeCell ref="B499:N499"/>
    <mergeCell ref="B501:E501"/>
    <mergeCell ref="B519:E519"/>
    <mergeCell ref="B520:E520"/>
    <mergeCell ref="B521:E521"/>
    <mergeCell ref="B522:E522"/>
    <mergeCell ref="B524:E524"/>
    <mergeCell ref="B525:N525"/>
    <mergeCell ref="B511:E511"/>
    <mergeCell ref="B512:E512"/>
    <mergeCell ref="B514:E514"/>
    <mergeCell ref="B515:E515"/>
    <mergeCell ref="B516:N516"/>
    <mergeCell ref="B518:E518"/>
    <mergeCell ref="B537:E537"/>
    <mergeCell ref="B538:N538"/>
    <mergeCell ref="B540:E540"/>
    <mergeCell ref="B542:E542"/>
    <mergeCell ref="B543:N543"/>
    <mergeCell ref="B545:E545"/>
    <mergeCell ref="B527:E527"/>
    <mergeCell ref="B529:E529"/>
    <mergeCell ref="B530:N530"/>
    <mergeCell ref="B532:E532"/>
    <mergeCell ref="B534:E534"/>
    <mergeCell ref="B536:E536"/>
    <mergeCell ref="B556:E556"/>
    <mergeCell ref="B557:N557"/>
    <mergeCell ref="B559:E559"/>
    <mergeCell ref="B561:E561"/>
    <mergeCell ref="B562:N562"/>
    <mergeCell ref="B563:N563"/>
    <mergeCell ref="B547:E547"/>
    <mergeCell ref="B548:N548"/>
    <mergeCell ref="B550:E550"/>
    <mergeCell ref="B552:E552"/>
    <mergeCell ref="B553:N553"/>
    <mergeCell ref="B555:E555"/>
    <mergeCell ref="B575:E575"/>
    <mergeCell ref="B576:N576"/>
    <mergeCell ref="B578:E578"/>
    <mergeCell ref="B580:E580"/>
    <mergeCell ref="B582:E582"/>
    <mergeCell ref="B583:N583"/>
    <mergeCell ref="B565:E565"/>
    <mergeCell ref="B567:E567"/>
    <mergeCell ref="B568:N568"/>
    <mergeCell ref="B570:E570"/>
    <mergeCell ref="B571:N571"/>
    <mergeCell ref="B573:E573"/>
    <mergeCell ref="B593:E593"/>
    <mergeCell ref="B595:E595"/>
    <mergeCell ref="B596:N596"/>
    <mergeCell ref="B597:N597"/>
    <mergeCell ref="B599:E599"/>
    <mergeCell ref="B601:E601"/>
    <mergeCell ref="B584:N584"/>
    <mergeCell ref="B586:E586"/>
    <mergeCell ref="B587:E587"/>
    <mergeCell ref="B589:E589"/>
    <mergeCell ref="B590:E590"/>
    <mergeCell ref="B591:N591"/>
    <mergeCell ref="B615:E615"/>
    <mergeCell ref="B617:E617"/>
    <mergeCell ref="B619:E619"/>
    <mergeCell ref="B621:E621"/>
    <mergeCell ref="B623:E623"/>
    <mergeCell ref="B625:E625"/>
    <mergeCell ref="B603:E603"/>
    <mergeCell ref="B605:E605"/>
    <mergeCell ref="B607:E607"/>
    <mergeCell ref="B609:E609"/>
    <mergeCell ref="B611:E611"/>
    <mergeCell ref="B613:E613"/>
    <mergeCell ref="B636:N636"/>
    <mergeCell ref="B638:E638"/>
    <mergeCell ref="B640:E640"/>
    <mergeCell ref="B641:N641"/>
    <mergeCell ref="B643:E643"/>
    <mergeCell ref="B644:E644"/>
    <mergeCell ref="B627:E627"/>
    <mergeCell ref="B628:N628"/>
    <mergeCell ref="B630:E630"/>
    <mergeCell ref="B632:E632"/>
    <mergeCell ref="B634:E634"/>
    <mergeCell ref="B635:N635"/>
    <mergeCell ref="B654:E654"/>
    <mergeCell ref="B655:N655"/>
    <mergeCell ref="B657:E657"/>
    <mergeCell ref="B658:E658"/>
    <mergeCell ref="B660:E660"/>
    <mergeCell ref="B661:E661"/>
    <mergeCell ref="B645:N645"/>
    <mergeCell ref="B647:E647"/>
    <mergeCell ref="B648:E648"/>
    <mergeCell ref="B650:E650"/>
    <mergeCell ref="B651:E651"/>
    <mergeCell ref="B653:E653"/>
    <mergeCell ref="B670:E670"/>
    <mergeCell ref="B671:N671"/>
    <mergeCell ref="B673:E673"/>
    <mergeCell ref="B675:E675"/>
    <mergeCell ref="B676:N676"/>
    <mergeCell ref="B678:E678"/>
    <mergeCell ref="B662:N662"/>
    <mergeCell ref="B664:E664"/>
    <mergeCell ref="B665:E665"/>
    <mergeCell ref="B666:E666"/>
    <mergeCell ref="B667:E667"/>
    <mergeCell ref="B668:E668"/>
    <mergeCell ref="B689:N689"/>
    <mergeCell ref="B691:E691"/>
    <mergeCell ref="B693:E693"/>
    <mergeCell ref="B694:N694"/>
    <mergeCell ref="B696:E696"/>
    <mergeCell ref="B698:E698"/>
    <mergeCell ref="B680:E680"/>
    <mergeCell ref="B682:E682"/>
    <mergeCell ref="B683:E683"/>
    <mergeCell ref="B684:N684"/>
    <mergeCell ref="B686:E686"/>
    <mergeCell ref="B688:E688"/>
    <mergeCell ref="B708:N708"/>
    <mergeCell ref="B709:N709"/>
    <mergeCell ref="B711:E711"/>
    <mergeCell ref="B713:E713"/>
    <mergeCell ref="B714:N714"/>
    <mergeCell ref="B716:E716"/>
    <mergeCell ref="B699:N699"/>
    <mergeCell ref="B701:E701"/>
    <mergeCell ref="B702:E702"/>
    <mergeCell ref="B703:N703"/>
    <mergeCell ref="B705:E705"/>
    <mergeCell ref="B707:E707"/>
    <mergeCell ref="B728:E728"/>
    <mergeCell ref="B729:N729"/>
    <mergeCell ref="B730:N730"/>
    <mergeCell ref="B732:E732"/>
    <mergeCell ref="B733:E733"/>
    <mergeCell ref="B735:E735"/>
    <mergeCell ref="B717:N717"/>
    <mergeCell ref="B719:E719"/>
    <mergeCell ref="B721:E721"/>
    <mergeCell ref="B722:N722"/>
    <mergeCell ref="B724:E724"/>
    <mergeCell ref="B726:E726"/>
    <mergeCell ref="B745:E745"/>
    <mergeCell ref="B747:E747"/>
    <mergeCell ref="B749:E749"/>
    <mergeCell ref="B751:E751"/>
    <mergeCell ref="B753:E753"/>
    <mergeCell ref="B755:E755"/>
    <mergeCell ref="B736:E736"/>
    <mergeCell ref="B737:N737"/>
    <mergeCell ref="B739:E739"/>
    <mergeCell ref="B741:E741"/>
    <mergeCell ref="B742:N742"/>
    <mergeCell ref="B743:N743"/>
    <mergeCell ref="B769:E769"/>
    <mergeCell ref="B771:E771"/>
    <mergeCell ref="B773:E773"/>
    <mergeCell ref="B774:N774"/>
    <mergeCell ref="B776:E776"/>
    <mergeCell ref="B778:E778"/>
    <mergeCell ref="B757:E757"/>
    <mergeCell ref="B759:E759"/>
    <mergeCell ref="B761:E761"/>
    <mergeCell ref="B763:E763"/>
    <mergeCell ref="B765:E765"/>
    <mergeCell ref="B767:E767"/>
    <mergeCell ref="B789:E789"/>
    <mergeCell ref="B790:E790"/>
    <mergeCell ref="B791:N791"/>
    <mergeCell ref="B793:E793"/>
    <mergeCell ref="B794:E794"/>
    <mergeCell ref="B796:E796"/>
    <mergeCell ref="B780:E780"/>
    <mergeCell ref="B781:N781"/>
    <mergeCell ref="B782:N782"/>
    <mergeCell ref="B784:E784"/>
    <mergeCell ref="B786:E786"/>
    <mergeCell ref="B787:N787"/>
    <mergeCell ref="B806:E806"/>
    <mergeCell ref="B807:E807"/>
    <mergeCell ref="B808:N808"/>
    <mergeCell ref="B810:E810"/>
    <mergeCell ref="B811:E811"/>
    <mergeCell ref="B812:E812"/>
    <mergeCell ref="B797:E797"/>
    <mergeCell ref="B799:E799"/>
    <mergeCell ref="B800:E800"/>
    <mergeCell ref="B801:N801"/>
    <mergeCell ref="B803:E803"/>
    <mergeCell ref="B804:E804"/>
    <mergeCell ref="B822:N822"/>
    <mergeCell ref="B824:E824"/>
    <mergeCell ref="B826:E826"/>
    <mergeCell ref="B828:E828"/>
    <mergeCell ref="B829:E829"/>
    <mergeCell ref="B830:N830"/>
    <mergeCell ref="B813:E813"/>
    <mergeCell ref="B814:E814"/>
    <mergeCell ref="B816:E816"/>
    <mergeCell ref="B817:N817"/>
    <mergeCell ref="B819:E819"/>
    <mergeCell ref="B821:E821"/>
    <mergeCell ref="B842:E842"/>
    <mergeCell ref="B844:E844"/>
    <mergeCell ref="B845:N845"/>
    <mergeCell ref="B847:E847"/>
    <mergeCell ref="B848:E848"/>
    <mergeCell ref="B849:N849"/>
    <mergeCell ref="B832:E832"/>
    <mergeCell ref="B834:E834"/>
    <mergeCell ref="B835:N835"/>
    <mergeCell ref="B837:E837"/>
    <mergeCell ref="B839:E839"/>
    <mergeCell ref="B840:N840"/>
    <mergeCell ref="B860:N860"/>
    <mergeCell ref="B862:E862"/>
    <mergeCell ref="B863:N863"/>
    <mergeCell ref="B865:E865"/>
    <mergeCell ref="B867:E867"/>
    <mergeCell ref="B868:N868"/>
    <mergeCell ref="B851:E851"/>
    <mergeCell ref="B853:E853"/>
    <mergeCell ref="B854:N854"/>
    <mergeCell ref="B855:N855"/>
    <mergeCell ref="B857:E857"/>
    <mergeCell ref="B859:E859"/>
    <mergeCell ref="B879:E879"/>
    <mergeCell ref="B881:E881"/>
    <mergeCell ref="B882:E882"/>
    <mergeCell ref="B883:N883"/>
    <mergeCell ref="B885:E885"/>
    <mergeCell ref="B887:E887"/>
    <mergeCell ref="B870:E870"/>
    <mergeCell ref="B872:E872"/>
    <mergeCell ref="B874:E874"/>
    <mergeCell ref="B875:N875"/>
    <mergeCell ref="B876:N876"/>
    <mergeCell ref="B878:E878"/>
  </mergeCells>
  <pageMargins left="0.78740157480314965" right="0.39370078740157483" top="1.1811023622047245" bottom="0.78740157480314965" header="0.31496062992125984" footer="0.31496062992125984"/>
  <pageSetup paperSize="9" scale="53" fitToHeight="0" orientation="landscape"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EE8B2-B034-41AA-B3CF-21D33E9D7FFF}">
  <sheetPr>
    <pageSetUpPr fitToPage="1"/>
  </sheetPr>
  <dimension ref="A1:S554"/>
  <sheetViews>
    <sheetView showGridLines="0" topLeftCell="A497" workbookViewId="0">
      <selection activeCell="A113" sqref="A113"/>
    </sheetView>
  </sheetViews>
  <sheetFormatPr defaultRowHeight="14.4" x14ac:dyDescent="0.3"/>
  <cols>
    <col min="1" max="3" width="13.88671875" bestFit="1" customWidth="1"/>
    <col min="4" max="4" width="55.5546875" bestFit="1" customWidth="1"/>
    <col min="5" max="10" width="17.5546875" bestFit="1" customWidth="1"/>
    <col min="11" max="11" width="12" bestFit="1" customWidth="1"/>
    <col min="12" max="12" width="33.33203125" bestFit="1" customWidth="1"/>
    <col min="13" max="19" width="14.77734375" bestFit="1" customWidth="1"/>
  </cols>
  <sheetData>
    <row r="1" spans="1:19" x14ac:dyDescent="0.3">
      <c r="A1" s="44" t="str">
        <f>CIDADE</f>
        <v>MUNICÍPIOS DE PARNAGUÁ - PI E ANÍSIO DE ABREU-PI</v>
      </c>
      <c r="B1" s="44"/>
      <c r="C1" s="44"/>
      <c r="D1" s="44"/>
      <c r="E1" s="44"/>
      <c r="F1" s="44"/>
      <c r="G1" s="44"/>
      <c r="H1" s="44"/>
      <c r="I1" s="44"/>
      <c r="J1" s="44"/>
    </row>
    <row r="2" spans="1:19" x14ac:dyDescent="0.3">
      <c r="A2" s="44" t="str">
        <f>OBRA</f>
        <v>IMPLANTAÇÃO DE 6 (SEIS) SISTEMAS DE ABASTECIMENTO DE ÁGUA EM COMUNIDADES RURAIS NOS MUNICÍPIOS DE PARNAGUÁ-PI E ANÍSIO DE ABREU-PI (TC 967175/2024)</v>
      </c>
      <c r="B2" s="44"/>
      <c r="C2" s="44"/>
      <c r="D2" s="44"/>
      <c r="E2" s="44"/>
      <c r="F2" s="44"/>
      <c r="G2" s="44"/>
      <c r="H2" s="44"/>
      <c r="I2" s="44"/>
      <c r="J2" s="44"/>
    </row>
    <row r="3" spans="1:19" x14ac:dyDescent="0.3">
      <c r="A3" s="44" t="s">
        <v>995</v>
      </c>
      <c r="B3" s="44"/>
      <c r="C3" s="44"/>
      <c r="D3" s="44"/>
      <c r="E3" s="44"/>
      <c r="F3" s="44"/>
      <c r="G3" s="44"/>
      <c r="H3" s="44"/>
      <c r="I3" s="44"/>
      <c r="J3" s="44"/>
    </row>
    <row r="4" spans="1:19" x14ac:dyDescent="0.3">
      <c r="N4" s="45" t="s">
        <v>996</v>
      </c>
      <c r="O4" s="47"/>
      <c r="P4" s="46"/>
      <c r="Q4" s="45" t="s">
        <v>997</v>
      </c>
      <c r="R4" s="47"/>
      <c r="S4" s="46"/>
    </row>
    <row r="5" spans="1:19" x14ac:dyDescent="0.3">
      <c r="A5" s="1" t="s">
        <v>1</v>
      </c>
      <c r="B5" s="7" t="str">
        <f>FONTE&amp;FOLHA</f>
        <v>SINAPI PI 07/2025, SEINFRA CE 28, ORSE SE 06/2025, CAESB 10/2024SEM DESONERAÇÃO</v>
      </c>
      <c r="C5" s="3"/>
      <c r="D5" s="3"/>
      <c r="E5" s="3"/>
      <c r="F5" s="3"/>
      <c r="G5" s="27" t="s">
        <v>7</v>
      </c>
      <c r="H5" s="8">
        <f>LEI</f>
        <v>113.33</v>
      </c>
      <c r="I5" s="1" t="s">
        <v>16</v>
      </c>
      <c r="J5" s="8">
        <f>BDI</f>
        <v>22.33</v>
      </c>
      <c r="M5" s="4" t="s">
        <v>170</v>
      </c>
      <c r="N5" s="4" t="s">
        <v>998</v>
      </c>
      <c r="O5" s="4" t="s">
        <v>158</v>
      </c>
      <c r="P5" s="4" t="s">
        <v>999</v>
      </c>
      <c r="Q5" s="4" t="s">
        <v>998</v>
      </c>
      <c r="R5" s="4" t="s">
        <v>158</v>
      </c>
      <c r="S5" s="4" t="s">
        <v>999</v>
      </c>
    </row>
    <row r="6" spans="1:19" x14ac:dyDescent="0.3">
      <c r="A6" s="4" t="s">
        <v>1000</v>
      </c>
      <c r="B6" s="4" t="s">
        <v>170</v>
      </c>
      <c r="C6" s="4" t="s">
        <v>171</v>
      </c>
      <c r="D6" s="4" t="s">
        <v>18</v>
      </c>
      <c r="E6" s="4" t="s">
        <v>172</v>
      </c>
      <c r="F6" s="4" t="s">
        <v>507</v>
      </c>
      <c r="G6" s="45" t="s">
        <v>1001</v>
      </c>
      <c r="H6" s="46"/>
      <c r="I6" s="45" t="s">
        <v>12</v>
      </c>
      <c r="J6" s="46"/>
    </row>
    <row r="7" spans="1:19" x14ac:dyDescent="0.3">
      <c r="A7" s="15" t="s">
        <v>1002</v>
      </c>
      <c r="B7" s="15" t="s">
        <v>515</v>
      </c>
      <c r="C7" s="15" t="str">
        <f>VLOOKUP(B7,S!$A:$G,2,FALSE)</f>
        <v>PRÓPRIA</v>
      </c>
      <c r="D7" s="22" t="str">
        <f>VLOOKUP(B7,S!$A:$G,3,FALSE)</f>
        <v>ADMINISTRAÇÃO LOCAL DA OBRA</v>
      </c>
      <c r="E7" s="15" t="str">
        <f>VLOOKUP(B7,S!$A:$G,4,FALSE)</f>
        <v>MÊS</v>
      </c>
      <c r="F7" s="15"/>
      <c r="G7" s="78">
        <f>I11</f>
        <v>13447.4</v>
      </c>
      <c r="H7" s="79"/>
      <c r="I7" s="78"/>
      <c r="J7" s="79"/>
      <c r="K7" s="16">
        <f>VLOOKUP(B7,S!A:G,5,FALSE)</f>
        <v>0</v>
      </c>
      <c r="L7" s="15" t="s">
        <v>1003</v>
      </c>
    </row>
    <row r="8" spans="1:19" ht="30" customHeight="1" x14ac:dyDescent="0.3">
      <c r="A8" s="23" t="s">
        <v>1004</v>
      </c>
      <c r="B8" s="23">
        <v>90777</v>
      </c>
      <c r="C8" s="23" t="str">
        <f>VLOOKUP(B8,IF(A8="COMPOSICAO",S!$A:$E,I!$A:$E),2,FALSE)</f>
        <v>SINAPI</v>
      </c>
      <c r="D8" s="24" t="str">
        <f>VLOOKUP(B8,IF(A8="COMPOSICAO",S!$A:$E,I!$A:$E),3,FALSE)</f>
        <v>ENGENHEIRO CIVIL DE OBRA JUNIOR COM ENCARGOS COMPLEMENTARES</v>
      </c>
      <c r="E8" s="23" t="str">
        <f>VLOOKUP(B8,IF(A8="COMPOSICAO",S!$A:$E,I!$A:$E),4,FALSE)</f>
        <v>H</v>
      </c>
      <c r="F8" s="23">
        <v>60</v>
      </c>
      <c r="G8" s="76">
        <f>IF(A8="COMPOSICAO",VLOOKUP("TOTAL SEM BDI - "&amp;B8,CPUAUX1!$A:$J,9,FALSE),VLOOKUP(B8,I!$A:$E,5,FALSE))</f>
        <v>129.24</v>
      </c>
      <c r="H8" s="77"/>
      <c r="I8" s="76">
        <f>TRUNC(F8*G8,2)</f>
        <v>7754.4</v>
      </c>
      <c r="J8" s="77"/>
      <c r="M8" s="23">
        <f>B8</f>
        <v>90777</v>
      </c>
      <c r="N8" s="5">
        <f>SUMIF(ORCAMENTO!B:B,B7,ORCAMENTO!F:F)</f>
        <v>5</v>
      </c>
      <c r="O8" s="23">
        <f>F8*N8</f>
        <v>300</v>
      </c>
      <c r="Q8" s="23">
        <f ca="1">IFERROR(SUMIF(CO!B:B,B7,OFFSET(CO!F:F,0,(4+MATCH(ETAPA,CO!$J$6:$V$6,0)))),0)</f>
        <v>1.59</v>
      </c>
      <c r="R8" s="23">
        <f ca="1">F8*Q8</f>
        <v>95.4</v>
      </c>
    </row>
    <row r="9" spans="1:19" ht="15" customHeight="1" x14ac:dyDescent="0.3">
      <c r="A9" s="23" t="s">
        <v>1004</v>
      </c>
      <c r="B9" s="23">
        <v>90776</v>
      </c>
      <c r="C9" s="23" t="str">
        <f>VLOOKUP(B9,IF(A9="COMPOSICAO",S!$A:$E,I!$A:$E),2,FALSE)</f>
        <v>SINAPI</v>
      </c>
      <c r="D9" s="24" t="str">
        <f>VLOOKUP(B9,IF(A9="COMPOSICAO",S!$A:$E,I!$A:$E),3,FALSE)</f>
        <v>ENCARREGADO GERAL COM ENCARGOS COMPLEMENTARES</v>
      </c>
      <c r="E9" s="23" t="str">
        <f>VLOOKUP(B9,IF(A9="COMPOSICAO",S!$A:$E,I!$A:$E),4,FALSE)</f>
        <v>H</v>
      </c>
      <c r="F9" s="23">
        <v>100</v>
      </c>
      <c r="G9" s="76">
        <f>IF(A9="COMPOSICAO",VLOOKUP("TOTAL SEM BDI - "&amp;B9,CPUAUX1!$A:$J,9,FALSE),VLOOKUP(B9,I!$A:$E,5,FALSE))</f>
        <v>35.39</v>
      </c>
      <c r="H9" s="77"/>
      <c r="I9" s="76">
        <f>TRUNC(F9*G9,2)</f>
        <v>3539</v>
      </c>
      <c r="J9" s="77"/>
      <c r="M9" s="23">
        <f>B9</f>
        <v>90776</v>
      </c>
      <c r="N9" s="5">
        <f>SUMIF(ORCAMENTO!B:B,B7,ORCAMENTO!F:F)</f>
        <v>5</v>
      </c>
      <c r="O9" s="23">
        <f>F9*N9</f>
        <v>500</v>
      </c>
      <c r="Q9" s="23">
        <f ca="1">IFERROR(SUMIF(CO!B:B,B7,OFFSET(CO!F:F,0,(4+MATCH(ETAPA,CO!$J$6:$V$6,0)))),0)</f>
        <v>1.59</v>
      </c>
      <c r="R9" s="23">
        <f ca="1">F9*Q9</f>
        <v>159</v>
      </c>
    </row>
    <row r="10" spans="1:19" ht="30" customHeight="1" x14ac:dyDescent="0.3">
      <c r="A10" s="23" t="s">
        <v>1004</v>
      </c>
      <c r="B10" s="23">
        <v>90772</v>
      </c>
      <c r="C10" s="23" t="str">
        <f>VLOOKUP(B10,IF(A10="COMPOSICAO",S!$A:$E,I!$A:$E),2,FALSE)</f>
        <v>SINAPI</v>
      </c>
      <c r="D10" s="24" t="str">
        <f>VLOOKUP(B10,IF(A10="COMPOSICAO",S!$A:$E,I!$A:$E),3,FALSE)</f>
        <v>AUXILIAR DE ESCRITORIO COM ENCARGOS COMPLEMENTARES</v>
      </c>
      <c r="E10" s="23" t="str">
        <f>VLOOKUP(B10,IF(A10="COMPOSICAO",S!$A:$E,I!$A:$E),4,FALSE)</f>
        <v>H</v>
      </c>
      <c r="F10" s="23">
        <v>100</v>
      </c>
      <c r="G10" s="76">
        <f>IF(A10="COMPOSICAO",VLOOKUP("TOTAL SEM BDI - "&amp;B10,CPUAUX1!$A:$J,9,FALSE),VLOOKUP(B10,I!$A:$E,5,FALSE))</f>
        <v>21.54</v>
      </c>
      <c r="H10" s="77"/>
      <c r="I10" s="76">
        <f>TRUNC(F10*G10,2)</f>
        <v>2154</v>
      </c>
      <c r="J10" s="77"/>
      <c r="M10" s="23">
        <f>B10</f>
        <v>90772</v>
      </c>
      <c r="N10" s="5">
        <f>SUMIF(ORCAMENTO!B:B,B7,ORCAMENTO!F:F)</f>
        <v>5</v>
      </c>
      <c r="O10" s="23">
        <f>F10*N10</f>
        <v>500</v>
      </c>
      <c r="Q10" s="23">
        <f ca="1">IFERROR(SUMIF(CO!B:B,B7,OFFSET(CO!F:F,0,(4+MATCH(ETAPA,CO!$J$6:$V$6,0)))),0)</f>
        <v>1.59</v>
      </c>
      <c r="R10" s="23">
        <f ca="1">F10*Q10</f>
        <v>159</v>
      </c>
    </row>
    <row r="11" spans="1:19" x14ac:dyDescent="0.3">
      <c r="A11" s="73" t="str">
        <f>"TOTAL SEM BDI - "&amp;B7</f>
        <v>TOTAL SEM BDI - COMPOS31</v>
      </c>
      <c r="B11" s="74"/>
      <c r="C11" s="74"/>
      <c r="D11" s="74"/>
      <c r="E11" s="74"/>
      <c r="F11" s="74"/>
      <c r="G11" s="74"/>
      <c r="H11" s="75"/>
      <c r="I11" s="76">
        <f>SUM(I7:I10)</f>
        <v>13447.4</v>
      </c>
      <c r="J11" s="77"/>
    </row>
    <row r="12" spans="1:19" x14ac:dyDescent="0.3">
      <c r="A12" s="73" t="str">
        <f>"TAXA DE BDI ("&amp;TEXT(BDI,"00,00")&amp;" %)"</f>
        <v>TAXA DE BDI (22,33 %)</v>
      </c>
      <c r="B12" s="74"/>
      <c r="C12" s="74"/>
      <c r="D12" s="74"/>
      <c r="E12" s="74"/>
      <c r="F12" s="74"/>
      <c r="G12" s="74"/>
      <c r="H12" s="75"/>
      <c r="I12" s="76">
        <f>ROUND(I11*(BDI/100),2)</f>
        <v>3002.8</v>
      </c>
      <c r="J12" s="77"/>
    </row>
    <row r="13" spans="1:19" x14ac:dyDescent="0.3">
      <c r="A13" s="73" t="str">
        <f>"TOTAL COM BDI - "&amp;B7</f>
        <v>TOTAL COM BDI - COMPOS31</v>
      </c>
      <c r="B13" s="74"/>
      <c r="C13" s="74"/>
      <c r="D13" s="74"/>
      <c r="E13" s="74"/>
      <c r="F13" s="74"/>
      <c r="G13" s="74"/>
      <c r="H13" s="75"/>
      <c r="I13" s="76">
        <f>SUM(I11:I12)</f>
        <v>16450.2</v>
      </c>
      <c r="J13" s="77"/>
    </row>
    <row r="15" spans="1:19" x14ac:dyDescent="0.3">
      <c r="A15" s="4" t="s">
        <v>1000</v>
      </c>
      <c r="B15" s="4" t="s">
        <v>170</v>
      </c>
      <c r="C15" s="4" t="s">
        <v>171</v>
      </c>
      <c r="D15" s="4" t="s">
        <v>18</v>
      </c>
      <c r="E15" s="4" t="s">
        <v>172</v>
      </c>
      <c r="F15" s="4" t="s">
        <v>507</v>
      </c>
      <c r="G15" s="45" t="s">
        <v>1001</v>
      </c>
      <c r="H15" s="46"/>
      <c r="I15" s="45" t="s">
        <v>12</v>
      </c>
      <c r="J15" s="46"/>
    </row>
    <row r="16" spans="1:19" x14ac:dyDescent="0.3">
      <c r="A16" s="15" t="s">
        <v>517</v>
      </c>
      <c r="B16" s="15" t="s">
        <v>518</v>
      </c>
      <c r="C16" s="15" t="str">
        <f>VLOOKUP(B16,S!$A:$G,2,FALSE)</f>
        <v>PRÓPRIA</v>
      </c>
      <c r="D16" s="22" t="str">
        <f>VLOOKUP(B16,S!$A:$G,3,FALSE)</f>
        <v>PLACAS PADRÃO DE OBRA</v>
      </c>
      <c r="E16" s="15" t="str">
        <f>VLOOKUP(B16,S!$A:$G,4,FALSE)</f>
        <v>M2</v>
      </c>
      <c r="F16" s="15"/>
      <c r="G16" s="78">
        <f>I22</f>
        <v>189.89999999999998</v>
      </c>
      <c r="H16" s="79"/>
      <c r="I16" s="78"/>
      <c r="J16" s="79"/>
      <c r="K16" s="16">
        <f>VLOOKUP(B16,S!A:G,5,FALSE)</f>
        <v>0</v>
      </c>
      <c r="L16" s="15" t="s">
        <v>1003</v>
      </c>
    </row>
    <row r="17" spans="1:18" x14ac:dyDescent="0.3">
      <c r="A17" s="23" t="s">
        <v>1005</v>
      </c>
      <c r="B17" s="23" t="s">
        <v>1006</v>
      </c>
      <c r="C17" s="23" t="str">
        <f>VLOOKUP(B17,IF(A17="COMPOSICAO",S!$A:$E,I!$A:$E),2,FALSE)</f>
        <v>SEINFRA</v>
      </c>
      <c r="D17" s="24" t="str">
        <f>VLOOKUP(B17,IF(A17="COMPOSICAO",S!$A:$E,I!$A:$E),3,FALSE)</f>
        <v>CHAPA DE AÇO GALVANIZADA ESP. 0.3MM</v>
      </c>
      <c r="E17" s="23" t="str">
        <f>VLOOKUP(B17,IF(A17="COMPOSICAO",S!$A:$E,I!$A:$E),4,FALSE)</f>
        <v>M2</v>
      </c>
      <c r="F17" s="23">
        <v>1.02</v>
      </c>
      <c r="G17" s="76">
        <f>IF(A17="COMPOSICAO",VLOOKUP("TOTAL SEM BDI - "&amp;B17,CPUAUX1!$A:$J,9,FALSE),VLOOKUP(B17,I!$A:$E,5,FALSE))</f>
        <v>39.03</v>
      </c>
      <c r="H17" s="77"/>
      <c r="I17" s="76">
        <f>TRUNC(F17*G17,2)</f>
        <v>39.81</v>
      </c>
      <c r="J17" s="77"/>
      <c r="M17" s="23" t="str">
        <f>B17</f>
        <v>I0537</v>
      </c>
      <c r="N17" s="5">
        <f>SUMIF(ORCAMENTO!B:B,B16,ORCAMENTO!F:F)</f>
        <v>12.96</v>
      </c>
      <c r="O17" s="23">
        <f>F17*N17</f>
        <v>13.219200000000001</v>
      </c>
      <c r="Q17" s="23">
        <f ca="1">IFERROR(SUMIF(CO!B:B,B16,OFFSET(CO!F:F,0,(4+MATCH(ETAPA,CO!$J$6:$V$6,0)))),0)</f>
        <v>12.96</v>
      </c>
      <c r="R17" s="23">
        <f ca="1">F17*Q17</f>
        <v>13.219200000000001</v>
      </c>
    </row>
    <row r="18" spans="1:18" x14ac:dyDescent="0.3">
      <c r="A18" s="23" t="s">
        <v>1004</v>
      </c>
      <c r="B18" s="23">
        <v>88316</v>
      </c>
      <c r="C18" s="23" t="str">
        <f>VLOOKUP(B18,IF(A18="COMPOSICAO",S!$A:$E,I!$A:$E),2,FALSE)</f>
        <v>SINAPI</v>
      </c>
      <c r="D18" s="24" t="str">
        <f>VLOOKUP(B18,IF(A18="COMPOSICAO",S!$A:$E,I!$A:$E),3,FALSE)</f>
        <v>SERVENTE COM ENCARGOS COMPLEMENTARES</v>
      </c>
      <c r="E18" s="23" t="str">
        <f>VLOOKUP(B18,IF(A18="COMPOSICAO",S!$A:$E,I!$A:$E),4,FALSE)</f>
        <v>H</v>
      </c>
      <c r="F18" s="23">
        <f>2/pcf</f>
        <v>2</v>
      </c>
      <c r="G18" s="76">
        <f>IF(A18="COMPOSICAO",VLOOKUP("TOTAL SEM BDI - "&amp;B18,CPUAUX1!$A:$J,9,FALSE),VLOOKUP(B18,I!$A:$E,5,FALSE))</f>
        <v>21.71</v>
      </c>
      <c r="H18" s="77"/>
      <c r="I18" s="76">
        <f>TRUNC(F18*G18,2)</f>
        <v>43.42</v>
      </c>
      <c r="J18" s="77"/>
      <c r="M18" s="23">
        <f>B18</f>
        <v>88316</v>
      </c>
      <c r="N18" s="5">
        <f>SUMIF(ORCAMENTO!B:B,B16,ORCAMENTO!F:F)</f>
        <v>12.96</v>
      </c>
      <c r="O18" s="23">
        <f>F18*N18</f>
        <v>25.92</v>
      </c>
      <c r="Q18" s="23">
        <f ca="1">IFERROR(SUMIF(CO!B:B,B16,OFFSET(CO!F:F,0,(4+MATCH(ETAPA,CO!$J$6:$V$6,0)))),0)</f>
        <v>12.96</v>
      </c>
      <c r="R18" s="23">
        <f ca="1">F18*Q18</f>
        <v>25.92</v>
      </c>
    </row>
    <row r="19" spans="1:18" x14ac:dyDescent="0.3">
      <c r="A19" s="23" t="s">
        <v>1005</v>
      </c>
      <c r="B19" s="23" t="s">
        <v>1007</v>
      </c>
      <c r="C19" s="23" t="str">
        <f>VLOOKUP(B19,IF(A19="COMPOSICAO",S!$A:$E,I!$A:$E),2,FALSE)</f>
        <v>SEINFRA</v>
      </c>
      <c r="D19" s="24" t="str">
        <f>VLOOKUP(B19,IF(A19="COMPOSICAO",S!$A:$E,I!$A:$E),3,FALSE)</f>
        <v>PONTALETE / BARROTE DE 3"X3"</v>
      </c>
      <c r="E19" s="23" t="str">
        <f>VLOOKUP(B19,IF(A19="COMPOSICAO",S!$A:$E,I!$A:$E),4,FALSE)</f>
        <v>M</v>
      </c>
      <c r="F19" s="23">
        <v>4.5</v>
      </c>
      <c r="G19" s="76">
        <f>IF(A19="COMPOSICAO",VLOOKUP("TOTAL SEM BDI - "&amp;B19,CPUAUX1!$A:$J,9,FALSE),VLOOKUP(B19,I!$A:$E,5,FALSE))</f>
        <v>16.09</v>
      </c>
      <c r="H19" s="77"/>
      <c r="I19" s="76">
        <f>TRUNC(F19*G19,2)</f>
        <v>72.400000000000006</v>
      </c>
      <c r="J19" s="77"/>
      <c r="M19" s="23" t="str">
        <f>B19</f>
        <v>I1691</v>
      </c>
      <c r="N19" s="5">
        <f>SUMIF(ORCAMENTO!B:B,B16,ORCAMENTO!F:F)</f>
        <v>12.96</v>
      </c>
      <c r="O19" s="23">
        <f>F19*N19</f>
        <v>58.320000000000007</v>
      </c>
      <c r="Q19" s="23">
        <f ca="1">IFERROR(SUMIF(CO!B:B,B16,OFFSET(CO!F:F,0,(4+MATCH(ETAPA,CO!$J$6:$V$6,0)))),0)</f>
        <v>12.96</v>
      </c>
      <c r="R19" s="23">
        <f ca="1">F19*Q19</f>
        <v>58.320000000000007</v>
      </c>
    </row>
    <row r="20" spans="1:18" ht="30" customHeight="1" x14ac:dyDescent="0.3">
      <c r="A20" s="23" t="s">
        <v>1005</v>
      </c>
      <c r="B20" s="23" t="s">
        <v>1008</v>
      </c>
      <c r="C20" s="23" t="str">
        <f>VLOOKUP(B20,IF(A20="COMPOSICAO",S!$A:$E,I!$A:$E),2,FALSE)</f>
        <v>SEINFRA</v>
      </c>
      <c r="D20" s="24" t="str">
        <f>VLOOKUP(B20,IF(A20="COMPOSICAO",S!$A:$E,I!$A:$E),3,FALSE)</f>
        <v>PREGO 15X15 (1.1/4" X 13) (APROXIMADAMENTE 672UN/KG)</v>
      </c>
      <c r="E20" s="23" t="str">
        <f>VLOOKUP(B20,IF(A20="COMPOSICAO",S!$A:$E,I!$A:$E),4,FALSE)</f>
        <v>KG</v>
      </c>
      <c r="F20" s="23">
        <v>0.15</v>
      </c>
      <c r="G20" s="76">
        <f>IF(A20="COMPOSICAO",VLOOKUP("TOTAL SEM BDI - "&amp;B20,CPUAUX1!$A:$J,9,FALSE),VLOOKUP(B20,I!$A:$E,5,FALSE))</f>
        <v>15.99</v>
      </c>
      <c r="H20" s="77"/>
      <c r="I20" s="76">
        <f>TRUNC(F20*G20,2)</f>
        <v>2.39</v>
      </c>
      <c r="J20" s="77"/>
      <c r="M20" s="23" t="str">
        <f>B20</f>
        <v>I1725</v>
      </c>
      <c r="N20" s="5">
        <f>SUMIF(ORCAMENTO!B:B,B16,ORCAMENTO!F:F)</f>
        <v>12.96</v>
      </c>
      <c r="O20" s="23">
        <f>F20*N20</f>
        <v>1.944</v>
      </c>
      <c r="Q20" s="23">
        <f ca="1">IFERROR(SUMIF(CO!B:B,B16,OFFSET(CO!F:F,0,(4+MATCH(ETAPA,CO!$J$6:$V$6,0)))),0)</f>
        <v>12.96</v>
      </c>
      <c r="R20" s="23">
        <f ca="1">F20*Q20</f>
        <v>1.944</v>
      </c>
    </row>
    <row r="21" spans="1:18" x14ac:dyDescent="0.3">
      <c r="A21" s="23" t="s">
        <v>1005</v>
      </c>
      <c r="B21" s="23" t="s">
        <v>1009</v>
      </c>
      <c r="C21" s="23" t="str">
        <f>VLOOKUP(B21,IF(A21="COMPOSICAO",S!$A:$E,I!$A:$E),2,FALSE)</f>
        <v>SEINFRA</v>
      </c>
      <c r="D21" s="24" t="str">
        <f>VLOOKUP(B21,IF(A21="COMPOSICAO",S!$A:$E,I!$A:$E),3,FALSE)</f>
        <v>ESMALTE SINTETICO</v>
      </c>
      <c r="E21" s="23" t="str">
        <f>VLOOKUP(B21,IF(A21="COMPOSICAO",S!$A:$E,I!$A:$E),4,FALSE)</f>
        <v>L</v>
      </c>
      <c r="F21" s="23">
        <v>1</v>
      </c>
      <c r="G21" s="76">
        <f>IF(A21="COMPOSICAO",VLOOKUP("TOTAL SEM BDI - "&amp;B21,CPUAUX1!$A:$J,9,FALSE),VLOOKUP(B21,I!$A:$E,5,FALSE))</f>
        <v>31.88</v>
      </c>
      <c r="H21" s="77"/>
      <c r="I21" s="76">
        <f>TRUNC(F21*G21,2)</f>
        <v>31.88</v>
      </c>
      <c r="J21" s="77"/>
      <c r="M21" s="23" t="str">
        <f>B21</f>
        <v>I1100</v>
      </c>
      <c r="N21" s="5">
        <f>SUMIF(ORCAMENTO!B:B,B16,ORCAMENTO!F:F)</f>
        <v>12.96</v>
      </c>
      <c r="O21" s="23">
        <f>F21*N21</f>
        <v>12.96</v>
      </c>
      <c r="Q21" s="23">
        <f ca="1">IFERROR(SUMIF(CO!B:B,B16,OFFSET(CO!F:F,0,(4+MATCH(ETAPA,CO!$J$6:$V$6,0)))),0)</f>
        <v>12.96</v>
      </c>
      <c r="R21" s="23">
        <f ca="1">F21*Q21</f>
        <v>12.96</v>
      </c>
    </row>
    <row r="22" spans="1:18" x14ac:dyDescent="0.3">
      <c r="A22" s="73" t="str">
        <f>"TOTAL SEM BDI - "&amp;B16</f>
        <v>TOTAL SEM BDI - COMP14</v>
      </c>
      <c r="B22" s="74"/>
      <c r="C22" s="74"/>
      <c r="D22" s="74"/>
      <c r="E22" s="74"/>
      <c r="F22" s="74"/>
      <c r="G22" s="74"/>
      <c r="H22" s="75"/>
      <c r="I22" s="76">
        <f>SUM(I16:I21)</f>
        <v>189.89999999999998</v>
      </c>
      <c r="J22" s="77"/>
    </row>
    <row r="23" spans="1:18" x14ac:dyDescent="0.3">
      <c r="A23" s="73" t="str">
        <f>"TAXA DE BDI ("&amp;TEXT(BDI,"00,00")&amp;" %)"</f>
        <v>TAXA DE BDI (22,33 %)</v>
      </c>
      <c r="B23" s="74"/>
      <c r="C23" s="74"/>
      <c r="D23" s="74"/>
      <c r="E23" s="74"/>
      <c r="F23" s="74"/>
      <c r="G23" s="74"/>
      <c r="H23" s="75"/>
      <c r="I23" s="76">
        <f>ROUND(I22*(BDI/100),2)</f>
        <v>42.4</v>
      </c>
      <c r="J23" s="77"/>
    </row>
    <row r="24" spans="1:18" x14ac:dyDescent="0.3">
      <c r="A24" s="73" t="str">
        <f>"TOTAL COM BDI - "&amp;B16</f>
        <v>TOTAL COM BDI - COMP14</v>
      </c>
      <c r="B24" s="74"/>
      <c r="C24" s="74"/>
      <c r="D24" s="74"/>
      <c r="E24" s="74"/>
      <c r="F24" s="74"/>
      <c r="G24" s="74"/>
      <c r="H24" s="75"/>
      <c r="I24" s="76">
        <f>SUM(I22:I23)</f>
        <v>232.29999999999998</v>
      </c>
      <c r="J24" s="77"/>
    </row>
    <row r="26" spans="1:18" x14ac:dyDescent="0.3">
      <c r="A26" s="4" t="s">
        <v>1000</v>
      </c>
      <c r="B26" s="4" t="s">
        <v>170</v>
      </c>
      <c r="C26" s="4" t="s">
        <v>171</v>
      </c>
      <c r="D26" s="4" t="s">
        <v>18</v>
      </c>
      <c r="E26" s="4" t="s">
        <v>172</v>
      </c>
      <c r="F26" s="4" t="s">
        <v>507</v>
      </c>
      <c r="G26" s="45" t="s">
        <v>1001</v>
      </c>
      <c r="H26" s="46"/>
      <c r="I26" s="45" t="s">
        <v>12</v>
      </c>
      <c r="J26" s="46"/>
    </row>
    <row r="27" spans="1:18" ht="30" customHeight="1" x14ac:dyDescent="0.3">
      <c r="A27" s="15" t="s">
        <v>1010</v>
      </c>
      <c r="B27" s="15" t="s">
        <v>522</v>
      </c>
      <c r="C27" s="15" t="str">
        <f>VLOOKUP(B27,S!$A:$G,2,FALSE)</f>
        <v>PRÓPRIA</v>
      </c>
      <c r="D27" s="22" t="str">
        <f>VLOOKUP(B27,S!$A:$G,3,FALSE)</f>
        <v>LOCAÇÃO DO POÇO COM ESTUDO GEOLÓGICO/HIDROGEOLÓGICO/GEOFÍSICO</v>
      </c>
      <c r="E27" s="15" t="str">
        <f>VLOOKUP(B27,S!$A:$G,4,FALSE)</f>
        <v>UN</v>
      </c>
      <c r="F27" s="15"/>
      <c r="G27" s="78">
        <f>I31</f>
        <v>1692.3999999999999</v>
      </c>
      <c r="H27" s="79"/>
      <c r="I27" s="78"/>
      <c r="J27" s="79"/>
      <c r="K27" s="16">
        <f>VLOOKUP(B27,S!A:G,5,FALSE)</f>
        <v>0</v>
      </c>
      <c r="L27" s="15" t="s">
        <v>1003</v>
      </c>
    </row>
    <row r="28" spans="1:18" x14ac:dyDescent="0.3">
      <c r="A28" s="23" t="s">
        <v>1011</v>
      </c>
      <c r="B28" s="23" t="s">
        <v>1012</v>
      </c>
      <c r="C28" s="23" t="str">
        <f>VLOOKUP(B28,IF(A28="COMPOSICAO",S!$A:$E,I!$A:$E),2,FALSE)</f>
        <v>PRÓPRIA</v>
      </c>
      <c r="D28" s="24" t="str">
        <f>VLOOKUP(B28,IF(A28="COMPOSICAO",S!$A:$E,I!$A:$E),3,FALSE)</f>
        <v>GEÓLOGO SÊNIOR COM ENCARGOS COMPLEMENTARES</v>
      </c>
      <c r="E28" s="23" t="str">
        <f>VLOOKUP(B28,IF(A28="COMPOSICAO",S!$A:$E,I!$A:$E),4,FALSE)</f>
        <v>H</v>
      </c>
      <c r="F28" s="23">
        <f>10/pcf</f>
        <v>10</v>
      </c>
      <c r="G28" s="76">
        <f>IF(A28="COMPOSICAO",VLOOKUP("TOTAL SEM BDI - "&amp;B28,CPUAUX1!$A:$J,9,FALSE),VLOOKUP(B28,I!$A:$E,5,FALSE))</f>
        <v>111.02</v>
      </c>
      <c r="H28" s="77"/>
      <c r="I28" s="76">
        <f>TRUNC(F28*G28,2)</f>
        <v>1110.2</v>
      </c>
      <c r="J28" s="77"/>
      <c r="M28" s="23" t="str">
        <f>B28</f>
        <v>CAESB2</v>
      </c>
      <c r="N28" s="5">
        <f>SUMIF(ORCAMENTO!B:B,B27,ORCAMENTO!F:F)</f>
        <v>6</v>
      </c>
      <c r="O28" s="23">
        <f>F28*N28</f>
        <v>60</v>
      </c>
      <c r="Q28" s="23">
        <f ca="1">IFERROR(SUMIF(CO!B:B,B27,OFFSET(CO!F:F,0,(4+MATCH(ETAPA,CO!$J$6:$V$6,0)))),0)</f>
        <v>2</v>
      </c>
      <c r="R28" s="23">
        <f ca="1">F28*Q28</f>
        <v>20</v>
      </c>
    </row>
    <row r="29" spans="1:18" ht="30" customHeight="1" x14ac:dyDescent="0.3">
      <c r="A29" s="23" t="s">
        <v>1004</v>
      </c>
      <c r="B29" s="23">
        <v>88255</v>
      </c>
      <c r="C29" s="23" t="str">
        <f>VLOOKUP(B29,IF(A29="COMPOSICAO",S!$A:$E,I!$A:$E),2,FALSE)</f>
        <v>SINAPI</v>
      </c>
      <c r="D29" s="24" t="str">
        <f>VLOOKUP(B29,IF(A29="COMPOSICAO",S!$A:$E,I!$A:$E),3,FALSE)</f>
        <v>AUXILIAR TÉCNICO DE ENGENHARIA COM ENCARGOS COMPLEMENTARES</v>
      </c>
      <c r="E29" s="23" t="str">
        <f>VLOOKUP(B29,IF(A29="COMPOSICAO",S!$A:$E,I!$A:$E),4,FALSE)</f>
        <v>H</v>
      </c>
      <c r="F29" s="23">
        <f>10/pcf</f>
        <v>10</v>
      </c>
      <c r="G29" s="76">
        <f>IF(A29="COMPOSICAO",VLOOKUP("TOTAL SEM BDI - "&amp;B29,CPUAUX1!$A:$J,9,FALSE),VLOOKUP(B29,I!$A:$E,5,FALSE))</f>
        <v>26.54</v>
      </c>
      <c r="H29" s="77"/>
      <c r="I29" s="76">
        <f>TRUNC(F29*G29,2)</f>
        <v>265.39999999999998</v>
      </c>
      <c r="J29" s="77"/>
      <c r="M29" s="23">
        <f>B29</f>
        <v>88255</v>
      </c>
      <c r="N29" s="5">
        <f>SUMIF(ORCAMENTO!B:B,B27,ORCAMENTO!F:F)</f>
        <v>6</v>
      </c>
      <c r="O29" s="23">
        <f>F29*N29</f>
        <v>60</v>
      </c>
      <c r="Q29" s="23">
        <f ca="1">IFERROR(SUMIF(CO!B:B,B27,OFFSET(CO!F:F,0,(4+MATCH(ETAPA,CO!$J$6:$V$6,0)))),0)</f>
        <v>2</v>
      </c>
      <c r="R29" s="23">
        <f ca="1">F29*Q29</f>
        <v>20</v>
      </c>
    </row>
    <row r="30" spans="1:18" x14ac:dyDescent="0.3">
      <c r="A30" s="23" t="s">
        <v>1005</v>
      </c>
      <c r="B30" s="23" t="s">
        <v>1013</v>
      </c>
      <c r="C30" s="23" t="str">
        <f>VLOOKUP(B30,IF(A30="COMPOSICAO",S!$A:$E,I!$A:$E),2,FALSE)</f>
        <v>ORSE</v>
      </c>
      <c r="D30" s="24" t="str">
        <f>VLOOKUP(B30,IF(A30="COMPOSICAO",S!$A:$E,I!$A:$E),3,FALSE)</f>
        <v>VEÍCULO LEVE - PICK UP (97KW)</v>
      </c>
      <c r="E30" s="23" t="str">
        <f>VLOOKUP(B30,IF(A30="COMPOSICAO",S!$A:$E,I!$A:$E),4,FALSE)</f>
        <v>H</v>
      </c>
      <c r="F30" s="23">
        <f>30/pcf</f>
        <v>30</v>
      </c>
      <c r="G30" s="76">
        <f>IF(A30="COMPOSICAO",VLOOKUP("TOTAL SEM BDI - "&amp;B30,CPUAUX1!$A:$J,9,FALSE),VLOOKUP(B30,I!$A:$E,5,FALSE))</f>
        <v>10.56</v>
      </c>
      <c r="H30" s="77"/>
      <c r="I30" s="76">
        <f>TRUNC(F30*G30,2)</f>
        <v>316.8</v>
      </c>
      <c r="J30" s="77"/>
      <c r="M30" s="23" t="str">
        <f>B30</f>
        <v>02789/ORSE</v>
      </c>
      <c r="N30" s="5">
        <f>SUMIF(ORCAMENTO!B:B,B27,ORCAMENTO!F:F)</f>
        <v>6</v>
      </c>
      <c r="O30" s="23">
        <f>F30*N30</f>
        <v>180</v>
      </c>
      <c r="Q30" s="23">
        <f ca="1">IFERROR(SUMIF(CO!B:B,B27,OFFSET(CO!F:F,0,(4+MATCH(ETAPA,CO!$J$6:$V$6,0)))),0)</f>
        <v>2</v>
      </c>
      <c r="R30" s="23">
        <f ca="1">F30*Q30</f>
        <v>60</v>
      </c>
    </row>
    <row r="31" spans="1:18" x14ac:dyDescent="0.3">
      <c r="A31" s="73" t="str">
        <f>"TOTAL SEM BDI - "&amp;B27</f>
        <v>TOTAL SEM BDI - COMPOS3</v>
      </c>
      <c r="B31" s="74"/>
      <c r="C31" s="74"/>
      <c r="D31" s="74"/>
      <c r="E31" s="74"/>
      <c r="F31" s="74"/>
      <c r="G31" s="74"/>
      <c r="H31" s="75"/>
      <c r="I31" s="76">
        <f>SUM(I27:I30)</f>
        <v>1692.3999999999999</v>
      </c>
      <c r="J31" s="77"/>
    </row>
    <row r="32" spans="1:18" x14ac:dyDescent="0.3">
      <c r="A32" s="73" t="str">
        <f>"TAXA DE BDI ("&amp;TEXT(BDI,"00,00")&amp;" %)"</f>
        <v>TAXA DE BDI (22,33 %)</v>
      </c>
      <c r="B32" s="74"/>
      <c r="C32" s="74"/>
      <c r="D32" s="74"/>
      <c r="E32" s="74"/>
      <c r="F32" s="74"/>
      <c r="G32" s="74"/>
      <c r="H32" s="75"/>
      <c r="I32" s="76">
        <f>ROUND(I31*(BDI/100),2)</f>
        <v>377.91</v>
      </c>
      <c r="J32" s="77"/>
    </row>
    <row r="33" spans="1:18" x14ac:dyDescent="0.3">
      <c r="A33" s="73" t="str">
        <f>"TOTAL COM BDI - "&amp;B27</f>
        <v>TOTAL COM BDI - COMPOS3</v>
      </c>
      <c r="B33" s="74"/>
      <c r="C33" s="74"/>
      <c r="D33" s="74"/>
      <c r="E33" s="74"/>
      <c r="F33" s="74"/>
      <c r="G33" s="74"/>
      <c r="H33" s="75"/>
      <c r="I33" s="76">
        <f>SUM(I31:I32)</f>
        <v>2070.31</v>
      </c>
      <c r="J33" s="77"/>
    </row>
    <row r="35" spans="1:18" x14ac:dyDescent="0.3">
      <c r="A35" s="4" t="s">
        <v>1000</v>
      </c>
      <c r="B35" s="4" t="s">
        <v>170</v>
      </c>
      <c r="C35" s="4" t="s">
        <v>171</v>
      </c>
      <c r="D35" s="4" t="s">
        <v>18</v>
      </c>
      <c r="E35" s="4" t="s">
        <v>172</v>
      </c>
      <c r="F35" s="4" t="s">
        <v>507</v>
      </c>
      <c r="G35" s="45" t="s">
        <v>1001</v>
      </c>
      <c r="H35" s="46"/>
      <c r="I35" s="45" t="s">
        <v>12</v>
      </c>
      <c r="J35" s="46"/>
    </row>
    <row r="36" spans="1:18" x14ac:dyDescent="0.3">
      <c r="A36" s="15" t="s">
        <v>1010</v>
      </c>
      <c r="B36" s="15" t="s">
        <v>524</v>
      </c>
      <c r="C36" s="15" t="str">
        <f>VLOOKUP(B36,S!$A:$G,2,FALSE)</f>
        <v>PRÓPRIA</v>
      </c>
      <c r="D36" s="22" t="str">
        <f>VLOOKUP(B36,S!$A:$G,3,FALSE)</f>
        <v>TRANSPORTE DE MÁQUINAS E EQUIPAMENTOS</v>
      </c>
      <c r="E36" s="15" t="str">
        <f>VLOOKUP(B36,S!$A:$G,4,FALSE)</f>
        <v>KM</v>
      </c>
      <c r="F36" s="15"/>
      <c r="G36" s="78">
        <f>I38</f>
        <v>5.5</v>
      </c>
      <c r="H36" s="79"/>
      <c r="I36" s="78"/>
      <c r="J36" s="79"/>
      <c r="K36" s="16">
        <f>VLOOKUP(B36,S!A:G,5,FALSE)</f>
        <v>0</v>
      </c>
      <c r="L36" s="15" t="s">
        <v>1003</v>
      </c>
    </row>
    <row r="37" spans="1:18" ht="30" customHeight="1" x14ac:dyDescent="0.3">
      <c r="A37" s="23" t="s">
        <v>1005</v>
      </c>
      <c r="B37" s="23" t="s">
        <v>1014</v>
      </c>
      <c r="C37" s="23" t="str">
        <f>VLOOKUP(B37,IF(A37="COMPOSICAO",S!$A:$E,I!$A:$E),2,FALSE)</f>
        <v>ORSE</v>
      </c>
      <c r="D37" s="24" t="str">
        <f>VLOOKUP(B37,IF(A37="COMPOSICAO",S!$A:$E,I!$A:$E),3,FALSE)</f>
        <v>TRANSPORTES DE MÁQUINAS E EQUIPAMENTOS POR CAMINHÃO MUNCK</v>
      </c>
      <c r="E37" s="23" t="str">
        <f>VLOOKUP(B37,IF(A37="COMPOSICAO",S!$A:$E,I!$A:$E),4,FALSE)</f>
        <v>KM</v>
      </c>
      <c r="F37" s="23">
        <v>1</v>
      </c>
      <c r="G37" s="76">
        <f>IF(A37="COMPOSICAO",VLOOKUP("TOTAL SEM BDI - "&amp;B37,CPUAUX1!$A:$J,9,FALSE),VLOOKUP(B37,I!$A:$E,5,FALSE))</f>
        <v>5.5</v>
      </c>
      <c r="H37" s="77"/>
      <c r="I37" s="76">
        <f>TRUNC(F37*G37,2)</f>
        <v>5.5</v>
      </c>
      <c r="J37" s="77"/>
      <c r="M37" s="23" t="str">
        <f>B37</f>
        <v>13957/ORSE</v>
      </c>
      <c r="N37" s="5">
        <f>SUMIF(ORCAMENTO!B:B,B36,ORCAMENTO!F:F)</f>
        <v>3309.9999999999995</v>
      </c>
      <c r="O37" s="23">
        <f>F37*N37</f>
        <v>3309.9999999999995</v>
      </c>
      <c r="Q37" s="23">
        <f ca="1">IFERROR(SUMIF(CO!B:B,B36,OFFSET(CO!F:F,0,(4+MATCH(ETAPA,CO!$J$6:$V$6,0)))),0)</f>
        <v>1574.6</v>
      </c>
      <c r="R37" s="23">
        <f ca="1">F37*Q37</f>
        <v>1574.6</v>
      </c>
    </row>
    <row r="38" spans="1:18" x14ac:dyDescent="0.3">
      <c r="A38" s="73" t="str">
        <f>"TOTAL SEM BDI - "&amp;B36</f>
        <v>TOTAL SEM BDI - COMPOS4</v>
      </c>
      <c r="B38" s="74"/>
      <c r="C38" s="74"/>
      <c r="D38" s="74"/>
      <c r="E38" s="74"/>
      <c r="F38" s="74"/>
      <c r="G38" s="74"/>
      <c r="H38" s="75"/>
      <c r="I38" s="76">
        <f>SUM(I36:I37)</f>
        <v>5.5</v>
      </c>
      <c r="J38" s="77"/>
    </row>
    <row r="39" spans="1:18" x14ac:dyDescent="0.3">
      <c r="A39" s="73" t="str">
        <f>"TAXA DE BDI ("&amp;TEXT(BDI,"00,00")&amp;" %)"</f>
        <v>TAXA DE BDI (22,33 %)</v>
      </c>
      <c r="B39" s="74"/>
      <c r="C39" s="74"/>
      <c r="D39" s="74"/>
      <c r="E39" s="74"/>
      <c r="F39" s="74"/>
      <c r="G39" s="74"/>
      <c r="H39" s="75"/>
      <c r="I39" s="76">
        <f>ROUND(I38*(BDI/100),2)</f>
        <v>1.23</v>
      </c>
      <c r="J39" s="77"/>
    </row>
    <row r="40" spans="1:18" x14ac:dyDescent="0.3">
      <c r="A40" s="73" t="str">
        <f>"TOTAL COM BDI - "&amp;B36</f>
        <v>TOTAL COM BDI - COMPOS4</v>
      </c>
      <c r="B40" s="74"/>
      <c r="C40" s="74"/>
      <c r="D40" s="74"/>
      <c r="E40" s="74"/>
      <c r="F40" s="74"/>
      <c r="G40" s="74"/>
      <c r="H40" s="75"/>
      <c r="I40" s="76">
        <f>SUM(I38:I39)</f>
        <v>6.73</v>
      </c>
      <c r="J40" s="77"/>
    </row>
    <row r="42" spans="1:18" x14ac:dyDescent="0.3">
      <c r="A42" s="4" t="s">
        <v>1000</v>
      </c>
      <c r="B42" s="4" t="s">
        <v>170</v>
      </c>
      <c r="C42" s="4" t="s">
        <v>171</v>
      </c>
      <c r="D42" s="4" t="s">
        <v>18</v>
      </c>
      <c r="E42" s="4" t="s">
        <v>172</v>
      </c>
      <c r="F42" s="4" t="s">
        <v>507</v>
      </c>
      <c r="G42" s="45" t="s">
        <v>1001</v>
      </c>
      <c r="H42" s="46"/>
      <c r="I42" s="45" t="s">
        <v>12</v>
      </c>
      <c r="J42" s="46"/>
    </row>
    <row r="43" spans="1:18" x14ac:dyDescent="0.3">
      <c r="A43" s="15" t="s">
        <v>1010</v>
      </c>
      <c r="B43" s="15" t="s">
        <v>528</v>
      </c>
      <c r="C43" s="15" t="str">
        <f>VLOOKUP(B43,S!$A:$G,2,FALSE)</f>
        <v>PRÓPRIA</v>
      </c>
      <c r="D43" s="22" t="str">
        <f>VLOOKUP(B43,S!$A:$G,3,FALSE)</f>
        <v>PERFILAGEM ÓTICA</v>
      </c>
      <c r="E43" s="15" t="str">
        <f>VLOOKUP(B43,S!$A:$G,4,FALSE)</f>
        <v>UN</v>
      </c>
      <c r="F43" s="15"/>
      <c r="G43" s="78">
        <f>I48</f>
        <v>2908.88</v>
      </c>
      <c r="H43" s="79"/>
      <c r="I43" s="78"/>
      <c r="J43" s="79"/>
      <c r="K43" s="16">
        <f>VLOOKUP(B43,S!A:G,5,FALSE)</f>
        <v>0</v>
      </c>
      <c r="L43" s="15" t="s">
        <v>1003</v>
      </c>
    </row>
    <row r="44" spans="1:18" x14ac:dyDescent="0.3">
      <c r="A44" s="23" t="s">
        <v>1011</v>
      </c>
      <c r="B44" s="23" t="s">
        <v>1012</v>
      </c>
      <c r="C44" s="23" t="str">
        <f>VLOOKUP(B44,IF(A44="COMPOSICAO",S!$A:$E,I!$A:$E),2,FALSE)</f>
        <v>PRÓPRIA</v>
      </c>
      <c r="D44" s="24" t="str">
        <f>VLOOKUP(B44,IF(A44="COMPOSICAO",S!$A:$E,I!$A:$E),3,FALSE)</f>
        <v>GEÓLOGO SÊNIOR COM ENCARGOS COMPLEMENTARES</v>
      </c>
      <c r="E44" s="23" t="str">
        <f>VLOOKUP(B44,IF(A44="COMPOSICAO",S!$A:$E,I!$A:$E),4,FALSE)</f>
        <v>H</v>
      </c>
      <c r="F44" s="23">
        <f>10/pcf</f>
        <v>10</v>
      </c>
      <c r="G44" s="76">
        <f>IF(A44="COMPOSICAO",VLOOKUP("TOTAL SEM BDI - "&amp;B44,CPUAUX1!$A:$J,9,FALSE),VLOOKUP(B44,I!$A:$E,5,FALSE))</f>
        <v>111.02</v>
      </c>
      <c r="H44" s="77"/>
      <c r="I44" s="76">
        <f>TRUNC(F44*G44,2)</f>
        <v>1110.2</v>
      </c>
      <c r="J44" s="77"/>
      <c r="M44" s="23" t="str">
        <f>B44</f>
        <v>CAESB2</v>
      </c>
      <c r="N44" s="5">
        <f>SUMIF(ORCAMENTO!B:B,B43,ORCAMENTO!F:F)</f>
        <v>6</v>
      </c>
      <c r="O44" s="23">
        <f>F44*N44</f>
        <v>60</v>
      </c>
      <c r="Q44" s="23">
        <f ca="1">IFERROR(SUMIF(CO!B:B,B43,OFFSET(CO!F:F,0,(4+MATCH(ETAPA,CO!$J$6:$V$6,0)))),0)</f>
        <v>2</v>
      </c>
      <c r="R44" s="23">
        <f ca="1">F44*Q44</f>
        <v>20</v>
      </c>
    </row>
    <row r="45" spans="1:18" ht="30" customHeight="1" x14ac:dyDescent="0.3">
      <c r="A45" s="23" t="s">
        <v>1004</v>
      </c>
      <c r="B45" s="23">
        <v>88255</v>
      </c>
      <c r="C45" s="23" t="str">
        <f>VLOOKUP(B45,IF(A45="COMPOSICAO",S!$A:$E,I!$A:$E),2,FALSE)</f>
        <v>SINAPI</v>
      </c>
      <c r="D45" s="24" t="str">
        <f>VLOOKUP(B45,IF(A45="COMPOSICAO",S!$A:$E,I!$A:$E),3,FALSE)</f>
        <v>AUXILIAR TÉCNICO DE ENGENHARIA COM ENCARGOS COMPLEMENTARES</v>
      </c>
      <c r="E45" s="23" t="str">
        <f>VLOOKUP(B45,IF(A45="COMPOSICAO",S!$A:$E,I!$A:$E),4,FALSE)</f>
        <v>H</v>
      </c>
      <c r="F45" s="23">
        <f>10/pcf</f>
        <v>10</v>
      </c>
      <c r="G45" s="76">
        <f>IF(A45="COMPOSICAO",VLOOKUP("TOTAL SEM BDI - "&amp;B45,CPUAUX1!$A:$J,9,FALSE),VLOOKUP(B45,I!$A:$E,5,FALSE))</f>
        <v>26.54</v>
      </c>
      <c r="H45" s="77"/>
      <c r="I45" s="76">
        <f>TRUNC(F45*G45,2)</f>
        <v>265.39999999999998</v>
      </c>
      <c r="J45" s="77"/>
      <c r="M45" s="23">
        <f>B45</f>
        <v>88255</v>
      </c>
      <c r="N45" s="5">
        <f>SUMIF(ORCAMENTO!B:B,B43,ORCAMENTO!F:F)</f>
        <v>6</v>
      </c>
      <c r="O45" s="23">
        <f>F45*N45</f>
        <v>60</v>
      </c>
      <c r="Q45" s="23">
        <f ca="1">IFERROR(SUMIF(CO!B:B,B43,OFFSET(CO!F:F,0,(4+MATCH(ETAPA,CO!$J$6:$V$6,0)))),0)</f>
        <v>2</v>
      </c>
      <c r="R45" s="23">
        <f ca="1">F45*Q45</f>
        <v>20</v>
      </c>
    </row>
    <row r="46" spans="1:18" ht="30" customHeight="1" x14ac:dyDescent="0.3">
      <c r="A46" s="23" t="s">
        <v>1004</v>
      </c>
      <c r="B46" s="23">
        <v>90779</v>
      </c>
      <c r="C46" s="23" t="str">
        <f>VLOOKUP(B46,IF(A46="COMPOSICAO",S!$A:$E,I!$A:$E),2,FALSE)</f>
        <v>SINAPI</v>
      </c>
      <c r="D46" s="24" t="str">
        <f>VLOOKUP(B46,IF(A46="COMPOSICAO",S!$A:$E,I!$A:$E),3,FALSE)</f>
        <v>ENGENHEIRO CIVIL DE OBRA SENIOR COM ENCARGOS COMPLEMENTARES</v>
      </c>
      <c r="E46" s="23" t="str">
        <f>VLOOKUP(B46,IF(A46="COMPOSICAO",S!$A:$E,I!$A:$E),4,FALSE)</f>
        <v>H</v>
      </c>
      <c r="F46" s="23">
        <f>8/pcf</f>
        <v>8</v>
      </c>
      <c r="G46" s="76">
        <f>IF(A46="COMPOSICAO",VLOOKUP("TOTAL SEM BDI - "&amp;B46,CPUAUX1!$A:$J,9,FALSE),VLOOKUP(B46,I!$A:$E,5,FALSE))</f>
        <v>152.06</v>
      </c>
      <c r="H46" s="77"/>
      <c r="I46" s="76">
        <f>TRUNC(F46*G46,2)</f>
        <v>1216.48</v>
      </c>
      <c r="J46" s="77"/>
      <c r="M46" s="23">
        <f>B46</f>
        <v>90779</v>
      </c>
      <c r="N46" s="5">
        <f>SUMIF(ORCAMENTO!B:B,B43,ORCAMENTO!F:F)</f>
        <v>6</v>
      </c>
      <c r="O46" s="23">
        <f>F46*N46</f>
        <v>48</v>
      </c>
      <c r="Q46" s="23">
        <f ca="1">IFERROR(SUMIF(CO!B:B,B43,OFFSET(CO!F:F,0,(4+MATCH(ETAPA,CO!$J$6:$V$6,0)))),0)</f>
        <v>2</v>
      </c>
      <c r="R46" s="23">
        <f ca="1">F46*Q46</f>
        <v>16</v>
      </c>
    </row>
    <row r="47" spans="1:18" x14ac:dyDescent="0.3">
      <c r="A47" s="23" t="s">
        <v>1005</v>
      </c>
      <c r="B47" s="23" t="s">
        <v>1013</v>
      </c>
      <c r="C47" s="23" t="str">
        <f>VLOOKUP(B47,IF(A47="COMPOSICAO",S!$A:$E,I!$A:$E),2,FALSE)</f>
        <v>ORSE</v>
      </c>
      <c r="D47" s="24" t="str">
        <f>VLOOKUP(B47,IF(A47="COMPOSICAO",S!$A:$E,I!$A:$E),3,FALSE)</f>
        <v>VEÍCULO LEVE - PICK UP (97KW)</v>
      </c>
      <c r="E47" s="23" t="str">
        <f>VLOOKUP(B47,IF(A47="COMPOSICAO",S!$A:$E,I!$A:$E),4,FALSE)</f>
        <v>H</v>
      </c>
      <c r="F47" s="23">
        <f>30/pcf</f>
        <v>30</v>
      </c>
      <c r="G47" s="76">
        <f>IF(A47="COMPOSICAO",VLOOKUP("TOTAL SEM BDI - "&amp;B47,CPUAUX1!$A:$J,9,FALSE),VLOOKUP(B47,I!$A:$E,5,FALSE))</f>
        <v>10.56</v>
      </c>
      <c r="H47" s="77"/>
      <c r="I47" s="76">
        <f>TRUNC(F47*G47,2)</f>
        <v>316.8</v>
      </c>
      <c r="J47" s="77"/>
      <c r="M47" s="23" t="str">
        <f>B47</f>
        <v>02789/ORSE</v>
      </c>
      <c r="N47" s="5">
        <f>SUMIF(ORCAMENTO!B:B,B43,ORCAMENTO!F:F)</f>
        <v>6</v>
      </c>
      <c r="O47" s="23">
        <f>F47*N47</f>
        <v>180</v>
      </c>
      <c r="Q47" s="23">
        <f ca="1">IFERROR(SUMIF(CO!B:B,B43,OFFSET(CO!F:F,0,(4+MATCH(ETAPA,CO!$J$6:$V$6,0)))),0)</f>
        <v>2</v>
      </c>
      <c r="R47" s="23">
        <f ca="1">F47*Q47</f>
        <v>60</v>
      </c>
    </row>
    <row r="48" spans="1:18" x14ac:dyDescent="0.3">
      <c r="A48" s="73" t="str">
        <f>"TOTAL SEM BDI - "&amp;B43</f>
        <v>TOTAL SEM BDI - COMPOS5</v>
      </c>
      <c r="B48" s="74"/>
      <c r="C48" s="74"/>
      <c r="D48" s="74"/>
      <c r="E48" s="74"/>
      <c r="F48" s="74"/>
      <c r="G48" s="74"/>
      <c r="H48" s="75"/>
      <c r="I48" s="76">
        <f>SUM(I43:I47)</f>
        <v>2908.88</v>
      </c>
      <c r="J48" s="77"/>
    </row>
    <row r="49" spans="1:18" x14ac:dyDescent="0.3">
      <c r="A49" s="73" t="str">
        <f>"TAXA DE BDI ("&amp;TEXT(BDI,"00,00")&amp;" %)"</f>
        <v>TAXA DE BDI (22,33 %)</v>
      </c>
      <c r="B49" s="74"/>
      <c r="C49" s="74"/>
      <c r="D49" s="74"/>
      <c r="E49" s="74"/>
      <c r="F49" s="74"/>
      <c r="G49" s="74"/>
      <c r="H49" s="75"/>
      <c r="I49" s="76">
        <f>ROUND(I48*(BDI/100),2)</f>
        <v>649.54999999999995</v>
      </c>
      <c r="J49" s="77"/>
    </row>
    <row r="50" spans="1:18" x14ac:dyDescent="0.3">
      <c r="A50" s="73" t="str">
        <f>"TOTAL COM BDI - "&amp;B43</f>
        <v>TOTAL COM BDI - COMPOS5</v>
      </c>
      <c r="B50" s="74"/>
      <c r="C50" s="74"/>
      <c r="D50" s="74"/>
      <c r="E50" s="74"/>
      <c r="F50" s="74"/>
      <c r="G50" s="74"/>
      <c r="H50" s="75"/>
      <c r="I50" s="76">
        <f>SUM(I48:I49)</f>
        <v>3558.4300000000003</v>
      </c>
      <c r="J50" s="77"/>
    </row>
    <row r="52" spans="1:18" x14ac:dyDescent="0.3">
      <c r="A52" s="4" t="s">
        <v>1000</v>
      </c>
      <c r="B52" s="4" t="s">
        <v>170</v>
      </c>
      <c r="C52" s="4" t="s">
        <v>171</v>
      </c>
      <c r="D52" s="4" t="s">
        <v>18</v>
      </c>
      <c r="E52" s="4" t="s">
        <v>172</v>
      </c>
      <c r="F52" s="4" t="s">
        <v>507</v>
      </c>
      <c r="G52" s="45" t="s">
        <v>1001</v>
      </c>
      <c r="H52" s="46"/>
      <c r="I52" s="45" t="s">
        <v>12</v>
      </c>
      <c r="J52" s="46"/>
    </row>
    <row r="53" spans="1:18" ht="30" customHeight="1" x14ac:dyDescent="0.3">
      <c r="A53" s="15" t="s">
        <v>517</v>
      </c>
      <c r="B53" s="15" t="s">
        <v>530</v>
      </c>
      <c r="C53" s="15" t="str">
        <f>VLOOKUP(B53,S!$A:$G,2,FALSE)</f>
        <v>PRÓPRIA</v>
      </c>
      <c r="D53" s="22" t="str">
        <f>VLOOKUP(B53,S!$A:$G,3,FALSE)</f>
        <v>PERFURAÇÃO EM ROCHA SEDIMENTAR DN 10" (REF: 06230/ORSE-ORSE-04/2025)</v>
      </c>
      <c r="E53" s="15" t="str">
        <f>VLOOKUP(B53,S!$A:$G,4,FALSE)</f>
        <v>M</v>
      </c>
      <c r="F53" s="15"/>
      <c r="G53" s="78">
        <f>I55</f>
        <v>202.21</v>
      </c>
      <c r="H53" s="79"/>
      <c r="I53" s="78"/>
      <c r="J53" s="79"/>
      <c r="K53" s="16">
        <f>VLOOKUP(B53,S!A:G,5,FALSE)</f>
        <v>0</v>
      </c>
      <c r="L53" s="15" t="s">
        <v>1003</v>
      </c>
    </row>
    <row r="54" spans="1:18" ht="30" customHeight="1" x14ac:dyDescent="0.3">
      <c r="A54" s="23" t="s">
        <v>1005</v>
      </c>
      <c r="B54" s="23" t="s">
        <v>1016</v>
      </c>
      <c r="C54" s="23" t="str">
        <f>VLOOKUP(B54,IF(A54="COMPOSICAO",S!$A:$E,I!$A:$E),2,FALSE)</f>
        <v>ORSE</v>
      </c>
      <c r="D54" s="24" t="str">
        <f>VLOOKUP(B54,IF(A54="COMPOSICAO",S!$A:$E,I!$A:$E),3,FALSE)</f>
        <v>PERFURAÇÃO ROCHA CALCÁRIA - CALCÁRIO / CAMADAS ALTERADAS DN 10" (POÇO 150M)</v>
      </c>
      <c r="E54" s="23" t="str">
        <f>VLOOKUP(B54,IF(A54="COMPOSICAO",S!$A:$E,I!$A:$E),4,FALSE)</f>
        <v>M</v>
      </c>
      <c r="F54" s="23">
        <v>1</v>
      </c>
      <c r="G54" s="76">
        <f>IF(A54="COMPOSICAO",VLOOKUP("TOTAL SEM BDI - "&amp;B54,CPUAUX1!$A:$J,9,FALSE),VLOOKUP(B54,I!$A:$E,5,FALSE))</f>
        <v>202.21</v>
      </c>
      <c r="H54" s="77"/>
      <c r="I54" s="76">
        <f>TRUNC(F54*G54,2)</f>
        <v>202.21</v>
      </c>
      <c r="J54" s="77"/>
      <c r="M54" s="23" t="str">
        <f>B54</f>
        <v>05053/ORSE</v>
      </c>
      <c r="N54" s="5">
        <f>SUMIF(ORCAMENTO!B:B,B53,ORCAMENTO!F:F)</f>
        <v>120</v>
      </c>
      <c r="O54" s="23">
        <f>F54*N54</f>
        <v>120</v>
      </c>
      <c r="Q54" s="23">
        <f ca="1">IFERROR(SUMIF(CO!B:B,B53,OFFSET(CO!F:F,0,(4+MATCH(ETAPA,CO!$J$6:$V$6,0)))),0)</f>
        <v>40</v>
      </c>
      <c r="R54" s="23">
        <f ca="1">F54*Q54</f>
        <v>40</v>
      </c>
    </row>
    <row r="55" spans="1:18" x14ac:dyDescent="0.3">
      <c r="A55" s="73" t="str">
        <f>"TOTAL SEM BDI - "&amp;B53</f>
        <v>TOTAL SEM BDI - COMP197</v>
      </c>
      <c r="B55" s="74"/>
      <c r="C55" s="74"/>
      <c r="D55" s="74"/>
      <c r="E55" s="74"/>
      <c r="F55" s="74"/>
      <c r="G55" s="74"/>
      <c r="H55" s="75"/>
      <c r="I55" s="76">
        <f>SUM(I53:I54)</f>
        <v>202.21</v>
      </c>
      <c r="J55" s="77"/>
    </row>
    <row r="56" spans="1:18" x14ac:dyDescent="0.3">
      <c r="A56" s="73" t="str">
        <f>"TAXA DE BDI ("&amp;TEXT(BDI,"00,00")&amp;" %)"</f>
        <v>TAXA DE BDI (22,33 %)</v>
      </c>
      <c r="B56" s="74"/>
      <c r="C56" s="74"/>
      <c r="D56" s="74"/>
      <c r="E56" s="74"/>
      <c r="F56" s="74"/>
      <c r="G56" s="74"/>
      <c r="H56" s="75"/>
      <c r="I56" s="76">
        <f>ROUND(I55*(BDI/100),2)</f>
        <v>45.15</v>
      </c>
      <c r="J56" s="77"/>
    </row>
    <row r="57" spans="1:18" x14ac:dyDescent="0.3">
      <c r="A57" s="73" t="str">
        <f>"TOTAL COM BDI - "&amp;B53</f>
        <v>TOTAL COM BDI - COMP197</v>
      </c>
      <c r="B57" s="74"/>
      <c r="C57" s="74"/>
      <c r="D57" s="74"/>
      <c r="E57" s="74"/>
      <c r="F57" s="74"/>
      <c r="G57" s="74"/>
      <c r="H57" s="75"/>
      <c r="I57" s="76">
        <f>SUM(I55:I56)</f>
        <v>247.36</v>
      </c>
      <c r="J57" s="77"/>
    </row>
    <row r="59" spans="1:18" x14ac:dyDescent="0.3">
      <c r="A59" s="4" t="s">
        <v>1000</v>
      </c>
      <c r="B59" s="4" t="s">
        <v>170</v>
      </c>
      <c r="C59" s="4" t="s">
        <v>171</v>
      </c>
      <c r="D59" s="4" t="s">
        <v>18</v>
      </c>
      <c r="E59" s="4" t="s">
        <v>172</v>
      </c>
      <c r="F59" s="4" t="s">
        <v>507</v>
      </c>
      <c r="G59" s="45" t="s">
        <v>1001</v>
      </c>
      <c r="H59" s="46"/>
      <c r="I59" s="45" t="s">
        <v>12</v>
      </c>
      <c r="J59" s="46"/>
    </row>
    <row r="60" spans="1:18" ht="30" customHeight="1" x14ac:dyDescent="0.3">
      <c r="A60" s="15" t="s">
        <v>517</v>
      </c>
      <c r="B60" s="15" t="s">
        <v>533</v>
      </c>
      <c r="C60" s="15" t="str">
        <f>VLOOKUP(B60,S!$A:$G,2,FALSE)</f>
        <v>PRÓPRIA</v>
      </c>
      <c r="D60" s="22" t="str">
        <f>VLOOKUP(B60,S!$A:$G,3,FALSE)</f>
        <v>PERFURAÇÃO EM ROCHA CRISTALINA DN 6" (REF: 06237/ORSE-ORSE-04/2025)</v>
      </c>
      <c r="E60" s="15" t="str">
        <f>VLOOKUP(B60,S!$A:$G,4,FALSE)</f>
        <v>M</v>
      </c>
      <c r="F60" s="15"/>
      <c r="G60" s="78">
        <f>I62</f>
        <v>125.23</v>
      </c>
      <c r="H60" s="79"/>
      <c r="I60" s="78"/>
      <c r="J60" s="79"/>
      <c r="K60" s="16">
        <f>VLOOKUP(B60,S!A:G,5,FALSE)</f>
        <v>0</v>
      </c>
      <c r="L60" s="15" t="s">
        <v>1003</v>
      </c>
    </row>
    <row r="61" spans="1:18" ht="45" customHeight="1" x14ac:dyDescent="0.3">
      <c r="A61" s="23" t="s">
        <v>1005</v>
      </c>
      <c r="B61" s="23" t="s">
        <v>1017</v>
      </c>
      <c r="C61" s="23" t="str">
        <f>VLOOKUP(B61,IF(A61="COMPOSICAO",S!$A:$E,I!$A:$E),2,FALSE)</f>
        <v>ORSE</v>
      </c>
      <c r="D61" s="24" t="str">
        <f>VLOOKUP(B61,IF(A61="COMPOSICAO",S!$A:$E,I!$A:$E),3,FALSE)</f>
        <v>PERFURAÇÃO EM ROCHA CRISTALINA - ROCHA CRISTALINA ALTERADA / COMPACTA DN 6" (POÇO ATÉ 120M)</v>
      </c>
      <c r="E61" s="23" t="str">
        <f>VLOOKUP(B61,IF(A61="COMPOSICAO",S!$A:$E,I!$A:$E),4,FALSE)</f>
        <v>M</v>
      </c>
      <c r="F61" s="23">
        <v>1</v>
      </c>
      <c r="G61" s="76">
        <f>IF(A61="COMPOSICAO",VLOOKUP("TOTAL SEM BDI - "&amp;B61,CPUAUX1!$A:$J,9,FALSE),VLOOKUP(B61,I!$A:$E,5,FALSE))</f>
        <v>125.23</v>
      </c>
      <c r="H61" s="77"/>
      <c r="I61" s="76">
        <f>TRUNC(F61*G61,2)</f>
        <v>125.23</v>
      </c>
      <c r="J61" s="77"/>
      <c r="M61" s="23" t="str">
        <f>B61</f>
        <v>05048/ORSE</v>
      </c>
      <c r="N61" s="5">
        <f>SUMIF(ORCAMENTO!B:B,B60,ORCAMENTO!F:F)</f>
        <v>520</v>
      </c>
      <c r="O61" s="23">
        <f>F61*N61</f>
        <v>520</v>
      </c>
      <c r="Q61" s="23">
        <f ca="1">IFERROR(SUMIF(CO!B:B,B60,OFFSET(CO!F:F,0,(4+MATCH(ETAPA,CO!$J$6:$V$6,0)))),0)</f>
        <v>200</v>
      </c>
      <c r="R61" s="23">
        <f ca="1">F61*Q61</f>
        <v>200</v>
      </c>
    </row>
    <row r="62" spans="1:18" x14ac:dyDescent="0.3">
      <c r="A62" s="73" t="str">
        <f>"TOTAL SEM BDI - "&amp;B60</f>
        <v>TOTAL SEM BDI - COMP198</v>
      </c>
      <c r="B62" s="74"/>
      <c r="C62" s="74"/>
      <c r="D62" s="74"/>
      <c r="E62" s="74"/>
      <c r="F62" s="74"/>
      <c r="G62" s="74"/>
      <c r="H62" s="75"/>
      <c r="I62" s="76">
        <f>SUM(I60:I61)</f>
        <v>125.23</v>
      </c>
      <c r="J62" s="77"/>
    </row>
    <row r="63" spans="1:18" x14ac:dyDescent="0.3">
      <c r="A63" s="73" t="str">
        <f>"TAXA DE BDI ("&amp;TEXT(BDI,"00,00")&amp;" %)"</f>
        <v>TAXA DE BDI (22,33 %)</v>
      </c>
      <c r="B63" s="74"/>
      <c r="C63" s="74"/>
      <c r="D63" s="74"/>
      <c r="E63" s="74"/>
      <c r="F63" s="74"/>
      <c r="G63" s="74"/>
      <c r="H63" s="75"/>
      <c r="I63" s="76">
        <f>ROUND(I62*(BDI/100),2)</f>
        <v>27.96</v>
      </c>
      <c r="J63" s="77"/>
    </row>
    <row r="64" spans="1:18" x14ac:dyDescent="0.3">
      <c r="A64" s="73" t="str">
        <f>"TOTAL COM BDI - "&amp;B60</f>
        <v>TOTAL COM BDI - COMP198</v>
      </c>
      <c r="B64" s="74"/>
      <c r="C64" s="74"/>
      <c r="D64" s="74"/>
      <c r="E64" s="74"/>
      <c r="F64" s="74"/>
      <c r="G64" s="74"/>
      <c r="H64" s="75"/>
      <c r="I64" s="76">
        <f>SUM(I62:I63)</f>
        <v>153.19</v>
      </c>
      <c r="J64" s="77"/>
    </row>
    <row r="66" spans="1:18" x14ac:dyDescent="0.3">
      <c r="A66" s="4" t="s">
        <v>1000</v>
      </c>
      <c r="B66" s="4" t="s">
        <v>170</v>
      </c>
      <c r="C66" s="4" t="s">
        <v>171</v>
      </c>
      <c r="D66" s="4" t="s">
        <v>18</v>
      </c>
      <c r="E66" s="4" t="s">
        <v>172</v>
      </c>
      <c r="F66" s="4" t="s">
        <v>507</v>
      </c>
      <c r="G66" s="45" t="s">
        <v>1001</v>
      </c>
      <c r="H66" s="46"/>
      <c r="I66" s="45" t="s">
        <v>12</v>
      </c>
      <c r="J66" s="46"/>
    </row>
    <row r="67" spans="1:18" x14ac:dyDescent="0.3">
      <c r="A67" s="15" t="s">
        <v>1010</v>
      </c>
      <c r="B67" s="15" t="s">
        <v>535</v>
      </c>
      <c r="C67" s="15" t="str">
        <f>VLOOKUP(B67,S!$A:$G,2,FALSE)</f>
        <v>PRÓPRIA</v>
      </c>
      <c r="D67" s="22" t="str">
        <f>VLOOKUP(B67,S!$A:$G,3,FALSE)</f>
        <v>CIMENTAÇÃO SANITÁRIA</v>
      </c>
      <c r="E67" s="15" t="str">
        <f>VLOOKUP(B67,S!$A:$G,4,FALSE)</f>
        <v>M</v>
      </c>
      <c r="F67" s="15"/>
      <c r="G67" s="78">
        <f>I71</f>
        <v>98.79</v>
      </c>
      <c r="H67" s="79"/>
      <c r="I67" s="78"/>
      <c r="J67" s="79"/>
      <c r="K67" s="16">
        <f>VLOOKUP(B67,S!A:G,5,FALSE)</f>
        <v>0</v>
      </c>
      <c r="L67" s="15" t="s">
        <v>1003</v>
      </c>
    </row>
    <row r="68" spans="1:18" x14ac:dyDescent="0.3">
      <c r="A68" s="23" t="s">
        <v>1004</v>
      </c>
      <c r="B68" s="23">
        <v>88309</v>
      </c>
      <c r="C68" s="23" t="str">
        <f>VLOOKUP(B68,IF(A68="COMPOSICAO",S!$A:$E,I!$A:$E),2,FALSE)</f>
        <v>SINAPI</v>
      </c>
      <c r="D68" s="24" t="str">
        <f>VLOOKUP(B68,IF(A68="COMPOSICAO",S!$A:$E,I!$A:$E),3,FALSE)</f>
        <v>PEDREIRO COM ENCARGOS COMPLEMENTARES</v>
      </c>
      <c r="E68" s="23" t="str">
        <f>VLOOKUP(B68,IF(A68="COMPOSICAO",S!$A:$E,I!$A:$E),4,FALSE)</f>
        <v>H</v>
      </c>
      <c r="F68" s="23">
        <f>0.22/pcf</f>
        <v>0.22</v>
      </c>
      <c r="G68" s="76">
        <f>IF(A68="COMPOSICAO",VLOOKUP("TOTAL SEM BDI - "&amp;B68,CPUAUX1!$A:$J,9,FALSE),VLOOKUP(B68,I!$A:$E,5,FALSE))</f>
        <v>27.39</v>
      </c>
      <c r="H68" s="77"/>
      <c r="I68" s="76">
        <f>TRUNC(F68*G68,2)</f>
        <v>6.02</v>
      </c>
      <c r="J68" s="77"/>
      <c r="M68" s="23">
        <f>B68</f>
        <v>88309</v>
      </c>
      <c r="N68" s="5">
        <f>SUMIF(ORCAMENTO!B:B,B67,ORCAMENTO!F:F)</f>
        <v>60</v>
      </c>
      <c r="O68" s="23">
        <f>F68*N68</f>
        <v>13.2</v>
      </c>
      <c r="Q68" s="23">
        <f ca="1">IFERROR(SUMIF(CO!B:B,B67,OFFSET(CO!F:F,0,(4+MATCH(ETAPA,CO!$J$6:$V$6,0)))),0)</f>
        <v>20</v>
      </c>
      <c r="R68" s="23">
        <f ca="1">F68*Q68</f>
        <v>4.4000000000000004</v>
      </c>
    </row>
    <row r="69" spans="1:18" ht="30" customHeight="1" x14ac:dyDescent="0.3">
      <c r="A69" s="23" t="s">
        <v>1004</v>
      </c>
      <c r="B69" s="23">
        <v>88242</v>
      </c>
      <c r="C69" s="23" t="str">
        <f>VLOOKUP(B69,IF(A69="COMPOSICAO",S!$A:$E,I!$A:$E),2,FALSE)</f>
        <v>SINAPI</v>
      </c>
      <c r="D69" s="24" t="str">
        <f>VLOOKUP(B69,IF(A69="COMPOSICAO",S!$A:$E,I!$A:$E),3,FALSE)</f>
        <v>AJUDANTE DE PEDREIRO COM ENCARGOS COMPLEMENTARES</v>
      </c>
      <c r="E69" s="23" t="str">
        <f>VLOOKUP(B69,IF(A69="COMPOSICAO",S!$A:$E,I!$A:$E),4,FALSE)</f>
        <v>H</v>
      </c>
      <c r="F69" s="23">
        <f>0.22/pcf</f>
        <v>0.22</v>
      </c>
      <c r="G69" s="76">
        <f>IF(A69="COMPOSICAO",VLOOKUP("TOTAL SEM BDI - "&amp;B69,CPUAUX1!$A:$J,9,FALSE),VLOOKUP(B69,I!$A:$E,5,FALSE))</f>
        <v>22.42</v>
      </c>
      <c r="H69" s="77"/>
      <c r="I69" s="76">
        <f>TRUNC(F69*G69,2)</f>
        <v>4.93</v>
      </c>
      <c r="J69" s="77"/>
      <c r="M69" s="23">
        <f>B69</f>
        <v>88242</v>
      </c>
      <c r="N69" s="5">
        <f>SUMIF(ORCAMENTO!B:B,B67,ORCAMENTO!F:F)</f>
        <v>60</v>
      </c>
      <c r="O69" s="23">
        <f>F69*N69</f>
        <v>13.2</v>
      </c>
      <c r="Q69" s="23">
        <f ca="1">IFERROR(SUMIF(CO!B:B,B67,OFFSET(CO!F:F,0,(4+MATCH(ETAPA,CO!$J$6:$V$6,0)))),0)</f>
        <v>20</v>
      </c>
      <c r="R69" s="23">
        <f ca="1">F69*Q69</f>
        <v>4.4000000000000004</v>
      </c>
    </row>
    <row r="70" spans="1:18" ht="45" customHeight="1" x14ac:dyDescent="0.3">
      <c r="A70" s="23" t="s">
        <v>1004</v>
      </c>
      <c r="B70" s="23">
        <v>88628</v>
      </c>
      <c r="C70" s="23" t="str">
        <f>VLOOKUP(B70,IF(A70="COMPOSICAO",S!$A:$E,I!$A:$E),2,FALSE)</f>
        <v>SINAPI</v>
      </c>
      <c r="D70" s="24" t="str">
        <f>VLOOKUP(B70,IF(A70="COMPOSICAO",S!$A:$E,I!$A:$E),3,FALSE)</f>
        <v>ARGAMASSA TRAÇO 1:3 (EM VOLUME DE CIMENTO E AREIA MÉDIA ÚMIDA), PREPARO MECÂNICO COM BETONEIRA 400 L. AF_08/2019</v>
      </c>
      <c r="E70" s="23" t="str">
        <f>VLOOKUP(B70,IF(A70="COMPOSICAO",S!$A:$E,I!$A:$E),4,FALSE)</f>
        <v>M3</v>
      </c>
      <c r="F70" s="23">
        <v>0.13</v>
      </c>
      <c r="G70" s="76">
        <f>IF(A70="COMPOSICAO",VLOOKUP("TOTAL SEM BDI - "&amp;B70,CPUAUX1!$A:$J,9,FALSE),VLOOKUP(B70,I!$A:$E,5,FALSE))</f>
        <v>675.76</v>
      </c>
      <c r="H70" s="77"/>
      <c r="I70" s="76">
        <f>TRUNC(F70*G70,2)</f>
        <v>87.84</v>
      </c>
      <c r="J70" s="77"/>
      <c r="M70" s="23">
        <f>B70</f>
        <v>88628</v>
      </c>
      <c r="N70" s="5">
        <f>SUMIF(ORCAMENTO!B:B,B67,ORCAMENTO!F:F)</f>
        <v>60</v>
      </c>
      <c r="O70" s="23">
        <f>F70*N70</f>
        <v>7.8000000000000007</v>
      </c>
      <c r="Q70" s="23">
        <f ca="1">IFERROR(SUMIF(CO!B:B,B67,OFFSET(CO!F:F,0,(4+MATCH(ETAPA,CO!$J$6:$V$6,0)))),0)</f>
        <v>20</v>
      </c>
      <c r="R70" s="23">
        <f ca="1">F70*Q70</f>
        <v>2.6</v>
      </c>
    </row>
    <row r="71" spans="1:18" x14ac:dyDescent="0.3">
      <c r="A71" s="73" t="str">
        <f>"TOTAL SEM BDI - "&amp;B67</f>
        <v>TOTAL SEM BDI - COMPOS10</v>
      </c>
      <c r="B71" s="74"/>
      <c r="C71" s="74"/>
      <c r="D71" s="74"/>
      <c r="E71" s="74"/>
      <c r="F71" s="74"/>
      <c r="G71" s="74"/>
      <c r="H71" s="75"/>
      <c r="I71" s="76">
        <f>SUM(I67:I70)</f>
        <v>98.79</v>
      </c>
      <c r="J71" s="77"/>
    </row>
    <row r="72" spans="1:18" x14ac:dyDescent="0.3">
      <c r="A72" s="73" t="str">
        <f>"TAXA DE BDI ("&amp;TEXT(BDI,"00,00")&amp;" %)"</f>
        <v>TAXA DE BDI (22,33 %)</v>
      </c>
      <c r="B72" s="74"/>
      <c r="C72" s="74"/>
      <c r="D72" s="74"/>
      <c r="E72" s="74"/>
      <c r="F72" s="74"/>
      <c r="G72" s="74"/>
      <c r="H72" s="75"/>
      <c r="I72" s="76">
        <f>ROUND(I71*(BDI/100),2)</f>
        <v>22.06</v>
      </c>
      <c r="J72" s="77"/>
    </row>
    <row r="73" spans="1:18" x14ac:dyDescent="0.3">
      <c r="A73" s="73" t="str">
        <f>"TOTAL COM BDI - "&amp;B67</f>
        <v>TOTAL COM BDI - COMPOS10</v>
      </c>
      <c r="B73" s="74"/>
      <c r="C73" s="74"/>
      <c r="D73" s="74"/>
      <c r="E73" s="74"/>
      <c r="F73" s="74"/>
      <c r="G73" s="74"/>
      <c r="H73" s="75"/>
      <c r="I73" s="76">
        <f>SUM(I71:I72)</f>
        <v>120.85000000000001</v>
      </c>
      <c r="J73" s="77"/>
    </row>
    <row r="75" spans="1:18" x14ac:dyDescent="0.3">
      <c r="A75" s="4" t="s">
        <v>1000</v>
      </c>
      <c r="B75" s="4" t="s">
        <v>170</v>
      </c>
      <c r="C75" s="4" t="s">
        <v>171</v>
      </c>
      <c r="D75" s="4" t="s">
        <v>18</v>
      </c>
      <c r="E75" s="4" t="s">
        <v>172</v>
      </c>
      <c r="F75" s="4" t="s">
        <v>507</v>
      </c>
      <c r="G75" s="45" t="s">
        <v>1001</v>
      </c>
      <c r="H75" s="46"/>
      <c r="I75" s="45" t="s">
        <v>12</v>
      </c>
      <c r="J75" s="46"/>
    </row>
    <row r="76" spans="1:18" ht="30" customHeight="1" x14ac:dyDescent="0.3">
      <c r="A76" s="15" t="s">
        <v>1010</v>
      </c>
      <c r="B76" s="15" t="s">
        <v>537</v>
      </c>
      <c r="C76" s="15" t="str">
        <f>VLOOKUP(B76,S!$A:$G,2,FALSE)</f>
        <v>PRÓPRIA</v>
      </c>
      <c r="D76" s="22" t="str">
        <f>VLOOKUP(B76,S!$A:$G,3,FALSE)</f>
        <v>LAJE DE PROTEÇÃO EM CONCRETO (1,0 M X 1,0 M X 0,15 M)</v>
      </c>
      <c r="E76" s="15" t="str">
        <f>VLOOKUP(B76,S!$A:$G,4,FALSE)</f>
        <v>M³</v>
      </c>
      <c r="F76" s="15"/>
      <c r="G76" s="78">
        <f>I81</f>
        <v>1246.81</v>
      </c>
      <c r="H76" s="79"/>
      <c r="I76" s="78"/>
      <c r="J76" s="79"/>
      <c r="K76" s="16">
        <f>VLOOKUP(B76,S!A:G,5,FALSE)</f>
        <v>0</v>
      </c>
      <c r="L76" s="15" t="s">
        <v>1003</v>
      </c>
    </row>
    <row r="77" spans="1:18" x14ac:dyDescent="0.3">
      <c r="A77" s="23" t="s">
        <v>1004</v>
      </c>
      <c r="B77" s="23">
        <v>88309</v>
      </c>
      <c r="C77" s="23" t="str">
        <f>VLOOKUP(B77,IF(A77="COMPOSICAO",S!$A:$E,I!$A:$E),2,FALSE)</f>
        <v>SINAPI</v>
      </c>
      <c r="D77" s="24" t="str">
        <f>VLOOKUP(B77,IF(A77="COMPOSICAO",S!$A:$E,I!$A:$E),3,FALSE)</f>
        <v>PEDREIRO COM ENCARGOS COMPLEMENTARES</v>
      </c>
      <c r="E77" s="23" t="str">
        <f>VLOOKUP(B77,IF(A77="COMPOSICAO",S!$A:$E,I!$A:$E),4,FALSE)</f>
        <v>H</v>
      </c>
      <c r="F77" s="23">
        <f>3.16/pcf</f>
        <v>3.16</v>
      </c>
      <c r="G77" s="76">
        <f>IF(A77="COMPOSICAO",VLOOKUP("TOTAL SEM BDI - "&amp;B77,CPUAUX1!$A:$J,9,FALSE),VLOOKUP(B77,I!$A:$E,5,FALSE))</f>
        <v>27.39</v>
      </c>
      <c r="H77" s="77"/>
      <c r="I77" s="76">
        <f>TRUNC(F77*G77,2)</f>
        <v>86.55</v>
      </c>
      <c r="J77" s="77"/>
      <c r="M77" s="23">
        <f>B77</f>
        <v>88309</v>
      </c>
      <c r="N77" s="5">
        <f>SUMIF(ORCAMENTO!B:B,B76,ORCAMENTO!F:F)</f>
        <v>0.9</v>
      </c>
      <c r="O77" s="23">
        <f>F77*N77</f>
        <v>2.8440000000000003</v>
      </c>
      <c r="Q77" s="23">
        <f ca="1">IFERROR(SUMIF(CO!B:B,B76,OFFSET(CO!F:F,0,(4+MATCH(ETAPA,CO!$J$6:$V$6,0)))),0)</f>
        <v>0.3</v>
      </c>
      <c r="R77" s="23">
        <f ca="1">F77*Q77</f>
        <v>0.94799999999999995</v>
      </c>
    </row>
    <row r="78" spans="1:18" ht="30" customHeight="1" x14ac:dyDescent="0.3">
      <c r="A78" s="23" t="s">
        <v>1004</v>
      </c>
      <c r="B78" s="23">
        <v>88242</v>
      </c>
      <c r="C78" s="23" t="str">
        <f>VLOOKUP(B78,IF(A78="COMPOSICAO",S!$A:$E,I!$A:$E),2,FALSE)</f>
        <v>SINAPI</v>
      </c>
      <c r="D78" s="24" t="str">
        <f>VLOOKUP(B78,IF(A78="COMPOSICAO",S!$A:$E,I!$A:$E),3,FALSE)</f>
        <v>AJUDANTE DE PEDREIRO COM ENCARGOS COMPLEMENTARES</v>
      </c>
      <c r="E78" s="23" t="str">
        <f>VLOOKUP(B78,IF(A78="COMPOSICAO",S!$A:$E,I!$A:$E),4,FALSE)</f>
        <v>H</v>
      </c>
      <c r="F78" s="23">
        <f>1.8336/pcf</f>
        <v>1.8335999999999999</v>
      </c>
      <c r="G78" s="76">
        <f>IF(A78="COMPOSICAO",VLOOKUP("TOTAL SEM BDI - "&amp;B78,CPUAUX1!$A:$J,9,FALSE),VLOOKUP(B78,I!$A:$E,5,FALSE))</f>
        <v>22.42</v>
      </c>
      <c r="H78" s="77"/>
      <c r="I78" s="76">
        <f>TRUNC(F78*G78,2)</f>
        <v>41.1</v>
      </c>
      <c r="J78" s="77"/>
      <c r="M78" s="23">
        <f>B78</f>
        <v>88242</v>
      </c>
      <c r="N78" s="5">
        <f>SUMIF(ORCAMENTO!B:B,B76,ORCAMENTO!F:F)</f>
        <v>0.9</v>
      </c>
      <c r="O78" s="23">
        <f>F78*N78</f>
        <v>1.6502399999999999</v>
      </c>
      <c r="Q78" s="23">
        <f ca="1">IFERROR(SUMIF(CO!B:B,B76,OFFSET(CO!F:F,0,(4+MATCH(ETAPA,CO!$J$6:$V$6,0)))),0)</f>
        <v>0.3</v>
      </c>
      <c r="R78" s="23">
        <f ca="1">F78*Q78</f>
        <v>0.5500799999999999</v>
      </c>
    </row>
    <row r="79" spans="1:18" ht="60" customHeight="1" x14ac:dyDescent="0.3">
      <c r="A79" s="23" t="s">
        <v>1004</v>
      </c>
      <c r="B79" s="23">
        <v>94964</v>
      </c>
      <c r="C79" s="23" t="str">
        <f>VLOOKUP(B79,IF(A79="COMPOSICAO",S!$A:$E,I!$A:$E),2,FALSE)</f>
        <v>SINAPI</v>
      </c>
      <c r="D79" s="24" t="str">
        <f>VLOOKUP(B79,IF(A79="COMPOSICAO",S!$A:$E,I!$A:$E),3,FALSE)</f>
        <v>CONCRETO FCK = 20MPA, TRAÇO 1:2,7:3 (EM MASSA SECA DE CIMENTO/ AREIA MÉDIA/ BRITA 1) - PREPARO MECÂNICO COM BETONEIRA 400 L. AF_05/2021</v>
      </c>
      <c r="E79" s="23" t="str">
        <f>VLOOKUP(B79,IF(A79="COMPOSICAO",S!$A:$E,I!$A:$E),4,FALSE)</f>
        <v>M3</v>
      </c>
      <c r="F79" s="23">
        <v>1</v>
      </c>
      <c r="G79" s="76">
        <f>IF(A79="COMPOSICAO",VLOOKUP("TOTAL SEM BDI - "&amp;B79,CPUAUX1!$A:$J,9,FALSE),VLOOKUP(B79,I!$A:$E,5,FALSE))</f>
        <v>629.44000000000005</v>
      </c>
      <c r="H79" s="77"/>
      <c r="I79" s="76">
        <f>TRUNC(F79*G79,2)</f>
        <v>629.44000000000005</v>
      </c>
      <c r="J79" s="77"/>
      <c r="M79" s="23">
        <f>B79</f>
        <v>94964</v>
      </c>
      <c r="N79" s="5">
        <f>SUMIF(ORCAMENTO!B:B,B76,ORCAMENTO!F:F)</f>
        <v>0.9</v>
      </c>
      <c r="O79" s="23">
        <f>F79*N79</f>
        <v>0.9</v>
      </c>
      <c r="Q79" s="23">
        <f ca="1">IFERROR(SUMIF(CO!B:B,B76,OFFSET(CO!F:F,0,(4+MATCH(ETAPA,CO!$J$6:$V$6,0)))),0)</f>
        <v>0.3</v>
      </c>
      <c r="R79" s="23">
        <f ca="1">F79*Q79</f>
        <v>0.3</v>
      </c>
    </row>
    <row r="80" spans="1:18" ht="60" customHeight="1" x14ac:dyDescent="0.3">
      <c r="A80" s="23" t="s">
        <v>1004</v>
      </c>
      <c r="B80" s="23">
        <v>97086</v>
      </c>
      <c r="C80" s="23" t="str">
        <f>VLOOKUP(B80,IF(A80="COMPOSICAO",S!$A:$E,I!$A:$E),2,FALSE)</f>
        <v>SINAPI</v>
      </c>
      <c r="D80" s="24" t="str">
        <f>VLOOKUP(B80,IF(A80="COMPOSICAO",S!$A:$E,I!$A:$E),3,FALSE)</f>
        <v>FABRICAÇÃO, MONTAGEM E DESMONTAGEM DE FORMA PARA RADIER, PISO DE CONCRETO OU LAJE SOBRE SOLO, EM MADEIRA SERRADA, 4 UTILIZAÇÕES. AF_09/2021</v>
      </c>
      <c r="E80" s="23" t="str">
        <f>VLOOKUP(B80,IF(A80="COMPOSICAO",S!$A:$E,I!$A:$E),4,FALSE)</f>
        <v>M2</v>
      </c>
      <c r="F80" s="23">
        <v>4</v>
      </c>
      <c r="G80" s="76">
        <f>IF(A80="COMPOSICAO",VLOOKUP("TOTAL SEM BDI - "&amp;B80,CPUAUX1!$A:$J,9,FALSE),VLOOKUP(B80,I!$A:$E,5,FALSE))</f>
        <v>122.43</v>
      </c>
      <c r="H80" s="77"/>
      <c r="I80" s="76">
        <f>TRUNC(F80*G80,2)</f>
        <v>489.72</v>
      </c>
      <c r="J80" s="77"/>
      <c r="M80" s="23">
        <f>B80</f>
        <v>97086</v>
      </c>
      <c r="N80" s="5">
        <f>SUMIF(ORCAMENTO!B:B,B76,ORCAMENTO!F:F)</f>
        <v>0.9</v>
      </c>
      <c r="O80" s="23">
        <f>F80*N80</f>
        <v>3.6</v>
      </c>
      <c r="Q80" s="23">
        <f ca="1">IFERROR(SUMIF(CO!B:B,B76,OFFSET(CO!F:F,0,(4+MATCH(ETAPA,CO!$J$6:$V$6,0)))),0)</f>
        <v>0.3</v>
      </c>
      <c r="R80" s="23">
        <f ca="1">F80*Q80</f>
        <v>1.2</v>
      </c>
    </row>
    <row r="81" spans="1:18" x14ac:dyDescent="0.3">
      <c r="A81" s="73" t="str">
        <f>"TOTAL SEM BDI - "&amp;B76</f>
        <v>TOTAL SEM BDI - COMPOS11</v>
      </c>
      <c r="B81" s="74"/>
      <c r="C81" s="74"/>
      <c r="D81" s="74"/>
      <c r="E81" s="74"/>
      <c r="F81" s="74"/>
      <c r="G81" s="74"/>
      <c r="H81" s="75"/>
      <c r="I81" s="76">
        <f>SUM(I76:I80)</f>
        <v>1246.81</v>
      </c>
      <c r="J81" s="77"/>
    </row>
    <row r="82" spans="1:18" x14ac:dyDescent="0.3">
      <c r="A82" s="73" t="str">
        <f>"TAXA DE BDI ("&amp;TEXT(BDI,"00,00")&amp;" %)"</f>
        <v>TAXA DE BDI (22,33 %)</v>
      </c>
      <c r="B82" s="74"/>
      <c r="C82" s="74"/>
      <c r="D82" s="74"/>
      <c r="E82" s="74"/>
      <c r="F82" s="74"/>
      <c r="G82" s="74"/>
      <c r="H82" s="75"/>
      <c r="I82" s="76">
        <f>ROUND(I81*(BDI/100),2)</f>
        <v>278.41000000000003</v>
      </c>
      <c r="J82" s="77"/>
    </row>
    <row r="83" spans="1:18" x14ac:dyDescent="0.3">
      <c r="A83" s="73" t="str">
        <f>"TOTAL COM BDI - "&amp;B76</f>
        <v>TOTAL COM BDI - COMPOS11</v>
      </c>
      <c r="B83" s="74"/>
      <c r="C83" s="74"/>
      <c r="D83" s="74"/>
      <c r="E83" s="74"/>
      <c r="F83" s="74"/>
      <c r="G83" s="74"/>
      <c r="H83" s="75"/>
      <c r="I83" s="76">
        <f>SUM(I81:I82)</f>
        <v>1525.22</v>
      </c>
      <c r="J83" s="77"/>
    </row>
    <row r="85" spans="1:18" x14ac:dyDescent="0.3">
      <c r="A85" s="4" t="s">
        <v>1000</v>
      </c>
      <c r="B85" s="4" t="s">
        <v>170</v>
      </c>
      <c r="C85" s="4" t="s">
        <v>171</v>
      </c>
      <c r="D85" s="4" t="s">
        <v>18</v>
      </c>
      <c r="E85" s="4" t="s">
        <v>172</v>
      </c>
      <c r="F85" s="4" t="s">
        <v>507</v>
      </c>
      <c r="G85" s="45" t="s">
        <v>1001</v>
      </c>
      <c r="H85" s="46"/>
      <c r="I85" s="45" t="s">
        <v>12</v>
      </c>
      <c r="J85" s="46"/>
    </row>
    <row r="86" spans="1:18" x14ac:dyDescent="0.3">
      <c r="A86" s="15" t="s">
        <v>1010</v>
      </c>
      <c r="B86" s="15" t="s">
        <v>539</v>
      </c>
      <c r="C86" s="15" t="str">
        <f>VLOOKUP(B86,S!$A:$G,2,FALSE)</f>
        <v>PRÓPRIA</v>
      </c>
      <c r="D86" s="22" t="str">
        <f>VLOOKUP(B86,S!$A:$G,3,FALSE)</f>
        <v>DESENVOLVIMENTO COM BOMBA SUBMERSA</v>
      </c>
      <c r="E86" s="15" t="str">
        <f>VLOOKUP(B86,S!$A:$G,4,FALSE)</f>
        <v>H</v>
      </c>
      <c r="F86" s="15"/>
      <c r="G86" s="78">
        <f>I91</f>
        <v>515.70000000000005</v>
      </c>
      <c r="H86" s="79"/>
      <c r="I86" s="78"/>
      <c r="J86" s="79"/>
      <c r="K86" s="16">
        <f>VLOOKUP(B86,S!A:G,5,FALSE)</f>
        <v>0</v>
      </c>
      <c r="L86" s="15" t="s">
        <v>1003</v>
      </c>
    </row>
    <row r="87" spans="1:18" ht="30" customHeight="1" x14ac:dyDescent="0.3">
      <c r="A87" s="23" t="s">
        <v>1004</v>
      </c>
      <c r="B87" s="23">
        <v>88297</v>
      </c>
      <c r="C87" s="23" t="str">
        <f>VLOOKUP(B87,IF(A87="COMPOSICAO",S!$A:$E,I!$A:$E),2,FALSE)</f>
        <v>SINAPI</v>
      </c>
      <c r="D87" s="24" t="str">
        <f>VLOOKUP(B87,IF(A87="COMPOSICAO",S!$A:$E,I!$A:$E),3,FALSE)</f>
        <v>OPERADOR DE MÁQUINAS E EQUIPAMENTOS COM ENCARGOS COMPLEMENTARES</v>
      </c>
      <c r="E87" s="23" t="str">
        <f>VLOOKUP(B87,IF(A87="COMPOSICAO",S!$A:$E,I!$A:$E),4,FALSE)</f>
        <v>H</v>
      </c>
      <c r="F87" s="23">
        <v>1</v>
      </c>
      <c r="G87" s="76">
        <f>IF(A87="COMPOSICAO",VLOOKUP("TOTAL SEM BDI - "&amp;B87,CPUAUX1!$A:$J,9,FALSE),VLOOKUP(B87,I!$A:$E,5,FALSE))</f>
        <v>27.16</v>
      </c>
      <c r="H87" s="77"/>
      <c r="I87" s="76">
        <f>TRUNC(F87*G87,2)</f>
        <v>27.16</v>
      </c>
      <c r="J87" s="77"/>
      <c r="M87" s="23">
        <f>B87</f>
        <v>88297</v>
      </c>
      <c r="N87" s="5">
        <f>SUMIF(ORCAMENTO!B:B,B86,ORCAMENTO!F:F)</f>
        <v>36</v>
      </c>
      <c r="O87" s="23">
        <f>F87*N87</f>
        <v>36</v>
      </c>
      <c r="Q87" s="23">
        <f ca="1">IFERROR(SUMIF(CO!B:B,B86,OFFSET(CO!F:F,0,(4+MATCH(ETAPA,CO!$J$6:$V$6,0)))),0)</f>
        <v>12</v>
      </c>
      <c r="R87" s="23">
        <f ca="1">F87*Q87</f>
        <v>12</v>
      </c>
    </row>
    <row r="88" spans="1:18" ht="30" customHeight="1" x14ac:dyDescent="0.3">
      <c r="A88" s="23" t="s">
        <v>1004</v>
      </c>
      <c r="B88" s="23">
        <v>88250</v>
      </c>
      <c r="C88" s="23" t="str">
        <f>VLOOKUP(B88,IF(A88="COMPOSICAO",S!$A:$E,I!$A:$E),2,FALSE)</f>
        <v>SINAPI</v>
      </c>
      <c r="D88" s="24" t="str">
        <f>VLOOKUP(B88,IF(A88="COMPOSICAO",S!$A:$E,I!$A:$E),3,FALSE)</f>
        <v>AUXILIAR DE MECÂNICO COM ENCARGOS COMPLEMENTARES</v>
      </c>
      <c r="E88" s="23" t="str">
        <f>VLOOKUP(B88,IF(A88="COMPOSICAO",S!$A:$E,I!$A:$E),4,FALSE)</f>
        <v>H</v>
      </c>
      <c r="F88" s="23">
        <v>2</v>
      </c>
      <c r="G88" s="76">
        <f>IF(A88="COMPOSICAO",VLOOKUP("TOTAL SEM BDI - "&amp;B88,CPUAUX1!$A:$J,9,FALSE),VLOOKUP(B88,I!$A:$E,5,FALSE))</f>
        <v>21.18</v>
      </c>
      <c r="H88" s="77"/>
      <c r="I88" s="76">
        <f>TRUNC(F88*G88,2)</f>
        <v>42.36</v>
      </c>
      <c r="J88" s="77"/>
      <c r="M88" s="23">
        <f>B88</f>
        <v>88250</v>
      </c>
      <c r="N88" s="5">
        <f>SUMIF(ORCAMENTO!B:B,B86,ORCAMENTO!F:F)</f>
        <v>36</v>
      </c>
      <c r="O88" s="23">
        <f>F88*N88</f>
        <v>72</v>
      </c>
      <c r="Q88" s="23">
        <f ca="1">IFERROR(SUMIF(CO!B:B,B86,OFFSET(CO!F:F,0,(4+MATCH(ETAPA,CO!$J$6:$V$6,0)))),0)</f>
        <v>12</v>
      </c>
      <c r="R88" s="23">
        <f ca="1">F88*Q88</f>
        <v>24</v>
      </c>
    </row>
    <row r="89" spans="1:18" ht="30" customHeight="1" x14ac:dyDescent="0.3">
      <c r="A89" s="23" t="s">
        <v>1005</v>
      </c>
      <c r="B89" s="23">
        <v>3346</v>
      </c>
      <c r="C89" s="23" t="str">
        <f>VLOOKUP(B89,IF(A89="COMPOSICAO",S!$A:$E,I!$A:$E),2,FALSE)</f>
        <v>SINAPI</v>
      </c>
      <c r="D89" s="24" t="str">
        <f>VLOOKUP(B89,IF(A89="COMPOSICAO",S!$A:$E,I!$A:$E),3,FALSE)</f>
        <v>LOCACAO DE GRUPO GERADOR *80 A 125* KVA, MOTOR DIESEL, REBOCAVEL, ACIONAMENTO MANUAL</v>
      </c>
      <c r="E89" s="23" t="str">
        <f>VLOOKUP(B89,IF(A89="COMPOSICAO",S!$A:$E,I!$A:$E),4,FALSE)</f>
        <v>H</v>
      </c>
      <c r="F89" s="23">
        <v>1</v>
      </c>
      <c r="G89" s="76">
        <f>IF(A89="COMPOSICAO",VLOOKUP("TOTAL SEM BDI - "&amp;B89,CPUAUX1!$A:$J,9,FALSE),VLOOKUP(B89,I!$A:$E,5,FALSE))</f>
        <v>25.68</v>
      </c>
      <c r="H89" s="77"/>
      <c r="I89" s="76">
        <f>TRUNC(F89*G89,2)</f>
        <v>25.68</v>
      </c>
      <c r="J89" s="77"/>
      <c r="M89" s="23">
        <f>B89</f>
        <v>3346</v>
      </c>
      <c r="N89" s="5">
        <f>SUMIF(ORCAMENTO!B:B,B86,ORCAMENTO!F:F)</f>
        <v>36</v>
      </c>
      <c r="O89" s="23">
        <f>F89*N89</f>
        <v>36</v>
      </c>
      <c r="Q89" s="23">
        <f ca="1">IFERROR(SUMIF(CO!B:B,B86,OFFSET(CO!F:F,0,(4+MATCH(ETAPA,CO!$J$6:$V$6,0)))),0)</f>
        <v>12</v>
      </c>
      <c r="R89" s="23">
        <f ca="1">F89*Q89</f>
        <v>12</v>
      </c>
    </row>
    <row r="90" spans="1:18" ht="45" customHeight="1" x14ac:dyDescent="0.3">
      <c r="A90" s="23" t="s">
        <v>1011</v>
      </c>
      <c r="B90" s="23" t="s">
        <v>1018</v>
      </c>
      <c r="C90" s="23" t="str">
        <f>VLOOKUP(B90,IF(A90="COMPOSICAO",S!$A:$E,I!$A:$E),2,FALSE)</f>
        <v>PRÓPRIA</v>
      </c>
      <c r="D90" s="24" t="str">
        <f>VLOOKUP(B90,IF(A90="COMPOSICAO",S!$A:$E,I!$A:$E),3,FALSE)</f>
        <v>EQUIPAMENTOS PARA PERFURAÇÃO PELO ''SISTEMA ROTOPNEUMÁTICO'', COMPOSTO POR MÁQUINA ROTOPNEUMÁTICO, DIESEL</v>
      </c>
      <c r="E90" s="23" t="str">
        <f>VLOOKUP(B90,IF(A90="COMPOSICAO",S!$A:$E,I!$A:$E),4,FALSE)</f>
        <v>H</v>
      </c>
      <c r="F90" s="23">
        <v>1</v>
      </c>
      <c r="G90" s="76">
        <f>IF(A90="COMPOSICAO",VLOOKUP("TOTAL SEM BDI - "&amp;B90,CPUAUX1!$A:$J,9,FALSE),VLOOKUP(B90,I!$A:$E,5,FALSE))</f>
        <v>420.5</v>
      </c>
      <c r="H90" s="77"/>
      <c r="I90" s="76">
        <f>TRUNC(F90*G90,2)</f>
        <v>420.5</v>
      </c>
      <c r="J90" s="77"/>
      <c r="M90" s="23" t="str">
        <f>B90</f>
        <v>CAESB8</v>
      </c>
      <c r="N90" s="5">
        <f>SUMIF(ORCAMENTO!B:B,B86,ORCAMENTO!F:F)</f>
        <v>36</v>
      </c>
      <c r="O90" s="23">
        <f>F90*N90</f>
        <v>36</v>
      </c>
      <c r="Q90" s="23">
        <f ca="1">IFERROR(SUMIF(CO!B:B,B86,OFFSET(CO!F:F,0,(4+MATCH(ETAPA,CO!$J$6:$V$6,0)))),0)</f>
        <v>12</v>
      </c>
      <c r="R90" s="23">
        <f ca="1">F90*Q90</f>
        <v>12</v>
      </c>
    </row>
    <row r="91" spans="1:18" x14ac:dyDescent="0.3">
      <c r="A91" s="73" t="str">
        <f>"TOTAL SEM BDI - "&amp;B86</f>
        <v>TOTAL SEM BDI - COMPOS12</v>
      </c>
      <c r="B91" s="74"/>
      <c r="C91" s="74"/>
      <c r="D91" s="74"/>
      <c r="E91" s="74"/>
      <c r="F91" s="74"/>
      <c r="G91" s="74"/>
      <c r="H91" s="75"/>
      <c r="I91" s="76">
        <f>SUM(I86:I90)</f>
        <v>515.70000000000005</v>
      </c>
      <c r="J91" s="77"/>
    </row>
    <row r="92" spans="1:18" x14ac:dyDescent="0.3">
      <c r="A92" s="73" t="str">
        <f>"TAXA DE BDI ("&amp;TEXT(BDI,"00,00")&amp;" %)"</f>
        <v>TAXA DE BDI (22,33 %)</v>
      </c>
      <c r="B92" s="74"/>
      <c r="C92" s="74"/>
      <c r="D92" s="74"/>
      <c r="E92" s="74"/>
      <c r="F92" s="74"/>
      <c r="G92" s="74"/>
      <c r="H92" s="75"/>
      <c r="I92" s="76">
        <f>ROUND(I91*(BDI/100),2)</f>
        <v>115.16</v>
      </c>
      <c r="J92" s="77"/>
    </row>
    <row r="93" spans="1:18" x14ac:dyDescent="0.3">
      <c r="A93" s="73" t="str">
        <f>"TOTAL COM BDI - "&amp;B86</f>
        <v>TOTAL COM BDI - COMPOS12</v>
      </c>
      <c r="B93" s="74"/>
      <c r="C93" s="74"/>
      <c r="D93" s="74"/>
      <c r="E93" s="74"/>
      <c r="F93" s="74"/>
      <c r="G93" s="74"/>
      <c r="H93" s="75"/>
      <c r="I93" s="76">
        <f>SUM(I91:I92)</f>
        <v>630.86</v>
      </c>
      <c r="J93" s="77"/>
    </row>
    <row r="95" spans="1:18" x14ac:dyDescent="0.3">
      <c r="A95" s="4" t="s">
        <v>1000</v>
      </c>
      <c r="B95" s="4" t="s">
        <v>170</v>
      </c>
      <c r="C95" s="4" t="s">
        <v>171</v>
      </c>
      <c r="D95" s="4" t="s">
        <v>18</v>
      </c>
      <c r="E95" s="4" t="s">
        <v>172</v>
      </c>
      <c r="F95" s="4" t="s">
        <v>507</v>
      </c>
      <c r="G95" s="45" t="s">
        <v>1001</v>
      </c>
      <c r="H95" s="46"/>
      <c r="I95" s="45" t="s">
        <v>12</v>
      </c>
      <c r="J95" s="46"/>
    </row>
    <row r="96" spans="1:18" x14ac:dyDescent="0.3">
      <c r="A96" s="15" t="s">
        <v>1010</v>
      </c>
      <c r="B96" s="15" t="s">
        <v>541</v>
      </c>
      <c r="C96" s="15" t="str">
        <f>VLOOKUP(B96,S!$A:$G,2,FALSE)</f>
        <v>PRÓPRIA</v>
      </c>
      <c r="D96" s="22" t="str">
        <f>VLOOKUP(B96,S!$A:$G,3,FALSE)</f>
        <v>TESTE VAZÃO COM BOMBA SUBMERSA</v>
      </c>
      <c r="E96" s="15" t="str">
        <f>VLOOKUP(B96,S!$A:$G,4,FALSE)</f>
        <v>H</v>
      </c>
      <c r="F96" s="15"/>
      <c r="G96" s="78">
        <f>I102</f>
        <v>97.789999999999992</v>
      </c>
      <c r="H96" s="79"/>
      <c r="I96" s="78"/>
      <c r="J96" s="79"/>
      <c r="K96" s="16">
        <f>VLOOKUP(B96,S!A:G,5,FALSE)</f>
        <v>0</v>
      </c>
      <c r="L96" s="15" t="s">
        <v>1003</v>
      </c>
    </row>
    <row r="97" spans="1:18" ht="30" customHeight="1" x14ac:dyDescent="0.3">
      <c r="A97" s="23" t="s">
        <v>1004</v>
      </c>
      <c r="B97" s="23">
        <v>88297</v>
      </c>
      <c r="C97" s="23" t="str">
        <f>VLOOKUP(B97,IF(A97="COMPOSICAO",S!$A:$E,I!$A:$E),2,FALSE)</f>
        <v>SINAPI</v>
      </c>
      <c r="D97" s="24" t="str">
        <f>VLOOKUP(B97,IF(A97="COMPOSICAO",S!$A:$E,I!$A:$E),3,FALSE)</f>
        <v>OPERADOR DE MÁQUINAS E EQUIPAMENTOS COM ENCARGOS COMPLEMENTARES</v>
      </c>
      <c r="E97" s="23" t="str">
        <f>VLOOKUP(B97,IF(A97="COMPOSICAO",S!$A:$E,I!$A:$E),4,FALSE)</f>
        <v>H</v>
      </c>
      <c r="F97" s="23">
        <v>1</v>
      </c>
      <c r="G97" s="76">
        <f>IF(A97="COMPOSICAO",VLOOKUP("TOTAL SEM BDI - "&amp;B97,CPUAUX1!$A:$J,9,FALSE),VLOOKUP(B97,I!$A:$E,5,FALSE))</f>
        <v>27.16</v>
      </c>
      <c r="H97" s="77"/>
      <c r="I97" s="76">
        <f>TRUNC(F97*G97,2)</f>
        <v>27.16</v>
      </c>
      <c r="J97" s="77"/>
      <c r="M97" s="23">
        <f>B97</f>
        <v>88297</v>
      </c>
      <c r="N97" s="5">
        <f>SUMIF(ORCAMENTO!B:B,B96,ORCAMENTO!F:F)</f>
        <v>144</v>
      </c>
      <c r="O97" s="23">
        <f>F97*N97</f>
        <v>144</v>
      </c>
      <c r="Q97" s="23">
        <f ca="1">IFERROR(SUMIF(CO!B:B,B96,OFFSET(CO!F:F,0,(4+MATCH(ETAPA,CO!$J$6:$V$6,0)))),0)</f>
        <v>48</v>
      </c>
      <c r="R97" s="23">
        <f ca="1">F97*Q97</f>
        <v>48</v>
      </c>
    </row>
    <row r="98" spans="1:18" ht="30" customHeight="1" x14ac:dyDescent="0.3">
      <c r="A98" s="23" t="s">
        <v>1004</v>
      </c>
      <c r="B98" s="23">
        <v>88250</v>
      </c>
      <c r="C98" s="23" t="str">
        <f>VLOOKUP(B98,IF(A98="COMPOSICAO",S!$A:$E,I!$A:$E),2,FALSE)</f>
        <v>SINAPI</v>
      </c>
      <c r="D98" s="24" t="str">
        <f>VLOOKUP(B98,IF(A98="COMPOSICAO",S!$A:$E,I!$A:$E),3,FALSE)</f>
        <v>AUXILIAR DE MECÂNICO COM ENCARGOS COMPLEMENTARES</v>
      </c>
      <c r="E98" s="23" t="str">
        <f>VLOOKUP(B98,IF(A98="COMPOSICAO",S!$A:$E,I!$A:$E),4,FALSE)</f>
        <v>H</v>
      </c>
      <c r="F98" s="23">
        <v>2</v>
      </c>
      <c r="G98" s="76">
        <f>IF(A98="COMPOSICAO",VLOOKUP("TOTAL SEM BDI - "&amp;B98,CPUAUX1!$A:$J,9,FALSE),VLOOKUP(B98,I!$A:$E,5,FALSE))</f>
        <v>21.18</v>
      </c>
      <c r="H98" s="77"/>
      <c r="I98" s="76">
        <f>TRUNC(F98*G98,2)</f>
        <v>42.36</v>
      </c>
      <c r="J98" s="77"/>
      <c r="M98" s="23">
        <f>B98</f>
        <v>88250</v>
      </c>
      <c r="N98" s="5">
        <f>SUMIF(ORCAMENTO!B:B,B96,ORCAMENTO!F:F)</f>
        <v>144</v>
      </c>
      <c r="O98" s="23">
        <f>F98*N98</f>
        <v>288</v>
      </c>
      <c r="Q98" s="23">
        <f ca="1">IFERROR(SUMIF(CO!B:B,B96,OFFSET(CO!F:F,0,(4+MATCH(ETAPA,CO!$J$6:$V$6,0)))),0)</f>
        <v>48</v>
      </c>
      <c r="R98" s="23">
        <f ca="1">F98*Q98</f>
        <v>96</v>
      </c>
    </row>
    <row r="99" spans="1:18" ht="30" customHeight="1" x14ac:dyDescent="0.3">
      <c r="A99" s="23" t="s">
        <v>1005</v>
      </c>
      <c r="B99" s="23">
        <v>3346</v>
      </c>
      <c r="C99" s="23" t="str">
        <f>VLOOKUP(B99,IF(A99="COMPOSICAO",S!$A:$E,I!$A:$E),2,FALSE)</f>
        <v>SINAPI</v>
      </c>
      <c r="D99" s="24" t="str">
        <f>VLOOKUP(B99,IF(A99="COMPOSICAO",S!$A:$E,I!$A:$E),3,FALSE)</f>
        <v>LOCACAO DE GRUPO GERADOR *80 A 125* KVA, MOTOR DIESEL, REBOCAVEL, ACIONAMENTO MANUAL</v>
      </c>
      <c r="E99" s="23" t="str">
        <f>VLOOKUP(B99,IF(A99="COMPOSICAO",S!$A:$E,I!$A:$E),4,FALSE)</f>
        <v>H</v>
      </c>
      <c r="F99" s="23">
        <v>1</v>
      </c>
      <c r="G99" s="76">
        <f>IF(A99="COMPOSICAO",VLOOKUP("TOTAL SEM BDI - "&amp;B99,CPUAUX1!$A:$J,9,FALSE),VLOOKUP(B99,I!$A:$E,5,FALSE))</f>
        <v>25.68</v>
      </c>
      <c r="H99" s="77"/>
      <c r="I99" s="76">
        <f>TRUNC(F99*G99,2)</f>
        <v>25.68</v>
      </c>
      <c r="J99" s="77"/>
      <c r="M99" s="23">
        <f>B99</f>
        <v>3346</v>
      </c>
      <c r="N99" s="5">
        <f>SUMIF(ORCAMENTO!B:B,B96,ORCAMENTO!F:F)</f>
        <v>144</v>
      </c>
      <c r="O99" s="23">
        <f>F99*N99</f>
        <v>144</v>
      </c>
      <c r="Q99" s="23">
        <f ca="1">IFERROR(SUMIF(CO!B:B,B96,OFFSET(CO!F:F,0,(4+MATCH(ETAPA,CO!$J$6:$V$6,0)))),0)</f>
        <v>48</v>
      </c>
      <c r="R99" s="23">
        <f ca="1">F99*Q99</f>
        <v>48</v>
      </c>
    </row>
    <row r="100" spans="1:18" ht="90" customHeight="1" x14ac:dyDescent="0.3">
      <c r="A100" s="23" t="s">
        <v>1005</v>
      </c>
      <c r="B100" s="23">
        <v>743</v>
      </c>
      <c r="C100" s="23" t="str">
        <f>VLOOKUP(B100,IF(A100="COMPOSICAO",S!$A:$E,I!$A:$E),2,FALSE)</f>
        <v>SINAPI</v>
      </c>
      <c r="D100" s="24" t="str">
        <f>VLOOKUP(B100,IF(A100="COMPOSICAO",S!$A:$E,I!$A:$E),3,FALSE)</f>
        <v>LOCACAO DE BOMBA SUBMERSIVEL PARA DRENAGEM E ESGOTAMENTO, MOTOR ELETRICO TRIFASICO, POTENCIA DE 2 CV, DIAMETRO DE RECALQUE DE 2", FAIXA DE OPERACAO Q=35 M3/H (+ OU - 3 M3/H) E AMT=2 M, Q=13 M3/H (+ OU - 3 M3/H) E AMT = 17 M (+ OU - 3 M)</v>
      </c>
      <c r="E100" s="23" t="str">
        <f>VLOOKUP(B100,IF(A100="COMPOSICAO",S!$A:$E,I!$A:$E),4,FALSE)</f>
        <v>H</v>
      </c>
      <c r="F100" s="23">
        <v>1</v>
      </c>
      <c r="G100" s="76">
        <f>IF(A100="COMPOSICAO",VLOOKUP("TOTAL SEM BDI - "&amp;B100,CPUAUX1!$A:$J,9,FALSE),VLOOKUP(B100,I!$A:$E,5,FALSE))</f>
        <v>2.4300000000000002</v>
      </c>
      <c r="H100" s="77"/>
      <c r="I100" s="76">
        <f>TRUNC(F100*G100,2)</f>
        <v>2.4300000000000002</v>
      </c>
      <c r="J100" s="77"/>
      <c r="M100" s="23">
        <f>B100</f>
        <v>743</v>
      </c>
      <c r="N100" s="5">
        <f>SUMIF(ORCAMENTO!B:B,B96,ORCAMENTO!F:F)</f>
        <v>144</v>
      </c>
      <c r="O100" s="23">
        <f>F100*N100</f>
        <v>144</v>
      </c>
      <c r="Q100" s="23">
        <f ca="1">IFERROR(SUMIF(CO!B:B,B96,OFFSET(CO!F:F,0,(4+MATCH(ETAPA,CO!$J$6:$V$6,0)))),0)</f>
        <v>48</v>
      </c>
      <c r="R100" s="23">
        <f ca="1">F100*Q100</f>
        <v>48</v>
      </c>
    </row>
    <row r="101" spans="1:18" x14ac:dyDescent="0.3">
      <c r="A101" s="23" t="s">
        <v>1011</v>
      </c>
      <c r="B101" s="23" t="s">
        <v>1019</v>
      </c>
      <c r="C101" s="23" t="str">
        <f>VLOOKUP(B101,IF(A101="COMPOSICAO",S!$A:$E,I!$A:$E),2,FALSE)</f>
        <v>PRÓPRIA</v>
      </c>
      <c r="D101" s="24" t="str">
        <f>VLOOKUP(B101,IF(A101="COMPOSICAO",S!$A:$E,I!$A:$E),3,FALSE)</f>
        <v>MEDIDOR DE VAZÃO</v>
      </c>
      <c r="E101" s="23" t="str">
        <f>VLOOKUP(B101,IF(A101="COMPOSICAO",S!$A:$E,I!$A:$E),4,FALSE)</f>
        <v>H</v>
      </c>
      <c r="F101" s="23">
        <v>1</v>
      </c>
      <c r="G101" s="76">
        <f>IF(A101="COMPOSICAO",VLOOKUP("TOTAL SEM BDI - "&amp;B101,CPUAUX1!$A:$J,9,FALSE),VLOOKUP(B101,I!$A:$E,5,FALSE))</f>
        <v>0.16</v>
      </c>
      <c r="H101" s="77"/>
      <c r="I101" s="76">
        <f>TRUNC(F101*G101,2)</f>
        <v>0.16</v>
      </c>
      <c r="J101" s="77"/>
      <c r="M101" s="23" t="str">
        <f>B101</f>
        <v>CAESB9</v>
      </c>
      <c r="N101" s="5">
        <f>SUMIF(ORCAMENTO!B:B,B96,ORCAMENTO!F:F)</f>
        <v>144</v>
      </c>
      <c r="O101" s="23">
        <f>F101*N101</f>
        <v>144</v>
      </c>
      <c r="Q101" s="23">
        <f ca="1">IFERROR(SUMIF(CO!B:B,B96,OFFSET(CO!F:F,0,(4+MATCH(ETAPA,CO!$J$6:$V$6,0)))),0)</f>
        <v>48</v>
      </c>
      <c r="R101" s="23">
        <f ca="1">F101*Q101</f>
        <v>48</v>
      </c>
    </row>
    <row r="102" spans="1:18" x14ac:dyDescent="0.3">
      <c r="A102" s="73" t="str">
        <f>"TOTAL SEM BDI - "&amp;B96</f>
        <v>TOTAL SEM BDI - COMPOS13</v>
      </c>
      <c r="B102" s="74"/>
      <c r="C102" s="74"/>
      <c r="D102" s="74"/>
      <c r="E102" s="74"/>
      <c r="F102" s="74"/>
      <c r="G102" s="74"/>
      <c r="H102" s="75"/>
      <c r="I102" s="76">
        <f>SUM(I96:I101)</f>
        <v>97.789999999999992</v>
      </c>
      <c r="J102" s="77"/>
    </row>
    <row r="103" spans="1:18" x14ac:dyDescent="0.3">
      <c r="A103" s="73" t="str">
        <f>"TAXA DE BDI ("&amp;TEXT(BDI,"00,00")&amp;" %)"</f>
        <v>TAXA DE BDI (22,33 %)</v>
      </c>
      <c r="B103" s="74"/>
      <c r="C103" s="74"/>
      <c r="D103" s="74"/>
      <c r="E103" s="74"/>
      <c r="F103" s="74"/>
      <c r="G103" s="74"/>
      <c r="H103" s="75"/>
      <c r="I103" s="76">
        <f>ROUND(I102*(BDI/100),2)</f>
        <v>21.84</v>
      </c>
      <c r="J103" s="77"/>
    </row>
    <row r="104" spans="1:18" x14ac:dyDescent="0.3">
      <c r="A104" s="73" t="str">
        <f>"TOTAL COM BDI - "&amp;B96</f>
        <v>TOTAL COM BDI - COMPOS13</v>
      </c>
      <c r="B104" s="74"/>
      <c r="C104" s="74"/>
      <c r="D104" s="74"/>
      <c r="E104" s="74"/>
      <c r="F104" s="74"/>
      <c r="G104" s="74"/>
      <c r="H104" s="75"/>
      <c r="I104" s="76">
        <f>SUM(I102:I103)</f>
        <v>119.63</v>
      </c>
      <c r="J104" s="77"/>
    </row>
    <row r="106" spans="1:18" x14ac:dyDescent="0.3">
      <c r="A106" s="4" t="s">
        <v>1000</v>
      </c>
      <c r="B106" s="4" t="s">
        <v>170</v>
      </c>
      <c r="C106" s="4" t="s">
        <v>171</v>
      </c>
      <c r="D106" s="4" t="s">
        <v>18</v>
      </c>
      <c r="E106" s="4" t="s">
        <v>172</v>
      </c>
      <c r="F106" s="4" t="s">
        <v>507</v>
      </c>
      <c r="G106" s="45" t="s">
        <v>1001</v>
      </c>
      <c r="H106" s="46"/>
      <c r="I106" s="45" t="s">
        <v>12</v>
      </c>
      <c r="J106" s="46"/>
    </row>
    <row r="107" spans="1:18" x14ac:dyDescent="0.3">
      <c r="A107" s="15" t="s">
        <v>1010</v>
      </c>
      <c r="B107" s="15" t="s">
        <v>543</v>
      </c>
      <c r="C107" s="15" t="str">
        <f>VLOOKUP(B107,S!$A:$G,2,FALSE)</f>
        <v>PRÓPRIA</v>
      </c>
      <c r="D107" s="22" t="str">
        <f>VLOOKUP(B107,S!$A:$G,3,FALSE)</f>
        <v>DESINFECÇÃO</v>
      </c>
      <c r="E107" s="15" t="str">
        <f>VLOOKUP(B107,S!$A:$G,4,FALSE)</f>
        <v>H</v>
      </c>
      <c r="F107" s="15"/>
      <c r="G107" s="78">
        <f>I114</f>
        <v>102.36000000000003</v>
      </c>
      <c r="H107" s="79"/>
      <c r="I107" s="78"/>
      <c r="J107" s="79"/>
      <c r="K107" s="16">
        <f>VLOOKUP(B107,S!A:G,5,FALSE)</f>
        <v>0</v>
      </c>
      <c r="L107" s="15" t="s">
        <v>1003</v>
      </c>
    </row>
    <row r="108" spans="1:18" ht="30" customHeight="1" x14ac:dyDescent="0.3">
      <c r="A108" s="23" t="s">
        <v>1004</v>
      </c>
      <c r="B108" s="23">
        <v>88297</v>
      </c>
      <c r="C108" s="23" t="str">
        <f>VLOOKUP(B108,IF(A108="COMPOSICAO",S!$A:$E,I!$A:$E),2,FALSE)</f>
        <v>SINAPI</v>
      </c>
      <c r="D108" s="24" t="str">
        <f>VLOOKUP(B108,IF(A108="COMPOSICAO",S!$A:$E,I!$A:$E),3,FALSE)</f>
        <v>OPERADOR DE MÁQUINAS E EQUIPAMENTOS COM ENCARGOS COMPLEMENTARES</v>
      </c>
      <c r="E108" s="23" t="str">
        <f>VLOOKUP(B108,IF(A108="COMPOSICAO",S!$A:$E,I!$A:$E),4,FALSE)</f>
        <v>H</v>
      </c>
      <c r="F108" s="23">
        <v>1</v>
      </c>
      <c r="G108" s="76">
        <f>IF(A108="COMPOSICAO",VLOOKUP("TOTAL SEM BDI - "&amp;B108,CPUAUX1!$A:$J,9,FALSE),VLOOKUP(B108,I!$A:$E,5,FALSE))</f>
        <v>27.16</v>
      </c>
      <c r="H108" s="77"/>
      <c r="I108" s="76">
        <f t="shared" ref="I108:I113" si="0">TRUNC(F108*G108,2)</f>
        <v>27.16</v>
      </c>
      <c r="J108" s="77"/>
      <c r="M108" s="23">
        <f t="shared" ref="M108:M113" si="1">B108</f>
        <v>88297</v>
      </c>
      <c r="N108" s="5">
        <f>SUMIF(ORCAMENTO!B:B,B107,ORCAMENTO!F:F)</f>
        <v>24</v>
      </c>
      <c r="O108" s="23">
        <f t="shared" ref="O108:O113" si="2">F108*N108</f>
        <v>24</v>
      </c>
      <c r="Q108" s="23">
        <f ca="1">IFERROR(SUMIF(CO!B:B,B107,OFFSET(CO!F:F,0,(4+MATCH(ETAPA,CO!$J$6:$V$6,0)))),0)</f>
        <v>8</v>
      </c>
      <c r="R108" s="23">
        <f t="shared" ref="R108:R113" ca="1" si="3">F108*Q108</f>
        <v>8</v>
      </c>
    </row>
    <row r="109" spans="1:18" ht="30" customHeight="1" x14ac:dyDescent="0.3">
      <c r="A109" s="23" t="s">
        <v>1004</v>
      </c>
      <c r="B109" s="23">
        <v>88250</v>
      </c>
      <c r="C109" s="23" t="str">
        <f>VLOOKUP(B109,IF(A109="COMPOSICAO",S!$A:$E,I!$A:$E),2,FALSE)</f>
        <v>SINAPI</v>
      </c>
      <c r="D109" s="24" t="str">
        <f>VLOOKUP(B109,IF(A109="COMPOSICAO",S!$A:$E,I!$A:$E),3,FALSE)</f>
        <v>AUXILIAR DE MECÂNICO COM ENCARGOS COMPLEMENTARES</v>
      </c>
      <c r="E109" s="23" t="str">
        <f>VLOOKUP(B109,IF(A109="COMPOSICAO",S!$A:$E,I!$A:$E),4,FALSE)</f>
        <v>H</v>
      </c>
      <c r="F109" s="23">
        <v>1</v>
      </c>
      <c r="G109" s="76">
        <f>IF(A109="COMPOSICAO",VLOOKUP("TOTAL SEM BDI - "&amp;B109,CPUAUX1!$A:$J,9,FALSE),VLOOKUP(B109,I!$A:$E,5,FALSE))</f>
        <v>21.18</v>
      </c>
      <c r="H109" s="77"/>
      <c r="I109" s="76">
        <f t="shared" si="0"/>
        <v>21.18</v>
      </c>
      <c r="J109" s="77"/>
      <c r="M109" s="23">
        <f t="shared" si="1"/>
        <v>88250</v>
      </c>
      <c r="N109" s="5">
        <f>SUMIF(ORCAMENTO!B:B,B107,ORCAMENTO!F:F)</f>
        <v>24</v>
      </c>
      <c r="O109" s="23">
        <f t="shared" si="2"/>
        <v>24</v>
      </c>
      <c r="Q109" s="23">
        <f ca="1">IFERROR(SUMIF(CO!B:B,B107,OFFSET(CO!F:F,0,(4+MATCH(ETAPA,CO!$J$6:$V$6,0)))),0)</f>
        <v>8</v>
      </c>
      <c r="R109" s="23">
        <f t="shared" ca="1" si="3"/>
        <v>8</v>
      </c>
    </row>
    <row r="110" spans="1:18" x14ac:dyDescent="0.3">
      <c r="A110" s="23" t="s">
        <v>1004</v>
      </c>
      <c r="B110" s="23">
        <v>88316</v>
      </c>
      <c r="C110" s="23" t="str">
        <f>VLOOKUP(B110,IF(A110="COMPOSICAO",S!$A:$E,I!$A:$E),2,FALSE)</f>
        <v>SINAPI</v>
      </c>
      <c r="D110" s="24" t="str">
        <f>VLOOKUP(B110,IF(A110="COMPOSICAO",S!$A:$E,I!$A:$E),3,FALSE)</f>
        <v>SERVENTE COM ENCARGOS COMPLEMENTARES</v>
      </c>
      <c r="E110" s="23" t="str">
        <f>VLOOKUP(B110,IF(A110="COMPOSICAO",S!$A:$E,I!$A:$E),4,FALSE)</f>
        <v>H</v>
      </c>
      <c r="F110" s="23">
        <v>1</v>
      </c>
      <c r="G110" s="76">
        <f>IF(A110="COMPOSICAO",VLOOKUP("TOTAL SEM BDI - "&amp;B110,CPUAUX1!$A:$J,9,FALSE),VLOOKUP(B110,I!$A:$E,5,FALSE))</f>
        <v>21.71</v>
      </c>
      <c r="H110" s="77"/>
      <c r="I110" s="76">
        <f t="shared" si="0"/>
        <v>21.71</v>
      </c>
      <c r="J110" s="77"/>
      <c r="M110" s="23">
        <f t="shared" si="1"/>
        <v>88316</v>
      </c>
      <c r="N110" s="5">
        <f>SUMIF(ORCAMENTO!B:B,B107,ORCAMENTO!F:F)</f>
        <v>24</v>
      </c>
      <c r="O110" s="23">
        <f t="shared" si="2"/>
        <v>24</v>
      </c>
      <c r="Q110" s="23">
        <f ca="1">IFERROR(SUMIF(CO!B:B,B107,OFFSET(CO!F:F,0,(4+MATCH(ETAPA,CO!$J$6:$V$6,0)))),0)</f>
        <v>8</v>
      </c>
      <c r="R110" s="23">
        <f t="shared" ca="1" si="3"/>
        <v>8</v>
      </c>
    </row>
    <row r="111" spans="1:18" ht="30" customHeight="1" x14ac:dyDescent="0.3">
      <c r="A111" s="23" t="s">
        <v>1005</v>
      </c>
      <c r="B111" s="23">
        <v>3346</v>
      </c>
      <c r="C111" s="23" t="str">
        <f>VLOOKUP(B111,IF(A111="COMPOSICAO",S!$A:$E,I!$A:$E),2,FALSE)</f>
        <v>SINAPI</v>
      </c>
      <c r="D111" s="24" t="str">
        <f>VLOOKUP(B111,IF(A111="COMPOSICAO",S!$A:$E,I!$A:$E),3,FALSE)</f>
        <v>LOCACAO DE GRUPO GERADOR *80 A 125* KVA, MOTOR DIESEL, REBOCAVEL, ACIONAMENTO MANUAL</v>
      </c>
      <c r="E111" s="23" t="str">
        <f>VLOOKUP(B111,IF(A111="COMPOSICAO",S!$A:$E,I!$A:$E),4,FALSE)</f>
        <v>H</v>
      </c>
      <c r="F111" s="23">
        <v>1</v>
      </c>
      <c r="G111" s="76">
        <f>IF(A111="COMPOSICAO",VLOOKUP("TOTAL SEM BDI - "&amp;B111,CPUAUX1!$A:$J,9,FALSE),VLOOKUP(B111,I!$A:$E,5,FALSE))</f>
        <v>25.68</v>
      </c>
      <c r="H111" s="77"/>
      <c r="I111" s="76">
        <f t="shared" si="0"/>
        <v>25.68</v>
      </c>
      <c r="J111" s="77"/>
      <c r="M111" s="23">
        <f t="shared" si="1"/>
        <v>3346</v>
      </c>
      <c r="N111" s="5">
        <f>SUMIF(ORCAMENTO!B:B,B107,ORCAMENTO!F:F)</f>
        <v>24</v>
      </c>
      <c r="O111" s="23">
        <f t="shared" si="2"/>
        <v>24</v>
      </c>
      <c r="Q111" s="23">
        <f ca="1">IFERROR(SUMIF(CO!B:B,B107,OFFSET(CO!F:F,0,(4+MATCH(ETAPA,CO!$J$6:$V$6,0)))),0)</f>
        <v>8</v>
      </c>
      <c r="R111" s="23">
        <f t="shared" ca="1" si="3"/>
        <v>8</v>
      </c>
    </row>
    <row r="112" spans="1:18" ht="90" customHeight="1" x14ac:dyDescent="0.3">
      <c r="A112" s="23" t="s">
        <v>1005</v>
      </c>
      <c r="B112" s="23">
        <v>743</v>
      </c>
      <c r="C112" s="23" t="str">
        <f>VLOOKUP(B112,IF(A112="COMPOSICAO",S!$A:$E,I!$A:$E),2,FALSE)</f>
        <v>SINAPI</v>
      </c>
      <c r="D112" s="24" t="str">
        <f>VLOOKUP(B112,IF(A112="COMPOSICAO",S!$A:$E,I!$A:$E),3,FALSE)</f>
        <v>LOCACAO DE BOMBA SUBMERSIVEL PARA DRENAGEM E ESGOTAMENTO, MOTOR ELETRICO TRIFASICO, POTENCIA DE 2 CV, DIAMETRO DE RECALQUE DE 2", FAIXA DE OPERACAO Q=35 M3/H (+ OU - 3 M3/H) E AMT=2 M, Q=13 M3/H (+ OU - 3 M3/H) E AMT = 17 M (+ OU - 3 M)</v>
      </c>
      <c r="E112" s="23" t="str">
        <f>VLOOKUP(B112,IF(A112="COMPOSICAO",S!$A:$E,I!$A:$E),4,FALSE)</f>
        <v>H</v>
      </c>
      <c r="F112" s="23">
        <v>1</v>
      </c>
      <c r="G112" s="76">
        <f>IF(A112="COMPOSICAO",VLOOKUP("TOTAL SEM BDI - "&amp;B112,CPUAUX1!$A:$J,9,FALSE),VLOOKUP(B112,I!$A:$E,5,FALSE))</f>
        <v>2.4300000000000002</v>
      </c>
      <c r="H112" s="77"/>
      <c r="I112" s="76">
        <f t="shared" si="0"/>
        <v>2.4300000000000002</v>
      </c>
      <c r="J112" s="77"/>
      <c r="M112" s="23">
        <f t="shared" si="1"/>
        <v>743</v>
      </c>
      <c r="N112" s="5">
        <f>SUMIF(ORCAMENTO!B:B,B107,ORCAMENTO!F:F)</f>
        <v>24</v>
      </c>
      <c r="O112" s="23">
        <f t="shared" si="2"/>
        <v>24</v>
      </c>
      <c r="Q112" s="23">
        <f ca="1">IFERROR(SUMIF(CO!B:B,B107,OFFSET(CO!F:F,0,(4+MATCH(ETAPA,CO!$J$6:$V$6,0)))),0)</f>
        <v>8</v>
      </c>
      <c r="R112" s="23">
        <f t="shared" ca="1" si="3"/>
        <v>8</v>
      </c>
    </row>
    <row r="113" spans="1:18" x14ac:dyDescent="0.3">
      <c r="A113" s="23" t="s">
        <v>1005</v>
      </c>
      <c r="B113" s="23" t="s">
        <v>1020</v>
      </c>
      <c r="C113" s="23" t="str">
        <f>VLOOKUP(B113,IF(A113="COMPOSICAO",S!$A:$E,I!$A:$E),2,FALSE)</f>
        <v>PRÓPRIA</v>
      </c>
      <c r="D113" s="24" t="str">
        <f>VLOOKUP(B113,IF(A113="COMPOSICAO",S!$A:$E,I!$A:$E),3,FALSE)</f>
        <v>HIPOCLORITO DE SÓDIO</v>
      </c>
      <c r="E113" s="23" t="str">
        <f>VLOOKUP(B113,IF(A113="COMPOSICAO",S!$A:$E,I!$A:$E),4,FALSE)</f>
        <v>L</v>
      </c>
      <c r="F113" s="23">
        <v>1</v>
      </c>
      <c r="G113" s="76">
        <f>IF(A113="COMPOSICAO",VLOOKUP("TOTAL SEM BDI - "&amp;B113,CPUAUX1!$A:$J,9,FALSE),VLOOKUP(B113,I!$A:$E,5,FALSE))</f>
        <v>4.2</v>
      </c>
      <c r="H113" s="77"/>
      <c r="I113" s="76">
        <f t="shared" si="0"/>
        <v>4.2</v>
      </c>
      <c r="J113" s="77"/>
      <c r="M113" s="23" t="str">
        <f t="shared" si="1"/>
        <v>EMBASA1</v>
      </c>
      <c r="N113" s="5">
        <f>SUMIF(ORCAMENTO!B:B,B107,ORCAMENTO!F:F)</f>
        <v>24</v>
      </c>
      <c r="O113" s="23">
        <f t="shared" si="2"/>
        <v>24</v>
      </c>
      <c r="Q113" s="23">
        <f ca="1">IFERROR(SUMIF(CO!B:B,B107,OFFSET(CO!F:F,0,(4+MATCH(ETAPA,CO!$J$6:$V$6,0)))),0)</f>
        <v>8</v>
      </c>
      <c r="R113" s="23">
        <f t="shared" ca="1" si="3"/>
        <v>8</v>
      </c>
    </row>
    <row r="114" spans="1:18" x14ac:dyDescent="0.3">
      <c r="A114" s="73" t="str">
        <f>"TOTAL SEM BDI - "&amp;B107</f>
        <v>TOTAL SEM BDI - COMPOS14</v>
      </c>
      <c r="B114" s="74"/>
      <c r="C114" s="74"/>
      <c r="D114" s="74"/>
      <c r="E114" s="74"/>
      <c r="F114" s="74"/>
      <c r="G114" s="74"/>
      <c r="H114" s="75"/>
      <c r="I114" s="76">
        <f>SUM(I107:I113)</f>
        <v>102.36000000000003</v>
      </c>
      <c r="J114" s="77"/>
    </row>
    <row r="115" spans="1:18" x14ac:dyDescent="0.3">
      <c r="A115" s="73" t="str">
        <f>"TAXA DE BDI ("&amp;TEXT(BDI,"00,00")&amp;" %)"</f>
        <v>TAXA DE BDI (22,33 %)</v>
      </c>
      <c r="B115" s="74"/>
      <c r="C115" s="74"/>
      <c r="D115" s="74"/>
      <c r="E115" s="74"/>
      <c r="F115" s="74"/>
      <c r="G115" s="74"/>
      <c r="H115" s="75"/>
      <c r="I115" s="76">
        <f>ROUND(I114*(BDI/100),2)</f>
        <v>22.86</v>
      </c>
      <c r="J115" s="77"/>
    </row>
    <row r="116" spans="1:18" x14ac:dyDescent="0.3">
      <c r="A116" s="73" t="str">
        <f>"TOTAL COM BDI - "&amp;B107</f>
        <v>TOTAL COM BDI - COMPOS14</v>
      </c>
      <c r="B116" s="74"/>
      <c r="C116" s="74"/>
      <c r="D116" s="74"/>
      <c r="E116" s="74"/>
      <c r="F116" s="74"/>
      <c r="G116" s="74"/>
      <c r="H116" s="75"/>
      <c r="I116" s="76">
        <f>SUM(I114:I115)</f>
        <v>125.22000000000003</v>
      </c>
      <c r="J116" s="77"/>
    </row>
    <row r="118" spans="1:18" x14ac:dyDescent="0.3">
      <c r="A118" s="4" t="s">
        <v>1000</v>
      </c>
      <c r="B118" s="4" t="s">
        <v>170</v>
      </c>
      <c r="C118" s="4" t="s">
        <v>171</v>
      </c>
      <c r="D118" s="4" t="s">
        <v>18</v>
      </c>
      <c r="E118" s="4" t="s">
        <v>172</v>
      </c>
      <c r="F118" s="4" t="s">
        <v>507</v>
      </c>
      <c r="G118" s="45" t="s">
        <v>1001</v>
      </c>
      <c r="H118" s="46"/>
      <c r="I118" s="45" t="s">
        <v>12</v>
      </c>
      <c r="J118" s="46"/>
    </row>
    <row r="119" spans="1:18" x14ac:dyDescent="0.3">
      <c r="A119" s="15" t="s">
        <v>1010</v>
      </c>
      <c r="B119" s="15" t="s">
        <v>545</v>
      </c>
      <c r="C119" s="15" t="str">
        <f>VLOOKUP(B119,S!$A:$G,2,FALSE)</f>
        <v>PRÓPRIA</v>
      </c>
      <c r="D119" s="22" t="str">
        <f>VLOOKUP(B119,S!$A:$G,3,FALSE)</f>
        <v>RELATÓRIO TÉCNICO</v>
      </c>
      <c r="E119" s="15" t="str">
        <f>VLOOKUP(B119,S!$A:$G,4,FALSE)</f>
        <v>UN</v>
      </c>
      <c r="F119" s="15"/>
      <c r="G119" s="78">
        <f>I121</f>
        <v>1110.2</v>
      </c>
      <c r="H119" s="79"/>
      <c r="I119" s="78"/>
      <c r="J119" s="79"/>
      <c r="K119" s="16">
        <f>VLOOKUP(B119,S!A:G,5,FALSE)</f>
        <v>0</v>
      </c>
      <c r="L119" s="15" t="s">
        <v>1003</v>
      </c>
    </row>
    <row r="120" spans="1:18" x14ac:dyDescent="0.3">
      <c r="A120" s="23" t="s">
        <v>1011</v>
      </c>
      <c r="B120" s="23" t="s">
        <v>1012</v>
      </c>
      <c r="C120" s="23" t="str">
        <f>VLOOKUP(B120,IF(A120="COMPOSICAO",S!$A:$E,I!$A:$E),2,FALSE)</f>
        <v>PRÓPRIA</v>
      </c>
      <c r="D120" s="24" t="str">
        <f>VLOOKUP(B120,IF(A120="COMPOSICAO",S!$A:$E,I!$A:$E),3,FALSE)</f>
        <v>GEÓLOGO SÊNIOR COM ENCARGOS COMPLEMENTARES</v>
      </c>
      <c r="E120" s="23" t="str">
        <f>VLOOKUP(B120,IF(A120="COMPOSICAO",S!$A:$E,I!$A:$E),4,FALSE)</f>
        <v>H</v>
      </c>
      <c r="F120" s="23">
        <f>10/pcf</f>
        <v>10</v>
      </c>
      <c r="G120" s="76">
        <f>IF(A120="COMPOSICAO",VLOOKUP("TOTAL SEM BDI - "&amp;B120,CPUAUX1!$A:$J,9,FALSE),VLOOKUP(B120,I!$A:$E,5,FALSE))</f>
        <v>111.02</v>
      </c>
      <c r="H120" s="77"/>
      <c r="I120" s="76">
        <f>TRUNC(F120*G120,2)</f>
        <v>1110.2</v>
      </c>
      <c r="J120" s="77"/>
      <c r="M120" s="23" t="str">
        <f>B120</f>
        <v>CAESB2</v>
      </c>
      <c r="N120" s="5">
        <f>SUMIF(ORCAMENTO!B:B,B119,ORCAMENTO!F:F)</f>
        <v>6</v>
      </c>
      <c r="O120" s="23">
        <f>F120*N120</f>
        <v>60</v>
      </c>
      <c r="Q120" s="23">
        <f ca="1">IFERROR(SUMIF(CO!B:B,B119,OFFSET(CO!F:F,0,(4+MATCH(ETAPA,CO!$J$6:$V$6,0)))),0)</f>
        <v>2</v>
      </c>
      <c r="R120" s="23">
        <f ca="1">F120*Q120</f>
        <v>20</v>
      </c>
    </row>
    <row r="121" spans="1:18" x14ac:dyDescent="0.3">
      <c r="A121" s="73" t="str">
        <f>"TOTAL SEM BDI - "&amp;B119</f>
        <v>TOTAL SEM BDI - COMPOS15</v>
      </c>
      <c r="B121" s="74"/>
      <c r="C121" s="74"/>
      <c r="D121" s="74"/>
      <c r="E121" s="74"/>
      <c r="F121" s="74"/>
      <c r="G121" s="74"/>
      <c r="H121" s="75"/>
      <c r="I121" s="76">
        <f>SUM(I119:I120)</f>
        <v>1110.2</v>
      </c>
      <c r="J121" s="77"/>
    </row>
    <row r="122" spans="1:18" x14ac:dyDescent="0.3">
      <c r="A122" s="73" t="str">
        <f>"TAXA DE BDI ("&amp;TEXT(BDI,"00,00")&amp;" %)"</f>
        <v>TAXA DE BDI (22,33 %)</v>
      </c>
      <c r="B122" s="74"/>
      <c r="C122" s="74"/>
      <c r="D122" s="74"/>
      <c r="E122" s="74"/>
      <c r="F122" s="74"/>
      <c r="G122" s="74"/>
      <c r="H122" s="75"/>
      <c r="I122" s="76">
        <f>ROUND(I121*(BDI/100),2)</f>
        <v>247.91</v>
      </c>
      <c r="J122" s="77"/>
    </row>
    <row r="123" spans="1:18" x14ac:dyDescent="0.3">
      <c r="A123" s="73" t="str">
        <f>"TOTAL COM BDI - "&amp;B119</f>
        <v>TOTAL COM BDI - COMPOS15</v>
      </c>
      <c r="B123" s="74"/>
      <c r="C123" s="74"/>
      <c r="D123" s="74"/>
      <c r="E123" s="74"/>
      <c r="F123" s="74"/>
      <c r="G123" s="74"/>
      <c r="H123" s="75"/>
      <c r="I123" s="76">
        <f>SUM(I121:I122)</f>
        <v>1358.1100000000001</v>
      </c>
      <c r="J123" s="77"/>
    </row>
    <row r="125" spans="1:18" x14ac:dyDescent="0.3">
      <c r="A125" s="4" t="s">
        <v>1000</v>
      </c>
      <c r="B125" s="4" t="s">
        <v>170</v>
      </c>
      <c r="C125" s="4" t="s">
        <v>171</v>
      </c>
      <c r="D125" s="4" t="s">
        <v>18</v>
      </c>
      <c r="E125" s="4" t="s">
        <v>172</v>
      </c>
      <c r="F125" s="4" t="s">
        <v>507</v>
      </c>
      <c r="G125" s="45" t="s">
        <v>1001</v>
      </c>
      <c r="H125" s="46"/>
      <c r="I125" s="45" t="s">
        <v>12</v>
      </c>
      <c r="J125" s="46"/>
    </row>
    <row r="126" spans="1:18" x14ac:dyDescent="0.3">
      <c r="A126" s="15" t="s">
        <v>1010</v>
      </c>
      <c r="B126" s="15" t="s">
        <v>547</v>
      </c>
      <c r="C126" s="15" t="str">
        <f>VLOOKUP(B126,S!$A:$G,2,FALSE)</f>
        <v>PRÓPRIA</v>
      </c>
      <c r="D126" s="22" t="str">
        <f>VLOOKUP(B126,S!$A:$G,3,FALSE)</f>
        <v>ANÁLISE FÍSICO-QUÍMICA DA ÁGUA</v>
      </c>
      <c r="E126" s="15" t="str">
        <f>VLOOKUP(B126,S!$A:$G,4,FALSE)</f>
        <v>UN</v>
      </c>
      <c r="F126" s="15"/>
      <c r="G126" s="78">
        <f>I128</f>
        <v>565.21</v>
      </c>
      <c r="H126" s="79"/>
      <c r="I126" s="78"/>
      <c r="J126" s="79"/>
      <c r="K126" s="16">
        <f>VLOOKUP(B126,S!A:G,5,FALSE)</f>
        <v>0</v>
      </c>
      <c r="L126" s="15" t="s">
        <v>1003</v>
      </c>
    </row>
    <row r="127" spans="1:18" x14ac:dyDescent="0.3">
      <c r="A127" s="23" t="s">
        <v>1004</v>
      </c>
      <c r="B127" s="23" t="s">
        <v>1022</v>
      </c>
      <c r="C127" s="23" t="str">
        <f>VLOOKUP(B127,IF(A127="COMPOSICAO",S!$A:$E,I!$A:$E),2,FALSE)</f>
        <v>ORSE</v>
      </c>
      <c r="D127" s="24" t="str">
        <f>VLOOKUP(B127,IF(A127="COMPOSICAO",S!$A:$E,I!$A:$E),3,FALSE)</f>
        <v>ANÁLISE FÍSICO-QUÍMICA DA ÁGUA</v>
      </c>
      <c r="E127" s="23" t="str">
        <f>VLOOKUP(B127,IF(A127="COMPOSICAO",S!$A:$E,I!$A:$E),4,FALSE)</f>
        <v>UN</v>
      </c>
      <c r="F127" s="23">
        <v>1</v>
      </c>
      <c r="G127" s="76">
        <f>IF(A127="COMPOSICAO",VLOOKUP("TOTAL SEM BDI - "&amp;B127,CPUAUX1!$A:$J,9,FALSE),VLOOKUP(B127,I!$A:$E,5,FALSE))</f>
        <v>565.21</v>
      </c>
      <c r="H127" s="77"/>
      <c r="I127" s="76">
        <f>TRUNC(F127*G127,2)</f>
        <v>565.21</v>
      </c>
      <c r="J127" s="77"/>
      <c r="M127" s="23" t="str">
        <f>B127</f>
        <v>06312/ORSE</v>
      </c>
      <c r="N127" s="5">
        <f>SUMIF(ORCAMENTO!B:B,B126,ORCAMENTO!F:F)</f>
        <v>6</v>
      </c>
      <c r="O127" s="23">
        <f>F127*N127</f>
        <v>6</v>
      </c>
      <c r="Q127" s="23">
        <f ca="1">IFERROR(SUMIF(CO!B:B,B126,OFFSET(CO!F:F,0,(4+MATCH(ETAPA,CO!$J$6:$V$6,0)))),0)</f>
        <v>2</v>
      </c>
      <c r="R127" s="23">
        <f ca="1">F127*Q127</f>
        <v>2</v>
      </c>
    </row>
    <row r="128" spans="1:18" x14ac:dyDescent="0.3">
      <c r="A128" s="73" t="str">
        <f>"TOTAL SEM BDI - "&amp;B126</f>
        <v>TOTAL SEM BDI - COMPOS16</v>
      </c>
      <c r="B128" s="74"/>
      <c r="C128" s="74"/>
      <c r="D128" s="74"/>
      <c r="E128" s="74"/>
      <c r="F128" s="74"/>
      <c r="G128" s="74"/>
      <c r="H128" s="75"/>
      <c r="I128" s="76">
        <f>SUM(I126:I127)</f>
        <v>565.21</v>
      </c>
      <c r="J128" s="77"/>
    </row>
    <row r="129" spans="1:18" x14ac:dyDescent="0.3">
      <c r="A129" s="73" t="str">
        <f>"TAXA DE BDI ("&amp;TEXT(BDI,"00,00")&amp;" %)"</f>
        <v>TAXA DE BDI (22,33 %)</v>
      </c>
      <c r="B129" s="74"/>
      <c r="C129" s="74"/>
      <c r="D129" s="74"/>
      <c r="E129" s="74"/>
      <c r="F129" s="74"/>
      <c r="G129" s="74"/>
      <c r="H129" s="75"/>
      <c r="I129" s="76">
        <f>ROUND(I128*(BDI/100),2)</f>
        <v>126.21</v>
      </c>
      <c r="J129" s="77"/>
    </row>
    <row r="130" spans="1:18" x14ac:dyDescent="0.3">
      <c r="A130" s="73" t="str">
        <f>"TOTAL COM BDI - "&amp;B126</f>
        <v>TOTAL COM BDI - COMPOS16</v>
      </c>
      <c r="B130" s="74"/>
      <c r="C130" s="74"/>
      <c r="D130" s="74"/>
      <c r="E130" s="74"/>
      <c r="F130" s="74"/>
      <c r="G130" s="74"/>
      <c r="H130" s="75"/>
      <c r="I130" s="76">
        <f>SUM(I128:I129)</f>
        <v>691.42000000000007</v>
      </c>
      <c r="J130" s="77"/>
    </row>
    <row r="132" spans="1:18" x14ac:dyDescent="0.3">
      <c r="A132" s="4" t="s">
        <v>1000</v>
      </c>
      <c r="B132" s="4" t="s">
        <v>170</v>
      </c>
      <c r="C132" s="4" t="s">
        <v>171</v>
      </c>
      <c r="D132" s="4" t="s">
        <v>18</v>
      </c>
      <c r="E132" s="4" t="s">
        <v>172</v>
      </c>
      <c r="F132" s="4" t="s">
        <v>507</v>
      </c>
      <c r="G132" s="45" t="s">
        <v>1001</v>
      </c>
      <c r="H132" s="46"/>
      <c r="I132" s="45" t="s">
        <v>12</v>
      </c>
      <c r="J132" s="46"/>
    </row>
    <row r="133" spans="1:18" ht="30" customHeight="1" x14ac:dyDescent="0.3">
      <c r="A133" s="15" t="s">
        <v>1010</v>
      </c>
      <c r="B133" s="15" t="s">
        <v>549</v>
      </c>
      <c r="C133" s="15" t="str">
        <f>VLOOKUP(B133,S!$A:$G,2,FALSE)</f>
        <v>PRÓPRIA</v>
      </c>
      <c r="D133" s="22" t="str">
        <f>VLOOKUP(B133,S!$A:$G,3,FALSE)</f>
        <v>FORNECIMENTO E INSTALAÇÃO DE REVESTIMENTO GEOMECÂNICO STANDART DN-154-S</v>
      </c>
      <c r="E133" s="15" t="str">
        <f>VLOOKUP(B133,S!$A:$G,4,FALSE)</f>
        <v>M</v>
      </c>
      <c r="F133" s="15"/>
      <c r="G133" s="78">
        <f>I138</f>
        <v>170.76</v>
      </c>
      <c r="H133" s="79"/>
      <c r="I133" s="78"/>
      <c r="J133" s="79"/>
      <c r="K133" s="16">
        <f>VLOOKUP(B133,S!A:G,5,FALSE)</f>
        <v>0</v>
      </c>
      <c r="L133" s="15" t="s">
        <v>1003</v>
      </c>
    </row>
    <row r="134" spans="1:18" ht="30" customHeight="1" x14ac:dyDescent="0.3">
      <c r="A134" s="23" t="s">
        <v>1004</v>
      </c>
      <c r="B134" s="23">
        <v>88297</v>
      </c>
      <c r="C134" s="23" t="str">
        <f>VLOOKUP(B134,IF(A134="COMPOSICAO",S!$A:$E,I!$A:$E),2,FALSE)</f>
        <v>SINAPI</v>
      </c>
      <c r="D134" s="24" t="str">
        <f>VLOOKUP(B134,IF(A134="COMPOSICAO",S!$A:$E,I!$A:$E),3,FALSE)</f>
        <v>OPERADOR DE MÁQUINAS E EQUIPAMENTOS COM ENCARGOS COMPLEMENTARES</v>
      </c>
      <c r="E134" s="23" t="str">
        <f>VLOOKUP(B134,IF(A134="COMPOSICAO",S!$A:$E,I!$A:$E),4,FALSE)</f>
        <v>H</v>
      </c>
      <c r="F134" s="23">
        <f>0.1063/pcf</f>
        <v>0.10630000000000001</v>
      </c>
      <c r="G134" s="76">
        <f>IF(A134="COMPOSICAO",VLOOKUP("TOTAL SEM BDI - "&amp;B134,CPUAUX1!$A:$J,9,FALSE),VLOOKUP(B134,I!$A:$E,5,FALSE))</f>
        <v>27.16</v>
      </c>
      <c r="H134" s="77"/>
      <c r="I134" s="76">
        <f>TRUNC(F134*G134,2)</f>
        <v>2.88</v>
      </c>
      <c r="J134" s="77"/>
      <c r="M134" s="23">
        <f>B134</f>
        <v>88297</v>
      </c>
      <c r="N134" s="5">
        <f>SUMIF(ORCAMENTO!B:B,B133,ORCAMENTO!F:F)</f>
        <v>126</v>
      </c>
      <c r="O134" s="23">
        <f>F134*N134</f>
        <v>13.393800000000001</v>
      </c>
      <c r="Q134" s="23">
        <f ca="1">IFERROR(SUMIF(CO!B:B,B133,OFFSET(CO!F:F,0,(4+MATCH(ETAPA,CO!$J$6:$V$6,0)))),0)</f>
        <v>42</v>
      </c>
      <c r="R134" s="23">
        <f ca="1">F134*Q134</f>
        <v>4.4645999999999999</v>
      </c>
    </row>
    <row r="135" spans="1:18" x14ac:dyDescent="0.3">
      <c r="A135" s="23" t="s">
        <v>1004</v>
      </c>
      <c r="B135" s="23">
        <v>88316</v>
      </c>
      <c r="C135" s="23" t="str">
        <f>VLOOKUP(B135,IF(A135="COMPOSICAO",S!$A:$E,I!$A:$E),2,FALSE)</f>
        <v>SINAPI</v>
      </c>
      <c r="D135" s="24" t="str">
        <f>VLOOKUP(B135,IF(A135="COMPOSICAO",S!$A:$E,I!$A:$E),3,FALSE)</f>
        <v>SERVENTE COM ENCARGOS COMPLEMENTARES</v>
      </c>
      <c r="E135" s="23" t="str">
        <f>VLOOKUP(B135,IF(A135="COMPOSICAO",S!$A:$E,I!$A:$E),4,FALSE)</f>
        <v>H</v>
      </c>
      <c r="F135" s="23">
        <f>0.3189/pcf</f>
        <v>0.31890000000000002</v>
      </c>
      <c r="G135" s="76">
        <f>IF(A135="COMPOSICAO",VLOOKUP("TOTAL SEM BDI - "&amp;B135,CPUAUX1!$A:$J,9,FALSE),VLOOKUP(B135,I!$A:$E,5,FALSE))</f>
        <v>21.71</v>
      </c>
      <c r="H135" s="77"/>
      <c r="I135" s="76">
        <f>TRUNC(F135*G135,2)</f>
        <v>6.92</v>
      </c>
      <c r="J135" s="77"/>
      <c r="M135" s="23">
        <f>B135</f>
        <v>88316</v>
      </c>
      <c r="N135" s="5">
        <f>SUMIF(ORCAMENTO!B:B,B133,ORCAMENTO!F:F)</f>
        <v>126</v>
      </c>
      <c r="O135" s="23">
        <f>F135*N135</f>
        <v>40.181400000000004</v>
      </c>
      <c r="Q135" s="23">
        <f ca="1">IFERROR(SUMIF(CO!B:B,B133,OFFSET(CO!F:F,0,(4+MATCH(ETAPA,CO!$J$6:$V$6,0)))),0)</f>
        <v>42</v>
      </c>
      <c r="R135" s="23">
        <f ca="1">F135*Q135</f>
        <v>13.393800000000001</v>
      </c>
    </row>
    <row r="136" spans="1:18" ht="45" customHeight="1" x14ac:dyDescent="0.3">
      <c r="A136" s="23" t="s">
        <v>1011</v>
      </c>
      <c r="B136" s="23" t="s">
        <v>1023</v>
      </c>
      <c r="C136" s="23" t="str">
        <f>VLOOKUP(B136,IF(A136="COMPOSICAO",S!$A:$E,I!$A:$E),2,FALSE)</f>
        <v>PRÓPRIA</v>
      </c>
      <c r="D136" s="24" t="str">
        <f>VLOOKUP(B136,IF(A136="COMPOSICAO",S!$A:$E,I!$A:$E),3,FALSE)</f>
        <v>EQUIPAMENTOS PARA PERFURAÇÃO PELO "SISTEMA ROTOPNEUMÁTICO", COMPOSTO POR MÁQUINA ROTOPNEUMÁTICO, DIESEL</v>
      </c>
      <c r="E136" s="23" t="str">
        <f>VLOOKUP(B136,IF(A136="COMPOSICAO",S!$A:$E,I!$A:$E),4,FALSE)</f>
        <v>HPROD</v>
      </c>
      <c r="F136" s="23">
        <v>0.10630000000000001</v>
      </c>
      <c r="G136" s="76">
        <f>IF(A136="COMPOSICAO",VLOOKUP("TOTAL SEM BDI - "&amp;B136,CPUAUX1!$A:$J,9,FALSE),VLOOKUP(B136,I!$A:$E,5,FALSE))</f>
        <v>420.5</v>
      </c>
      <c r="H136" s="77"/>
      <c r="I136" s="76">
        <f>TRUNC(F136*G136,2)</f>
        <v>44.69</v>
      </c>
      <c r="J136" s="77"/>
      <c r="M136" s="23" t="str">
        <f>B136</f>
        <v>CAESB1</v>
      </c>
      <c r="N136" s="5">
        <f>SUMIF(ORCAMENTO!B:B,B133,ORCAMENTO!F:F)</f>
        <v>126</v>
      </c>
      <c r="O136" s="23">
        <f>F136*N136</f>
        <v>13.393800000000001</v>
      </c>
      <c r="Q136" s="23">
        <f ca="1">IFERROR(SUMIF(CO!B:B,B133,OFFSET(CO!F:F,0,(4+MATCH(ETAPA,CO!$J$6:$V$6,0)))),0)</f>
        <v>42</v>
      </c>
      <c r="R136" s="23">
        <f ca="1">F136*Q136</f>
        <v>4.4645999999999999</v>
      </c>
    </row>
    <row r="137" spans="1:18" ht="30" customHeight="1" x14ac:dyDescent="0.3">
      <c r="A137" s="23" t="s">
        <v>1005</v>
      </c>
      <c r="B137" s="23">
        <v>9854</v>
      </c>
      <c r="C137" s="23" t="str">
        <f>VLOOKUP(B137,IF(A137="COMPOSICAO",S!$A:$E,I!$A:$E),2,FALSE)</f>
        <v>SINAPI</v>
      </c>
      <c r="D137" s="24" t="str">
        <f>VLOOKUP(B137,IF(A137="COMPOSICAO",S!$A:$E,I!$A:$E),3,FALSE)</f>
        <v>TUBO PVC DE REVESTIMENTO GEOMECANICO NERVURADO STANDARD, DN = 154 MM, COMPRIMENTO = 2 M</v>
      </c>
      <c r="E137" s="23" t="str">
        <f>VLOOKUP(B137,IF(A137="COMPOSICAO",S!$A:$E,I!$A:$E),4,FALSE)</f>
        <v>M</v>
      </c>
      <c r="F137" s="23">
        <v>1.01</v>
      </c>
      <c r="G137" s="76">
        <f>IF(A137="COMPOSICAO",VLOOKUP("TOTAL SEM BDI - "&amp;B137,CPUAUX1!$A:$J,9,FALSE),VLOOKUP(B137,I!$A:$E,5,FALSE))</f>
        <v>115.12</v>
      </c>
      <c r="H137" s="77"/>
      <c r="I137" s="76">
        <f>TRUNC(F137*G137,2)</f>
        <v>116.27</v>
      </c>
      <c r="J137" s="77"/>
      <c r="M137" s="23">
        <f>B137</f>
        <v>9854</v>
      </c>
      <c r="N137" s="5">
        <f>SUMIF(ORCAMENTO!B:B,B133,ORCAMENTO!F:F)</f>
        <v>126</v>
      </c>
      <c r="O137" s="23">
        <f>F137*N137</f>
        <v>127.26</v>
      </c>
      <c r="Q137" s="23">
        <f ca="1">IFERROR(SUMIF(CO!B:B,B133,OFFSET(CO!F:F,0,(4+MATCH(ETAPA,CO!$J$6:$V$6,0)))),0)</f>
        <v>42</v>
      </c>
      <c r="R137" s="23">
        <f ca="1">F137*Q137</f>
        <v>42.42</v>
      </c>
    </row>
    <row r="138" spans="1:18" x14ac:dyDescent="0.3">
      <c r="A138" s="73" t="str">
        <f>"TOTAL SEM BDI - "&amp;B133</f>
        <v>TOTAL SEM BDI - COMPOS1</v>
      </c>
      <c r="B138" s="74"/>
      <c r="C138" s="74"/>
      <c r="D138" s="74"/>
      <c r="E138" s="74"/>
      <c r="F138" s="74"/>
      <c r="G138" s="74"/>
      <c r="H138" s="75"/>
      <c r="I138" s="76">
        <f>SUM(I133:I137)</f>
        <v>170.76</v>
      </c>
      <c r="J138" s="77"/>
    </row>
    <row r="139" spans="1:18" x14ac:dyDescent="0.3">
      <c r="A139" s="73" t="str">
        <f>"TAXA DE BDI ("&amp;TEXT(BDI,"00,00")&amp;" %)"</f>
        <v>TAXA DE BDI (22,33 %)</v>
      </c>
      <c r="B139" s="74"/>
      <c r="C139" s="74"/>
      <c r="D139" s="74"/>
      <c r="E139" s="74"/>
      <c r="F139" s="74"/>
      <c r="G139" s="74"/>
      <c r="H139" s="75"/>
      <c r="I139" s="76">
        <f>ROUND(I138*(BDI/100),2)</f>
        <v>38.130000000000003</v>
      </c>
      <c r="J139" s="77"/>
    </row>
    <row r="140" spans="1:18" x14ac:dyDescent="0.3">
      <c r="A140" s="73" t="str">
        <f>"TOTAL COM BDI - "&amp;B133</f>
        <v>TOTAL COM BDI - COMPOS1</v>
      </c>
      <c r="B140" s="74"/>
      <c r="C140" s="74"/>
      <c r="D140" s="74"/>
      <c r="E140" s="74"/>
      <c r="F140" s="74"/>
      <c r="G140" s="74"/>
      <c r="H140" s="75"/>
      <c r="I140" s="76">
        <f>SUM(I138:I139)</f>
        <v>208.89</v>
      </c>
      <c r="J140" s="77"/>
    </row>
    <row r="142" spans="1:18" x14ac:dyDescent="0.3">
      <c r="A142" s="4" t="s">
        <v>1000</v>
      </c>
      <c r="B142" s="4" t="s">
        <v>170</v>
      </c>
      <c r="C142" s="4" t="s">
        <v>171</v>
      </c>
      <c r="D142" s="4" t="s">
        <v>18</v>
      </c>
      <c r="E142" s="4" t="s">
        <v>172</v>
      </c>
      <c r="F142" s="4" t="s">
        <v>507</v>
      </c>
      <c r="G142" s="45" t="s">
        <v>1001</v>
      </c>
      <c r="H142" s="46"/>
      <c r="I142" s="45" t="s">
        <v>12</v>
      </c>
      <c r="J142" s="46"/>
    </row>
    <row r="143" spans="1:18" ht="30" customHeight="1" x14ac:dyDescent="0.3">
      <c r="A143" s="15" t="s">
        <v>1010</v>
      </c>
      <c r="B143" s="15" t="s">
        <v>551</v>
      </c>
      <c r="C143" s="15" t="str">
        <f>VLOOKUP(B143,S!$A:$G,2,FALSE)</f>
        <v>PRÓPRIA</v>
      </c>
      <c r="D143" s="22" t="str">
        <f>VLOOKUP(B143,S!$A:$G,3,FALSE)</f>
        <v>FORNECIMENTO E INSTALAÇÃO DE TAMPA PARA POÇO</v>
      </c>
      <c r="E143" s="15" t="str">
        <f>VLOOKUP(B143,S!$A:$G,4,FALSE)</f>
        <v>UN</v>
      </c>
      <c r="F143" s="15"/>
      <c r="G143" s="78">
        <f>I146</f>
        <v>109.94</v>
      </c>
      <c r="H143" s="79"/>
      <c r="I143" s="78"/>
      <c r="J143" s="79"/>
      <c r="K143" s="16">
        <f>VLOOKUP(B143,S!A:G,5,FALSE)</f>
        <v>0</v>
      </c>
      <c r="L143" s="15" t="s">
        <v>1003</v>
      </c>
    </row>
    <row r="144" spans="1:18" ht="30" customHeight="1" x14ac:dyDescent="0.3">
      <c r="A144" s="23" t="s">
        <v>1004</v>
      </c>
      <c r="B144" s="23">
        <v>88267</v>
      </c>
      <c r="C144" s="23" t="str">
        <f>VLOOKUP(B144,IF(A144="COMPOSICAO",S!$A:$E,I!$A:$E),2,FALSE)</f>
        <v>SINAPI</v>
      </c>
      <c r="D144" s="24" t="str">
        <f>VLOOKUP(B144,IF(A144="COMPOSICAO",S!$A:$E,I!$A:$E),3,FALSE)</f>
        <v>ENCANADOR OU BOMBEIRO HIDRÁULICO COM ENCARGOS COMPLEMENTARES</v>
      </c>
      <c r="E144" s="23" t="str">
        <f>VLOOKUP(B144,IF(A144="COMPOSICAO",S!$A:$E,I!$A:$E),4,FALSE)</f>
        <v>H</v>
      </c>
      <c r="F144" s="23">
        <f>0.1/pcf</f>
        <v>0.1</v>
      </c>
      <c r="G144" s="76">
        <f>IF(A144="COMPOSICAO",VLOOKUP("TOTAL SEM BDI - "&amp;B144,CPUAUX1!$A:$J,9,FALSE),VLOOKUP(B144,I!$A:$E,5,FALSE))</f>
        <v>26.669999999999998</v>
      </c>
      <c r="H144" s="77"/>
      <c r="I144" s="76">
        <f>TRUNC(F144*G144,2)</f>
        <v>2.66</v>
      </c>
      <c r="J144" s="77"/>
      <c r="M144" s="23">
        <f>B144</f>
        <v>88267</v>
      </c>
      <c r="N144" s="5">
        <f>SUMIF(ORCAMENTO!B:B,B143,ORCAMENTO!F:F)</f>
        <v>6</v>
      </c>
      <c r="O144" s="23">
        <f>F144*N144</f>
        <v>0.60000000000000009</v>
      </c>
      <c r="Q144" s="23">
        <f ca="1">IFERROR(SUMIF(CO!B:B,B143,OFFSET(CO!F:F,0,(4+MATCH(ETAPA,CO!$J$6:$V$6,0)))),0)</f>
        <v>2</v>
      </c>
      <c r="R144" s="23">
        <f ca="1">F144*Q144</f>
        <v>0.2</v>
      </c>
    </row>
    <row r="145" spans="1:18" x14ac:dyDescent="0.3">
      <c r="A145" s="23" t="s">
        <v>1005</v>
      </c>
      <c r="B145" s="23" t="s">
        <v>1024</v>
      </c>
      <c r="C145" s="23" t="str">
        <f>VLOOKUP(B145,IF(A145="COMPOSICAO",S!$A:$E,I!$A:$E),2,FALSE)</f>
        <v>ORSE</v>
      </c>
      <c r="D145" s="24" t="str">
        <f>VLOOKUP(B145,IF(A145="COMPOSICAO",S!$A:$E,I!$A:$E),3,FALSE)</f>
        <v>TAMPA DE POÇO GALVANIZADA EM 6"</v>
      </c>
      <c r="E145" s="23" t="str">
        <f>VLOOKUP(B145,IF(A145="COMPOSICAO",S!$A:$E,I!$A:$E),4,FALSE)</f>
        <v>UN</v>
      </c>
      <c r="F145" s="23">
        <v>1</v>
      </c>
      <c r="G145" s="76">
        <f>IF(A145="COMPOSICAO",VLOOKUP("TOTAL SEM BDI - "&amp;B145,CPUAUX1!$A:$J,9,FALSE),VLOOKUP(B145,I!$A:$E,5,FALSE))</f>
        <v>107.28</v>
      </c>
      <c r="H145" s="77"/>
      <c r="I145" s="76">
        <f>TRUNC(F145*G145,2)</f>
        <v>107.28</v>
      </c>
      <c r="J145" s="77"/>
      <c r="M145" s="23" t="str">
        <f>B145</f>
        <v>05128/ORSE</v>
      </c>
      <c r="N145" s="5">
        <f>SUMIF(ORCAMENTO!B:B,B143,ORCAMENTO!F:F)</f>
        <v>6</v>
      </c>
      <c r="O145" s="23">
        <f>F145*N145</f>
        <v>6</v>
      </c>
      <c r="Q145" s="23">
        <f ca="1">IFERROR(SUMIF(CO!B:B,B143,OFFSET(CO!F:F,0,(4+MATCH(ETAPA,CO!$J$6:$V$6,0)))),0)</f>
        <v>2</v>
      </c>
      <c r="R145" s="23">
        <f ca="1">F145*Q145</f>
        <v>2</v>
      </c>
    </row>
    <row r="146" spans="1:18" x14ac:dyDescent="0.3">
      <c r="A146" s="73" t="str">
        <f>"TOTAL SEM BDI - "&amp;B143</f>
        <v>TOTAL SEM BDI - COMPOS2</v>
      </c>
      <c r="B146" s="74"/>
      <c r="C146" s="74"/>
      <c r="D146" s="74"/>
      <c r="E146" s="74"/>
      <c r="F146" s="74"/>
      <c r="G146" s="74"/>
      <c r="H146" s="75"/>
      <c r="I146" s="76">
        <f>SUM(I143:I145)</f>
        <v>109.94</v>
      </c>
      <c r="J146" s="77"/>
    </row>
    <row r="147" spans="1:18" x14ac:dyDescent="0.3">
      <c r="A147" s="73" t="str">
        <f>"TAXA DE BDI ("&amp;TEXT(BDI,"00,00")&amp;" %)"</f>
        <v>TAXA DE BDI (22,33 %)</v>
      </c>
      <c r="B147" s="74"/>
      <c r="C147" s="74"/>
      <c r="D147" s="74"/>
      <c r="E147" s="74"/>
      <c r="F147" s="74"/>
      <c r="G147" s="74"/>
      <c r="H147" s="75"/>
      <c r="I147" s="76">
        <f>ROUND(I146*(BDI/100),2)</f>
        <v>24.55</v>
      </c>
      <c r="J147" s="77"/>
    </row>
    <row r="148" spans="1:18" x14ac:dyDescent="0.3">
      <c r="A148" s="73" t="str">
        <f>"TOTAL COM BDI - "&amp;B143</f>
        <v>TOTAL COM BDI - COMPOS2</v>
      </c>
      <c r="B148" s="74"/>
      <c r="C148" s="74"/>
      <c r="D148" s="74"/>
      <c r="E148" s="74"/>
      <c r="F148" s="74"/>
      <c r="G148" s="74"/>
      <c r="H148" s="75"/>
      <c r="I148" s="76">
        <f>SUM(I146:I147)</f>
        <v>134.49</v>
      </c>
      <c r="J148" s="77"/>
    </row>
    <row r="150" spans="1:18" x14ac:dyDescent="0.3">
      <c r="A150" s="4" t="s">
        <v>1000</v>
      </c>
      <c r="B150" s="4" t="s">
        <v>170</v>
      </c>
      <c r="C150" s="4" t="s">
        <v>171</v>
      </c>
      <c r="D150" s="4" t="s">
        <v>18</v>
      </c>
      <c r="E150" s="4" t="s">
        <v>172</v>
      </c>
      <c r="F150" s="4" t="s">
        <v>507</v>
      </c>
      <c r="G150" s="45" t="s">
        <v>1001</v>
      </c>
      <c r="H150" s="46"/>
      <c r="I150" s="45" t="s">
        <v>12</v>
      </c>
      <c r="J150" s="46"/>
    </row>
    <row r="151" spans="1:18" ht="30" customHeight="1" x14ac:dyDescent="0.3">
      <c r="A151" s="15" t="s">
        <v>1010</v>
      </c>
      <c r="B151" s="15" t="s">
        <v>554</v>
      </c>
      <c r="C151" s="15" t="str">
        <f>VLOOKUP(B151,S!$A:$G,2,FALSE)</f>
        <v>PRÓPRIA</v>
      </c>
      <c r="D151" s="22" t="str">
        <f>VLOOKUP(B151,S!$A:$G,3,FALSE)</f>
        <v>FORNECIMENTO E INSTALAÇÃO DE TUBO EDUTOR DE PVC DE 1.1/2'' COM LUVA</v>
      </c>
      <c r="E151" s="15" t="str">
        <f>VLOOKUP(B151,S!$A:$G,4,FALSE)</f>
        <v>M</v>
      </c>
      <c r="F151" s="15"/>
      <c r="G151" s="78">
        <f>I157</f>
        <v>46.25</v>
      </c>
      <c r="H151" s="79"/>
      <c r="I151" s="78"/>
      <c r="J151" s="79"/>
      <c r="K151" s="16">
        <f>VLOOKUP(B151,S!A:G,5,FALSE)</f>
        <v>0</v>
      </c>
      <c r="L151" s="15" t="s">
        <v>1003</v>
      </c>
    </row>
    <row r="152" spans="1:18" ht="30" customHeight="1" x14ac:dyDescent="0.3">
      <c r="A152" s="23" t="s">
        <v>1004</v>
      </c>
      <c r="B152" s="23">
        <v>88248</v>
      </c>
      <c r="C152" s="23" t="str">
        <f>VLOOKUP(B152,IF(A152="COMPOSICAO",S!$A:$E,I!$A:$E),2,FALSE)</f>
        <v>SINAPI</v>
      </c>
      <c r="D152" s="24" t="str">
        <f>VLOOKUP(B152,IF(A152="COMPOSICAO",S!$A:$E,I!$A:$E),3,FALSE)</f>
        <v>AUXILIAR DE ENCANADOR OU BOMBEIRO HIDRÁULICO COM ENCARGOS COMPLEMENTARES</v>
      </c>
      <c r="E152" s="23" t="str">
        <f>VLOOKUP(B152,IF(A152="COMPOSICAO",S!$A:$E,I!$A:$E),4,FALSE)</f>
        <v>H</v>
      </c>
      <c r="F152" s="23">
        <f>0.304/pcf</f>
        <v>0.30399999999999999</v>
      </c>
      <c r="G152" s="76">
        <f>IF(A152="COMPOSICAO",VLOOKUP("TOTAL SEM BDI - "&amp;B152,CPUAUX1!$A:$J,9,FALSE),VLOOKUP(B152,I!$A:$E,5,FALSE))</f>
        <v>21.82</v>
      </c>
      <c r="H152" s="77"/>
      <c r="I152" s="76">
        <f>TRUNC(F152*G152,2)</f>
        <v>6.63</v>
      </c>
      <c r="J152" s="77"/>
      <c r="M152" s="23">
        <f>B152</f>
        <v>88248</v>
      </c>
      <c r="N152" s="5">
        <f>SUMIF(ORCAMENTO!B:B,B151,ORCAMENTO!F:F)</f>
        <v>580</v>
      </c>
      <c r="O152" s="23">
        <f>F152*N152</f>
        <v>176.32</v>
      </c>
      <c r="Q152" s="23">
        <f ca="1">IFERROR(SUMIF(CO!B:B,B151,OFFSET(CO!F:F,0,(4+MATCH(ETAPA,CO!$J$6:$V$6,0)))),0)</f>
        <v>220</v>
      </c>
      <c r="R152" s="23">
        <f ca="1">F152*Q152</f>
        <v>66.88</v>
      </c>
    </row>
    <row r="153" spans="1:18" ht="30" customHeight="1" x14ac:dyDescent="0.3">
      <c r="A153" s="23" t="s">
        <v>1004</v>
      </c>
      <c r="B153" s="23">
        <v>88267</v>
      </c>
      <c r="C153" s="23" t="str">
        <f>VLOOKUP(B153,IF(A153="COMPOSICAO",S!$A:$E,I!$A:$E),2,FALSE)</f>
        <v>SINAPI</v>
      </c>
      <c r="D153" s="24" t="str">
        <f>VLOOKUP(B153,IF(A153="COMPOSICAO",S!$A:$E,I!$A:$E),3,FALSE)</f>
        <v>ENCANADOR OU BOMBEIRO HIDRÁULICO COM ENCARGOS COMPLEMENTARES</v>
      </c>
      <c r="E153" s="23" t="str">
        <f>VLOOKUP(B153,IF(A153="COMPOSICAO",S!$A:$E,I!$A:$E),4,FALSE)</f>
        <v>H</v>
      </c>
      <c r="F153" s="23">
        <f>0.089/pcf</f>
        <v>8.8999999999999996E-2</v>
      </c>
      <c r="G153" s="76">
        <f>IF(A153="COMPOSICAO",VLOOKUP("TOTAL SEM BDI - "&amp;B153,CPUAUX1!$A:$J,9,FALSE),VLOOKUP(B153,I!$A:$E,5,FALSE))</f>
        <v>26.669999999999998</v>
      </c>
      <c r="H153" s="77"/>
      <c r="I153" s="76">
        <f>TRUNC(F153*G153,2)</f>
        <v>2.37</v>
      </c>
      <c r="J153" s="77"/>
      <c r="M153" s="23">
        <f>B153</f>
        <v>88267</v>
      </c>
      <c r="N153" s="5">
        <f>SUMIF(ORCAMENTO!B:B,B151,ORCAMENTO!F:F)</f>
        <v>580</v>
      </c>
      <c r="O153" s="23">
        <f>F153*N153</f>
        <v>51.62</v>
      </c>
      <c r="Q153" s="23">
        <f ca="1">IFERROR(SUMIF(CO!B:B,B151,OFFSET(CO!F:F,0,(4+MATCH(ETAPA,CO!$J$6:$V$6,0)))),0)</f>
        <v>220</v>
      </c>
      <c r="R153" s="23">
        <f ca="1">F153*Q153</f>
        <v>19.579999999999998</v>
      </c>
    </row>
    <row r="154" spans="1:18" ht="30" customHeight="1" x14ac:dyDescent="0.3">
      <c r="A154" s="23" t="s">
        <v>1005</v>
      </c>
      <c r="B154" s="23">
        <v>3939</v>
      </c>
      <c r="C154" s="23" t="str">
        <f>VLOOKUP(B154,IF(A154="COMPOSICAO",S!$A:$E,I!$A:$E),2,FALSE)</f>
        <v>SINAPI</v>
      </c>
      <c r="D154" s="24" t="str">
        <f>VLOOKUP(B154,IF(A154="COMPOSICAO",S!$A:$E,I!$A:$E),3,FALSE)</f>
        <v>LUVA DE FERRO GALVANIZADO, COM ROSCA BSP, DE 1 1/2"</v>
      </c>
      <c r="E154" s="23" t="str">
        <f>VLOOKUP(B154,IF(A154="COMPOSICAO",S!$A:$E,I!$A:$E),4,FALSE)</f>
        <v>UN</v>
      </c>
      <c r="F154" s="23">
        <v>0.25</v>
      </c>
      <c r="G154" s="76">
        <f>IF(A154="COMPOSICAO",VLOOKUP("TOTAL SEM BDI - "&amp;B154,CPUAUX1!$A:$J,9,FALSE),VLOOKUP(B154,I!$A:$E,5,FALSE))</f>
        <v>19.670000000000002</v>
      </c>
      <c r="H154" s="77"/>
      <c r="I154" s="76">
        <f>TRUNC(F154*G154,2)</f>
        <v>4.91</v>
      </c>
      <c r="J154" s="77"/>
      <c r="M154" s="23">
        <f>B154</f>
        <v>3939</v>
      </c>
      <c r="N154" s="5">
        <f>SUMIF(ORCAMENTO!B:B,B151,ORCAMENTO!F:F)</f>
        <v>580</v>
      </c>
      <c r="O154" s="23">
        <f>F154*N154</f>
        <v>145</v>
      </c>
      <c r="Q154" s="23">
        <f ca="1">IFERROR(SUMIF(CO!B:B,B151,OFFSET(CO!F:F,0,(4+MATCH(ETAPA,CO!$J$6:$V$6,0)))),0)</f>
        <v>220</v>
      </c>
      <c r="R154" s="23">
        <f ca="1">F154*Q154</f>
        <v>55</v>
      </c>
    </row>
    <row r="155" spans="1:18" ht="30" customHeight="1" x14ac:dyDescent="0.3">
      <c r="A155" s="23" t="s">
        <v>1005</v>
      </c>
      <c r="B155" s="23">
        <v>3146</v>
      </c>
      <c r="C155" s="23" t="str">
        <f>VLOOKUP(B155,IF(A155="COMPOSICAO",S!$A:$E,I!$A:$E),2,FALSE)</f>
        <v>SINAPI</v>
      </c>
      <c r="D155" s="24" t="str">
        <f>VLOOKUP(B155,IF(A155="COMPOSICAO",S!$A:$E,I!$A:$E),3,FALSE)</f>
        <v>FITA VEDA ROSCA, EM PTFE, ROLO DE 18 MM X 10 M (L X C)</v>
      </c>
      <c r="E155" s="23" t="str">
        <f>VLOOKUP(B155,IF(A155="COMPOSICAO",S!$A:$E,I!$A:$E),4,FALSE)</f>
        <v>UN</v>
      </c>
      <c r="F155" s="23">
        <v>0.25</v>
      </c>
      <c r="G155" s="76">
        <f>IF(A155="COMPOSICAO",VLOOKUP("TOTAL SEM BDI - "&amp;B155,CPUAUX1!$A:$J,9,FALSE),VLOOKUP(B155,I!$A:$E,5,FALSE))</f>
        <v>4.1399999999999997</v>
      </c>
      <c r="H155" s="77"/>
      <c r="I155" s="76">
        <f>TRUNC(F155*G155,2)</f>
        <v>1.03</v>
      </c>
      <c r="J155" s="77"/>
      <c r="M155" s="23">
        <f>B155</f>
        <v>3146</v>
      </c>
      <c r="N155" s="5">
        <f>SUMIF(ORCAMENTO!B:B,B151,ORCAMENTO!F:F)</f>
        <v>580</v>
      </c>
      <c r="O155" s="23">
        <f>F155*N155</f>
        <v>145</v>
      </c>
      <c r="Q155" s="23">
        <f ca="1">IFERROR(SUMIF(CO!B:B,B151,OFFSET(CO!F:F,0,(4+MATCH(ETAPA,CO!$J$6:$V$6,0)))),0)</f>
        <v>220</v>
      </c>
      <c r="R155" s="23">
        <f ca="1">F155*Q155</f>
        <v>55</v>
      </c>
    </row>
    <row r="156" spans="1:18" ht="15" customHeight="1" x14ac:dyDescent="0.3">
      <c r="A156" s="23" t="s">
        <v>1005</v>
      </c>
      <c r="B156" s="23">
        <v>9862</v>
      </c>
      <c r="C156" s="23" t="str">
        <f>VLOOKUP(B156,IF(A156="COMPOSICAO",S!$A:$E,I!$A:$E),2,FALSE)</f>
        <v>SINAPI</v>
      </c>
      <c r="D156" s="24" t="str">
        <f>VLOOKUP(B156,IF(A156="COMPOSICAO",S!$A:$E,I!$A:$E),3,FALSE)</f>
        <v>TUBO PVC, ROSCAVEL, 1 1/2", AGUA FRIA PREDIAL</v>
      </c>
      <c r="E156" s="23" t="str">
        <f>VLOOKUP(B156,IF(A156="COMPOSICAO",S!$A:$E,I!$A:$E),4,FALSE)</f>
        <v>M</v>
      </c>
      <c r="F156" s="23">
        <v>1</v>
      </c>
      <c r="G156" s="76">
        <f>IF(A156="COMPOSICAO",VLOOKUP("TOTAL SEM BDI - "&amp;B156,CPUAUX1!$A:$J,9,FALSE),VLOOKUP(B156,I!$A:$E,5,FALSE))</f>
        <v>31.31</v>
      </c>
      <c r="H156" s="77"/>
      <c r="I156" s="76">
        <f>TRUNC(F156*G156,2)</f>
        <v>31.31</v>
      </c>
      <c r="J156" s="77"/>
      <c r="M156" s="23">
        <f>B156</f>
        <v>9862</v>
      </c>
      <c r="N156" s="5">
        <f>SUMIF(ORCAMENTO!B:B,B151,ORCAMENTO!F:F)</f>
        <v>580</v>
      </c>
      <c r="O156" s="23">
        <f>F156*N156</f>
        <v>580</v>
      </c>
      <c r="Q156" s="23">
        <f ca="1">IFERROR(SUMIF(CO!B:B,B151,OFFSET(CO!F:F,0,(4+MATCH(ETAPA,CO!$J$6:$V$6,0)))),0)</f>
        <v>220</v>
      </c>
      <c r="R156" s="23">
        <f ca="1">F156*Q156</f>
        <v>220</v>
      </c>
    </row>
    <row r="157" spans="1:18" x14ac:dyDescent="0.3">
      <c r="A157" s="73" t="str">
        <f>"TOTAL SEM BDI - "&amp;B151</f>
        <v>TOTAL SEM BDI - COMPOS19</v>
      </c>
      <c r="B157" s="74"/>
      <c r="C157" s="74"/>
      <c r="D157" s="74"/>
      <c r="E157" s="74"/>
      <c r="F157" s="74"/>
      <c r="G157" s="74"/>
      <c r="H157" s="75"/>
      <c r="I157" s="76">
        <f>SUM(I151:I156)</f>
        <v>46.25</v>
      </c>
      <c r="J157" s="77"/>
    </row>
    <row r="158" spans="1:18" x14ac:dyDescent="0.3">
      <c r="A158" s="73" t="str">
        <f>"TAXA DE BDI ("&amp;TEXT(BDI,"00,00")&amp;" %)"</f>
        <v>TAXA DE BDI (22,33 %)</v>
      </c>
      <c r="B158" s="74"/>
      <c r="C158" s="74"/>
      <c r="D158" s="74"/>
      <c r="E158" s="74"/>
      <c r="F158" s="74"/>
      <c r="G158" s="74"/>
      <c r="H158" s="75"/>
      <c r="I158" s="76">
        <f>ROUND(I157*(BDI/100),2)</f>
        <v>10.33</v>
      </c>
      <c r="J158" s="77"/>
    </row>
    <row r="159" spans="1:18" x14ac:dyDescent="0.3">
      <c r="A159" s="73" t="str">
        <f>"TOTAL COM BDI - "&amp;B151</f>
        <v>TOTAL COM BDI - COMPOS19</v>
      </c>
      <c r="B159" s="74"/>
      <c r="C159" s="74"/>
      <c r="D159" s="74"/>
      <c r="E159" s="74"/>
      <c r="F159" s="74"/>
      <c r="G159" s="74"/>
      <c r="H159" s="75"/>
      <c r="I159" s="76">
        <f>SUM(I157:I158)</f>
        <v>56.58</v>
      </c>
      <c r="J159" s="77"/>
    </row>
    <row r="161" spans="1:18" x14ac:dyDescent="0.3">
      <c r="A161" s="4" t="s">
        <v>1000</v>
      </c>
      <c r="B161" s="4" t="s">
        <v>170</v>
      </c>
      <c r="C161" s="4" t="s">
        <v>171</v>
      </c>
      <c r="D161" s="4" t="s">
        <v>18</v>
      </c>
      <c r="E161" s="4" t="s">
        <v>172</v>
      </c>
      <c r="F161" s="4" t="s">
        <v>507</v>
      </c>
      <c r="G161" s="45" t="s">
        <v>1001</v>
      </c>
      <c r="H161" s="46"/>
      <c r="I161" s="45" t="s">
        <v>12</v>
      </c>
      <c r="J161" s="46"/>
    </row>
    <row r="162" spans="1:18" x14ac:dyDescent="0.3">
      <c r="A162" s="15" t="s">
        <v>1010</v>
      </c>
      <c r="B162" s="15" t="s">
        <v>556</v>
      </c>
      <c r="C162" s="15" t="str">
        <f>VLOOKUP(B162,S!$A:$G,2,FALSE)</f>
        <v>PRÓPRIA</v>
      </c>
      <c r="D162" s="22" t="str">
        <f>VLOOKUP(B162,S!$A:$G,3,FALSE)</f>
        <v>BARRILETE (CURVAS E CONEXÕES)</v>
      </c>
      <c r="E162" s="15" t="str">
        <f>VLOOKUP(B162,S!$A:$G,4,FALSE)</f>
        <v>UN</v>
      </c>
      <c r="F162" s="15"/>
      <c r="G162" s="78">
        <f>I178</f>
        <v>2147.0500000000002</v>
      </c>
      <c r="H162" s="79"/>
      <c r="I162" s="78"/>
      <c r="J162" s="79"/>
      <c r="K162" s="16">
        <f>VLOOKUP(B162,S!A:G,5,FALSE)</f>
        <v>0</v>
      </c>
      <c r="L162" s="15" t="s">
        <v>1003</v>
      </c>
    </row>
    <row r="163" spans="1:18" x14ac:dyDescent="0.3">
      <c r="A163" s="23" t="s">
        <v>1004</v>
      </c>
      <c r="B163" s="23">
        <v>88264</v>
      </c>
      <c r="C163" s="23" t="str">
        <f>VLOOKUP(B163,IF(A163="COMPOSICAO",S!$A:$E,I!$A:$E),2,FALSE)</f>
        <v>SINAPI</v>
      </c>
      <c r="D163" s="24" t="str">
        <f>VLOOKUP(B163,IF(A163="COMPOSICAO",S!$A:$E,I!$A:$E),3,FALSE)</f>
        <v>ELETRICISTA COM ENCARGOS COMPLEMENTARES</v>
      </c>
      <c r="E163" s="23" t="str">
        <f>VLOOKUP(B163,IF(A163="COMPOSICAO",S!$A:$E,I!$A:$E),4,FALSE)</f>
        <v>H</v>
      </c>
      <c r="F163" s="23">
        <f>13.04/pcf</f>
        <v>13.04</v>
      </c>
      <c r="G163" s="76">
        <f>IF(A163="COMPOSICAO",VLOOKUP("TOTAL SEM BDI - "&amp;B163,CPUAUX1!$A:$J,9,FALSE),VLOOKUP(B163,I!$A:$E,5,FALSE))</f>
        <v>27.74</v>
      </c>
      <c r="H163" s="77"/>
      <c r="I163" s="76">
        <f t="shared" ref="I163:I177" si="4">TRUNC(F163*G163,2)</f>
        <v>361.72</v>
      </c>
      <c r="J163" s="77"/>
      <c r="M163" s="23">
        <f t="shared" ref="M163:M177" si="5">B163</f>
        <v>88264</v>
      </c>
      <c r="N163" s="5">
        <f>SUMIF(ORCAMENTO!B:B,B162,ORCAMENTO!F:F)</f>
        <v>6</v>
      </c>
      <c r="O163" s="23">
        <f t="shared" ref="O163:O177" si="6">F163*N163</f>
        <v>78.239999999999995</v>
      </c>
      <c r="Q163" s="23">
        <f ca="1">IFERROR(SUMIF(CO!B:B,B162,OFFSET(CO!F:F,0,(4+MATCH(ETAPA,CO!$J$6:$V$6,0)))),0)</f>
        <v>2</v>
      </c>
      <c r="R163" s="23">
        <f t="shared" ref="R163:R177" ca="1" si="7">F163*Q163</f>
        <v>26.08</v>
      </c>
    </row>
    <row r="164" spans="1:18" ht="30" customHeight="1" x14ac:dyDescent="0.3">
      <c r="A164" s="23" t="s">
        <v>1004</v>
      </c>
      <c r="B164" s="23">
        <v>88247</v>
      </c>
      <c r="C164" s="23" t="str">
        <f>VLOOKUP(B164,IF(A164="COMPOSICAO",S!$A:$E,I!$A:$E),2,FALSE)</f>
        <v>SINAPI</v>
      </c>
      <c r="D164" s="24" t="str">
        <f>VLOOKUP(B164,IF(A164="COMPOSICAO",S!$A:$E,I!$A:$E),3,FALSE)</f>
        <v>AUXILIAR DE ELETRICISTA COM ENCARGOS COMPLEMENTARES</v>
      </c>
      <c r="E164" s="23" t="str">
        <f>VLOOKUP(B164,IF(A164="COMPOSICAO",S!$A:$E,I!$A:$E),4,FALSE)</f>
        <v>H</v>
      </c>
      <c r="F164" s="23">
        <f>13.04/pcf</f>
        <v>13.04</v>
      </c>
      <c r="G164" s="76">
        <f>IF(A164="COMPOSICAO",VLOOKUP("TOTAL SEM BDI - "&amp;B164,CPUAUX1!$A:$J,9,FALSE),VLOOKUP(B164,I!$A:$E,5,FALSE))</f>
        <v>22.810000000000002</v>
      </c>
      <c r="H164" s="77"/>
      <c r="I164" s="76">
        <f t="shared" si="4"/>
        <v>297.44</v>
      </c>
      <c r="J164" s="77"/>
      <c r="M164" s="23">
        <f t="shared" si="5"/>
        <v>88247</v>
      </c>
      <c r="N164" s="5">
        <f>SUMIF(ORCAMENTO!B:B,B162,ORCAMENTO!F:F)</f>
        <v>6</v>
      </c>
      <c r="O164" s="23">
        <f t="shared" si="6"/>
        <v>78.239999999999995</v>
      </c>
      <c r="Q164" s="23">
        <f ca="1">IFERROR(SUMIF(CO!B:B,B162,OFFSET(CO!F:F,0,(4+MATCH(ETAPA,CO!$J$6:$V$6,0)))),0)</f>
        <v>2</v>
      </c>
      <c r="R164" s="23">
        <f t="shared" ca="1" si="7"/>
        <v>26.08</v>
      </c>
    </row>
    <row r="165" spans="1:18" ht="45" customHeight="1" x14ac:dyDescent="0.3">
      <c r="A165" s="23" t="s">
        <v>1005</v>
      </c>
      <c r="B165" s="23">
        <v>12898</v>
      </c>
      <c r="C165" s="23" t="str">
        <f>VLOOKUP(B165,IF(A165="COMPOSICAO",S!$A:$E,I!$A:$E),2,FALSE)</f>
        <v>SINAPI</v>
      </c>
      <c r="D165" s="24" t="str">
        <f>VLOOKUP(B165,IF(A165="COMPOSICAO",S!$A:$E,I!$A:$E),3,FALSE)</f>
        <v>MANOMETRO COM CAIXA EM ACO PINTADO, ESCALA *10* KGF/CM2 (*10* BAR), DIAMETRO NOMINAL DE 100 MM, CONEXAO DE 1/2"</v>
      </c>
      <c r="E165" s="23" t="str">
        <f>VLOOKUP(B165,IF(A165="COMPOSICAO",S!$A:$E,I!$A:$E),4,FALSE)</f>
        <v>UN</v>
      </c>
      <c r="F165" s="23">
        <v>1</v>
      </c>
      <c r="G165" s="76">
        <f>IF(A165="COMPOSICAO",VLOOKUP("TOTAL SEM BDI - "&amp;B165,CPUAUX1!$A:$J,9,FALSE),VLOOKUP(B165,I!$A:$E,5,FALSE))</f>
        <v>210</v>
      </c>
      <c r="H165" s="77"/>
      <c r="I165" s="76">
        <f t="shared" si="4"/>
        <v>210</v>
      </c>
      <c r="J165" s="77"/>
      <c r="M165" s="23">
        <f t="shared" si="5"/>
        <v>12898</v>
      </c>
      <c r="N165" s="5">
        <f>SUMIF(ORCAMENTO!B:B,B162,ORCAMENTO!F:F)</f>
        <v>6</v>
      </c>
      <c r="O165" s="23">
        <f t="shared" si="6"/>
        <v>6</v>
      </c>
      <c r="Q165" s="23">
        <f ca="1">IFERROR(SUMIF(CO!B:B,B162,OFFSET(CO!F:F,0,(4+MATCH(ETAPA,CO!$J$6:$V$6,0)))),0)</f>
        <v>2</v>
      </c>
      <c r="R165" s="23">
        <f t="shared" ca="1" si="7"/>
        <v>2</v>
      </c>
    </row>
    <row r="166" spans="1:18" ht="45" customHeight="1" x14ac:dyDescent="0.3">
      <c r="A166" s="23" t="s">
        <v>1005</v>
      </c>
      <c r="B166" s="23">
        <v>10409</v>
      </c>
      <c r="C166" s="23" t="str">
        <f>VLOOKUP(B166,IF(A166="COMPOSICAO",S!$A:$E,I!$A:$E),2,FALSE)</f>
        <v>SINAPI</v>
      </c>
      <c r="D166" s="24" t="str">
        <f>VLOOKUP(B166,IF(A166="COMPOSICAO",S!$A:$E,I!$A:$E),3,FALSE)</f>
        <v>VALVULA DE RETENCAO HORIZONTAL, DE BRONZE (PN-25), 1 1/2", 400 PSI, TAMPA DE PORCA DE UNIAO, EXTREMIDADES COM ROSCA</v>
      </c>
      <c r="E166" s="23" t="str">
        <f>VLOOKUP(B166,IF(A166="COMPOSICAO",S!$A:$E,I!$A:$E),4,FALSE)</f>
        <v>UN</v>
      </c>
      <c r="F166" s="23">
        <v>1</v>
      </c>
      <c r="G166" s="76">
        <f>IF(A166="COMPOSICAO",VLOOKUP("TOTAL SEM BDI - "&amp;B166,CPUAUX1!$A:$J,9,FALSE),VLOOKUP(B166,I!$A:$E,5,FALSE))</f>
        <v>309.76</v>
      </c>
      <c r="H166" s="77"/>
      <c r="I166" s="76">
        <f t="shared" si="4"/>
        <v>309.76</v>
      </c>
      <c r="J166" s="77"/>
      <c r="M166" s="23">
        <f t="shared" si="5"/>
        <v>10409</v>
      </c>
      <c r="N166" s="5">
        <f>SUMIF(ORCAMENTO!B:B,B162,ORCAMENTO!F:F)</f>
        <v>6</v>
      </c>
      <c r="O166" s="23">
        <f t="shared" si="6"/>
        <v>6</v>
      </c>
      <c r="Q166" s="23">
        <f ca="1">IFERROR(SUMIF(CO!B:B,B162,OFFSET(CO!F:F,0,(4+MATCH(ETAPA,CO!$J$6:$V$6,0)))),0)</f>
        <v>2</v>
      </c>
      <c r="R166" s="23">
        <f t="shared" ca="1" si="7"/>
        <v>2</v>
      </c>
    </row>
    <row r="167" spans="1:18" ht="30" customHeight="1" x14ac:dyDescent="0.3">
      <c r="A167" s="23" t="s">
        <v>1005</v>
      </c>
      <c r="B167" s="23">
        <v>6010</v>
      </c>
      <c r="C167" s="23" t="str">
        <f>VLOOKUP(B167,IF(A167="COMPOSICAO",S!$A:$E,I!$A:$E),2,FALSE)</f>
        <v>SINAPI</v>
      </c>
      <c r="D167" s="24" t="str">
        <f>VLOOKUP(B167,IF(A167="COMPOSICAO",S!$A:$E,I!$A:$E),3,FALSE)</f>
        <v>REGISTRO GAVETA BRUTO EM LATAO FORJADO, BITOLA 1 1/2"</v>
      </c>
      <c r="E167" s="23" t="str">
        <f>VLOOKUP(B167,IF(A167="COMPOSICAO",S!$A:$E,I!$A:$E),4,FALSE)</f>
        <v>UN</v>
      </c>
      <c r="F167" s="23">
        <v>1</v>
      </c>
      <c r="G167" s="76">
        <f>IF(A167="COMPOSICAO",VLOOKUP("TOTAL SEM BDI - "&amp;B167,CPUAUX1!$A:$J,9,FALSE),VLOOKUP(B167,I!$A:$E,5,FALSE))</f>
        <v>105.75</v>
      </c>
      <c r="H167" s="77"/>
      <c r="I167" s="76">
        <f t="shared" si="4"/>
        <v>105.75</v>
      </c>
      <c r="J167" s="77"/>
      <c r="M167" s="23">
        <f t="shared" si="5"/>
        <v>6010</v>
      </c>
      <c r="N167" s="5">
        <f>SUMIF(ORCAMENTO!B:B,B162,ORCAMENTO!F:F)</f>
        <v>6</v>
      </c>
      <c r="O167" s="23">
        <f t="shared" si="6"/>
        <v>6</v>
      </c>
      <c r="Q167" s="23">
        <f ca="1">IFERROR(SUMIF(CO!B:B,B162,OFFSET(CO!F:F,0,(4+MATCH(ETAPA,CO!$J$6:$V$6,0)))),0)</f>
        <v>2</v>
      </c>
      <c r="R167" s="23">
        <f t="shared" ca="1" si="7"/>
        <v>2</v>
      </c>
    </row>
    <row r="168" spans="1:18" x14ac:dyDescent="0.3">
      <c r="A168" s="23" t="s">
        <v>1005</v>
      </c>
      <c r="B168" s="23">
        <v>6297</v>
      </c>
      <c r="C168" s="23" t="str">
        <f>VLOOKUP(B168,IF(A168="COMPOSICAO",S!$A:$E,I!$A:$E),2,FALSE)</f>
        <v>SINAPI</v>
      </c>
      <c r="D168" s="24" t="str">
        <f>VLOOKUP(B168,IF(A168="COMPOSICAO",S!$A:$E,I!$A:$E),3,FALSE)</f>
        <v>TE DE FERRO GALVANIZADO, DE 1 1/2"</v>
      </c>
      <c r="E168" s="23" t="str">
        <f>VLOOKUP(B168,IF(A168="COMPOSICAO",S!$A:$E,I!$A:$E),4,FALSE)</f>
        <v>UN</v>
      </c>
      <c r="F168" s="23">
        <v>2</v>
      </c>
      <c r="G168" s="76">
        <f>IF(A168="COMPOSICAO",VLOOKUP("TOTAL SEM BDI - "&amp;B168,CPUAUX1!$A:$J,9,FALSE),VLOOKUP(B168,I!$A:$E,5,FALSE))</f>
        <v>35.909999999999997</v>
      </c>
      <c r="H168" s="77"/>
      <c r="I168" s="76">
        <f t="shared" si="4"/>
        <v>71.819999999999993</v>
      </c>
      <c r="J168" s="77"/>
      <c r="M168" s="23">
        <f t="shared" si="5"/>
        <v>6297</v>
      </c>
      <c r="N168" s="5">
        <f>SUMIF(ORCAMENTO!B:B,B162,ORCAMENTO!F:F)</f>
        <v>6</v>
      </c>
      <c r="O168" s="23">
        <f t="shared" si="6"/>
        <v>12</v>
      </c>
      <c r="Q168" s="23">
        <f ca="1">IFERROR(SUMIF(CO!B:B,B162,OFFSET(CO!F:F,0,(4+MATCH(ETAPA,CO!$J$6:$V$6,0)))),0)</f>
        <v>2</v>
      </c>
      <c r="R168" s="23">
        <f t="shared" ca="1" si="7"/>
        <v>4</v>
      </c>
    </row>
    <row r="169" spans="1:18" ht="30" customHeight="1" x14ac:dyDescent="0.3">
      <c r="A169" s="23" t="s">
        <v>1005</v>
      </c>
      <c r="B169" s="23">
        <v>72</v>
      </c>
      <c r="C169" s="23" t="str">
        <f>VLOOKUP(B169,IF(A169="COMPOSICAO",S!$A:$E,I!$A:$E),2,FALSE)</f>
        <v>SINAPI</v>
      </c>
      <c r="D169" s="24" t="str">
        <f>VLOOKUP(B169,IF(A169="COMPOSICAO",S!$A:$E,I!$A:$E),3,FALSE)</f>
        <v>ADAPTADOR PVC, ROSCAVEL, COM FLANGES E ANEL DE VEDACAO, 1 1/2", PARA CAIXA D'AGUA</v>
      </c>
      <c r="E169" s="23" t="str">
        <f>VLOOKUP(B169,IF(A169="COMPOSICAO",S!$A:$E,I!$A:$E),4,FALSE)</f>
        <v>UN</v>
      </c>
      <c r="F169" s="23">
        <v>1</v>
      </c>
      <c r="G169" s="76">
        <f>IF(A169="COMPOSICAO",VLOOKUP("TOTAL SEM BDI - "&amp;B169,CPUAUX1!$A:$J,9,FALSE),VLOOKUP(B169,I!$A:$E,5,FALSE))</f>
        <v>50.26</v>
      </c>
      <c r="H169" s="77"/>
      <c r="I169" s="76">
        <f t="shared" si="4"/>
        <v>50.26</v>
      </c>
      <c r="J169" s="77"/>
      <c r="M169" s="23">
        <f t="shared" si="5"/>
        <v>72</v>
      </c>
      <c r="N169" s="5">
        <f>SUMIF(ORCAMENTO!B:B,B162,ORCAMENTO!F:F)</f>
        <v>6</v>
      </c>
      <c r="O169" s="23">
        <f t="shared" si="6"/>
        <v>6</v>
      </c>
      <c r="Q169" s="23">
        <f ca="1">IFERROR(SUMIF(CO!B:B,B162,OFFSET(CO!F:F,0,(4+MATCH(ETAPA,CO!$J$6:$V$6,0)))),0)</f>
        <v>2</v>
      </c>
      <c r="R169" s="23">
        <f t="shared" ca="1" si="7"/>
        <v>2</v>
      </c>
    </row>
    <row r="170" spans="1:18" ht="30" customHeight="1" x14ac:dyDescent="0.3">
      <c r="A170" s="23" t="s">
        <v>1005</v>
      </c>
      <c r="B170" s="23">
        <v>12424</v>
      </c>
      <c r="C170" s="23" t="str">
        <f>VLOOKUP(B170,IF(A170="COMPOSICAO",S!$A:$E,I!$A:$E),2,FALSE)</f>
        <v>SINAPI</v>
      </c>
      <c r="D170" s="24" t="str">
        <f>VLOOKUP(B170,IF(A170="COMPOSICAO",S!$A:$E,I!$A:$E),3,FALSE)</f>
        <v>UNIAO DE FERRO GALVANIZADO, COM ASSENTO CONICO DE BRONZE, DE 1 1/2"</v>
      </c>
      <c r="E170" s="23" t="str">
        <f>VLOOKUP(B170,IF(A170="COMPOSICAO",S!$A:$E,I!$A:$E),4,FALSE)</f>
        <v>UN</v>
      </c>
      <c r="F170" s="23">
        <v>1</v>
      </c>
      <c r="G170" s="76">
        <f>IF(A170="COMPOSICAO",VLOOKUP("TOTAL SEM BDI - "&amp;B170,CPUAUX1!$A:$J,9,FALSE),VLOOKUP(B170,I!$A:$E,5,FALSE))</f>
        <v>82.38</v>
      </c>
      <c r="H170" s="77"/>
      <c r="I170" s="76">
        <f t="shared" si="4"/>
        <v>82.38</v>
      </c>
      <c r="J170" s="77"/>
      <c r="M170" s="23">
        <f t="shared" si="5"/>
        <v>12424</v>
      </c>
      <c r="N170" s="5">
        <f>SUMIF(ORCAMENTO!B:B,B162,ORCAMENTO!F:F)</f>
        <v>6</v>
      </c>
      <c r="O170" s="23">
        <f t="shared" si="6"/>
        <v>6</v>
      </c>
      <c r="Q170" s="23">
        <f ca="1">IFERROR(SUMIF(CO!B:B,B162,OFFSET(CO!F:F,0,(4+MATCH(ETAPA,CO!$J$6:$V$6,0)))),0)</f>
        <v>2</v>
      </c>
      <c r="R170" s="23">
        <f t="shared" ca="1" si="7"/>
        <v>2</v>
      </c>
    </row>
    <row r="171" spans="1:18" ht="30" customHeight="1" x14ac:dyDescent="0.3">
      <c r="A171" s="23" t="s">
        <v>1005</v>
      </c>
      <c r="B171" s="23">
        <v>4209</v>
      </c>
      <c r="C171" s="23" t="str">
        <f>VLOOKUP(B171,IF(A171="COMPOSICAO",S!$A:$E,I!$A:$E),2,FALSE)</f>
        <v>SINAPI</v>
      </c>
      <c r="D171" s="24" t="str">
        <f>VLOOKUP(B171,IF(A171="COMPOSICAO",S!$A:$E,I!$A:$E),3,FALSE)</f>
        <v>NIPLE DE FERRO GALVANIZADO, COM ROSCA BSP, DE 1 1/2"</v>
      </c>
      <c r="E171" s="23" t="str">
        <f>VLOOKUP(B171,IF(A171="COMPOSICAO",S!$A:$E,I!$A:$E),4,FALSE)</f>
        <v>UN</v>
      </c>
      <c r="F171" s="23">
        <v>4</v>
      </c>
      <c r="G171" s="76">
        <f>IF(A171="COMPOSICAO",VLOOKUP("TOTAL SEM BDI - "&amp;B171,CPUAUX1!$A:$J,9,FALSE),VLOOKUP(B171,I!$A:$E,5,FALSE))</f>
        <v>19.38</v>
      </c>
      <c r="H171" s="77"/>
      <c r="I171" s="76">
        <f t="shared" si="4"/>
        <v>77.52</v>
      </c>
      <c r="J171" s="77"/>
      <c r="M171" s="23">
        <f t="shared" si="5"/>
        <v>4209</v>
      </c>
      <c r="N171" s="5">
        <f>SUMIF(ORCAMENTO!B:B,B162,ORCAMENTO!F:F)</f>
        <v>6</v>
      </c>
      <c r="O171" s="23">
        <f t="shared" si="6"/>
        <v>24</v>
      </c>
      <c r="Q171" s="23">
        <f ca="1">IFERROR(SUMIF(CO!B:B,B162,OFFSET(CO!F:F,0,(4+MATCH(ETAPA,CO!$J$6:$V$6,0)))),0)</f>
        <v>2</v>
      </c>
      <c r="R171" s="23">
        <f t="shared" ca="1" si="7"/>
        <v>8</v>
      </c>
    </row>
    <row r="172" spans="1:18" ht="15" customHeight="1" x14ac:dyDescent="0.3">
      <c r="A172" s="23" t="s">
        <v>1005</v>
      </c>
      <c r="B172" s="23">
        <v>4893</v>
      </c>
      <c r="C172" s="23" t="str">
        <f>VLOOKUP(B172,IF(A172="COMPOSICAO",S!$A:$E,I!$A:$E),2,FALSE)</f>
        <v>SINAPI</v>
      </c>
      <c r="D172" s="24" t="str">
        <f>VLOOKUP(B172,IF(A172="COMPOSICAO",S!$A:$E,I!$A:$E),3,FALSE)</f>
        <v>PLUG OU BUJAO DE FERRO GALVANIZADO, DE 1 1/2"</v>
      </c>
      <c r="E172" s="23" t="str">
        <f>VLOOKUP(B172,IF(A172="COMPOSICAO",S!$A:$E,I!$A:$E),4,FALSE)</f>
        <v>UN</v>
      </c>
      <c r="F172" s="23">
        <v>1</v>
      </c>
      <c r="G172" s="76">
        <f>IF(A172="COMPOSICAO",VLOOKUP("TOTAL SEM BDI - "&amp;B172,CPUAUX1!$A:$J,9,FALSE),VLOOKUP(B172,I!$A:$E,5,FALSE))</f>
        <v>12.09</v>
      </c>
      <c r="H172" s="77"/>
      <c r="I172" s="76">
        <f t="shared" si="4"/>
        <v>12.09</v>
      </c>
      <c r="J172" s="77"/>
      <c r="M172" s="23">
        <f t="shared" si="5"/>
        <v>4893</v>
      </c>
      <c r="N172" s="5">
        <f>SUMIF(ORCAMENTO!B:B,B162,ORCAMENTO!F:F)</f>
        <v>6</v>
      </c>
      <c r="O172" s="23">
        <f t="shared" si="6"/>
        <v>6</v>
      </c>
      <c r="Q172" s="23">
        <f ca="1">IFERROR(SUMIF(CO!B:B,B162,OFFSET(CO!F:F,0,(4+MATCH(ETAPA,CO!$J$6:$V$6,0)))),0)</f>
        <v>2</v>
      </c>
      <c r="R172" s="23">
        <f t="shared" ca="1" si="7"/>
        <v>2</v>
      </c>
    </row>
    <row r="173" spans="1:18" ht="30" customHeight="1" x14ac:dyDescent="0.3">
      <c r="A173" s="23" t="s">
        <v>1005</v>
      </c>
      <c r="B173" s="23">
        <v>788</v>
      </c>
      <c r="C173" s="23" t="str">
        <f>VLOOKUP(B173,IF(A173="COMPOSICAO",S!$A:$E,I!$A:$E),2,FALSE)</f>
        <v>SINAPI</v>
      </c>
      <c r="D173" s="24" t="str">
        <f>VLOOKUP(B173,IF(A173="COMPOSICAO",S!$A:$E,I!$A:$E),3,FALSE)</f>
        <v>BUCHA DE REDUCAO DE FERRO GALVANIZADO, COM ROSCA BSP, DE 2" X 1 1/2"</v>
      </c>
      <c r="E173" s="23" t="str">
        <f>VLOOKUP(B173,IF(A173="COMPOSICAO",S!$A:$E,I!$A:$E),4,FALSE)</f>
        <v>UN</v>
      </c>
      <c r="F173" s="23">
        <v>2</v>
      </c>
      <c r="G173" s="76">
        <f>IF(A173="COMPOSICAO",VLOOKUP("TOTAL SEM BDI - "&amp;B173,CPUAUX1!$A:$J,9,FALSE),VLOOKUP(B173,I!$A:$E,5,FALSE))</f>
        <v>23.82</v>
      </c>
      <c r="H173" s="77"/>
      <c r="I173" s="76">
        <f t="shared" si="4"/>
        <v>47.64</v>
      </c>
      <c r="J173" s="77"/>
      <c r="M173" s="23">
        <f t="shared" si="5"/>
        <v>788</v>
      </c>
      <c r="N173" s="5">
        <f>SUMIF(ORCAMENTO!B:B,B162,ORCAMENTO!F:F)</f>
        <v>6</v>
      </c>
      <c r="O173" s="23">
        <f t="shared" si="6"/>
        <v>12</v>
      </c>
      <c r="Q173" s="23">
        <f ca="1">IFERROR(SUMIF(CO!B:B,B162,OFFSET(CO!F:F,0,(4+MATCH(ETAPA,CO!$J$6:$V$6,0)))),0)</f>
        <v>2</v>
      </c>
      <c r="R173" s="23">
        <f t="shared" ca="1" si="7"/>
        <v>4</v>
      </c>
    </row>
    <row r="174" spans="1:18" ht="30" customHeight="1" x14ac:dyDescent="0.3">
      <c r="A174" s="23" t="s">
        <v>1005</v>
      </c>
      <c r="B174" s="23">
        <v>3939</v>
      </c>
      <c r="C174" s="23" t="str">
        <f>VLOOKUP(B174,IF(A174="COMPOSICAO",S!$A:$E,I!$A:$E),2,FALSE)</f>
        <v>SINAPI</v>
      </c>
      <c r="D174" s="24" t="str">
        <f>VLOOKUP(B174,IF(A174="COMPOSICAO",S!$A:$E,I!$A:$E),3,FALSE)</f>
        <v>LUVA DE FERRO GALVANIZADO, COM ROSCA BSP, DE 1 1/2"</v>
      </c>
      <c r="E174" s="23" t="str">
        <f>VLOOKUP(B174,IF(A174="COMPOSICAO",S!$A:$E,I!$A:$E),4,FALSE)</f>
        <v>UN</v>
      </c>
      <c r="F174" s="23">
        <v>1</v>
      </c>
      <c r="G174" s="76">
        <f>IF(A174="COMPOSICAO",VLOOKUP("TOTAL SEM BDI - "&amp;B174,CPUAUX1!$A:$J,9,FALSE),VLOOKUP(B174,I!$A:$E,5,FALSE))</f>
        <v>19.670000000000002</v>
      </c>
      <c r="H174" s="77"/>
      <c r="I174" s="76">
        <f t="shared" si="4"/>
        <v>19.670000000000002</v>
      </c>
      <c r="J174" s="77"/>
      <c r="M174" s="23">
        <f t="shared" si="5"/>
        <v>3939</v>
      </c>
      <c r="N174" s="5">
        <f>SUMIF(ORCAMENTO!B:B,B162,ORCAMENTO!F:F)</f>
        <v>6</v>
      </c>
      <c r="O174" s="23">
        <f t="shared" si="6"/>
        <v>6</v>
      </c>
      <c r="Q174" s="23">
        <f ca="1">IFERROR(SUMIF(CO!B:B,B162,OFFSET(CO!F:F,0,(4+MATCH(ETAPA,CO!$J$6:$V$6,0)))),0)</f>
        <v>2</v>
      </c>
      <c r="R174" s="23">
        <f t="shared" ca="1" si="7"/>
        <v>2</v>
      </c>
    </row>
    <row r="175" spans="1:18" x14ac:dyDescent="0.3">
      <c r="A175" s="23" t="s">
        <v>1005</v>
      </c>
      <c r="B175" s="23" t="s">
        <v>1025</v>
      </c>
      <c r="C175" s="23" t="str">
        <f>VLOOKUP(B175,IF(A175="COMPOSICAO",S!$A:$E,I!$A:$E),2,FALSE)</f>
        <v>ORSE</v>
      </c>
      <c r="D175" s="24" t="str">
        <f>VLOOKUP(B175,IF(A175="COMPOSICAO",S!$A:$E,I!$A:$E),3,FALSE)</f>
        <v>ABRAÇADEIRA EM FERRO GALVANIZADO DN 150MM</v>
      </c>
      <c r="E175" s="23" t="str">
        <f>VLOOKUP(B175,IF(A175="COMPOSICAO",S!$A:$E,I!$A:$E),4,FALSE)</f>
        <v>UN</v>
      </c>
      <c r="F175" s="23">
        <v>1</v>
      </c>
      <c r="G175" s="76">
        <f>IF(A175="COMPOSICAO",VLOOKUP("TOTAL SEM BDI - "&amp;B175,CPUAUX1!$A:$J,9,FALSE),VLOOKUP(B175,I!$A:$E,5,FALSE))</f>
        <v>55.96</v>
      </c>
      <c r="H175" s="77"/>
      <c r="I175" s="76">
        <f t="shared" si="4"/>
        <v>55.96</v>
      </c>
      <c r="J175" s="77"/>
      <c r="M175" s="23" t="str">
        <f t="shared" si="5"/>
        <v>04840/ORSE</v>
      </c>
      <c r="N175" s="5">
        <f>SUMIF(ORCAMENTO!B:B,B162,ORCAMENTO!F:F)</f>
        <v>6</v>
      </c>
      <c r="O175" s="23">
        <f t="shared" si="6"/>
        <v>6</v>
      </c>
      <c r="Q175" s="23">
        <f ca="1">IFERROR(SUMIF(CO!B:B,B162,OFFSET(CO!F:F,0,(4+MATCH(ETAPA,CO!$J$6:$V$6,0)))),0)</f>
        <v>2</v>
      </c>
      <c r="R175" s="23">
        <f t="shared" ca="1" si="7"/>
        <v>2</v>
      </c>
    </row>
    <row r="176" spans="1:18" ht="30" customHeight="1" x14ac:dyDescent="0.3">
      <c r="A176" s="23" t="s">
        <v>1005</v>
      </c>
      <c r="B176" s="23">
        <v>1789</v>
      </c>
      <c r="C176" s="23" t="str">
        <f>VLOOKUP(B176,IF(A176="COMPOSICAO",S!$A:$E,I!$A:$E),2,FALSE)</f>
        <v>SINAPI</v>
      </c>
      <c r="D176" s="24" t="str">
        <f>VLOOKUP(B176,IF(A176="COMPOSICAO",S!$A:$E,I!$A:$E),3,FALSE)</f>
        <v>CURVA 90 GRAUS DE FERRO GALVANIZADO, COM ROSCA BSP FEMEA, DE 1 1/2"</v>
      </c>
      <c r="E176" s="23" t="str">
        <f>VLOOKUP(B176,IF(A176="COMPOSICAO",S!$A:$E,I!$A:$E),4,FALSE)</f>
        <v>UN</v>
      </c>
      <c r="F176" s="23">
        <v>2</v>
      </c>
      <c r="G176" s="76">
        <f>IF(A176="COMPOSICAO",VLOOKUP("TOTAL SEM BDI - "&amp;B176,CPUAUX1!$A:$J,9,FALSE),VLOOKUP(B176,I!$A:$E,5,FALSE))</f>
        <v>68.05</v>
      </c>
      <c r="H176" s="77"/>
      <c r="I176" s="76">
        <f t="shared" si="4"/>
        <v>136.1</v>
      </c>
      <c r="J176" s="77"/>
      <c r="M176" s="23">
        <f t="shared" si="5"/>
        <v>1789</v>
      </c>
      <c r="N176" s="5">
        <f>SUMIF(ORCAMENTO!B:B,B162,ORCAMENTO!F:F)</f>
        <v>6</v>
      </c>
      <c r="O176" s="23">
        <f t="shared" si="6"/>
        <v>12</v>
      </c>
      <c r="Q176" s="23">
        <f ca="1">IFERROR(SUMIF(CO!B:B,B162,OFFSET(CO!F:F,0,(4+MATCH(ETAPA,CO!$J$6:$V$6,0)))),0)</f>
        <v>2</v>
      </c>
      <c r="R176" s="23">
        <f t="shared" ca="1" si="7"/>
        <v>4</v>
      </c>
    </row>
    <row r="177" spans="1:18" ht="45" customHeight="1" x14ac:dyDescent="0.3">
      <c r="A177" s="23" t="s">
        <v>1005</v>
      </c>
      <c r="B177" s="23">
        <v>21012</v>
      </c>
      <c r="C177" s="23" t="str">
        <f>VLOOKUP(B177,IF(A177="COMPOSICAO",S!$A:$E,I!$A:$E),2,FALSE)</f>
        <v>SINAPI</v>
      </c>
      <c r="D177" s="24" t="str">
        <f>VLOOKUP(B177,IF(A177="COMPOSICAO",S!$A:$E,I!$A:$E),3,FALSE)</f>
        <v>TUBO ACO GALVANIZADO COM COSTURA, CLASSE LEVE, DN 40 MM (1 1/2"), E = 3,00 MM, *3,48* KG/M (NBR 5580)</v>
      </c>
      <c r="E177" s="23" t="str">
        <f>VLOOKUP(B177,IF(A177="COMPOSICAO",S!$A:$E,I!$A:$E),4,FALSE)</f>
        <v>M</v>
      </c>
      <c r="F177" s="23">
        <v>6</v>
      </c>
      <c r="G177" s="76">
        <f>IF(A177="COMPOSICAO",VLOOKUP("TOTAL SEM BDI - "&amp;B177,CPUAUX1!$A:$J,9,FALSE),VLOOKUP(B177,I!$A:$E,5,FALSE))</f>
        <v>51.49</v>
      </c>
      <c r="H177" s="77"/>
      <c r="I177" s="76">
        <f t="shared" si="4"/>
        <v>308.94</v>
      </c>
      <c r="J177" s="77"/>
      <c r="M177" s="23">
        <f t="shared" si="5"/>
        <v>21012</v>
      </c>
      <c r="N177" s="5">
        <f>SUMIF(ORCAMENTO!B:B,B162,ORCAMENTO!F:F)</f>
        <v>6</v>
      </c>
      <c r="O177" s="23">
        <f t="shared" si="6"/>
        <v>36</v>
      </c>
      <c r="Q177" s="23">
        <f ca="1">IFERROR(SUMIF(CO!B:B,B162,OFFSET(CO!F:F,0,(4+MATCH(ETAPA,CO!$J$6:$V$6,0)))),0)</f>
        <v>2</v>
      </c>
      <c r="R177" s="23">
        <f t="shared" ca="1" si="7"/>
        <v>12</v>
      </c>
    </row>
    <row r="178" spans="1:18" x14ac:dyDescent="0.3">
      <c r="A178" s="73" t="str">
        <f>"TOTAL SEM BDI - "&amp;B162</f>
        <v>TOTAL SEM BDI - COMPOS21</v>
      </c>
      <c r="B178" s="74"/>
      <c r="C178" s="74"/>
      <c r="D178" s="74"/>
      <c r="E178" s="74"/>
      <c r="F178" s="74"/>
      <c r="G178" s="74"/>
      <c r="H178" s="75"/>
      <c r="I178" s="76">
        <f>SUM(I162:I177)</f>
        <v>2147.0500000000002</v>
      </c>
      <c r="J178" s="77"/>
    </row>
    <row r="179" spans="1:18" x14ac:dyDescent="0.3">
      <c r="A179" s="73" t="str">
        <f>"TAXA DE BDI ("&amp;TEXT(BDI,"00,00")&amp;" %)"</f>
        <v>TAXA DE BDI (22,33 %)</v>
      </c>
      <c r="B179" s="74"/>
      <c r="C179" s="74"/>
      <c r="D179" s="74"/>
      <c r="E179" s="74"/>
      <c r="F179" s="74"/>
      <c r="G179" s="74"/>
      <c r="H179" s="75"/>
      <c r="I179" s="76">
        <f>ROUND(I178*(BDI/100),2)</f>
        <v>479.44</v>
      </c>
      <c r="J179" s="77"/>
    </row>
    <row r="180" spans="1:18" x14ac:dyDescent="0.3">
      <c r="A180" s="73" t="str">
        <f>"TOTAL COM BDI - "&amp;B162</f>
        <v>TOTAL COM BDI - COMPOS21</v>
      </c>
      <c r="B180" s="74"/>
      <c r="C180" s="74"/>
      <c r="D180" s="74"/>
      <c r="E180" s="74"/>
      <c r="F180" s="74"/>
      <c r="G180" s="74"/>
      <c r="H180" s="75"/>
      <c r="I180" s="76">
        <f>SUM(I178:I179)</f>
        <v>2626.4900000000002</v>
      </c>
      <c r="J180" s="77"/>
    </row>
    <row r="182" spans="1:18" x14ac:dyDescent="0.3">
      <c r="A182" s="4" t="s">
        <v>1000</v>
      </c>
      <c r="B182" s="4" t="s">
        <v>170</v>
      </c>
      <c r="C182" s="4" t="s">
        <v>171</v>
      </c>
      <c r="D182" s="4" t="s">
        <v>18</v>
      </c>
      <c r="E182" s="4" t="s">
        <v>172</v>
      </c>
      <c r="F182" s="4" t="s">
        <v>507</v>
      </c>
      <c r="G182" s="45" t="s">
        <v>1001</v>
      </c>
      <c r="H182" s="46"/>
      <c r="I182" s="45" t="s">
        <v>12</v>
      </c>
      <c r="J182" s="46"/>
    </row>
    <row r="183" spans="1:18" ht="30" customHeight="1" x14ac:dyDescent="0.3">
      <c r="A183" s="15" t="s">
        <v>1010</v>
      </c>
      <c r="B183" s="15" t="s">
        <v>558</v>
      </c>
      <c r="C183" s="15" t="str">
        <f>VLOOKUP(B183,S!$A:$G,2,FALSE)</f>
        <v>PRÓPRIA</v>
      </c>
      <c r="D183" s="22" t="str">
        <f>VLOOKUP(B183,S!$A:$G,3,FALSE)</f>
        <v>AQUISIÇÃO E INSTALAÇÃO DE DOSADOR DE CLORO</v>
      </c>
      <c r="E183" s="15" t="str">
        <f>VLOOKUP(B183,S!$A:$G,4,FALSE)</f>
        <v>UND</v>
      </c>
      <c r="F183" s="15"/>
      <c r="G183" s="78">
        <f>I195</f>
        <v>1061.6399999999999</v>
      </c>
      <c r="H183" s="79"/>
      <c r="I183" s="78"/>
      <c r="J183" s="79"/>
      <c r="K183" s="16">
        <f>VLOOKUP(B183,S!A:G,5,FALSE)</f>
        <v>0</v>
      </c>
      <c r="L183" s="15" t="s">
        <v>1003</v>
      </c>
    </row>
    <row r="184" spans="1:18" ht="30" customHeight="1" x14ac:dyDescent="0.3">
      <c r="A184" s="23" t="s">
        <v>1004</v>
      </c>
      <c r="B184" s="23">
        <v>88267</v>
      </c>
      <c r="C184" s="23" t="str">
        <f>VLOOKUP(B184,IF(A184="COMPOSICAO",S!$A:$E,I!$A:$E),2,FALSE)</f>
        <v>SINAPI</v>
      </c>
      <c r="D184" s="24" t="str">
        <f>VLOOKUP(B184,IF(A184="COMPOSICAO",S!$A:$E,I!$A:$E),3,FALSE)</f>
        <v>ENCANADOR OU BOMBEIRO HIDRÁULICO COM ENCARGOS COMPLEMENTARES</v>
      </c>
      <c r="E184" s="23" t="str">
        <f>VLOOKUP(B184,IF(A184="COMPOSICAO",S!$A:$E,I!$A:$E),4,FALSE)</f>
        <v>H</v>
      </c>
      <c r="F184" s="23">
        <f>4/pcf</f>
        <v>4</v>
      </c>
      <c r="G184" s="76">
        <f>IF(A184="COMPOSICAO",VLOOKUP("TOTAL SEM BDI - "&amp;B184,CPUAUX1!$A:$J,9,FALSE),VLOOKUP(B184,I!$A:$E,5,FALSE))</f>
        <v>26.669999999999998</v>
      </c>
      <c r="H184" s="77"/>
      <c r="I184" s="76">
        <f t="shared" ref="I184:I194" si="8">TRUNC(F184*G184,2)</f>
        <v>106.68</v>
      </c>
      <c r="J184" s="77"/>
      <c r="M184" s="23">
        <f t="shared" ref="M184:M194" si="9">B184</f>
        <v>88267</v>
      </c>
      <c r="N184" s="5">
        <f>SUMIF(ORCAMENTO!B:B,B183,ORCAMENTO!F:F)</f>
        <v>6</v>
      </c>
      <c r="O184" s="23">
        <f t="shared" ref="O184:O194" si="10">F184*N184</f>
        <v>24</v>
      </c>
      <c r="Q184" s="23">
        <f ca="1">IFERROR(SUMIF(CO!B:B,B183,OFFSET(CO!F:F,0,(4+MATCH(ETAPA,CO!$J$6:$V$6,0)))),0)</f>
        <v>2</v>
      </c>
      <c r="R184" s="23">
        <f t="shared" ref="R184:R194" ca="1" si="11">F184*Q184</f>
        <v>8</v>
      </c>
    </row>
    <row r="185" spans="1:18" ht="30" customHeight="1" x14ac:dyDescent="0.3">
      <c r="A185" s="23" t="s">
        <v>1004</v>
      </c>
      <c r="B185" s="23">
        <v>88248</v>
      </c>
      <c r="C185" s="23" t="str">
        <f>VLOOKUP(B185,IF(A185="COMPOSICAO",S!$A:$E,I!$A:$E),2,FALSE)</f>
        <v>SINAPI</v>
      </c>
      <c r="D185" s="24" t="str">
        <f>VLOOKUP(B185,IF(A185="COMPOSICAO",S!$A:$E,I!$A:$E),3,FALSE)</f>
        <v>AUXILIAR DE ENCANADOR OU BOMBEIRO HIDRÁULICO COM ENCARGOS COMPLEMENTARES</v>
      </c>
      <c r="E185" s="23" t="str">
        <f>VLOOKUP(B185,IF(A185="COMPOSICAO",S!$A:$E,I!$A:$E),4,FALSE)</f>
        <v>H</v>
      </c>
      <c r="F185" s="23">
        <f>4/pcf</f>
        <v>4</v>
      </c>
      <c r="G185" s="76">
        <f>IF(A185="COMPOSICAO",VLOOKUP("TOTAL SEM BDI - "&amp;B185,CPUAUX1!$A:$J,9,FALSE),VLOOKUP(B185,I!$A:$E,5,FALSE))</f>
        <v>21.82</v>
      </c>
      <c r="H185" s="77"/>
      <c r="I185" s="76">
        <f t="shared" si="8"/>
        <v>87.28</v>
      </c>
      <c r="J185" s="77"/>
      <c r="M185" s="23">
        <f t="shared" si="9"/>
        <v>88248</v>
      </c>
      <c r="N185" s="5">
        <f>SUMIF(ORCAMENTO!B:B,B183,ORCAMENTO!F:F)</f>
        <v>6</v>
      </c>
      <c r="O185" s="23">
        <f t="shared" si="10"/>
        <v>24</v>
      </c>
      <c r="Q185" s="23">
        <f ca="1">IFERROR(SUMIF(CO!B:B,B183,OFFSET(CO!F:F,0,(4+MATCH(ETAPA,CO!$J$6:$V$6,0)))),0)</f>
        <v>2</v>
      </c>
      <c r="R185" s="23">
        <f t="shared" ca="1" si="11"/>
        <v>8</v>
      </c>
    </row>
    <row r="186" spans="1:18" ht="30" customHeight="1" x14ac:dyDescent="0.3">
      <c r="A186" s="23" t="s">
        <v>1005</v>
      </c>
      <c r="B186" s="23">
        <v>108</v>
      </c>
      <c r="C186" s="23" t="str">
        <f>VLOOKUP(B186,IF(A186="COMPOSICAO",S!$A:$E,I!$A:$E),2,FALSE)</f>
        <v>SINAPI</v>
      </c>
      <c r="D186" s="24" t="str">
        <f>VLOOKUP(B186,IF(A186="COMPOSICAO",S!$A:$E,I!$A:$E),3,FALSE)</f>
        <v>ADAPTADOR PVC SOLDAVEL CURTO COM BOLSA E ROSCA, 32 MM X 1", PARA AGUA FRIA</v>
      </c>
      <c r="E186" s="23" t="str">
        <f>VLOOKUP(B186,IF(A186="COMPOSICAO",S!$A:$E,I!$A:$E),4,FALSE)</f>
        <v>UN</v>
      </c>
      <c r="F186" s="23">
        <v>4</v>
      </c>
      <c r="G186" s="76">
        <f>IF(A186="COMPOSICAO",VLOOKUP("TOTAL SEM BDI - "&amp;B186,CPUAUX1!$A:$J,9,FALSE),VLOOKUP(B186,I!$A:$E,5,FALSE))</f>
        <v>1.79</v>
      </c>
      <c r="H186" s="77"/>
      <c r="I186" s="76">
        <f t="shared" si="8"/>
        <v>7.16</v>
      </c>
      <c r="J186" s="77"/>
      <c r="M186" s="23">
        <f t="shared" si="9"/>
        <v>108</v>
      </c>
      <c r="N186" s="5">
        <f>SUMIF(ORCAMENTO!B:B,B183,ORCAMENTO!F:F)</f>
        <v>6</v>
      </c>
      <c r="O186" s="23">
        <f t="shared" si="10"/>
        <v>24</v>
      </c>
      <c r="Q186" s="23">
        <f ca="1">IFERROR(SUMIF(CO!B:B,B183,OFFSET(CO!F:F,0,(4+MATCH(ETAPA,CO!$J$6:$V$6,0)))),0)</f>
        <v>2</v>
      </c>
      <c r="R186" s="23">
        <f t="shared" ca="1" si="11"/>
        <v>8</v>
      </c>
    </row>
    <row r="187" spans="1:18" x14ac:dyDescent="0.3">
      <c r="A187" s="23" t="s">
        <v>1005</v>
      </c>
      <c r="B187" s="23" t="s">
        <v>1026</v>
      </c>
      <c r="C187" s="23" t="str">
        <f>VLOOKUP(B187,IF(A187="COMPOSICAO",S!$A:$E,I!$A:$E),2,FALSE)</f>
        <v>ORSE</v>
      </c>
      <c r="D187" s="24" t="str">
        <f>VLOOKUP(B187,IF(A187="COMPOSICAO",S!$A:$E,I!$A:$E),3,FALSE)</f>
        <v>LUVA PVC RIGIDO ROSCAVEL D=1 "</v>
      </c>
      <c r="E187" s="23" t="str">
        <f>VLOOKUP(B187,IF(A187="COMPOSICAO",S!$A:$E,I!$A:$E),4,FALSE)</f>
        <v>UN</v>
      </c>
      <c r="F187" s="23">
        <v>2</v>
      </c>
      <c r="G187" s="76">
        <f>IF(A187="COMPOSICAO",VLOOKUP("TOTAL SEM BDI - "&amp;B187,CPUAUX1!$A:$J,9,FALSE),VLOOKUP(B187,I!$A:$E,5,FALSE))</f>
        <v>4.4800000000000004</v>
      </c>
      <c r="H187" s="77"/>
      <c r="I187" s="76">
        <f t="shared" si="8"/>
        <v>8.9600000000000009</v>
      </c>
      <c r="J187" s="77"/>
      <c r="M187" s="23" t="str">
        <f t="shared" si="9"/>
        <v>01431/ORSE</v>
      </c>
      <c r="N187" s="5">
        <f>SUMIF(ORCAMENTO!B:B,B183,ORCAMENTO!F:F)</f>
        <v>6</v>
      </c>
      <c r="O187" s="23">
        <f t="shared" si="10"/>
        <v>12</v>
      </c>
      <c r="Q187" s="23">
        <f ca="1">IFERROR(SUMIF(CO!B:B,B183,OFFSET(CO!F:F,0,(4+MATCH(ETAPA,CO!$J$6:$V$6,0)))),0)</f>
        <v>2</v>
      </c>
      <c r="R187" s="23">
        <f t="shared" ca="1" si="11"/>
        <v>4</v>
      </c>
    </row>
    <row r="188" spans="1:18" ht="30" customHeight="1" x14ac:dyDescent="0.3">
      <c r="A188" s="23" t="s">
        <v>1005</v>
      </c>
      <c r="B188" s="23">
        <v>1957</v>
      </c>
      <c r="C188" s="23" t="str">
        <f>VLOOKUP(B188,IF(A188="COMPOSICAO",S!$A:$E,I!$A:$E),2,FALSE)</f>
        <v>SINAPI</v>
      </c>
      <c r="D188" s="24" t="str">
        <f>VLOOKUP(B188,IF(A188="COMPOSICAO",S!$A:$E,I!$A:$E),3,FALSE)</f>
        <v>CURVA DE PVC 90 GRAUS, SOLDAVEL, 32 MM, COR MARROM, PARA AGUA FRIA PREDIAL</v>
      </c>
      <c r="E188" s="23" t="str">
        <f>VLOOKUP(B188,IF(A188="COMPOSICAO",S!$A:$E,I!$A:$E),4,FALSE)</f>
        <v>UN</v>
      </c>
      <c r="F188" s="23">
        <v>4</v>
      </c>
      <c r="G188" s="76">
        <f>IF(A188="COMPOSICAO",VLOOKUP("TOTAL SEM BDI - "&amp;B188,CPUAUX1!$A:$J,9,FALSE),VLOOKUP(B188,I!$A:$E,5,FALSE))</f>
        <v>6.45</v>
      </c>
      <c r="H188" s="77"/>
      <c r="I188" s="76">
        <f t="shared" si="8"/>
        <v>25.8</v>
      </c>
      <c r="J188" s="77"/>
      <c r="M188" s="23">
        <f t="shared" si="9"/>
        <v>1957</v>
      </c>
      <c r="N188" s="5">
        <f>SUMIF(ORCAMENTO!B:B,B183,ORCAMENTO!F:F)</f>
        <v>6</v>
      </c>
      <c r="O188" s="23">
        <f t="shared" si="10"/>
        <v>24</v>
      </c>
      <c r="Q188" s="23">
        <f ca="1">IFERROR(SUMIF(CO!B:B,B183,OFFSET(CO!F:F,0,(4+MATCH(ETAPA,CO!$J$6:$V$6,0)))),0)</f>
        <v>2</v>
      </c>
      <c r="R188" s="23">
        <f t="shared" ca="1" si="11"/>
        <v>8</v>
      </c>
    </row>
    <row r="189" spans="1:18" ht="30" customHeight="1" x14ac:dyDescent="0.3">
      <c r="A189" s="23" t="s">
        <v>1005</v>
      </c>
      <c r="B189" s="23">
        <v>11675</v>
      </c>
      <c r="C189" s="23" t="str">
        <f>VLOOKUP(B189,IF(A189="COMPOSICAO",S!$A:$E,I!$A:$E),2,FALSE)</f>
        <v>SINAPI</v>
      </c>
      <c r="D189" s="24" t="str">
        <f>VLOOKUP(B189,IF(A189="COMPOSICAO",S!$A:$E,I!$A:$E),3,FALSE)</f>
        <v>REGISTRO DE ESFERA, PVC, COM VOLANTE, VS, SOLDAVEL, DN 32 MM, COM CORPO DIVIDIDO</v>
      </c>
      <c r="E189" s="23" t="str">
        <f>VLOOKUP(B189,IF(A189="COMPOSICAO",S!$A:$E,I!$A:$E),4,FALSE)</f>
        <v>UN</v>
      </c>
      <c r="F189" s="23">
        <v>3</v>
      </c>
      <c r="G189" s="76">
        <f>IF(A189="COMPOSICAO",VLOOKUP("TOTAL SEM BDI - "&amp;B189,CPUAUX1!$A:$J,9,FALSE),VLOOKUP(B189,I!$A:$E,5,FALSE))</f>
        <v>43.41</v>
      </c>
      <c r="H189" s="77"/>
      <c r="I189" s="76">
        <f t="shared" si="8"/>
        <v>130.22999999999999</v>
      </c>
      <c r="J189" s="77"/>
      <c r="M189" s="23">
        <f t="shared" si="9"/>
        <v>11675</v>
      </c>
      <c r="N189" s="5">
        <f>SUMIF(ORCAMENTO!B:B,B183,ORCAMENTO!F:F)</f>
        <v>6</v>
      </c>
      <c r="O189" s="23">
        <f t="shared" si="10"/>
        <v>18</v>
      </c>
      <c r="Q189" s="23">
        <f ca="1">IFERROR(SUMIF(CO!B:B,B183,OFFSET(CO!F:F,0,(4+MATCH(ETAPA,CO!$J$6:$V$6,0)))),0)</f>
        <v>2</v>
      </c>
      <c r="R189" s="23">
        <f t="shared" ca="1" si="11"/>
        <v>6</v>
      </c>
    </row>
    <row r="190" spans="1:18" ht="30" customHeight="1" x14ac:dyDescent="0.3">
      <c r="A190" s="23" t="s">
        <v>1005</v>
      </c>
      <c r="B190" s="23">
        <v>7140</v>
      </c>
      <c r="C190" s="23" t="str">
        <f>VLOOKUP(B190,IF(A190="COMPOSICAO",S!$A:$E,I!$A:$E),2,FALSE)</f>
        <v>SINAPI</v>
      </c>
      <c r="D190" s="24" t="str">
        <f>VLOOKUP(B190,IF(A190="COMPOSICAO",S!$A:$E,I!$A:$E),3,FALSE)</f>
        <v>TE SOLDAVEL, PVC, 90 GRAUS, 32 MM, PARA AGUA FRIA PREDIAL (NBR 5648)</v>
      </c>
      <c r="E190" s="23" t="str">
        <f>VLOOKUP(B190,IF(A190="COMPOSICAO",S!$A:$E,I!$A:$E),4,FALSE)</f>
        <v>UN</v>
      </c>
      <c r="F190" s="23">
        <v>1</v>
      </c>
      <c r="G190" s="76">
        <f>IF(A190="COMPOSICAO",VLOOKUP("TOTAL SEM BDI - "&amp;B190,CPUAUX1!$A:$J,9,FALSE),VLOOKUP(B190,I!$A:$E,5,FALSE))</f>
        <v>3.77</v>
      </c>
      <c r="H190" s="77"/>
      <c r="I190" s="76">
        <f t="shared" si="8"/>
        <v>3.77</v>
      </c>
      <c r="J190" s="77"/>
      <c r="M190" s="23">
        <f t="shared" si="9"/>
        <v>7140</v>
      </c>
      <c r="N190" s="5">
        <f>SUMIF(ORCAMENTO!B:B,B183,ORCAMENTO!F:F)</f>
        <v>6</v>
      </c>
      <c r="O190" s="23">
        <f t="shared" si="10"/>
        <v>6</v>
      </c>
      <c r="Q190" s="23">
        <f ca="1">IFERROR(SUMIF(CO!B:B,B183,OFFSET(CO!F:F,0,(4+MATCH(ETAPA,CO!$J$6:$V$6,0)))),0)</f>
        <v>2</v>
      </c>
      <c r="R190" s="23">
        <f t="shared" ca="1" si="11"/>
        <v>2</v>
      </c>
    </row>
    <row r="191" spans="1:18" ht="30" customHeight="1" x14ac:dyDescent="0.3">
      <c r="A191" s="23" t="s">
        <v>1005</v>
      </c>
      <c r="B191" s="23">
        <v>3536</v>
      </c>
      <c r="C191" s="23" t="str">
        <f>VLOOKUP(B191,IF(A191="COMPOSICAO",S!$A:$E,I!$A:$E),2,FALSE)</f>
        <v>SINAPI</v>
      </c>
      <c r="D191" s="24" t="str">
        <f>VLOOKUP(B191,IF(A191="COMPOSICAO",S!$A:$E,I!$A:$E),3,FALSE)</f>
        <v>JOELHO PVC, SOLDAVEL, 90 GRAUS, 32 MM, COR MARROM, PARA AGUA FRIA PREDIAL</v>
      </c>
      <c r="E191" s="23" t="str">
        <f>VLOOKUP(B191,IF(A191="COMPOSICAO",S!$A:$E,I!$A:$E),4,FALSE)</f>
        <v>UN</v>
      </c>
      <c r="F191" s="23">
        <v>1</v>
      </c>
      <c r="G191" s="76">
        <f>IF(A191="COMPOSICAO",VLOOKUP("TOTAL SEM BDI - "&amp;B191,CPUAUX1!$A:$J,9,FALSE),VLOOKUP(B191,I!$A:$E,5,FALSE))</f>
        <v>2.42</v>
      </c>
      <c r="H191" s="77"/>
      <c r="I191" s="76">
        <f t="shared" si="8"/>
        <v>2.42</v>
      </c>
      <c r="J191" s="77"/>
      <c r="M191" s="23">
        <f t="shared" si="9"/>
        <v>3536</v>
      </c>
      <c r="N191" s="5">
        <f>SUMIF(ORCAMENTO!B:B,B183,ORCAMENTO!F:F)</f>
        <v>6</v>
      </c>
      <c r="O191" s="23">
        <f t="shared" si="10"/>
        <v>6</v>
      </c>
      <c r="Q191" s="23">
        <f ca="1">IFERROR(SUMIF(CO!B:B,B183,OFFSET(CO!F:F,0,(4+MATCH(ETAPA,CO!$J$6:$V$6,0)))),0)</f>
        <v>2</v>
      </c>
      <c r="R191" s="23">
        <f t="shared" ca="1" si="11"/>
        <v>2</v>
      </c>
    </row>
    <row r="192" spans="1:18" ht="30" customHeight="1" x14ac:dyDescent="0.3">
      <c r="A192" s="23" t="s">
        <v>1005</v>
      </c>
      <c r="B192" s="23">
        <v>9869</v>
      </c>
      <c r="C192" s="23" t="str">
        <f>VLOOKUP(B192,IF(A192="COMPOSICAO",S!$A:$E,I!$A:$E),2,FALSE)</f>
        <v>SINAPI</v>
      </c>
      <c r="D192" s="24" t="str">
        <f>VLOOKUP(B192,IF(A192="COMPOSICAO",S!$A:$E,I!$A:$E),3,FALSE)</f>
        <v>TUBO PVC, SOLDAVEL, DE 32 MM, AGUA FRIA (NBR-5648)</v>
      </c>
      <c r="E192" s="23" t="str">
        <f>VLOOKUP(B192,IF(A192="COMPOSICAO",S!$A:$E,I!$A:$E),4,FALSE)</f>
        <v>M</v>
      </c>
      <c r="F192" s="23">
        <v>2</v>
      </c>
      <c r="G192" s="76">
        <f>IF(A192="COMPOSICAO",VLOOKUP("TOTAL SEM BDI - "&amp;B192,CPUAUX1!$A:$J,9,FALSE),VLOOKUP(B192,I!$A:$E,5,FALSE))</f>
        <v>8.9499999999999993</v>
      </c>
      <c r="H192" s="77"/>
      <c r="I192" s="76">
        <f t="shared" si="8"/>
        <v>17.899999999999999</v>
      </c>
      <c r="J192" s="77"/>
      <c r="M192" s="23">
        <f t="shared" si="9"/>
        <v>9869</v>
      </c>
      <c r="N192" s="5">
        <f>SUMIF(ORCAMENTO!B:B,B183,ORCAMENTO!F:F)</f>
        <v>6</v>
      </c>
      <c r="O192" s="23">
        <f t="shared" si="10"/>
        <v>12</v>
      </c>
      <c r="Q192" s="23">
        <f ca="1">IFERROR(SUMIF(CO!B:B,B183,OFFSET(CO!F:F,0,(4+MATCH(ETAPA,CO!$J$6:$V$6,0)))),0)</f>
        <v>2</v>
      </c>
      <c r="R192" s="23">
        <f t="shared" ca="1" si="11"/>
        <v>4</v>
      </c>
    </row>
    <row r="193" spans="1:18" ht="28.8" x14ac:dyDescent="0.3">
      <c r="A193" s="23" t="s">
        <v>1005</v>
      </c>
      <c r="B193" s="23">
        <v>1420</v>
      </c>
      <c r="C193" s="23" t="str">
        <f>VLOOKUP(B193,IF(A193="COMPOSICAO",S!$A:$E,I!$A:$E),2,FALSE)</f>
        <v>SINAPI</v>
      </c>
      <c r="D193" s="24" t="str">
        <f>VLOOKUP(B193,IF(A193="COMPOSICAO",S!$A:$E,I!$A:$E),3,FALSE)</f>
        <v>COLAR TOMADA PVC, COM TRAVAS, SAIDA COM ROSCA, DE 40 MM X 1/2" OU 40 MM X 3/4", PARA LIGACAO PREDIAL DE AGUA</v>
      </c>
      <c r="E193" s="23" t="str">
        <f>VLOOKUP(B193,IF(A193="COMPOSICAO",S!$A:$E,I!$A:$E),4,FALSE)</f>
        <v>UND</v>
      </c>
      <c r="F193" s="23">
        <v>2</v>
      </c>
      <c r="G193" s="76">
        <f>IF(A193="COMPOSICAO",VLOOKUP("TOTAL SEM BDI - "&amp;B193,CPUAUX1!$A:$J,9,FALSE),VLOOKUP(B193,I!$A:$E,5,FALSE))</f>
        <v>11.94</v>
      </c>
      <c r="H193" s="77"/>
      <c r="I193" s="76">
        <f t="shared" si="8"/>
        <v>23.88</v>
      </c>
      <c r="J193" s="77"/>
      <c r="M193" s="23">
        <f t="shared" si="9"/>
        <v>1420</v>
      </c>
      <c r="N193" s="5">
        <f>SUMIF(ORCAMENTO!B:B,B183,ORCAMENTO!F:F)</f>
        <v>6</v>
      </c>
      <c r="O193" s="23">
        <f t="shared" si="10"/>
        <v>12</v>
      </c>
      <c r="Q193" s="23">
        <f ca="1">IFERROR(SUMIF(CO!B:B,B183,OFFSET(CO!F:F,0,(4+MATCH(ETAPA,CO!$J$6:$V$6,0)))),0)</f>
        <v>2</v>
      </c>
      <c r="R193" s="23">
        <f t="shared" ca="1" si="11"/>
        <v>4</v>
      </c>
    </row>
    <row r="194" spans="1:18" ht="30" customHeight="1" x14ac:dyDescent="0.3">
      <c r="A194" s="23" t="s">
        <v>1005</v>
      </c>
      <c r="B194" s="23" t="s">
        <v>1028</v>
      </c>
      <c r="C194" s="23" t="str">
        <f>VLOOKUP(B194,IF(A194="COMPOSICAO",S!$A:$E,I!$A:$E),2,FALSE)</f>
        <v>ORSE</v>
      </c>
      <c r="D194" s="24" t="str">
        <f>VLOOKUP(B194,IF(A194="COMPOSICAO",S!$A:$E,I!$A:$E),3,FALSE)</f>
        <v>HIPOCLORADOR OU DOSADOR DE SOLUÇÕES, COM REGULADOR P/ 6,12 OU 24 L/H</v>
      </c>
      <c r="E194" s="23" t="str">
        <f>VLOOKUP(B194,IF(A194="COMPOSICAO",S!$A:$E,I!$A:$E),4,FALSE)</f>
        <v>UN</v>
      </c>
      <c r="F194" s="23">
        <v>1</v>
      </c>
      <c r="G194" s="76">
        <f>IF(A194="COMPOSICAO",VLOOKUP("TOTAL SEM BDI - "&amp;B194,CPUAUX1!$A:$J,9,FALSE),VLOOKUP(B194,I!$A:$E,5,FALSE))</f>
        <v>647.55999999999995</v>
      </c>
      <c r="H194" s="77"/>
      <c r="I194" s="76">
        <f t="shared" si="8"/>
        <v>647.55999999999995</v>
      </c>
      <c r="J194" s="77"/>
      <c r="M194" s="23" t="str">
        <f t="shared" si="9"/>
        <v>07065/ORSE</v>
      </c>
      <c r="N194" s="5">
        <f>SUMIF(ORCAMENTO!B:B,B183,ORCAMENTO!F:F)</f>
        <v>6</v>
      </c>
      <c r="O194" s="23">
        <f t="shared" si="10"/>
        <v>6</v>
      </c>
      <c r="Q194" s="23">
        <f ca="1">IFERROR(SUMIF(CO!B:B,B183,OFFSET(CO!F:F,0,(4+MATCH(ETAPA,CO!$J$6:$V$6,0)))),0)</f>
        <v>2</v>
      </c>
      <c r="R194" s="23">
        <f t="shared" ca="1" si="11"/>
        <v>2</v>
      </c>
    </row>
    <row r="195" spans="1:18" x14ac:dyDescent="0.3">
      <c r="A195" s="73" t="str">
        <f>"TOTAL SEM BDI - "&amp;B183</f>
        <v>TOTAL SEM BDI - COMPOS26</v>
      </c>
      <c r="B195" s="74"/>
      <c r="C195" s="74"/>
      <c r="D195" s="74"/>
      <c r="E195" s="74"/>
      <c r="F195" s="74"/>
      <c r="G195" s="74"/>
      <c r="H195" s="75"/>
      <c r="I195" s="76">
        <f>SUM(I183:I194)</f>
        <v>1061.6399999999999</v>
      </c>
      <c r="J195" s="77"/>
    </row>
    <row r="196" spans="1:18" x14ac:dyDescent="0.3">
      <c r="A196" s="73" t="str">
        <f>"TAXA DE BDI ("&amp;TEXT(BDI,"00,00")&amp;" %)"</f>
        <v>TAXA DE BDI (22,33 %)</v>
      </c>
      <c r="B196" s="74"/>
      <c r="C196" s="74"/>
      <c r="D196" s="74"/>
      <c r="E196" s="74"/>
      <c r="F196" s="74"/>
      <c r="G196" s="74"/>
      <c r="H196" s="75"/>
      <c r="I196" s="76">
        <f>ROUND(I195*(BDI/100),2)</f>
        <v>237.06</v>
      </c>
      <c r="J196" s="77"/>
    </row>
    <row r="197" spans="1:18" x14ac:dyDescent="0.3">
      <c r="A197" s="73" t="str">
        <f>"TOTAL COM BDI - "&amp;B183</f>
        <v>TOTAL COM BDI - COMPOS26</v>
      </c>
      <c r="B197" s="74"/>
      <c r="C197" s="74"/>
      <c r="D197" s="74"/>
      <c r="E197" s="74"/>
      <c r="F197" s="74"/>
      <c r="G197" s="74"/>
      <c r="H197" s="75"/>
      <c r="I197" s="76">
        <f>SUM(I195:I196)</f>
        <v>1298.6999999999998</v>
      </c>
      <c r="J197" s="77"/>
    </row>
    <row r="199" spans="1:18" x14ac:dyDescent="0.3">
      <c r="A199" s="4" t="s">
        <v>1000</v>
      </c>
      <c r="B199" s="4" t="s">
        <v>170</v>
      </c>
      <c r="C199" s="4" t="s">
        <v>171</v>
      </c>
      <c r="D199" s="4" t="s">
        <v>18</v>
      </c>
      <c r="E199" s="4" t="s">
        <v>172</v>
      </c>
      <c r="F199" s="4" t="s">
        <v>507</v>
      </c>
      <c r="G199" s="45" t="s">
        <v>1001</v>
      </c>
      <c r="H199" s="46"/>
      <c r="I199" s="45" t="s">
        <v>12</v>
      </c>
      <c r="J199" s="46"/>
    </row>
    <row r="200" spans="1:18" ht="30" customHeight="1" x14ac:dyDescent="0.3">
      <c r="A200" s="15" t="s">
        <v>1029</v>
      </c>
      <c r="B200" s="15">
        <v>98524</v>
      </c>
      <c r="C200" s="15" t="str">
        <f>VLOOKUP(B200,S!$A:$G,2,FALSE)</f>
        <v>SINAPI</v>
      </c>
      <c r="D200" s="22" t="str">
        <f>VLOOKUP(B200,S!$A:$G,3,FALSE)</f>
        <v>LIMPEZA MANUAL DE VEGETAÇÃO EM TERRENO COM ENXADA. AF_03/2024</v>
      </c>
      <c r="E200" s="15" t="str">
        <f>VLOOKUP(B200,S!$A:$G,4,FALSE)</f>
        <v>M2</v>
      </c>
      <c r="F200" s="15"/>
      <c r="G200" s="78">
        <f>I202</f>
        <v>4.62</v>
      </c>
      <c r="H200" s="79"/>
      <c r="I200" s="78"/>
      <c r="J200" s="79"/>
      <c r="K200" s="16">
        <f>VLOOKUP(B200,S!A:G,5,FALSE)</f>
        <v>4.62</v>
      </c>
      <c r="L200" s="15" t="str">
        <f>IF(K200=G200,"OK, CONFORME TABELA",IF(G200&gt;K200,"ACIMA DA TABELA: ","ABAIXO DA TABELA: ")&amp;TRUNC((G200*100)/K200,2)&amp;" %")</f>
        <v>OK, CONFORME TABELA</v>
      </c>
    </row>
    <row r="201" spans="1:18" x14ac:dyDescent="0.3">
      <c r="A201" s="23" t="s">
        <v>1004</v>
      </c>
      <c r="B201" s="23">
        <v>88316</v>
      </c>
      <c r="C201" s="23" t="str">
        <f>VLOOKUP(B201,IF(A201="COMPOSICAO",S!$A:$E,I!$A:$E),2,FALSE)</f>
        <v>SINAPI</v>
      </c>
      <c r="D201" s="24" t="str">
        <f>VLOOKUP(B201,IF(A201="COMPOSICAO",S!$A:$E,I!$A:$E),3,FALSE)</f>
        <v>SERVENTE COM ENCARGOS COMPLEMENTARES</v>
      </c>
      <c r="E201" s="23" t="str">
        <f>VLOOKUP(B201,IF(A201="COMPOSICAO",S!$A:$E,I!$A:$E),4,FALSE)</f>
        <v>H</v>
      </c>
      <c r="F201" s="23">
        <f>0.2132/pcf</f>
        <v>0.2132</v>
      </c>
      <c r="G201" s="76">
        <f>IF(A201="COMPOSICAO",VLOOKUP("TOTAL SEM BDI - "&amp;B201,CPUAUX1!$A:$J,9,FALSE),VLOOKUP(B201,I!$A:$E,5,FALSE))</f>
        <v>21.71</v>
      </c>
      <c r="H201" s="77"/>
      <c r="I201" s="76">
        <f>TRUNC(F201*G201,2)</f>
        <v>4.62</v>
      </c>
      <c r="J201" s="77"/>
      <c r="M201" s="23">
        <f>B201</f>
        <v>88316</v>
      </c>
      <c r="N201" s="5">
        <f>SUMIF(ORCAMENTO!B:B,B200,ORCAMENTO!F:F)</f>
        <v>600</v>
      </c>
      <c r="O201" s="23">
        <f>F201*N201</f>
        <v>127.92</v>
      </c>
      <c r="Q201" s="23">
        <f ca="1">IFERROR(SUMIF(CO!B:B,B200,OFFSET(CO!F:F,0,(4+MATCH(ETAPA,CO!$J$6:$V$6,0)))),0)</f>
        <v>200</v>
      </c>
      <c r="R201" s="23">
        <f ca="1">F201*Q201</f>
        <v>42.64</v>
      </c>
    </row>
    <row r="202" spans="1:18" x14ac:dyDescent="0.3">
      <c r="A202" s="73" t="str">
        <f>"TOTAL SEM BDI - "&amp;B200</f>
        <v>TOTAL SEM BDI - 98524</v>
      </c>
      <c r="B202" s="74"/>
      <c r="C202" s="74"/>
      <c r="D202" s="74"/>
      <c r="E202" s="74"/>
      <c r="F202" s="74"/>
      <c r="G202" s="74"/>
      <c r="H202" s="75"/>
      <c r="I202" s="76">
        <f>SUM(I200:I201)</f>
        <v>4.62</v>
      </c>
      <c r="J202" s="77"/>
    </row>
    <row r="203" spans="1:18" x14ac:dyDescent="0.3">
      <c r="A203" s="73" t="str">
        <f>"TAXA DE BDI ("&amp;TEXT(BDI,"00,00")&amp;" %)"</f>
        <v>TAXA DE BDI (22,33 %)</v>
      </c>
      <c r="B203" s="74"/>
      <c r="C203" s="74"/>
      <c r="D203" s="74"/>
      <c r="E203" s="74"/>
      <c r="F203" s="74"/>
      <c r="G203" s="74"/>
      <c r="H203" s="75"/>
      <c r="I203" s="76">
        <f>ROUND(I202*(BDI/100),2)</f>
        <v>1.03</v>
      </c>
      <c r="J203" s="77"/>
    </row>
    <row r="204" spans="1:18" x14ac:dyDescent="0.3">
      <c r="A204" s="73" t="str">
        <f>"TOTAL COM BDI - "&amp;B200</f>
        <v>TOTAL COM BDI - 98524</v>
      </c>
      <c r="B204" s="74"/>
      <c r="C204" s="74"/>
      <c r="D204" s="74"/>
      <c r="E204" s="74"/>
      <c r="F204" s="74"/>
      <c r="G204" s="74"/>
      <c r="H204" s="75"/>
      <c r="I204" s="76">
        <f>SUM(I202:I203)</f>
        <v>5.65</v>
      </c>
      <c r="J204" s="77"/>
    </row>
    <row r="206" spans="1:18" x14ac:dyDescent="0.3">
      <c r="A206" s="4" t="s">
        <v>1000</v>
      </c>
      <c r="B206" s="4" t="s">
        <v>170</v>
      </c>
      <c r="C206" s="4" t="s">
        <v>171</v>
      </c>
      <c r="D206" s="4" t="s">
        <v>18</v>
      </c>
      <c r="E206" s="4" t="s">
        <v>172</v>
      </c>
      <c r="F206" s="4" t="s">
        <v>507</v>
      </c>
      <c r="G206" s="45" t="s">
        <v>1001</v>
      </c>
      <c r="H206" s="46"/>
      <c r="I206" s="45" t="s">
        <v>12</v>
      </c>
      <c r="J206" s="46"/>
    </row>
    <row r="207" spans="1:18" ht="45" customHeight="1" x14ac:dyDescent="0.3">
      <c r="A207" s="15" t="s">
        <v>1030</v>
      </c>
      <c r="B207" s="15">
        <v>99059</v>
      </c>
      <c r="C207" s="15" t="str">
        <f>VLOOKUP(B207,S!$A:$G,2,FALSE)</f>
        <v>SINAPI</v>
      </c>
      <c r="D207" s="22" t="str">
        <f>VLOOKUP(B207,S!$A:$G,3,FALSE)</f>
        <v>LOCAÇÃO CONVENCIONAL DE OBRA, UTILIZANDO GABARITO DE TÁBUAS CORRIDAS PONTALETADAS A CADA 2,00M - 2 UTILIZAÇÕES. AF_03/2024</v>
      </c>
      <c r="E207" s="15" t="str">
        <f>VLOOKUP(B207,S!$A:$G,4,FALSE)</f>
        <v>M</v>
      </c>
      <c r="F207" s="15"/>
      <c r="G207" s="78">
        <f>I218</f>
        <v>60.18</v>
      </c>
      <c r="H207" s="79"/>
      <c r="I207" s="78"/>
      <c r="J207" s="79"/>
      <c r="K207" s="16">
        <f>VLOOKUP(B207,S!A:G,5,FALSE)</f>
        <v>60.18</v>
      </c>
      <c r="L207" s="15" t="str">
        <f>IF(K207=G207,"OK, CONFORME TABELA",IF(G207&gt;K207,"ACIMA DA TABELA: ","ABAIXO DA TABELA: ")&amp;TRUNC((G207*100)/K207,2)&amp;" %")</f>
        <v>OK, CONFORME TABELA</v>
      </c>
    </row>
    <row r="208" spans="1:18" ht="45" customHeight="1" x14ac:dyDescent="0.3">
      <c r="A208" s="23" t="s">
        <v>1004</v>
      </c>
      <c r="B208" s="23">
        <v>94974</v>
      </c>
      <c r="C208" s="23" t="str">
        <f>VLOOKUP(B208,IF(A208="COMPOSICAO",S!$A:$E,I!$A:$E),2,FALSE)</f>
        <v>SINAPI</v>
      </c>
      <c r="D208" s="24" t="str">
        <f>VLOOKUP(B208,IF(A208="COMPOSICAO",S!$A:$E,I!$A:$E),3,FALSE)</f>
        <v>CONCRETO MAGRO PARA LASTRO, TRAÇO 1:4,5:4,5 (EM MASSA SECA DE CIMENTO/ AREIA MÉDIA/ BRITA 1) - PREPARO MANUAL. AF_05/2021</v>
      </c>
      <c r="E208" s="23" t="str">
        <f>VLOOKUP(B208,IF(A208="COMPOSICAO",S!$A:$E,I!$A:$E),4,FALSE)</f>
        <v>M3</v>
      </c>
      <c r="F208" s="23">
        <v>4.0000000000000001E-3</v>
      </c>
      <c r="G208" s="76">
        <f>IF(A208="COMPOSICAO",VLOOKUP("TOTAL SEM BDI - "&amp;B208,CPUAUX1!$A:$J,9,FALSE),VLOOKUP(B208,I!$A:$E,5,FALSE))</f>
        <v>572.28</v>
      </c>
      <c r="H208" s="77"/>
      <c r="I208" s="76">
        <f t="shared" ref="I208:I217" si="12">TRUNC(F208*G208,2)</f>
        <v>2.2799999999999998</v>
      </c>
      <c r="J208" s="77"/>
      <c r="M208" s="23">
        <f t="shared" ref="M208:M217" si="13">B208</f>
        <v>94974</v>
      </c>
      <c r="N208" s="5">
        <f>SUMIF(ORCAMENTO!B:B,B207,ORCAMENTO!F:F)</f>
        <v>61.2</v>
      </c>
      <c r="O208" s="23">
        <f t="shared" ref="O208:O217" si="14">F208*N208</f>
        <v>0.24480000000000002</v>
      </c>
      <c r="Q208" s="23">
        <f ca="1">IFERROR(SUMIF(CO!B:B,B207,OFFSET(CO!F:F,0,(4+MATCH(ETAPA,CO!$J$6:$V$6,0)))),0)</f>
        <v>20.399999999999999</v>
      </c>
      <c r="R208" s="23">
        <f t="shared" ref="R208:R217" ca="1" si="15">F208*Q208</f>
        <v>8.1599999999999992E-2</v>
      </c>
    </row>
    <row r="209" spans="1:18" ht="45" customHeight="1" x14ac:dyDescent="0.3">
      <c r="A209" s="23" t="s">
        <v>1004</v>
      </c>
      <c r="B209" s="23">
        <v>91693</v>
      </c>
      <c r="C209" s="23" t="str">
        <f>VLOOKUP(B209,IF(A209="COMPOSICAO",S!$A:$E,I!$A:$E),2,FALSE)</f>
        <v>SINAPI</v>
      </c>
      <c r="D209" s="24" t="str">
        <f>VLOOKUP(B209,IF(A209="COMPOSICAO",S!$A:$E,I!$A:$E),3,FALSE)</f>
        <v>SERRA CIRCULAR DE BANCADA COM MOTOR ELÉTRICO POTÊNCIA DE 5HP, COM COIFA PARA DISCO 10" - CHI DIURNO. AF_08/2015</v>
      </c>
      <c r="E209" s="23" t="str">
        <f>VLOOKUP(B209,IF(A209="COMPOSICAO",S!$A:$E,I!$A:$E),4,FALSE)</f>
        <v>CHI</v>
      </c>
      <c r="F209" s="23">
        <v>2.8000000000000001E-2</v>
      </c>
      <c r="G209" s="76">
        <f>IF(A209="COMPOSICAO",VLOOKUP("TOTAL SEM BDI - "&amp;B209,CPUAUX1!$A:$J,9,FALSE),VLOOKUP(B209,I!$A:$E,5,FALSE))</f>
        <v>27.3</v>
      </c>
      <c r="H209" s="77"/>
      <c r="I209" s="76">
        <f t="shared" si="12"/>
        <v>0.76</v>
      </c>
      <c r="J209" s="77"/>
      <c r="M209" s="23">
        <f t="shared" si="13"/>
        <v>91693</v>
      </c>
      <c r="N209" s="5">
        <f>SUMIF(ORCAMENTO!B:B,B207,ORCAMENTO!F:F)</f>
        <v>61.2</v>
      </c>
      <c r="O209" s="23">
        <f t="shared" si="14"/>
        <v>1.7136</v>
      </c>
      <c r="Q209" s="23">
        <f ca="1">IFERROR(SUMIF(CO!B:B,B207,OFFSET(CO!F:F,0,(4+MATCH(ETAPA,CO!$J$6:$V$6,0)))),0)</f>
        <v>20.399999999999999</v>
      </c>
      <c r="R209" s="23">
        <f t="shared" ca="1" si="15"/>
        <v>0.57119999999999993</v>
      </c>
    </row>
    <row r="210" spans="1:18" ht="45" customHeight="1" x14ac:dyDescent="0.3">
      <c r="A210" s="23" t="s">
        <v>1004</v>
      </c>
      <c r="B210" s="23">
        <v>91692</v>
      </c>
      <c r="C210" s="23" t="str">
        <f>VLOOKUP(B210,IF(A210="COMPOSICAO",S!$A:$E,I!$A:$E),2,FALSE)</f>
        <v>SINAPI</v>
      </c>
      <c r="D210" s="24" t="str">
        <f>VLOOKUP(B210,IF(A210="COMPOSICAO",S!$A:$E,I!$A:$E),3,FALSE)</f>
        <v>SERRA CIRCULAR DE BANCADA COM MOTOR ELÉTRICO POTÊNCIA DE 5HP, COM COIFA PARA DISCO 10" - CHP DIURNO. AF_08/2015</v>
      </c>
      <c r="E210" s="23" t="str">
        <f>VLOOKUP(B210,IF(A210="COMPOSICAO",S!$A:$E,I!$A:$E),4,FALSE)</f>
        <v>CHP</v>
      </c>
      <c r="F210" s="23">
        <v>7.0000000000000001E-3</v>
      </c>
      <c r="G210" s="76">
        <f>IF(A210="COMPOSICAO",VLOOKUP("TOTAL SEM BDI - "&amp;B210,CPUAUX1!$A:$J,9,FALSE),VLOOKUP(B210,I!$A:$E,5,FALSE))</f>
        <v>28.87</v>
      </c>
      <c r="H210" s="77"/>
      <c r="I210" s="76">
        <f t="shared" si="12"/>
        <v>0.2</v>
      </c>
      <c r="J210" s="77"/>
      <c r="M210" s="23">
        <f t="shared" si="13"/>
        <v>91692</v>
      </c>
      <c r="N210" s="5">
        <f>SUMIF(ORCAMENTO!B:B,B207,ORCAMENTO!F:F)</f>
        <v>61.2</v>
      </c>
      <c r="O210" s="23">
        <f t="shared" si="14"/>
        <v>0.4284</v>
      </c>
      <c r="Q210" s="23">
        <f ca="1">IFERROR(SUMIF(CO!B:B,B207,OFFSET(CO!F:F,0,(4+MATCH(ETAPA,CO!$J$6:$V$6,0)))),0)</f>
        <v>20.399999999999999</v>
      </c>
      <c r="R210" s="23">
        <f t="shared" ca="1" si="15"/>
        <v>0.14279999999999998</v>
      </c>
    </row>
    <row r="211" spans="1:18" ht="30" customHeight="1" x14ac:dyDescent="0.3">
      <c r="A211" s="23" t="s">
        <v>1004</v>
      </c>
      <c r="B211" s="23">
        <v>88262</v>
      </c>
      <c r="C211" s="23" t="str">
        <f>VLOOKUP(B211,IF(A211="COMPOSICAO",S!$A:$E,I!$A:$E),2,FALSE)</f>
        <v>SINAPI</v>
      </c>
      <c r="D211" s="24" t="str">
        <f>VLOOKUP(B211,IF(A211="COMPOSICAO",S!$A:$E,I!$A:$E),3,FALSE)</f>
        <v>CARPINTEIRO DE FORMAS COM ENCARGOS COMPLEMENTARES</v>
      </c>
      <c r="E211" s="23" t="str">
        <f>VLOOKUP(B211,IF(A211="COMPOSICAO",S!$A:$E,I!$A:$E),4,FALSE)</f>
        <v>H</v>
      </c>
      <c r="F211" s="23">
        <f>0.7247/pcf</f>
        <v>0.72470000000000001</v>
      </c>
      <c r="G211" s="76">
        <f>IF(A211="COMPOSICAO",VLOOKUP("TOTAL SEM BDI - "&amp;B211,CPUAUX1!$A:$J,9,FALSE),VLOOKUP(B211,I!$A:$E,5,FALSE))</f>
        <v>26.97</v>
      </c>
      <c r="H211" s="77"/>
      <c r="I211" s="76">
        <f t="shared" si="12"/>
        <v>19.54</v>
      </c>
      <c r="J211" s="77"/>
      <c r="M211" s="23">
        <f t="shared" si="13"/>
        <v>88262</v>
      </c>
      <c r="N211" s="5">
        <f>SUMIF(ORCAMENTO!B:B,B207,ORCAMENTO!F:F)</f>
        <v>61.2</v>
      </c>
      <c r="O211" s="23">
        <f t="shared" si="14"/>
        <v>44.351640000000003</v>
      </c>
      <c r="Q211" s="23">
        <f ca="1">IFERROR(SUMIF(CO!B:B,B207,OFFSET(CO!F:F,0,(4+MATCH(ETAPA,CO!$J$6:$V$6,0)))),0)</f>
        <v>20.399999999999999</v>
      </c>
      <c r="R211" s="23">
        <f t="shared" ca="1" si="15"/>
        <v>14.78388</v>
      </c>
    </row>
    <row r="212" spans="1:18" ht="30" customHeight="1" x14ac:dyDescent="0.3">
      <c r="A212" s="23" t="s">
        <v>1004</v>
      </c>
      <c r="B212" s="23">
        <v>88239</v>
      </c>
      <c r="C212" s="23" t="str">
        <f>VLOOKUP(B212,IF(A212="COMPOSICAO",S!$A:$E,I!$A:$E),2,FALSE)</f>
        <v>SINAPI</v>
      </c>
      <c r="D212" s="24" t="str">
        <f>VLOOKUP(B212,IF(A212="COMPOSICAO",S!$A:$E,I!$A:$E),3,FALSE)</f>
        <v>AJUDANTE DE CARPINTEIRO COM ENCARGOS COMPLEMENTARES</v>
      </c>
      <c r="E212" s="23" t="str">
        <f>VLOOKUP(B212,IF(A212="COMPOSICAO",S!$A:$E,I!$A:$E),4,FALSE)</f>
        <v>H</v>
      </c>
      <c r="F212" s="23">
        <f>0.7247/pcf</f>
        <v>0.72470000000000001</v>
      </c>
      <c r="G212" s="76">
        <f>IF(A212="COMPOSICAO",VLOOKUP("TOTAL SEM BDI - "&amp;B212,CPUAUX1!$A:$J,9,FALSE),VLOOKUP(B212,I!$A:$E,5,FALSE))</f>
        <v>22.2</v>
      </c>
      <c r="H212" s="77"/>
      <c r="I212" s="76">
        <f t="shared" si="12"/>
        <v>16.079999999999998</v>
      </c>
      <c r="J212" s="77"/>
      <c r="M212" s="23">
        <f t="shared" si="13"/>
        <v>88239</v>
      </c>
      <c r="N212" s="5">
        <f>SUMIF(ORCAMENTO!B:B,B207,ORCAMENTO!F:F)</f>
        <v>61.2</v>
      </c>
      <c r="O212" s="23">
        <f t="shared" si="14"/>
        <v>44.351640000000003</v>
      </c>
      <c r="Q212" s="23">
        <f ca="1">IFERROR(SUMIF(CO!B:B,B207,OFFSET(CO!F:F,0,(4+MATCH(ETAPA,CO!$J$6:$V$6,0)))),0)</f>
        <v>20.399999999999999</v>
      </c>
      <c r="R212" s="23">
        <f t="shared" ca="1" si="15"/>
        <v>14.78388</v>
      </c>
    </row>
    <row r="213" spans="1:18" ht="30" customHeight="1" x14ac:dyDescent="0.3">
      <c r="A213" s="23" t="s">
        <v>1005</v>
      </c>
      <c r="B213" s="23">
        <v>10567</v>
      </c>
      <c r="C213" s="23" t="str">
        <f>VLOOKUP(B213,IF(A213="COMPOSICAO",S!$A:$E,I!$A:$E),2,FALSE)</f>
        <v>SINAPI</v>
      </c>
      <c r="D213" s="24" t="str">
        <f>VLOOKUP(B213,IF(A213="COMPOSICAO",S!$A:$E,I!$A:$E),3,FALSE)</f>
        <v>TABUA *2,5 X 23* CM EM PINUS, MISTA OU EQUIVALENTE DA REGIAO - BRUTA</v>
      </c>
      <c r="E213" s="23" t="str">
        <f>VLOOKUP(B213,IF(A213="COMPOSICAO",S!$A:$E,I!$A:$E),4,FALSE)</f>
        <v>M</v>
      </c>
      <c r="F213" s="23">
        <v>0.55000000000000004</v>
      </c>
      <c r="G213" s="76">
        <f>IF(A213="COMPOSICAO",VLOOKUP("TOTAL SEM BDI - "&amp;B213,CPUAUX1!$A:$J,9,FALSE),VLOOKUP(B213,I!$A:$E,5,FALSE))</f>
        <v>11.28</v>
      </c>
      <c r="H213" s="77"/>
      <c r="I213" s="76">
        <f t="shared" si="12"/>
        <v>6.2</v>
      </c>
      <c r="J213" s="77"/>
      <c r="M213" s="23">
        <f t="shared" si="13"/>
        <v>10567</v>
      </c>
      <c r="N213" s="5">
        <f>SUMIF(ORCAMENTO!B:B,B207,ORCAMENTO!F:F)</f>
        <v>61.2</v>
      </c>
      <c r="O213" s="23">
        <f t="shared" si="14"/>
        <v>33.660000000000004</v>
      </c>
      <c r="Q213" s="23">
        <f ca="1">IFERROR(SUMIF(CO!B:B,B207,OFFSET(CO!F:F,0,(4+MATCH(ETAPA,CO!$J$6:$V$6,0)))),0)</f>
        <v>20.399999999999999</v>
      </c>
      <c r="R213" s="23">
        <f t="shared" ca="1" si="15"/>
        <v>11.22</v>
      </c>
    </row>
    <row r="214" spans="1:18" ht="30" customHeight="1" x14ac:dyDescent="0.3">
      <c r="A214" s="23" t="s">
        <v>1005</v>
      </c>
      <c r="B214" s="23">
        <v>7356</v>
      </c>
      <c r="C214" s="23" t="str">
        <f>VLOOKUP(B214,IF(A214="COMPOSICAO",S!$A:$E,I!$A:$E),2,FALSE)</f>
        <v>SINAPI</v>
      </c>
      <c r="D214" s="24" t="str">
        <f>VLOOKUP(B214,IF(A214="COMPOSICAO",S!$A:$E,I!$A:$E),3,FALSE)</f>
        <v>TINTA LATEX ACRILICA PREMIUM, COR BRANCO FOSCO</v>
      </c>
      <c r="E214" s="23" t="str">
        <f>VLOOKUP(B214,IF(A214="COMPOSICAO",S!$A:$E,I!$A:$E),4,FALSE)</f>
        <v>L</v>
      </c>
      <c r="F214" s="23">
        <v>2.5600000000000001E-2</v>
      </c>
      <c r="G214" s="76">
        <f>IF(A214="COMPOSICAO",VLOOKUP("TOTAL SEM BDI - "&amp;B214,CPUAUX1!$A:$J,9,FALSE),VLOOKUP(B214,I!$A:$E,5,FALSE))</f>
        <v>29.79</v>
      </c>
      <c r="H214" s="77"/>
      <c r="I214" s="76">
        <f t="shared" si="12"/>
        <v>0.76</v>
      </c>
      <c r="J214" s="77"/>
      <c r="M214" s="23">
        <f t="shared" si="13"/>
        <v>7356</v>
      </c>
      <c r="N214" s="5">
        <f>SUMIF(ORCAMENTO!B:B,B207,ORCAMENTO!F:F)</f>
        <v>61.2</v>
      </c>
      <c r="O214" s="23">
        <f t="shared" si="14"/>
        <v>1.5667200000000001</v>
      </c>
      <c r="Q214" s="23">
        <f ca="1">IFERROR(SUMIF(CO!B:B,B207,OFFSET(CO!F:F,0,(4+MATCH(ETAPA,CO!$J$6:$V$6,0)))),0)</f>
        <v>20.399999999999999</v>
      </c>
      <c r="R214" s="23">
        <f t="shared" ca="1" si="15"/>
        <v>0.52224000000000004</v>
      </c>
    </row>
    <row r="215" spans="1:18" ht="30" customHeight="1" x14ac:dyDescent="0.3">
      <c r="A215" s="23" t="s">
        <v>1005</v>
      </c>
      <c r="B215" s="23">
        <v>5068</v>
      </c>
      <c r="C215" s="23" t="str">
        <f>VLOOKUP(B215,IF(A215="COMPOSICAO",S!$A:$E,I!$A:$E),2,FALSE)</f>
        <v>SINAPI</v>
      </c>
      <c r="D215" s="24" t="str">
        <f>VLOOKUP(B215,IF(A215="COMPOSICAO",S!$A:$E,I!$A:$E),3,FALSE)</f>
        <v>PREGO DE ACO POLIDO COM CABECA 17 X 21 (2 X 11)</v>
      </c>
      <c r="E215" s="23" t="str">
        <f>VLOOKUP(B215,IF(A215="COMPOSICAO",S!$A:$E,I!$A:$E),4,FALSE)</f>
        <v>KG</v>
      </c>
      <c r="F215" s="23">
        <v>0.111</v>
      </c>
      <c r="G215" s="76">
        <f>IF(A215="COMPOSICAO",VLOOKUP("TOTAL SEM BDI - "&amp;B215,CPUAUX1!$A:$J,9,FALSE),VLOOKUP(B215,I!$A:$E,5,FALSE))</f>
        <v>20.34</v>
      </c>
      <c r="H215" s="77"/>
      <c r="I215" s="76">
        <f t="shared" si="12"/>
        <v>2.25</v>
      </c>
      <c r="J215" s="77"/>
      <c r="M215" s="23">
        <f t="shared" si="13"/>
        <v>5068</v>
      </c>
      <c r="N215" s="5">
        <f>SUMIF(ORCAMENTO!B:B,B207,ORCAMENTO!F:F)</f>
        <v>61.2</v>
      </c>
      <c r="O215" s="23">
        <f t="shared" si="14"/>
        <v>6.7932000000000006</v>
      </c>
      <c r="Q215" s="23">
        <f ca="1">IFERROR(SUMIF(CO!B:B,B207,OFFSET(CO!F:F,0,(4+MATCH(ETAPA,CO!$J$6:$V$6,0)))),0)</f>
        <v>20.399999999999999</v>
      </c>
      <c r="R215" s="23">
        <f t="shared" ca="1" si="15"/>
        <v>2.2643999999999997</v>
      </c>
    </row>
    <row r="216" spans="1:18" ht="45" customHeight="1" x14ac:dyDescent="0.3">
      <c r="A216" s="23" t="s">
        <v>1005</v>
      </c>
      <c r="B216" s="23">
        <v>4433</v>
      </c>
      <c r="C216" s="23" t="str">
        <f>VLOOKUP(B216,IF(A216="COMPOSICAO",S!$A:$E,I!$A:$E),2,FALSE)</f>
        <v>SINAPI</v>
      </c>
      <c r="D216" s="24" t="str">
        <f>VLOOKUP(B216,IF(A216="COMPOSICAO",S!$A:$E,I!$A:$E),3,FALSE)</f>
        <v>CAIBRO NAO APARELHADO *6 X 6* CM, EM MACARANDUBA/MASSARANDUBA, ANGELIM OU EQUIVALENTE DA REGIAO - BRUTA</v>
      </c>
      <c r="E216" s="23" t="str">
        <f>VLOOKUP(B216,IF(A216="COMPOSICAO",S!$A:$E,I!$A:$E),4,FALSE)</f>
        <v>M</v>
      </c>
      <c r="F216" s="23">
        <v>0.41249999999999998</v>
      </c>
      <c r="G216" s="76">
        <f>IF(A216="COMPOSICAO",VLOOKUP("TOTAL SEM BDI - "&amp;B216,CPUAUX1!$A:$J,9,FALSE),VLOOKUP(B216,I!$A:$E,5,FALSE))</f>
        <v>19.55</v>
      </c>
      <c r="H216" s="77"/>
      <c r="I216" s="76">
        <f t="shared" si="12"/>
        <v>8.06</v>
      </c>
      <c r="J216" s="77"/>
      <c r="M216" s="23">
        <f t="shared" si="13"/>
        <v>4433</v>
      </c>
      <c r="N216" s="5">
        <f>SUMIF(ORCAMENTO!B:B,B207,ORCAMENTO!F:F)</f>
        <v>61.2</v>
      </c>
      <c r="O216" s="23">
        <f t="shared" si="14"/>
        <v>25.245000000000001</v>
      </c>
      <c r="Q216" s="23">
        <f ca="1">IFERROR(SUMIF(CO!B:B,B207,OFFSET(CO!F:F,0,(4+MATCH(ETAPA,CO!$J$6:$V$6,0)))),0)</f>
        <v>20.399999999999999</v>
      </c>
      <c r="R216" s="23">
        <f t="shared" ca="1" si="15"/>
        <v>8.4149999999999991</v>
      </c>
    </row>
    <row r="217" spans="1:18" ht="45" customHeight="1" x14ac:dyDescent="0.3">
      <c r="A217" s="23" t="s">
        <v>1005</v>
      </c>
      <c r="B217" s="23">
        <v>4417</v>
      </c>
      <c r="C217" s="23" t="str">
        <f>VLOOKUP(B217,IF(A217="COMPOSICAO",S!$A:$E,I!$A:$E),2,FALSE)</f>
        <v>SINAPI</v>
      </c>
      <c r="D217" s="24" t="str">
        <f>VLOOKUP(B217,IF(A217="COMPOSICAO",S!$A:$E,I!$A:$E),3,FALSE)</f>
        <v>SARRAFO NAO APARELHADO *2,5 X 7* CM, EM MACARANDUBA/MASSARANDUBA, ANGELIM, PEROBA-ROSA OU EQUIVALENTE DA REGIAO - BRUTA</v>
      </c>
      <c r="E217" s="23" t="str">
        <f>VLOOKUP(B217,IF(A217="COMPOSICAO",S!$A:$E,I!$A:$E),4,FALSE)</f>
        <v>M</v>
      </c>
      <c r="F217" s="23">
        <v>0.74450000000000005</v>
      </c>
      <c r="G217" s="76">
        <f>IF(A217="COMPOSICAO",VLOOKUP("TOTAL SEM BDI - "&amp;B217,CPUAUX1!$A:$J,9,FALSE),VLOOKUP(B217,I!$A:$E,5,FALSE))</f>
        <v>5.44</v>
      </c>
      <c r="H217" s="77"/>
      <c r="I217" s="76">
        <f t="shared" si="12"/>
        <v>4.05</v>
      </c>
      <c r="J217" s="77"/>
      <c r="M217" s="23">
        <f t="shared" si="13"/>
        <v>4417</v>
      </c>
      <c r="N217" s="5">
        <f>SUMIF(ORCAMENTO!B:B,B207,ORCAMENTO!F:F)</f>
        <v>61.2</v>
      </c>
      <c r="O217" s="23">
        <f t="shared" si="14"/>
        <v>45.563400000000009</v>
      </c>
      <c r="Q217" s="23">
        <f ca="1">IFERROR(SUMIF(CO!B:B,B207,OFFSET(CO!F:F,0,(4+MATCH(ETAPA,CO!$J$6:$V$6,0)))),0)</f>
        <v>20.399999999999999</v>
      </c>
      <c r="R217" s="23">
        <f t="shared" ca="1" si="15"/>
        <v>15.187799999999999</v>
      </c>
    </row>
    <row r="218" spans="1:18" x14ac:dyDescent="0.3">
      <c r="A218" s="73" t="str">
        <f>"TOTAL SEM BDI - "&amp;B207</f>
        <v>TOTAL SEM BDI - 99059</v>
      </c>
      <c r="B218" s="74"/>
      <c r="C218" s="74"/>
      <c r="D218" s="74"/>
      <c r="E218" s="74"/>
      <c r="F218" s="74"/>
      <c r="G218" s="74"/>
      <c r="H218" s="75"/>
      <c r="I218" s="76">
        <f>SUM(I207:I217)</f>
        <v>60.18</v>
      </c>
      <c r="J218" s="77"/>
    </row>
    <row r="219" spans="1:18" x14ac:dyDescent="0.3">
      <c r="A219" s="73" t="str">
        <f>"TAXA DE BDI ("&amp;TEXT(BDI,"00,00")&amp;" %)"</f>
        <v>TAXA DE BDI (22,33 %)</v>
      </c>
      <c r="B219" s="74"/>
      <c r="C219" s="74"/>
      <c r="D219" s="74"/>
      <c r="E219" s="74"/>
      <c r="F219" s="74"/>
      <c r="G219" s="74"/>
      <c r="H219" s="75"/>
      <c r="I219" s="76">
        <f>ROUND(I218*(BDI/100),2)</f>
        <v>13.44</v>
      </c>
      <c r="J219" s="77"/>
    </row>
    <row r="220" spans="1:18" x14ac:dyDescent="0.3">
      <c r="A220" s="73" t="str">
        <f>"TOTAL COM BDI - "&amp;B207</f>
        <v>TOTAL COM BDI - 99059</v>
      </c>
      <c r="B220" s="74"/>
      <c r="C220" s="74"/>
      <c r="D220" s="74"/>
      <c r="E220" s="74"/>
      <c r="F220" s="74"/>
      <c r="G220" s="74"/>
      <c r="H220" s="75"/>
      <c r="I220" s="76">
        <f>SUM(I218:I219)</f>
        <v>73.62</v>
      </c>
      <c r="J220" s="77"/>
    </row>
    <row r="222" spans="1:18" x14ac:dyDescent="0.3">
      <c r="A222" s="4" t="s">
        <v>1000</v>
      </c>
      <c r="B222" s="4" t="s">
        <v>170</v>
      </c>
      <c r="C222" s="4" t="s">
        <v>171</v>
      </c>
      <c r="D222" s="4" t="s">
        <v>18</v>
      </c>
      <c r="E222" s="4" t="s">
        <v>172</v>
      </c>
      <c r="F222" s="4" t="s">
        <v>507</v>
      </c>
      <c r="G222" s="45" t="s">
        <v>1001</v>
      </c>
      <c r="H222" s="46"/>
      <c r="I222" s="45" t="s">
        <v>12</v>
      </c>
      <c r="J222" s="46"/>
    </row>
    <row r="223" spans="1:18" x14ac:dyDescent="0.3">
      <c r="A223" s="15" t="s">
        <v>1031</v>
      </c>
      <c r="B223" s="15">
        <v>93358</v>
      </c>
      <c r="C223" s="15" t="str">
        <f>VLOOKUP(B223,S!$A:$G,2,FALSE)</f>
        <v>SINAPI</v>
      </c>
      <c r="D223" s="22" t="str">
        <f>VLOOKUP(B223,S!$A:$G,3,FALSE)</f>
        <v>ESCAVAÇÃO MANUAL DE VALA. AF_09/2024</v>
      </c>
      <c r="E223" s="15" t="str">
        <f>VLOOKUP(B223,S!$A:$G,4,FALSE)</f>
        <v>M3</v>
      </c>
      <c r="F223" s="15"/>
      <c r="G223" s="78">
        <f>I225</f>
        <v>85.87</v>
      </c>
      <c r="H223" s="79"/>
      <c r="I223" s="78"/>
      <c r="J223" s="79"/>
      <c r="K223" s="16">
        <f>VLOOKUP(B223,S!A:G,5,FALSE)</f>
        <v>85.87</v>
      </c>
      <c r="L223" s="15" t="str">
        <f>IF(K223=G223,"OK, CONFORME TABELA",IF(G223&gt;K223,"ACIMA DA TABELA: ","ABAIXO DA TABELA: ")&amp;TRUNC((G223*100)/K223,2)&amp;" %")</f>
        <v>OK, CONFORME TABELA</v>
      </c>
    </row>
    <row r="224" spans="1:18" x14ac:dyDescent="0.3">
      <c r="A224" s="23" t="s">
        <v>1004</v>
      </c>
      <c r="B224" s="23">
        <v>88316</v>
      </c>
      <c r="C224" s="23" t="str">
        <f>VLOOKUP(B224,IF(A224="COMPOSICAO",S!$A:$E,I!$A:$E),2,FALSE)</f>
        <v>SINAPI</v>
      </c>
      <c r="D224" s="24" t="str">
        <f>VLOOKUP(B224,IF(A224="COMPOSICAO",S!$A:$E,I!$A:$E),3,FALSE)</f>
        <v>SERVENTE COM ENCARGOS COMPLEMENTARES</v>
      </c>
      <c r="E224" s="23" t="str">
        <f>VLOOKUP(B224,IF(A224="COMPOSICAO",S!$A:$E,I!$A:$E),4,FALSE)</f>
        <v>H</v>
      </c>
      <c r="F224" s="23">
        <f>3.9557667/pcf</f>
        <v>3.9557666999999999</v>
      </c>
      <c r="G224" s="76">
        <f>IF(A224="COMPOSICAO",VLOOKUP("TOTAL SEM BDI - "&amp;B224,CPUAUX1!$A:$J,9,FALSE),VLOOKUP(B224,I!$A:$E,5,FALSE))</f>
        <v>21.71</v>
      </c>
      <c r="H224" s="77"/>
      <c r="I224" s="76">
        <f>TRUNC(F224*G224,2)</f>
        <v>85.87</v>
      </c>
      <c r="J224" s="77"/>
      <c r="M224" s="23">
        <f>B224</f>
        <v>88316</v>
      </c>
      <c r="N224" s="5">
        <f>SUMIF(ORCAMENTO!B:B,B223,ORCAMENTO!F:F)</f>
        <v>28.619999999999997</v>
      </c>
      <c r="O224" s="23">
        <f>F224*N224</f>
        <v>113.21404295399999</v>
      </c>
      <c r="Q224" s="23">
        <f ca="1">IFERROR(SUMIF(CO!B:B,B223,OFFSET(CO!F:F,0,(4+MATCH(ETAPA,CO!$J$6:$V$6,0)))),0)</f>
        <v>9.5399999999999991</v>
      </c>
      <c r="R224" s="23">
        <f ca="1">F224*Q224</f>
        <v>37.738014317999998</v>
      </c>
    </row>
    <row r="225" spans="1:18" x14ac:dyDescent="0.3">
      <c r="A225" s="73" t="str">
        <f>"TOTAL SEM BDI - "&amp;B223</f>
        <v>TOTAL SEM BDI - 93358</v>
      </c>
      <c r="B225" s="74"/>
      <c r="C225" s="74"/>
      <c r="D225" s="74"/>
      <c r="E225" s="74"/>
      <c r="F225" s="74"/>
      <c r="G225" s="74"/>
      <c r="H225" s="75"/>
      <c r="I225" s="76">
        <f>SUM(I223:I224)</f>
        <v>85.87</v>
      </c>
      <c r="J225" s="77"/>
    </row>
    <row r="226" spans="1:18" x14ac:dyDescent="0.3">
      <c r="A226" s="73" t="str">
        <f>"TAXA DE BDI ("&amp;TEXT(BDI,"00,00")&amp;" %)"</f>
        <v>TAXA DE BDI (22,33 %)</v>
      </c>
      <c r="B226" s="74"/>
      <c r="C226" s="74"/>
      <c r="D226" s="74"/>
      <c r="E226" s="74"/>
      <c r="F226" s="74"/>
      <c r="G226" s="74"/>
      <c r="H226" s="75"/>
      <c r="I226" s="76">
        <f>ROUND(I225*(BDI/100),2)</f>
        <v>19.170000000000002</v>
      </c>
      <c r="J226" s="77"/>
    </row>
    <row r="227" spans="1:18" x14ac:dyDescent="0.3">
      <c r="A227" s="73" t="str">
        <f>"TOTAL COM BDI - "&amp;B223</f>
        <v>TOTAL COM BDI - 93358</v>
      </c>
      <c r="B227" s="74"/>
      <c r="C227" s="74"/>
      <c r="D227" s="74"/>
      <c r="E227" s="74"/>
      <c r="F227" s="74"/>
      <c r="G227" s="74"/>
      <c r="H227" s="75"/>
      <c r="I227" s="76">
        <f>SUM(I225:I226)</f>
        <v>105.04</v>
      </c>
      <c r="J227" s="77"/>
    </row>
    <row r="229" spans="1:18" x14ac:dyDescent="0.3">
      <c r="A229" s="4" t="s">
        <v>1000</v>
      </c>
      <c r="B229" s="4" t="s">
        <v>170</v>
      </c>
      <c r="C229" s="4" t="s">
        <v>171</v>
      </c>
      <c r="D229" s="4" t="s">
        <v>18</v>
      </c>
      <c r="E229" s="4" t="s">
        <v>172</v>
      </c>
      <c r="F229" s="4" t="s">
        <v>507</v>
      </c>
      <c r="G229" s="45" t="s">
        <v>1001</v>
      </c>
      <c r="H229" s="46"/>
      <c r="I229" s="45" t="s">
        <v>12</v>
      </c>
      <c r="J229" s="46"/>
    </row>
    <row r="230" spans="1:18" ht="45" customHeight="1" x14ac:dyDescent="0.3">
      <c r="A230" s="15" t="s">
        <v>1032</v>
      </c>
      <c r="B230" s="15">
        <v>96617</v>
      </c>
      <c r="C230" s="15" t="str">
        <f>VLOOKUP(B230,S!$A:$G,2,FALSE)</f>
        <v>SINAPI</v>
      </c>
      <c r="D230" s="22" t="str">
        <f>VLOOKUP(B230,S!$A:$G,3,FALSE)</f>
        <v>LASTRO DE CONCRETO MAGRO, APLICADO EM BLOCOS DE COROAMENTO OU SAPATAS, ESPESSURA DE 3 CM. AF_01/2024</v>
      </c>
      <c r="E230" s="15" t="str">
        <f>VLOOKUP(B230,S!$A:$G,4,FALSE)</f>
        <v>M2</v>
      </c>
      <c r="F230" s="15"/>
      <c r="G230" s="78">
        <f>I234</f>
        <v>23.57</v>
      </c>
      <c r="H230" s="79"/>
      <c r="I230" s="78"/>
      <c r="J230" s="79"/>
      <c r="K230" s="16">
        <f>VLOOKUP(B230,S!A:G,5,FALSE)</f>
        <v>23.57</v>
      </c>
      <c r="L230" s="15" t="str">
        <f>IF(K230=G230,"OK, CONFORME TABELA",IF(G230&gt;K230,"ACIMA DA TABELA: ","ABAIXO DA TABELA: ")&amp;TRUNC((G230*100)/K230,2)&amp;" %")</f>
        <v>OK, CONFORME TABELA</v>
      </c>
    </row>
    <row r="231" spans="1:18" ht="60" customHeight="1" x14ac:dyDescent="0.3">
      <c r="A231" s="23" t="s">
        <v>1004</v>
      </c>
      <c r="B231" s="23">
        <v>94968</v>
      </c>
      <c r="C231" s="23" t="str">
        <f>VLOOKUP(B231,IF(A231="COMPOSICAO",S!$A:$E,I!$A:$E),2,FALSE)</f>
        <v>SINAPI</v>
      </c>
      <c r="D231" s="24" t="str">
        <f>VLOOKUP(B231,IF(A231="COMPOSICAO",S!$A:$E,I!$A:$E),3,FALSE)</f>
        <v>CONCRETO MAGRO PARA LASTRO, TRAÇO 1:4,5:4,5 (EM MASSA SECA DE CIMENTO/ AREIA MÉDIA/ BRITA 1) - PREPARO MECÂNICO COM BETONEIRA 600 L. AF_05/2021</v>
      </c>
      <c r="E231" s="23" t="str">
        <f>VLOOKUP(B231,IF(A231="COMPOSICAO",S!$A:$E,I!$A:$E),4,FALSE)</f>
        <v>M3</v>
      </c>
      <c r="F231" s="23">
        <v>3.39E-2</v>
      </c>
      <c r="G231" s="76">
        <f>IF(A231="COMPOSICAO",VLOOKUP("TOTAL SEM BDI - "&amp;B231,CPUAUX1!$A:$J,9,FALSE),VLOOKUP(B231,I!$A:$E,5,FALSE))</f>
        <v>512.51</v>
      </c>
      <c r="H231" s="77"/>
      <c r="I231" s="76">
        <f>TRUNC(F231*G231,2)</f>
        <v>17.37</v>
      </c>
      <c r="J231" s="77"/>
      <c r="M231" s="23">
        <f>B231</f>
        <v>94968</v>
      </c>
      <c r="N231" s="5">
        <f>SUMIF(ORCAMENTO!B:B,B230,ORCAMENTO!F:F)</f>
        <v>39.479999999999997</v>
      </c>
      <c r="O231" s="23">
        <f>F231*N231</f>
        <v>1.3383719999999999</v>
      </c>
      <c r="Q231" s="23">
        <f ca="1">IFERROR(SUMIF(CO!B:B,B230,OFFSET(CO!F:F,0,(4+MATCH(ETAPA,CO!$J$6:$V$6,0)))),0)</f>
        <v>13.16</v>
      </c>
      <c r="R231" s="23">
        <f ca="1">F231*Q231</f>
        <v>0.44612400000000002</v>
      </c>
    </row>
    <row r="232" spans="1:18" x14ac:dyDescent="0.3">
      <c r="A232" s="23" t="s">
        <v>1004</v>
      </c>
      <c r="B232" s="23">
        <v>88316</v>
      </c>
      <c r="C232" s="23" t="str">
        <f>VLOOKUP(B232,IF(A232="COMPOSICAO",S!$A:$E,I!$A:$E),2,FALSE)</f>
        <v>SINAPI</v>
      </c>
      <c r="D232" s="24" t="str">
        <f>VLOOKUP(B232,IF(A232="COMPOSICAO",S!$A:$E,I!$A:$E),3,FALSE)</f>
        <v>SERVENTE COM ENCARGOS COMPLEMENTARES</v>
      </c>
      <c r="E232" s="23" t="str">
        <f>VLOOKUP(B232,IF(A232="COMPOSICAO",S!$A:$E,I!$A:$E),4,FALSE)</f>
        <v>H</v>
      </c>
      <c r="F232" s="23">
        <f>0.0508/pcf</f>
        <v>5.0799999999999998E-2</v>
      </c>
      <c r="G232" s="76">
        <f>IF(A232="COMPOSICAO",VLOOKUP("TOTAL SEM BDI - "&amp;B232,CPUAUX1!$A:$J,9,FALSE),VLOOKUP(B232,I!$A:$E,5,FALSE))</f>
        <v>21.71</v>
      </c>
      <c r="H232" s="77"/>
      <c r="I232" s="76">
        <f>TRUNC(F232*G232,2)</f>
        <v>1.1000000000000001</v>
      </c>
      <c r="J232" s="77"/>
      <c r="M232" s="23">
        <f>B232</f>
        <v>88316</v>
      </c>
      <c r="N232" s="5">
        <f>SUMIF(ORCAMENTO!B:B,B230,ORCAMENTO!F:F)</f>
        <v>39.479999999999997</v>
      </c>
      <c r="O232" s="23">
        <f>F232*N232</f>
        <v>2.0055839999999998</v>
      </c>
      <c r="Q232" s="23">
        <f ca="1">IFERROR(SUMIF(CO!B:B,B230,OFFSET(CO!F:F,0,(4+MATCH(ETAPA,CO!$J$6:$V$6,0)))),0)</f>
        <v>13.16</v>
      </c>
      <c r="R232" s="23">
        <f ca="1">F232*Q232</f>
        <v>0.66852800000000001</v>
      </c>
    </row>
    <row r="233" spans="1:18" x14ac:dyDescent="0.3">
      <c r="A233" s="23" t="s">
        <v>1004</v>
      </c>
      <c r="B233" s="23">
        <v>88309</v>
      </c>
      <c r="C233" s="23" t="str">
        <f>VLOOKUP(B233,IF(A233="COMPOSICAO",S!$A:$E,I!$A:$E),2,FALSE)</f>
        <v>SINAPI</v>
      </c>
      <c r="D233" s="24" t="str">
        <f>VLOOKUP(B233,IF(A233="COMPOSICAO",S!$A:$E,I!$A:$E),3,FALSE)</f>
        <v>PEDREIRO COM ENCARGOS COMPLEMENTARES</v>
      </c>
      <c r="E233" s="23" t="str">
        <f>VLOOKUP(B233,IF(A233="COMPOSICAO",S!$A:$E,I!$A:$E),4,FALSE)</f>
        <v>H</v>
      </c>
      <c r="F233" s="23">
        <f>0.1863/pcf</f>
        <v>0.18629999999999999</v>
      </c>
      <c r="G233" s="76">
        <f>IF(A233="COMPOSICAO",VLOOKUP("TOTAL SEM BDI - "&amp;B233,CPUAUX1!$A:$J,9,FALSE),VLOOKUP(B233,I!$A:$E,5,FALSE))</f>
        <v>27.39</v>
      </c>
      <c r="H233" s="77"/>
      <c r="I233" s="76">
        <f>TRUNC(F233*G233,2)</f>
        <v>5.0999999999999996</v>
      </c>
      <c r="J233" s="77"/>
      <c r="M233" s="23">
        <f>B233</f>
        <v>88309</v>
      </c>
      <c r="N233" s="5">
        <f>SUMIF(ORCAMENTO!B:B,B230,ORCAMENTO!F:F)</f>
        <v>39.479999999999997</v>
      </c>
      <c r="O233" s="23">
        <f>F233*N233</f>
        <v>7.3551239999999991</v>
      </c>
      <c r="Q233" s="23">
        <f ca="1">IFERROR(SUMIF(CO!B:B,B230,OFFSET(CO!F:F,0,(4+MATCH(ETAPA,CO!$J$6:$V$6,0)))),0)</f>
        <v>13.16</v>
      </c>
      <c r="R233" s="23">
        <f ca="1">F233*Q233</f>
        <v>2.451708</v>
      </c>
    </row>
    <row r="234" spans="1:18" x14ac:dyDescent="0.3">
      <c r="A234" s="73" t="str">
        <f>"TOTAL SEM BDI - "&amp;B230</f>
        <v>TOTAL SEM BDI - 96617</v>
      </c>
      <c r="B234" s="74"/>
      <c r="C234" s="74"/>
      <c r="D234" s="74"/>
      <c r="E234" s="74"/>
      <c r="F234" s="74"/>
      <c r="G234" s="74"/>
      <c r="H234" s="75"/>
      <c r="I234" s="76">
        <f>SUM(I230:I233)</f>
        <v>23.57</v>
      </c>
      <c r="J234" s="77"/>
    </row>
    <row r="235" spans="1:18" x14ac:dyDescent="0.3">
      <c r="A235" s="73" t="str">
        <f>"TAXA DE BDI ("&amp;TEXT(BDI,"00,00")&amp;" %)"</f>
        <v>TAXA DE BDI (22,33 %)</v>
      </c>
      <c r="B235" s="74"/>
      <c r="C235" s="74"/>
      <c r="D235" s="74"/>
      <c r="E235" s="74"/>
      <c r="F235" s="74"/>
      <c r="G235" s="74"/>
      <c r="H235" s="75"/>
      <c r="I235" s="76">
        <f>ROUND(I234*(BDI/100),2)</f>
        <v>5.26</v>
      </c>
      <c r="J235" s="77"/>
    </row>
    <row r="236" spans="1:18" x14ac:dyDescent="0.3">
      <c r="A236" s="73" t="str">
        <f>"TOTAL COM BDI - "&amp;B230</f>
        <v>TOTAL COM BDI - 96617</v>
      </c>
      <c r="B236" s="74"/>
      <c r="C236" s="74"/>
      <c r="D236" s="74"/>
      <c r="E236" s="74"/>
      <c r="F236" s="74"/>
      <c r="G236" s="74"/>
      <c r="H236" s="75"/>
      <c r="I236" s="76">
        <f>SUM(I234:I235)</f>
        <v>28.83</v>
      </c>
      <c r="J236" s="77"/>
    </row>
    <row r="238" spans="1:18" x14ac:dyDescent="0.3">
      <c r="A238" s="4" t="s">
        <v>1000</v>
      </c>
      <c r="B238" s="4" t="s">
        <v>170</v>
      </c>
      <c r="C238" s="4" t="s">
        <v>171</v>
      </c>
      <c r="D238" s="4" t="s">
        <v>18</v>
      </c>
      <c r="E238" s="4" t="s">
        <v>172</v>
      </c>
      <c r="F238" s="4" t="s">
        <v>507</v>
      </c>
      <c r="G238" s="45" t="s">
        <v>1001</v>
      </c>
      <c r="H238" s="46"/>
      <c r="I238" s="45" t="s">
        <v>12</v>
      </c>
      <c r="J238" s="46"/>
    </row>
    <row r="239" spans="1:18" ht="60" customHeight="1" x14ac:dyDescent="0.3">
      <c r="A239" s="15" t="s">
        <v>1033</v>
      </c>
      <c r="B239" s="15">
        <v>103800</v>
      </c>
      <c r="C239" s="15" t="str">
        <f>VLOOKUP(B239,S!$A:$G,2,FALSE)</f>
        <v>SINAPI</v>
      </c>
      <c r="D239" s="22" t="str">
        <f>VLOOKUP(B239,S!$A:$G,3,FALSE)</f>
        <v>PEDRA ARGAMASSADA COM CIMENTO E AREIA 1:3, 40% DE ARGAMASSA EM VOLUME - AREIA E PEDRA DE MÃO COMERCIAIS - FORNECIMENTO E ASSENTAMENTO. AF_08/2022</v>
      </c>
      <c r="E239" s="15" t="str">
        <f>VLOOKUP(B239,S!$A:$G,4,FALSE)</f>
        <v>M3</v>
      </c>
      <c r="F239" s="15"/>
      <c r="G239" s="78">
        <f>I244</f>
        <v>666</v>
      </c>
      <c r="H239" s="79"/>
      <c r="I239" s="78"/>
      <c r="J239" s="79"/>
      <c r="K239" s="16">
        <f>VLOOKUP(B239,S!A:G,5,FALSE)</f>
        <v>666</v>
      </c>
      <c r="L239" s="15" t="str">
        <f>IF(K239=G239,"OK, CONFORME TABELA",IF(G239&gt;K239,"ACIMA DA TABELA: ","ABAIXO DA TABELA: ")&amp;TRUNC((G239*100)/K239,2)&amp;" %")</f>
        <v>OK, CONFORME TABELA</v>
      </c>
    </row>
    <row r="240" spans="1:18" ht="45" customHeight="1" x14ac:dyDescent="0.3">
      <c r="A240" s="23" t="s">
        <v>1004</v>
      </c>
      <c r="B240" s="23">
        <v>88629</v>
      </c>
      <c r="C240" s="23" t="str">
        <f>VLOOKUP(B240,IF(A240="COMPOSICAO",S!$A:$E,I!$A:$E),2,FALSE)</f>
        <v>SINAPI</v>
      </c>
      <c r="D240" s="24" t="str">
        <f>VLOOKUP(B240,IF(A240="COMPOSICAO",S!$A:$E,I!$A:$E),3,FALSE)</f>
        <v>ARGAMASSA TRAÇO 1:3 (EM VOLUME DE CIMENTO E AREIA MÉDIA ÚMIDA), PREPARO MANUAL. AF_08/2019</v>
      </c>
      <c r="E240" s="23" t="str">
        <f>VLOOKUP(B240,IF(A240="COMPOSICAO",S!$A:$E,I!$A:$E),4,FALSE)</f>
        <v>M3</v>
      </c>
      <c r="F240" s="23">
        <v>0.44119999999999998</v>
      </c>
      <c r="G240" s="76">
        <f>IF(A240="COMPOSICAO",VLOOKUP("TOTAL SEM BDI - "&amp;B240,CPUAUX1!$A:$J,9,FALSE),VLOOKUP(B240,I!$A:$E,5,FALSE))</f>
        <v>765.31</v>
      </c>
      <c r="H240" s="77"/>
      <c r="I240" s="76">
        <f>TRUNC(F240*G240,2)</f>
        <v>337.65</v>
      </c>
      <c r="J240" s="77"/>
      <c r="M240" s="23">
        <f>B240</f>
        <v>88629</v>
      </c>
      <c r="N240" s="5">
        <f>SUMIF(ORCAMENTO!B:B,B239,ORCAMENTO!F:F)</f>
        <v>6.24</v>
      </c>
      <c r="O240" s="23">
        <f>F240*N240</f>
        <v>2.753088</v>
      </c>
      <c r="Q240" s="23">
        <f ca="1">IFERROR(SUMIF(CO!B:B,B239,OFFSET(CO!F:F,0,(4+MATCH(ETAPA,CO!$J$6:$V$6,0)))),0)</f>
        <v>2.08</v>
      </c>
      <c r="R240" s="23">
        <f ca="1">F240*Q240</f>
        <v>0.91769599999999996</v>
      </c>
    </row>
    <row r="241" spans="1:18" x14ac:dyDescent="0.3">
      <c r="A241" s="23" t="s">
        <v>1004</v>
      </c>
      <c r="B241" s="23">
        <v>88316</v>
      </c>
      <c r="C241" s="23" t="str">
        <f>VLOOKUP(B241,IF(A241="COMPOSICAO",S!$A:$E,I!$A:$E),2,FALSE)</f>
        <v>SINAPI</v>
      </c>
      <c r="D241" s="24" t="str">
        <f>VLOOKUP(B241,IF(A241="COMPOSICAO",S!$A:$E,I!$A:$E),3,FALSE)</f>
        <v>SERVENTE COM ENCARGOS COMPLEMENTARES</v>
      </c>
      <c r="E241" s="23" t="str">
        <f>VLOOKUP(B241,IF(A241="COMPOSICAO",S!$A:$E,I!$A:$E),4,FALSE)</f>
        <v>H</v>
      </c>
      <c r="F241" s="23">
        <f>3.1021/pcf</f>
        <v>3.1021000000000001</v>
      </c>
      <c r="G241" s="76">
        <f>IF(A241="COMPOSICAO",VLOOKUP("TOTAL SEM BDI - "&amp;B241,CPUAUX1!$A:$J,9,FALSE),VLOOKUP(B241,I!$A:$E,5,FALSE))</f>
        <v>21.71</v>
      </c>
      <c r="H241" s="77"/>
      <c r="I241" s="76">
        <f>TRUNC(F241*G241,2)</f>
        <v>67.34</v>
      </c>
      <c r="J241" s="77"/>
      <c r="M241" s="23">
        <f>B241</f>
        <v>88316</v>
      </c>
      <c r="N241" s="5">
        <f>SUMIF(ORCAMENTO!B:B,B239,ORCAMENTO!F:F)</f>
        <v>6.24</v>
      </c>
      <c r="O241" s="23">
        <f>F241*N241</f>
        <v>19.357104</v>
      </c>
      <c r="Q241" s="23">
        <f ca="1">IFERROR(SUMIF(CO!B:B,B239,OFFSET(CO!F:F,0,(4+MATCH(ETAPA,CO!$J$6:$V$6,0)))),0)</f>
        <v>2.08</v>
      </c>
      <c r="R241" s="23">
        <f ca="1">F241*Q241</f>
        <v>6.4523680000000008</v>
      </c>
    </row>
    <row r="242" spans="1:18" x14ac:dyDescent="0.3">
      <c r="A242" s="23" t="s">
        <v>1004</v>
      </c>
      <c r="B242" s="23">
        <v>88309</v>
      </c>
      <c r="C242" s="23" t="str">
        <f>VLOOKUP(B242,IF(A242="COMPOSICAO",S!$A:$E,I!$A:$E),2,FALSE)</f>
        <v>SINAPI</v>
      </c>
      <c r="D242" s="24" t="str">
        <f>VLOOKUP(B242,IF(A242="COMPOSICAO",S!$A:$E,I!$A:$E),3,FALSE)</f>
        <v>PEDREIRO COM ENCARGOS COMPLEMENTARES</v>
      </c>
      <c r="E242" s="23" t="str">
        <f>VLOOKUP(B242,IF(A242="COMPOSICAO",S!$A:$E,I!$A:$E),4,FALSE)</f>
        <v>H</v>
      </c>
      <c r="F242" s="23">
        <f>2.2158/pcf</f>
        <v>2.2158000000000002</v>
      </c>
      <c r="G242" s="76">
        <f>IF(A242="COMPOSICAO",VLOOKUP("TOTAL SEM BDI - "&amp;B242,CPUAUX1!$A:$J,9,FALSE),VLOOKUP(B242,I!$A:$E,5,FALSE))</f>
        <v>27.39</v>
      </c>
      <c r="H242" s="77"/>
      <c r="I242" s="76">
        <f>TRUNC(F242*G242,2)</f>
        <v>60.69</v>
      </c>
      <c r="J242" s="77"/>
      <c r="M242" s="23">
        <f>B242</f>
        <v>88309</v>
      </c>
      <c r="N242" s="5">
        <f>SUMIF(ORCAMENTO!B:B,B239,ORCAMENTO!F:F)</f>
        <v>6.24</v>
      </c>
      <c r="O242" s="23">
        <f>F242*N242</f>
        <v>13.826592000000002</v>
      </c>
      <c r="Q242" s="23">
        <f ca="1">IFERROR(SUMIF(CO!B:B,B239,OFFSET(CO!F:F,0,(4+MATCH(ETAPA,CO!$J$6:$V$6,0)))),0)</f>
        <v>2.08</v>
      </c>
      <c r="R242" s="23">
        <f ca="1">F242*Q242</f>
        <v>4.6088640000000005</v>
      </c>
    </row>
    <row r="243" spans="1:18" ht="30" customHeight="1" x14ac:dyDescent="0.3">
      <c r="A243" s="23" t="s">
        <v>1005</v>
      </c>
      <c r="B243" s="23">
        <v>4730</v>
      </c>
      <c r="C243" s="23" t="str">
        <f>VLOOKUP(B243,IF(A243="COMPOSICAO",S!$A:$E,I!$A:$E),2,FALSE)</f>
        <v>SINAPI</v>
      </c>
      <c r="D243" s="24" t="str">
        <f>VLOOKUP(B243,IF(A243="COMPOSICAO",S!$A:$E,I!$A:$E),3,FALSE)</f>
        <v>PEDRA DE MAO OU PEDRA RACHAO PARA ARRIMO/FUNDACAO (POSTO PEDREIRA/FORNECEDOR, SEM FRETE)</v>
      </c>
      <c r="E243" s="23" t="str">
        <f>VLOOKUP(B243,IF(A243="COMPOSICAO",S!$A:$E,I!$A:$E),4,FALSE)</f>
        <v>M3</v>
      </c>
      <c r="F243" s="23">
        <v>0.90859999999999996</v>
      </c>
      <c r="G243" s="76">
        <f>IF(A243="COMPOSICAO",VLOOKUP("TOTAL SEM BDI - "&amp;B243,CPUAUX1!$A:$J,9,FALSE),VLOOKUP(B243,I!$A:$E,5,FALSE))</f>
        <v>220.48</v>
      </c>
      <c r="H243" s="77"/>
      <c r="I243" s="76">
        <f>TRUNC(F243*G243,2)</f>
        <v>200.32</v>
      </c>
      <c r="J243" s="77"/>
      <c r="M243" s="23">
        <f>B243</f>
        <v>4730</v>
      </c>
      <c r="N243" s="5">
        <f>SUMIF(ORCAMENTO!B:B,B239,ORCAMENTO!F:F)</f>
        <v>6.24</v>
      </c>
      <c r="O243" s="23">
        <f>F243*N243</f>
        <v>5.669664</v>
      </c>
      <c r="Q243" s="23">
        <f ca="1">IFERROR(SUMIF(CO!B:B,B239,OFFSET(CO!F:F,0,(4+MATCH(ETAPA,CO!$J$6:$V$6,0)))),0)</f>
        <v>2.08</v>
      </c>
      <c r="R243" s="23">
        <f ca="1">F243*Q243</f>
        <v>1.889888</v>
      </c>
    </row>
    <row r="244" spans="1:18" x14ac:dyDescent="0.3">
      <c r="A244" s="73" t="str">
        <f>"TOTAL SEM BDI - "&amp;B239</f>
        <v>TOTAL SEM BDI - 103800</v>
      </c>
      <c r="B244" s="74"/>
      <c r="C244" s="74"/>
      <c r="D244" s="74"/>
      <c r="E244" s="74"/>
      <c r="F244" s="74"/>
      <c r="G244" s="74"/>
      <c r="H244" s="75"/>
      <c r="I244" s="76">
        <f>SUM(I239:I243)</f>
        <v>666</v>
      </c>
      <c r="J244" s="77"/>
    </row>
    <row r="245" spans="1:18" x14ac:dyDescent="0.3">
      <c r="A245" s="73" t="str">
        <f>"TAXA DE BDI ("&amp;TEXT(BDI,"00,00")&amp;" %)"</f>
        <v>TAXA DE BDI (22,33 %)</v>
      </c>
      <c r="B245" s="74"/>
      <c r="C245" s="74"/>
      <c r="D245" s="74"/>
      <c r="E245" s="74"/>
      <c r="F245" s="74"/>
      <c r="G245" s="74"/>
      <c r="H245" s="75"/>
      <c r="I245" s="76">
        <f>ROUND(I244*(BDI/100),2)</f>
        <v>148.72</v>
      </c>
      <c r="J245" s="77"/>
    </row>
    <row r="246" spans="1:18" x14ac:dyDescent="0.3">
      <c r="A246" s="73" t="str">
        <f>"TOTAL COM BDI - "&amp;B239</f>
        <v>TOTAL COM BDI - 103800</v>
      </c>
      <c r="B246" s="74"/>
      <c r="C246" s="74"/>
      <c r="D246" s="74"/>
      <c r="E246" s="74"/>
      <c r="F246" s="74"/>
      <c r="G246" s="74"/>
      <c r="H246" s="75"/>
      <c r="I246" s="76">
        <f>SUM(I244:I245)</f>
        <v>814.72</v>
      </c>
      <c r="J246" s="77"/>
    </row>
    <row r="248" spans="1:18" x14ac:dyDescent="0.3">
      <c r="A248" s="4" t="s">
        <v>1000</v>
      </c>
      <c r="B248" s="4" t="s">
        <v>170</v>
      </c>
      <c r="C248" s="4" t="s">
        <v>171</v>
      </c>
      <c r="D248" s="4" t="s">
        <v>18</v>
      </c>
      <c r="E248" s="4" t="s">
        <v>172</v>
      </c>
      <c r="F248" s="4" t="s">
        <v>507</v>
      </c>
      <c r="G248" s="45" t="s">
        <v>1001</v>
      </c>
      <c r="H248" s="46"/>
      <c r="I248" s="45" t="s">
        <v>12</v>
      </c>
      <c r="J248" s="46"/>
    </row>
    <row r="249" spans="1:18" ht="60" customHeight="1" x14ac:dyDescent="0.3">
      <c r="A249" s="15" t="s">
        <v>1034</v>
      </c>
      <c r="B249" s="15">
        <v>103335</v>
      </c>
      <c r="C249" s="15" t="str">
        <f>VLOOKUP(B249,S!$A:$G,2,FALSE)</f>
        <v>SINAPI</v>
      </c>
      <c r="D249" s="22" t="str">
        <f>VLOOKUP(B249,S!$A:$G,3,FALSE)</f>
        <v>ALVENARIA DE VEDAÇÃO DE BLOCOS CERÂMICOS FURADOS NA HORIZONTAL DE 14X9X19 CM (ESPESSURA 14 CM, BLOCO DEITADO) E ARGAMASSA DE ASSENTAMENTO COM PREPARO MANUAL. AF_12/2021</v>
      </c>
      <c r="E249" s="15" t="str">
        <f>VLOOKUP(B249,S!$A:$G,4,FALSE)</f>
        <v>M2</v>
      </c>
      <c r="F249" s="15"/>
      <c r="G249" s="78">
        <f>I256</f>
        <v>146.44</v>
      </c>
      <c r="H249" s="79"/>
      <c r="I249" s="78"/>
      <c r="J249" s="79"/>
      <c r="K249" s="16">
        <f>VLOOKUP(B249,S!A:G,5,FALSE)</f>
        <v>146.44</v>
      </c>
      <c r="L249" s="15" t="str">
        <f>IF(K249=G249,"OK, CONFORME TABELA",IF(G249&gt;K249,"ACIMA DA TABELA: ","ABAIXO DA TABELA: ")&amp;TRUNC((G249*100)/K249,2)&amp;" %")</f>
        <v>OK, CONFORME TABELA</v>
      </c>
    </row>
    <row r="250" spans="1:18" x14ac:dyDescent="0.3">
      <c r="A250" s="23" t="s">
        <v>1004</v>
      </c>
      <c r="B250" s="23">
        <v>88316</v>
      </c>
      <c r="C250" s="23" t="str">
        <f>VLOOKUP(B250,IF(A250="COMPOSICAO",S!$A:$E,I!$A:$E),2,FALSE)</f>
        <v>SINAPI</v>
      </c>
      <c r="D250" s="24" t="str">
        <f>VLOOKUP(B250,IF(A250="COMPOSICAO",S!$A:$E,I!$A:$E),3,FALSE)</f>
        <v>SERVENTE COM ENCARGOS COMPLEMENTARES</v>
      </c>
      <c r="E250" s="23" t="str">
        <f>VLOOKUP(B250,IF(A250="COMPOSICAO",S!$A:$E,I!$A:$E),4,FALSE)</f>
        <v>H</v>
      </c>
      <c r="F250" s="23">
        <f>1.16/pcf</f>
        <v>1.1599999999999999</v>
      </c>
      <c r="G250" s="76">
        <f>IF(A250="COMPOSICAO",VLOOKUP("TOTAL SEM BDI - "&amp;B250,CPUAUX1!$A:$J,9,FALSE),VLOOKUP(B250,I!$A:$E,5,FALSE))</f>
        <v>21.71</v>
      </c>
      <c r="H250" s="77"/>
      <c r="I250" s="76">
        <f t="shared" ref="I250:I255" si="16">TRUNC(F250*G250,2)</f>
        <v>25.18</v>
      </c>
      <c r="J250" s="77"/>
      <c r="M250" s="23">
        <f t="shared" ref="M250:M255" si="17">B250</f>
        <v>88316</v>
      </c>
      <c r="N250" s="5">
        <f>SUMIF(ORCAMENTO!B:B,B249,ORCAMENTO!F:F)</f>
        <v>10.320000000000002</v>
      </c>
      <c r="O250" s="23">
        <f t="shared" ref="O250:O255" si="18">F250*N250</f>
        <v>11.971200000000001</v>
      </c>
      <c r="Q250" s="23">
        <f ca="1">IFERROR(SUMIF(CO!B:B,B249,OFFSET(CO!F:F,0,(4+MATCH(ETAPA,CO!$J$6:$V$6,0)))),0)</f>
        <v>3.4400000000000004</v>
      </c>
      <c r="R250" s="23">
        <f t="shared" ref="R250:R255" ca="1" si="19">F250*Q250</f>
        <v>3.9904000000000002</v>
      </c>
    </row>
    <row r="251" spans="1:18" x14ac:dyDescent="0.3">
      <c r="A251" s="23" t="s">
        <v>1004</v>
      </c>
      <c r="B251" s="23">
        <v>88309</v>
      </c>
      <c r="C251" s="23" t="str">
        <f>VLOOKUP(B251,IF(A251="COMPOSICAO",S!$A:$E,I!$A:$E),2,FALSE)</f>
        <v>SINAPI</v>
      </c>
      <c r="D251" s="24" t="str">
        <f>VLOOKUP(B251,IF(A251="COMPOSICAO",S!$A:$E,I!$A:$E),3,FALSE)</f>
        <v>PEDREIRO COM ENCARGOS COMPLEMENTARES</v>
      </c>
      <c r="E251" s="23" t="str">
        <f>VLOOKUP(B251,IF(A251="COMPOSICAO",S!$A:$E,I!$A:$E),4,FALSE)</f>
        <v>H</v>
      </c>
      <c r="F251" s="23">
        <f>2.32/pcf</f>
        <v>2.3199999999999998</v>
      </c>
      <c r="G251" s="76">
        <f>IF(A251="COMPOSICAO",VLOOKUP("TOTAL SEM BDI - "&amp;B251,CPUAUX1!$A:$J,9,FALSE),VLOOKUP(B251,I!$A:$E,5,FALSE))</f>
        <v>27.39</v>
      </c>
      <c r="H251" s="77"/>
      <c r="I251" s="76">
        <f t="shared" si="16"/>
        <v>63.54</v>
      </c>
      <c r="J251" s="77"/>
      <c r="M251" s="23">
        <f t="shared" si="17"/>
        <v>88309</v>
      </c>
      <c r="N251" s="5">
        <f>SUMIF(ORCAMENTO!B:B,B249,ORCAMENTO!F:F)</f>
        <v>10.320000000000002</v>
      </c>
      <c r="O251" s="23">
        <f t="shared" si="18"/>
        <v>23.942400000000003</v>
      </c>
      <c r="Q251" s="23">
        <f ca="1">IFERROR(SUMIF(CO!B:B,B249,OFFSET(CO!F:F,0,(4+MATCH(ETAPA,CO!$J$6:$V$6,0)))),0)</f>
        <v>3.4400000000000004</v>
      </c>
      <c r="R251" s="23">
        <f t="shared" ca="1" si="19"/>
        <v>7.9808000000000003</v>
      </c>
    </row>
    <row r="252" spans="1:18" ht="60" customHeight="1" x14ac:dyDescent="0.3">
      <c r="A252" s="23" t="s">
        <v>1004</v>
      </c>
      <c r="B252" s="23">
        <v>87369</v>
      </c>
      <c r="C252" s="23" t="str">
        <f>VLOOKUP(B252,IF(A252="COMPOSICAO",S!$A:$E,I!$A:$E),2,FALSE)</f>
        <v>SINAPI</v>
      </c>
      <c r="D252" s="24" t="str">
        <f>VLOOKUP(B252,IF(A252="COMPOSICAO",S!$A:$E,I!$A:$E),3,FALSE)</f>
        <v>ARGAMASSA TRAÇO 1:2:8 (EM VOLUME DE CIMENTO, CAL E AREIA MÉDIA ÚMIDA) PARA EMBOÇO/MASSA ÚNICA/ASSENTAMENTO DE ALVENARIA DE VEDAÇÃO, PREPARO MANUAL. AF_08/2019</v>
      </c>
      <c r="E252" s="23" t="str">
        <f>VLOOKUP(B252,IF(A252="COMPOSICAO",S!$A:$E,I!$A:$E),4,FALSE)</f>
        <v>M3</v>
      </c>
      <c r="F252" s="23">
        <v>1.83E-2</v>
      </c>
      <c r="G252" s="76">
        <f>IF(A252="COMPOSICAO",VLOOKUP("TOTAL SEM BDI - "&amp;B252,CPUAUX1!$A:$J,9,FALSE),VLOOKUP(B252,I!$A:$E,5,FALSE))</f>
        <v>750.01</v>
      </c>
      <c r="H252" s="77"/>
      <c r="I252" s="76">
        <f t="shared" si="16"/>
        <v>13.72</v>
      </c>
      <c r="J252" s="77"/>
      <c r="M252" s="23">
        <f t="shared" si="17"/>
        <v>87369</v>
      </c>
      <c r="N252" s="5">
        <f>SUMIF(ORCAMENTO!B:B,B249,ORCAMENTO!F:F)</f>
        <v>10.320000000000002</v>
      </c>
      <c r="O252" s="23">
        <f t="shared" si="18"/>
        <v>0.18885600000000005</v>
      </c>
      <c r="Q252" s="23">
        <f ca="1">IFERROR(SUMIF(CO!B:B,B249,OFFSET(CO!F:F,0,(4+MATCH(ETAPA,CO!$J$6:$V$6,0)))),0)</f>
        <v>3.4400000000000004</v>
      </c>
      <c r="R252" s="23">
        <f t="shared" ca="1" si="19"/>
        <v>6.2952000000000008E-2</v>
      </c>
    </row>
    <row r="253" spans="1:18" ht="30" customHeight="1" x14ac:dyDescent="0.3">
      <c r="A253" s="23" t="s">
        <v>1005</v>
      </c>
      <c r="B253" s="23">
        <v>37395</v>
      </c>
      <c r="C253" s="23" t="str">
        <f>VLOOKUP(B253,IF(A253="COMPOSICAO",S!$A:$E,I!$A:$E),2,FALSE)</f>
        <v>SINAPI</v>
      </c>
      <c r="D253" s="24" t="str">
        <f>VLOOKUP(B253,IF(A253="COMPOSICAO",S!$A:$E,I!$A:$E),3,FALSE)</f>
        <v>PINO DE ACO COM FURO, HASTE = 27 MM (ACAO DIRETA)</v>
      </c>
      <c r="E253" s="23" t="str">
        <f>VLOOKUP(B253,IF(A253="COMPOSICAO",S!$A:$E,I!$A:$E),4,FALSE)</f>
        <v>CENTO</v>
      </c>
      <c r="F253" s="23">
        <v>1.9300000000000001E-2</v>
      </c>
      <c r="G253" s="76">
        <f>IF(A253="COMPOSICAO",VLOOKUP("TOTAL SEM BDI - "&amp;B253,CPUAUX1!$A:$J,9,FALSE),VLOOKUP(B253,I!$A:$E,5,FALSE))</f>
        <v>44.86</v>
      </c>
      <c r="H253" s="77"/>
      <c r="I253" s="76">
        <f t="shared" si="16"/>
        <v>0.86</v>
      </c>
      <c r="J253" s="77"/>
      <c r="M253" s="23">
        <f t="shared" si="17"/>
        <v>37395</v>
      </c>
      <c r="N253" s="5">
        <f>SUMIF(ORCAMENTO!B:B,B249,ORCAMENTO!F:F)</f>
        <v>10.320000000000002</v>
      </c>
      <c r="O253" s="23">
        <f t="shared" si="18"/>
        <v>0.19917600000000005</v>
      </c>
      <c r="Q253" s="23">
        <f ca="1">IFERROR(SUMIF(CO!B:B,B249,OFFSET(CO!F:F,0,(4+MATCH(ETAPA,CO!$J$6:$V$6,0)))),0)</f>
        <v>3.4400000000000004</v>
      </c>
      <c r="R253" s="23">
        <f t="shared" ca="1" si="19"/>
        <v>6.6392000000000007E-2</v>
      </c>
    </row>
    <row r="254" spans="1:18" ht="45" customHeight="1" x14ac:dyDescent="0.3">
      <c r="A254" s="23" t="s">
        <v>1005</v>
      </c>
      <c r="B254" s="23">
        <v>34547</v>
      </c>
      <c r="C254" s="23" t="str">
        <f>VLOOKUP(B254,IF(A254="COMPOSICAO",S!$A:$E,I!$A:$E),2,FALSE)</f>
        <v>SINAPI</v>
      </c>
      <c r="D254" s="24" t="str">
        <f>VLOOKUP(B254,IF(A254="COMPOSICAO",S!$A:$E,I!$A:$E),3,FALSE)</f>
        <v>TELA DE ACO SOLDADA GALVANIZADA/ZINCADA PARA ALVENARIA, FIO D = *1,20 A 1,70* MM, MALHA 15 X 15 MM, (C X L) *50 X 12* CM</v>
      </c>
      <c r="E254" s="23" t="str">
        <f>VLOOKUP(B254,IF(A254="COMPOSICAO",S!$A:$E,I!$A:$E),4,FALSE)</f>
        <v>M</v>
      </c>
      <c r="F254" s="23">
        <v>0.80500000000000005</v>
      </c>
      <c r="G254" s="76">
        <f>IF(A254="COMPOSICAO",VLOOKUP("TOTAL SEM BDI - "&amp;B254,CPUAUX1!$A:$J,9,FALSE),VLOOKUP(B254,I!$A:$E,5,FALSE))</f>
        <v>3.66</v>
      </c>
      <c r="H254" s="77"/>
      <c r="I254" s="76">
        <f t="shared" si="16"/>
        <v>2.94</v>
      </c>
      <c r="J254" s="77"/>
      <c r="M254" s="23">
        <f t="shared" si="17"/>
        <v>34547</v>
      </c>
      <c r="N254" s="5">
        <f>SUMIF(ORCAMENTO!B:B,B249,ORCAMENTO!F:F)</f>
        <v>10.320000000000002</v>
      </c>
      <c r="O254" s="23">
        <f t="shared" si="18"/>
        <v>8.3076000000000025</v>
      </c>
      <c r="Q254" s="23">
        <f ca="1">IFERROR(SUMIF(CO!B:B,B249,OFFSET(CO!F:F,0,(4+MATCH(ETAPA,CO!$J$6:$V$6,0)))),0)</f>
        <v>3.4400000000000004</v>
      </c>
      <c r="R254" s="23">
        <f t="shared" ca="1" si="19"/>
        <v>2.7692000000000005</v>
      </c>
    </row>
    <row r="255" spans="1:18" ht="45" customHeight="1" x14ac:dyDescent="0.3">
      <c r="A255" s="23" t="s">
        <v>1005</v>
      </c>
      <c r="B255" s="23">
        <v>7267</v>
      </c>
      <c r="C255" s="23" t="str">
        <f>VLOOKUP(B255,IF(A255="COMPOSICAO",S!$A:$E,I!$A:$E),2,FALSE)</f>
        <v>SINAPI</v>
      </c>
      <c r="D255" s="24" t="str">
        <f>VLOOKUP(B255,IF(A255="COMPOSICAO",S!$A:$E,I!$A:$E),3,FALSE)</f>
        <v>BLOCO CERAMICO / TIJOLO VAZADO PARA ALVENARIA DE VEDACAO, 6 FUROS NA HORIZONTAL DE 9 X 14 X 19 CM (L X A X C)</v>
      </c>
      <c r="E255" s="23" t="str">
        <f>VLOOKUP(B255,IF(A255="COMPOSICAO",S!$A:$E,I!$A:$E),4,FALSE)</f>
        <v>UN</v>
      </c>
      <c r="F255" s="23">
        <v>56.62</v>
      </c>
      <c r="G255" s="76">
        <f>IF(A255="COMPOSICAO",VLOOKUP("TOTAL SEM BDI - "&amp;B255,CPUAUX1!$A:$J,9,FALSE),VLOOKUP(B255,I!$A:$E,5,FALSE))</f>
        <v>0.71</v>
      </c>
      <c r="H255" s="77"/>
      <c r="I255" s="76">
        <f t="shared" si="16"/>
        <v>40.200000000000003</v>
      </c>
      <c r="J255" s="77"/>
      <c r="M255" s="23">
        <f t="shared" si="17"/>
        <v>7267</v>
      </c>
      <c r="N255" s="5">
        <f>SUMIF(ORCAMENTO!B:B,B249,ORCAMENTO!F:F)</f>
        <v>10.320000000000002</v>
      </c>
      <c r="O255" s="23">
        <f t="shared" si="18"/>
        <v>584.31840000000011</v>
      </c>
      <c r="Q255" s="23">
        <f ca="1">IFERROR(SUMIF(CO!B:B,B249,OFFSET(CO!F:F,0,(4+MATCH(ETAPA,CO!$J$6:$V$6,0)))),0)</f>
        <v>3.4400000000000004</v>
      </c>
      <c r="R255" s="23">
        <f t="shared" ca="1" si="19"/>
        <v>194.77280000000002</v>
      </c>
    </row>
    <row r="256" spans="1:18" x14ac:dyDescent="0.3">
      <c r="A256" s="73" t="str">
        <f>"TOTAL SEM BDI - "&amp;B249</f>
        <v>TOTAL SEM BDI - 103335</v>
      </c>
      <c r="B256" s="74"/>
      <c r="C256" s="74"/>
      <c r="D256" s="74"/>
      <c r="E256" s="74"/>
      <c r="F256" s="74"/>
      <c r="G256" s="74"/>
      <c r="H256" s="75"/>
      <c r="I256" s="76">
        <f>SUM(I249:I255)</f>
        <v>146.44</v>
      </c>
      <c r="J256" s="77"/>
    </row>
    <row r="257" spans="1:18" x14ac:dyDescent="0.3">
      <c r="A257" s="73" t="str">
        <f>"TAXA DE BDI ("&amp;TEXT(BDI,"00,00")&amp;" %)"</f>
        <v>TAXA DE BDI (22,33 %)</v>
      </c>
      <c r="B257" s="74"/>
      <c r="C257" s="74"/>
      <c r="D257" s="74"/>
      <c r="E257" s="74"/>
      <c r="F257" s="74"/>
      <c r="G257" s="74"/>
      <c r="H257" s="75"/>
      <c r="I257" s="76">
        <f>ROUND(I256*(BDI/100),2)</f>
        <v>32.700000000000003</v>
      </c>
      <c r="J257" s="77"/>
    </row>
    <row r="258" spans="1:18" x14ac:dyDescent="0.3">
      <c r="A258" s="73" t="str">
        <f>"TOTAL COM BDI - "&amp;B249</f>
        <v>TOTAL COM BDI - 103335</v>
      </c>
      <c r="B258" s="74"/>
      <c r="C258" s="74"/>
      <c r="D258" s="74"/>
      <c r="E258" s="74"/>
      <c r="F258" s="74"/>
      <c r="G258" s="74"/>
      <c r="H258" s="75"/>
      <c r="I258" s="76">
        <f>SUM(I256:I257)</f>
        <v>179.14</v>
      </c>
      <c r="J258" s="77"/>
    </row>
    <row r="260" spans="1:18" x14ac:dyDescent="0.3">
      <c r="A260" s="4" t="s">
        <v>1000</v>
      </c>
      <c r="B260" s="4" t="s">
        <v>170</v>
      </c>
      <c r="C260" s="4" t="s">
        <v>171</v>
      </c>
      <c r="D260" s="4" t="s">
        <v>18</v>
      </c>
      <c r="E260" s="4" t="s">
        <v>172</v>
      </c>
      <c r="F260" s="4" t="s">
        <v>507</v>
      </c>
      <c r="G260" s="45" t="s">
        <v>1001</v>
      </c>
      <c r="H260" s="46"/>
      <c r="I260" s="45" t="s">
        <v>12</v>
      </c>
      <c r="J260" s="46"/>
    </row>
    <row r="261" spans="1:18" ht="30" customHeight="1" x14ac:dyDescent="0.3">
      <c r="A261" s="15" t="s">
        <v>1010</v>
      </c>
      <c r="B261" s="15" t="s">
        <v>574</v>
      </c>
      <c r="C261" s="15" t="str">
        <f>VLOOKUP(B261,S!$A:$G,2,FALSE)</f>
        <v>PRÓPRIA</v>
      </c>
      <c r="D261" s="22" t="str">
        <f>VLOOKUP(B261,S!$A:$G,3,FALSE)</f>
        <v>CINTA DE AMARRAÇÃO DE ALVENARIA MOLDADA IN LOCO EM CONCRETO</v>
      </c>
      <c r="E261" s="15" t="str">
        <f>VLOOKUP(B261,S!$A:$G,4,FALSE)</f>
        <v>M</v>
      </c>
      <c r="F261" s="15"/>
      <c r="G261" s="78">
        <f>I269</f>
        <v>81.47999999999999</v>
      </c>
      <c r="H261" s="79"/>
      <c r="I261" s="78"/>
      <c r="J261" s="79"/>
      <c r="K261" s="16">
        <f>VLOOKUP(B261,S!A:G,5,FALSE)</f>
        <v>0</v>
      </c>
      <c r="L261" s="15" t="s">
        <v>1003</v>
      </c>
    </row>
    <row r="262" spans="1:18" ht="30" customHeight="1" x14ac:dyDescent="0.3">
      <c r="A262" s="23" t="s">
        <v>1005</v>
      </c>
      <c r="B262" s="23">
        <v>2692</v>
      </c>
      <c r="C262" s="23" t="str">
        <f>VLOOKUP(B262,IF(A262="COMPOSICAO",S!$A:$E,I!$A:$E),2,FALSE)</f>
        <v>SINAPI</v>
      </c>
      <c r="D262" s="24" t="str">
        <f>VLOOKUP(B262,IF(A262="COMPOSICAO",S!$A:$E,I!$A:$E),3,FALSE)</f>
        <v>DESMOLDANTE PROTETOR PARA FORMAS DE MADEIRA, DE BASE OLEOSA EMULSIONADA EM AGUA</v>
      </c>
      <c r="E262" s="23" t="str">
        <f>VLOOKUP(B262,IF(A262="COMPOSICAO",S!$A:$E,I!$A:$E),4,FALSE)</f>
        <v>L</v>
      </c>
      <c r="F262" s="23">
        <v>3.5000000000000001E-3</v>
      </c>
      <c r="G262" s="76">
        <f>IF(A262="COMPOSICAO",VLOOKUP("TOTAL SEM BDI - "&amp;B262,CPUAUX1!$A:$J,9,FALSE),VLOOKUP(B262,I!$A:$E,5,FALSE))</f>
        <v>10.72</v>
      </c>
      <c r="H262" s="77"/>
      <c r="I262" s="76">
        <f t="shared" ref="I262:I268" si="20">TRUNC(F262*G262,2)</f>
        <v>0.03</v>
      </c>
      <c r="J262" s="77"/>
      <c r="M262" s="23">
        <f t="shared" ref="M262:M268" si="21">B262</f>
        <v>2692</v>
      </c>
      <c r="N262" s="5">
        <f>SUMIF(ORCAMENTO!B:B,B261,ORCAMENTO!F:F)</f>
        <v>51.6</v>
      </c>
      <c r="O262" s="23">
        <f t="shared" ref="O262:O268" si="22">F262*N262</f>
        <v>0.18060000000000001</v>
      </c>
      <c r="Q262" s="23">
        <f ca="1">IFERROR(SUMIF(CO!B:B,B261,OFFSET(CO!F:F,0,(4+MATCH(ETAPA,CO!$J$6:$V$6,0)))),0)</f>
        <v>17.2</v>
      </c>
      <c r="R262" s="23">
        <f t="shared" ref="R262:R268" ca="1" si="23">F262*Q262</f>
        <v>6.0199999999999997E-2</v>
      </c>
    </row>
    <row r="263" spans="1:18" ht="45" customHeight="1" x14ac:dyDescent="0.3">
      <c r="A263" s="23" t="s">
        <v>1005</v>
      </c>
      <c r="B263" s="23">
        <v>39017</v>
      </c>
      <c r="C263" s="23" t="str">
        <f>VLOOKUP(B263,IF(A263="COMPOSICAO",S!$A:$E,I!$A:$E),2,FALSE)</f>
        <v>SINAPI</v>
      </c>
      <c r="D263" s="24" t="str">
        <f>VLOOKUP(B263,IF(A263="COMPOSICAO",S!$A:$E,I!$A:$E),3,FALSE)</f>
        <v>ESPACADOR / DISTANCIADOR CIRCULAR COM ENTRADA LATERAL, EM PLASTICO, PARA VERGALHAO *4,2 A 12,5* MM, COBRIMENTO 20 MM</v>
      </c>
      <c r="E263" s="23" t="str">
        <f>VLOOKUP(B263,IF(A263="COMPOSICAO",S!$A:$E,I!$A:$E),4,FALSE)</f>
        <v>UN</v>
      </c>
      <c r="F263" s="23">
        <v>6</v>
      </c>
      <c r="G263" s="76">
        <f>IF(A263="COMPOSICAO",VLOOKUP("TOTAL SEM BDI - "&amp;B263,CPUAUX1!$A:$J,9,FALSE),VLOOKUP(B263,I!$A:$E,5,FALSE))</f>
        <v>0.22</v>
      </c>
      <c r="H263" s="77"/>
      <c r="I263" s="76">
        <f t="shared" si="20"/>
        <v>1.32</v>
      </c>
      <c r="J263" s="77"/>
      <c r="M263" s="23">
        <f t="shared" si="21"/>
        <v>39017</v>
      </c>
      <c r="N263" s="5">
        <f>SUMIF(ORCAMENTO!B:B,B261,ORCAMENTO!F:F)</f>
        <v>51.6</v>
      </c>
      <c r="O263" s="23">
        <f t="shared" si="22"/>
        <v>309.60000000000002</v>
      </c>
      <c r="Q263" s="23">
        <f ca="1">IFERROR(SUMIF(CO!B:B,B261,OFFSET(CO!F:F,0,(4+MATCH(ETAPA,CO!$J$6:$V$6,0)))),0)</f>
        <v>17.2</v>
      </c>
      <c r="R263" s="23">
        <f t="shared" ca="1" si="23"/>
        <v>103.19999999999999</v>
      </c>
    </row>
    <row r="264" spans="1:18" x14ac:dyDescent="0.3">
      <c r="A264" s="23" t="s">
        <v>1004</v>
      </c>
      <c r="B264" s="23">
        <v>88309</v>
      </c>
      <c r="C264" s="23" t="str">
        <f>VLOOKUP(B264,IF(A264="COMPOSICAO",S!$A:$E,I!$A:$E),2,FALSE)</f>
        <v>SINAPI</v>
      </c>
      <c r="D264" s="24" t="str">
        <f>VLOOKUP(B264,IF(A264="COMPOSICAO",S!$A:$E,I!$A:$E),3,FALSE)</f>
        <v>PEDREIRO COM ENCARGOS COMPLEMENTARES</v>
      </c>
      <c r="E264" s="23" t="str">
        <f>VLOOKUP(B264,IF(A264="COMPOSICAO",S!$A:$E,I!$A:$E),4,FALSE)</f>
        <v>H</v>
      </c>
      <c r="F264" s="23">
        <f>0.36/pcf</f>
        <v>0.36</v>
      </c>
      <c r="G264" s="76">
        <f>IF(A264="COMPOSICAO",VLOOKUP("TOTAL SEM BDI - "&amp;B264,CPUAUX1!$A:$J,9,FALSE),VLOOKUP(B264,I!$A:$E,5,FALSE))</f>
        <v>27.39</v>
      </c>
      <c r="H264" s="77"/>
      <c r="I264" s="76">
        <f t="shared" si="20"/>
        <v>9.86</v>
      </c>
      <c r="J264" s="77"/>
      <c r="M264" s="23">
        <f t="shared" si="21"/>
        <v>88309</v>
      </c>
      <c r="N264" s="5">
        <f>SUMIF(ORCAMENTO!B:B,B261,ORCAMENTO!F:F)</f>
        <v>51.6</v>
      </c>
      <c r="O264" s="23">
        <f t="shared" si="22"/>
        <v>18.576000000000001</v>
      </c>
      <c r="Q264" s="23">
        <f ca="1">IFERROR(SUMIF(CO!B:B,B261,OFFSET(CO!F:F,0,(4+MATCH(ETAPA,CO!$J$6:$V$6,0)))),0)</f>
        <v>17.2</v>
      </c>
      <c r="R264" s="23">
        <f t="shared" ca="1" si="23"/>
        <v>6.1919999999999993</v>
      </c>
    </row>
    <row r="265" spans="1:18" x14ac:dyDescent="0.3">
      <c r="A265" s="23" t="s">
        <v>1004</v>
      </c>
      <c r="B265" s="23">
        <v>88316</v>
      </c>
      <c r="C265" s="23" t="str">
        <f>VLOOKUP(B265,IF(A265="COMPOSICAO",S!$A:$E,I!$A:$E),2,FALSE)</f>
        <v>SINAPI</v>
      </c>
      <c r="D265" s="24" t="str">
        <f>VLOOKUP(B265,IF(A265="COMPOSICAO",S!$A:$E,I!$A:$E),3,FALSE)</f>
        <v>SERVENTE COM ENCARGOS COMPLEMENTARES</v>
      </c>
      <c r="E265" s="23" t="str">
        <f>VLOOKUP(B265,IF(A265="COMPOSICAO",S!$A:$E,I!$A:$E),4,FALSE)</f>
        <v>H</v>
      </c>
      <c r="F265" s="23">
        <f>0.18/pcf</f>
        <v>0.18</v>
      </c>
      <c r="G265" s="76">
        <f>IF(A265="COMPOSICAO",VLOOKUP("TOTAL SEM BDI - "&amp;B265,CPUAUX1!$A:$J,9,FALSE),VLOOKUP(B265,I!$A:$E,5,FALSE))</f>
        <v>21.71</v>
      </c>
      <c r="H265" s="77"/>
      <c r="I265" s="76">
        <f t="shared" si="20"/>
        <v>3.9</v>
      </c>
      <c r="J265" s="77"/>
      <c r="M265" s="23">
        <f t="shared" si="21"/>
        <v>88316</v>
      </c>
      <c r="N265" s="5">
        <f>SUMIF(ORCAMENTO!B:B,B261,ORCAMENTO!F:F)</f>
        <v>51.6</v>
      </c>
      <c r="O265" s="23">
        <f t="shared" si="22"/>
        <v>9.2880000000000003</v>
      </c>
      <c r="Q265" s="23">
        <f ca="1">IFERROR(SUMIF(CO!B:B,B261,OFFSET(CO!F:F,0,(4+MATCH(ETAPA,CO!$J$6:$V$6,0)))),0)</f>
        <v>17.2</v>
      </c>
      <c r="R265" s="23">
        <f t="shared" ca="1" si="23"/>
        <v>3.0959999999999996</v>
      </c>
    </row>
    <row r="266" spans="1:18" ht="30" customHeight="1" x14ac:dyDescent="0.3">
      <c r="A266" s="23" t="s">
        <v>1004</v>
      </c>
      <c r="B266" s="23">
        <v>92270</v>
      </c>
      <c r="C266" s="23" t="str">
        <f>VLOOKUP(B266,IF(A266="COMPOSICAO",S!$A:$E,I!$A:$E),2,FALSE)</f>
        <v>SINAPI</v>
      </c>
      <c r="D266" s="24" t="str">
        <f>VLOOKUP(B266,IF(A266="COMPOSICAO",S!$A:$E,I!$A:$E),3,FALSE)</f>
        <v>FABRICAÇÃO DE FÔRMA PARA VIGAS, COM MADEIRA SERRADA, E = 25 MM. AF_09/2020</v>
      </c>
      <c r="E266" s="23" t="str">
        <f>VLOOKUP(B266,IF(A266="COMPOSICAO",S!$A:$E,I!$A:$E),4,FALSE)</f>
        <v>M2</v>
      </c>
      <c r="F266" s="23">
        <v>0.36</v>
      </c>
      <c r="G266" s="76">
        <f>IF(A266="COMPOSICAO",VLOOKUP("TOTAL SEM BDI - "&amp;B266,CPUAUX1!$A:$J,9,FALSE),VLOOKUP(B266,I!$A:$E,5,FALSE))</f>
        <v>142.10999999999999</v>
      </c>
      <c r="H266" s="77"/>
      <c r="I266" s="76">
        <f t="shared" si="20"/>
        <v>51.15</v>
      </c>
      <c r="J266" s="77"/>
      <c r="M266" s="23">
        <f t="shared" si="21"/>
        <v>92270</v>
      </c>
      <c r="N266" s="5">
        <f>SUMIF(ORCAMENTO!B:B,B261,ORCAMENTO!F:F)</f>
        <v>51.6</v>
      </c>
      <c r="O266" s="23">
        <f t="shared" si="22"/>
        <v>18.576000000000001</v>
      </c>
      <c r="Q266" s="23">
        <f ca="1">IFERROR(SUMIF(CO!B:B,B261,OFFSET(CO!F:F,0,(4+MATCH(ETAPA,CO!$J$6:$V$6,0)))),0)</f>
        <v>17.2</v>
      </c>
      <c r="R266" s="23">
        <f t="shared" ca="1" si="23"/>
        <v>6.1919999999999993</v>
      </c>
    </row>
    <row r="267" spans="1:18" ht="30" customHeight="1" x14ac:dyDescent="0.3">
      <c r="A267" s="23" t="s">
        <v>1004</v>
      </c>
      <c r="B267" s="23">
        <v>92802</v>
      </c>
      <c r="C267" s="23" t="str">
        <f>VLOOKUP(B267,IF(A267="COMPOSICAO",S!$A:$E,I!$A:$E),2,FALSE)</f>
        <v>SINAPI</v>
      </c>
      <c r="D267" s="24" t="str">
        <f>VLOOKUP(B267,IF(A267="COMPOSICAO",S!$A:$E,I!$A:$E),3,FALSE)</f>
        <v>CORTE E DOBRA DE AÇO CA-50, DIÂMETRO DE 8,0 MM. AF_06/2022</v>
      </c>
      <c r="E267" s="23" t="str">
        <f>VLOOKUP(B267,IF(A267="COMPOSICAO",S!$A:$E,I!$A:$E),4,FALSE)</f>
        <v>KG</v>
      </c>
      <c r="F267" s="23">
        <v>0.79</v>
      </c>
      <c r="G267" s="76">
        <f>IF(A267="COMPOSICAO",VLOOKUP("TOTAL SEM BDI - "&amp;B267,CPUAUX1!$A:$J,9,FALSE),VLOOKUP(B267,I!$A:$E,5,FALSE))</f>
        <v>10.15</v>
      </c>
      <c r="H267" s="77"/>
      <c r="I267" s="76">
        <f t="shared" si="20"/>
        <v>8.01</v>
      </c>
      <c r="J267" s="77"/>
      <c r="M267" s="23">
        <f t="shared" si="21"/>
        <v>92802</v>
      </c>
      <c r="N267" s="5">
        <f>SUMIF(ORCAMENTO!B:B,B261,ORCAMENTO!F:F)</f>
        <v>51.6</v>
      </c>
      <c r="O267" s="23">
        <f t="shared" si="22"/>
        <v>40.764000000000003</v>
      </c>
      <c r="Q267" s="23">
        <f ca="1">IFERROR(SUMIF(CO!B:B,B261,OFFSET(CO!F:F,0,(4+MATCH(ETAPA,CO!$J$6:$V$6,0)))),0)</f>
        <v>17.2</v>
      </c>
      <c r="R267" s="23">
        <f t="shared" ca="1" si="23"/>
        <v>13.587999999999999</v>
      </c>
    </row>
    <row r="268" spans="1:18" ht="60" customHeight="1" x14ac:dyDescent="0.3">
      <c r="A268" s="23" t="s">
        <v>1004</v>
      </c>
      <c r="B268" s="23">
        <v>94970</v>
      </c>
      <c r="C268" s="23" t="str">
        <f>VLOOKUP(B268,IF(A268="COMPOSICAO",S!$A:$E,I!$A:$E),2,FALSE)</f>
        <v>SINAPI</v>
      </c>
      <c r="D268" s="24" t="str">
        <f>VLOOKUP(B268,IF(A268="COMPOSICAO",S!$A:$E,I!$A:$E),3,FALSE)</f>
        <v>CONCRETO FCK = 20MPA, TRAÇO 1:2,7:3 (EM MASSA SECA DE CIMENTO/ AREIA MÉDIA/ BRITA 1) - PREPARO MECÂNICO COM BETONEIRA 600 L. AF_05/2021</v>
      </c>
      <c r="E268" s="23" t="str">
        <f>VLOOKUP(B268,IF(A268="COMPOSICAO",S!$A:$E,I!$A:$E),4,FALSE)</f>
        <v>M3</v>
      </c>
      <c r="F268" s="23">
        <v>1.17E-2</v>
      </c>
      <c r="G268" s="76">
        <f>IF(A268="COMPOSICAO",VLOOKUP("TOTAL SEM BDI - "&amp;B268,CPUAUX1!$A:$J,9,FALSE),VLOOKUP(B268,I!$A:$E,5,FALSE))</f>
        <v>616.46</v>
      </c>
      <c r="H268" s="77"/>
      <c r="I268" s="76">
        <f t="shared" si="20"/>
        <v>7.21</v>
      </c>
      <c r="J268" s="77"/>
      <c r="M268" s="23">
        <f t="shared" si="21"/>
        <v>94970</v>
      </c>
      <c r="N268" s="5">
        <f>SUMIF(ORCAMENTO!B:B,B261,ORCAMENTO!F:F)</f>
        <v>51.6</v>
      </c>
      <c r="O268" s="23">
        <f t="shared" si="22"/>
        <v>0.60372000000000003</v>
      </c>
      <c r="Q268" s="23">
        <f ca="1">IFERROR(SUMIF(CO!B:B,B261,OFFSET(CO!F:F,0,(4+MATCH(ETAPA,CO!$J$6:$V$6,0)))),0)</f>
        <v>17.2</v>
      </c>
      <c r="R268" s="23">
        <f t="shared" ca="1" si="23"/>
        <v>0.20124</v>
      </c>
    </row>
    <row r="269" spans="1:18" x14ac:dyDescent="0.3">
      <c r="A269" s="73" t="str">
        <f>"TOTAL SEM BDI - "&amp;B261</f>
        <v>TOTAL SEM BDI - COMPCOM01</v>
      </c>
      <c r="B269" s="74"/>
      <c r="C269" s="74"/>
      <c r="D269" s="74"/>
      <c r="E269" s="74"/>
      <c r="F269" s="74"/>
      <c r="G269" s="74"/>
      <c r="H269" s="75"/>
      <c r="I269" s="76">
        <f>SUM(I261:I268)</f>
        <v>81.47999999999999</v>
      </c>
      <c r="J269" s="77"/>
    </row>
    <row r="270" spans="1:18" x14ac:dyDescent="0.3">
      <c r="A270" s="73" t="str">
        <f>"TAXA DE BDI ("&amp;TEXT(BDI,"00,00")&amp;" %)"</f>
        <v>TAXA DE BDI (22,33 %)</v>
      </c>
      <c r="B270" s="74"/>
      <c r="C270" s="74"/>
      <c r="D270" s="74"/>
      <c r="E270" s="74"/>
      <c r="F270" s="74"/>
      <c r="G270" s="74"/>
      <c r="H270" s="75"/>
      <c r="I270" s="76">
        <f>ROUND(I269*(BDI/100),2)</f>
        <v>18.190000000000001</v>
      </c>
      <c r="J270" s="77"/>
    </row>
    <row r="271" spans="1:18" x14ac:dyDescent="0.3">
      <c r="A271" s="73" t="str">
        <f>"TOTAL COM BDI - "&amp;B261</f>
        <v>TOTAL COM BDI - COMPCOM01</v>
      </c>
      <c r="B271" s="74"/>
      <c r="C271" s="74"/>
      <c r="D271" s="74"/>
      <c r="E271" s="74"/>
      <c r="F271" s="74"/>
      <c r="G271" s="74"/>
      <c r="H271" s="75"/>
      <c r="I271" s="76">
        <f>SUM(I269:I270)</f>
        <v>99.669999999999987</v>
      </c>
      <c r="J271" s="77"/>
    </row>
    <row r="273" spans="1:18" x14ac:dyDescent="0.3">
      <c r="A273" s="4" t="s">
        <v>1000</v>
      </c>
      <c r="B273" s="4" t="s">
        <v>170</v>
      </c>
      <c r="C273" s="4" t="s">
        <v>171</v>
      </c>
      <c r="D273" s="4" t="s">
        <v>18</v>
      </c>
      <c r="E273" s="4" t="s">
        <v>172</v>
      </c>
      <c r="F273" s="4" t="s">
        <v>507</v>
      </c>
      <c r="G273" s="45" t="s">
        <v>1001</v>
      </c>
      <c r="H273" s="46"/>
      <c r="I273" s="45" t="s">
        <v>12</v>
      </c>
      <c r="J273" s="46"/>
    </row>
    <row r="274" spans="1:18" ht="45" customHeight="1" x14ac:dyDescent="0.3">
      <c r="A274" s="15" t="s">
        <v>1010</v>
      </c>
      <c r="B274" s="15" t="s">
        <v>577</v>
      </c>
      <c r="C274" s="15" t="str">
        <f>VLOOKUP(B274,S!$A:$G,2,FALSE)</f>
        <v>PRÓPRIA</v>
      </c>
      <c r="D274" s="22" t="str">
        <f>VLOOKUP(B274,S!$A:$G,3,FALSE)</f>
        <v>(COMPOSIÇÃO REPRESENTATIVA) EXECUÇÃO DE ESTRUTURAS DE CONCRETO ARMADO, PARA EDIFICAÇÃO INSTITUCIONAL TÉRREA, FCK = 25 MPA</v>
      </c>
      <c r="E274" s="15" t="str">
        <f>VLOOKUP(B274,S!$A:$G,4,FALSE)</f>
        <v>M³</v>
      </c>
      <c r="F274" s="15"/>
      <c r="G274" s="78">
        <f>I290</f>
        <v>1270.1599999999999</v>
      </c>
      <c r="H274" s="79"/>
      <c r="I274" s="78"/>
      <c r="J274" s="79"/>
      <c r="K274" s="16">
        <f>VLOOKUP(B274,S!A:G,5,FALSE)</f>
        <v>0</v>
      </c>
      <c r="L274" s="15" t="s">
        <v>1003</v>
      </c>
    </row>
    <row r="275" spans="1:18" ht="45" customHeight="1" x14ac:dyDescent="0.3">
      <c r="A275" s="23" t="s">
        <v>1004</v>
      </c>
      <c r="B275" s="23">
        <v>103672</v>
      </c>
      <c r="C275" s="23" t="str">
        <f>VLOOKUP(B275,IF(A275="COMPOSICAO",S!$A:$E,I!$A:$E),2,FALSE)</f>
        <v>SINAPI</v>
      </c>
      <c r="D275" s="24" t="str">
        <f>VLOOKUP(B275,IF(A275="COMPOSICAO",S!$A:$E,I!$A:$E),3,FALSE)</f>
        <v>CONCRETAGEM DE PILARES, FCK = 25 MPA, COM USO DE BOMBA - LANÇAMENTO, ADENSAMENTO E ACABAMENTO. AF_02/2022_PS</v>
      </c>
      <c r="E275" s="23" t="str">
        <f>VLOOKUP(B275,IF(A275="COMPOSICAO",S!$A:$E,I!$A:$E),4,FALSE)</f>
        <v>M3</v>
      </c>
      <c r="F275" s="23">
        <v>0.1235</v>
      </c>
      <c r="G275" s="76">
        <f>IF(A275="COMPOSICAO",VLOOKUP("TOTAL SEM BDI - "&amp;B275,CPUAUX1!$A:$J,9,FALSE),VLOOKUP(B275,I!$A:$E,5,FALSE))</f>
        <v>692.68999999999994</v>
      </c>
      <c r="H275" s="77"/>
      <c r="I275" s="76">
        <f t="shared" ref="I275:I289" si="24">TRUNC(F275*G275,2)</f>
        <v>85.54</v>
      </c>
      <c r="J275" s="77"/>
      <c r="M275" s="23">
        <f t="shared" ref="M275:M289" si="25">B275</f>
        <v>103672</v>
      </c>
      <c r="N275" s="5">
        <f>SUMIF(ORCAMENTO!B:B,B274,ORCAMENTO!F:F)</f>
        <v>1.8000000000000003</v>
      </c>
      <c r="O275" s="23">
        <f t="shared" ref="O275:O289" si="26">F275*N275</f>
        <v>0.22230000000000003</v>
      </c>
      <c r="Q275" s="23">
        <f ca="1">IFERROR(SUMIF(CO!B:B,B274,OFFSET(CO!F:F,0,(4+MATCH(ETAPA,CO!$J$6:$V$6,0)))),0)</f>
        <v>0.60000000000000009</v>
      </c>
      <c r="R275" s="23">
        <f t="shared" ref="R275:R289" ca="1" si="27">F275*Q275</f>
        <v>7.4100000000000013E-2</v>
      </c>
    </row>
    <row r="276" spans="1:18" ht="60" customHeight="1" x14ac:dyDescent="0.3">
      <c r="A276" s="23" t="s">
        <v>1004</v>
      </c>
      <c r="B276" s="23">
        <v>92415</v>
      </c>
      <c r="C276" s="23" t="str">
        <f>VLOOKUP(B276,IF(A276="COMPOSICAO",S!$A:$E,I!$A:$E),2,FALSE)</f>
        <v>SINAPI</v>
      </c>
      <c r="D276" s="24" t="str">
        <f>VLOOKUP(B276,IF(A276="COMPOSICAO",S!$A:$E,I!$A:$E),3,FALSE)</f>
        <v>MONTAGEM E DESMONTAGEM DE FÔRMA DE PILARES RETANGULARES E ESTRUTURAS SIMILARES, PÉ-DIREITO SIMPLES, EM CHAPA DE MADEIRA COMPENSADA RESINADA, 2 UTILIZAÇÕES. AF_09/2020</v>
      </c>
      <c r="E276" s="23" t="str">
        <f>VLOOKUP(B276,IF(A276="COMPOSICAO",S!$A:$E,I!$A:$E),4,FALSE)</f>
        <v>M2</v>
      </c>
      <c r="F276" s="23">
        <v>0.77429999999999999</v>
      </c>
      <c r="G276" s="76">
        <f>IF(A276="COMPOSICAO",VLOOKUP("TOTAL SEM BDI - "&amp;B276,CPUAUX1!$A:$J,9,FALSE),VLOOKUP(B276,I!$A:$E,5,FALSE))</f>
        <v>149.89999999999998</v>
      </c>
      <c r="H276" s="77"/>
      <c r="I276" s="76">
        <f t="shared" si="24"/>
        <v>116.06</v>
      </c>
      <c r="J276" s="77"/>
      <c r="M276" s="23">
        <f t="shared" si="25"/>
        <v>92415</v>
      </c>
      <c r="N276" s="5">
        <f>SUMIF(ORCAMENTO!B:B,B274,ORCAMENTO!F:F)</f>
        <v>1.8000000000000003</v>
      </c>
      <c r="O276" s="23">
        <f t="shared" si="26"/>
        <v>1.3937400000000002</v>
      </c>
      <c r="Q276" s="23">
        <f ca="1">IFERROR(SUMIF(CO!B:B,B274,OFFSET(CO!F:F,0,(4+MATCH(ETAPA,CO!$J$6:$V$6,0)))),0)</f>
        <v>0.60000000000000009</v>
      </c>
      <c r="R276" s="23">
        <f t="shared" ca="1" si="27"/>
        <v>0.46458000000000005</v>
      </c>
    </row>
    <row r="277" spans="1:18" ht="60" customHeight="1" x14ac:dyDescent="0.3">
      <c r="A277" s="23" t="s">
        <v>1004</v>
      </c>
      <c r="B277" s="23">
        <v>92451</v>
      </c>
      <c r="C277" s="23" t="str">
        <f>VLOOKUP(B277,IF(A277="COMPOSICAO",S!$A:$E,I!$A:$E),2,FALSE)</f>
        <v>SINAPI</v>
      </c>
      <c r="D277" s="24" t="str">
        <f>VLOOKUP(B277,IF(A277="COMPOSICAO",S!$A:$E,I!$A:$E),3,FALSE)</f>
        <v>MONTAGEM E DESMONTAGEM DE FÔRMA DE VIGA, ESCORAMENTO COM GARFO DE MADEIRA, PÉ-DIREITO SIMPLES, EM CHAPA DE MADEIRA RESINADA, 2 UTILIZAÇÕES. AF_09/2020</v>
      </c>
      <c r="E277" s="23" t="str">
        <f>VLOOKUP(B277,IF(A277="COMPOSICAO",S!$A:$E,I!$A:$E),4,FALSE)</f>
        <v>M2</v>
      </c>
      <c r="F277" s="23">
        <v>2.5817999999999999</v>
      </c>
      <c r="G277" s="76">
        <f>IF(A277="COMPOSICAO",VLOOKUP("TOTAL SEM BDI - "&amp;B277,CPUAUX1!$A:$J,9,FALSE),VLOOKUP(B277,I!$A:$E,5,FALSE))</f>
        <v>210.82999999999998</v>
      </c>
      <c r="H277" s="77"/>
      <c r="I277" s="76">
        <f t="shared" si="24"/>
        <v>544.32000000000005</v>
      </c>
      <c r="J277" s="77"/>
      <c r="M277" s="23">
        <f t="shared" si="25"/>
        <v>92451</v>
      </c>
      <c r="N277" s="5">
        <f>SUMIF(ORCAMENTO!B:B,B274,ORCAMENTO!F:F)</f>
        <v>1.8000000000000003</v>
      </c>
      <c r="O277" s="23">
        <f t="shared" si="26"/>
        <v>4.64724</v>
      </c>
      <c r="Q277" s="23">
        <f ca="1">IFERROR(SUMIF(CO!B:B,B274,OFFSET(CO!F:F,0,(4+MATCH(ETAPA,CO!$J$6:$V$6,0)))),0)</f>
        <v>0.60000000000000009</v>
      </c>
      <c r="R277" s="23">
        <f t="shared" ca="1" si="27"/>
        <v>1.5490800000000002</v>
      </c>
    </row>
    <row r="278" spans="1:18" ht="45" customHeight="1" x14ac:dyDescent="0.3">
      <c r="A278" s="23" t="s">
        <v>1004</v>
      </c>
      <c r="B278" s="23">
        <v>92759</v>
      </c>
      <c r="C278" s="23" t="str">
        <f>VLOOKUP(B278,IF(A278="COMPOSICAO",S!$A:$E,I!$A:$E),2,FALSE)</f>
        <v>SINAPI</v>
      </c>
      <c r="D278" s="24" t="str">
        <f>VLOOKUP(B278,IF(A278="COMPOSICAO",S!$A:$E,I!$A:$E),3,FALSE)</f>
        <v>ARMAÇÃO DE PILAR OU VIGA DE ESTRUTURA CONVENCIONAL DE CONCRETO ARMADO UTILIZANDO AÇO CA-60 DE 5,0 MM - MONTAGEM. AF_06/2022</v>
      </c>
      <c r="E278" s="23" t="str">
        <f>VLOOKUP(B278,IF(A278="COMPOSICAO",S!$A:$E,I!$A:$E),4,FALSE)</f>
        <v>KG</v>
      </c>
      <c r="F278" s="23">
        <v>2.7682000000000002</v>
      </c>
      <c r="G278" s="76">
        <f>IF(A278="COMPOSICAO",VLOOKUP("TOTAL SEM BDI - "&amp;B278,CPUAUX1!$A:$J,9,FALSE),VLOOKUP(B278,I!$A:$E,5,FALSE))</f>
        <v>14.190000000000001</v>
      </c>
      <c r="H278" s="77"/>
      <c r="I278" s="76">
        <f t="shared" si="24"/>
        <v>39.28</v>
      </c>
      <c r="J278" s="77"/>
      <c r="M278" s="23">
        <f t="shared" si="25"/>
        <v>92759</v>
      </c>
      <c r="N278" s="5">
        <f>SUMIF(ORCAMENTO!B:B,B274,ORCAMENTO!F:F)</f>
        <v>1.8000000000000003</v>
      </c>
      <c r="O278" s="23">
        <f t="shared" si="26"/>
        <v>4.9827600000000007</v>
      </c>
      <c r="Q278" s="23">
        <f ca="1">IFERROR(SUMIF(CO!B:B,B274,OFFSET(CO!F:F,0,(4+MATCH(ETAPA,CO!$J$6:$V$6,0)))),0)</f>
        <v>0.60000000000000009</v>
      </c>
      <c r="R278" s="23">
        <f t="shared" ca="1" si="27"/>
        <v>1.6609200000000004</v>
      </c>
    </row>
    <row r="279" spans="1:18" ht="45" customHeight="1" x14ac:dyDescent="0.3">
      <c r="A279" s="23" t="s">
        <v>1004</v>
      </c>
      <c r="B279" s="23">
        <v>92760</v>
      </c>
      <c r="C279" s="23" t="str">
        <f>VLOOKUP(B279,IF(A279="COMPOSICAO",S!$A:$E,I!$A:$E),2,FALSE)</f>
        <v>SINAPI</v>
      </c>
      <c r="D279" s="24" t="str">
        <f>VLOOKUP(B279,IF(A279="COMPOSICAO",S!$A:$E,I!$A:$E),3,FALSE)</f>
        <v>ARMAÇÃO DE PILAR OU VIGA DE ESTRUTURA CONVENCIONAL DE CONCRETO ARMADO UTILIZANDO AÇO CA-50 DE 6,3 MM - MONTAGEM. AF_06/2022</v>
      </c>
      <c r="E279" s="23" t="str">
        <f>VLOOKUP(B279,IF(A279="COMPOSICAO",S!$A:$E,I!$A:$E),4,FALSE)</f>
        <v>KG</v>
      </c>
      <c r="F279" s="23">
        <v>2.6901999999999999</v>
      </c>
      <c r="G279" s="76">
        <f>IF(A279="COMPOSICAO",VLOOKUP("TOTAL SEM BDI - "&amp;B279,CPUAUX1!$A:$J,9,FALSE),VLOOKUP(B279,I!$A:$E,5,FALSE))</f>
        <v>13.390000000000002</v>
      </c>
      <c r="H279" s="77"/>
      <c r="I279" s="76">
        <f t="shared" si="24"/>
        <v>36.020000000000003</v>
      </c>
      <c r="J279" s="77"/>
      <c r="M279" s="23">
        <f t="shared" si="25"/>
        <v>92760</v>
      </c>
      <c r="N279" s="5">
        <f>SUMIF(ORCAMENTO!B:B,B274,ORCAMENTO!F:F)</f>
        <v>1.8000000000000003</v>
      </c>
      <c r="O279" s="23">
        <f t="shared" si="26"/>
        <v>4.8423600000000002</v>
      </c>
      <c r="Q279" s="23">
        <f ca="1">IFERROR(SUMIF(CO!B:B,B274,OFFSET(CO!F:F,0,(4+MATCH(ETAPA,CO!$J$6:$V$6,0)))),0)</f>
        <v>0.60000000000000009</v>
      </c>
      <c r="R279" s="23">
        <f t="shared" ca="1" si="27"/>
        <v>1.6141200000000002</v>
      </c>
    </row>
    <row r="280" spans="1:18" ht="45" customHeight="1" x14ac:dyDescent="0.3">
      <c r="A280" s="23" t="s">
        <v>1004</v>
      </c>
      <c r="B280" s="23">
        <v>92761</v>
      </c>
      <c r="C280" s="23" t="str">
        <f>VLOOKUP(B280,IF(A280="COMPOSICAO",S!$A:$E,I!$A:$E),2,FALSE)</f>
        <v>SINAPI</v>
      </c>
      <c r="D280" s="24" t="str">
        <f>VLOOKUP(B280,IF(A280="COMPOSICAO",S!$A:$E,I!$A:$E),3,FALSE)</f>
        <v>ARMAÇÃO DE PILAR OU VIGA DE ESTRUTURA CONVENCIONAL DE CONCRETO ARMADO UTILIZANDO AÇO CA-50 DE 8,0 MM - MONTAGEM. AF_06/2022</v>
      </c>
      <c r="E280" s="23" t="str">
        <f>VLOOKUP(B280,IF(A280="COMPOSICAO",S!$A:$E,I!$A:$E),4,FALSE)</f>
        <v>KG</v>
      </c>
      <c r="F280" s="23">
        <v>0.97760000000000002</v>
      </c>
      <c r="G280" s="76">
        <f>IF(A280="COMPOSICAO",VLOOKUP("TOTAL SEM BDI - "&amp;B280,CPUAUX1!$A:$J,9,FALSE),VLOOKUP(B280,I!$A:$E,5,FALSE))</f>
        <v>12.58</v>
      </c>
      <c r="H280" s="77"/>
      <c r="I280" s="76">
        <f t="shared" si="24"/>
        <v>12.29</v>
      </c>
      <c r="J280" s="77"/>
      <c r="M280" s="23">
        <f t="shared" si="25"/>
        <v>92761</v>
      </c>
      <c r="N280" s="5">
        <f>SUMIF(ORCAMENTO!B:B,B274,ORCAMENTO!F:F)</f>
        <v>1.8000000000000003</v>
      </c>
      <c r="O280" s="23">
        <f t="shared" si="26"/>
        <v>1.7596800000000004</v>
      </c>
      <c r="Q280" s="23">
        <f ca="1">IFERROR(SUMIF(CO!B:B,B274,OFFSET(CO!F:F,0,(4+MATCH(ETAPA,CO!$J$6:$V$6,0)))),0)</f>
        <v>0.60000000000000009</v>
      </c>
      <c r="R280" s="23">
        <f t="shared" ca="1" si="27"/>
        <v>0.58656000000000008</v>
      </c>
    </row>
    <row r="281" spans="1:18" ht="45" customHeight="1" x14ac:dyDescent="0.3">
      <c r="A281" s="23" t="s">
        <v>1004</v>
      </c>
      <c r="B281" s="23">
        <v>92762</v>
      </c>
      <c r="C281" s="23" t="str">
        <f>VLOOKUP(B281,IF(A281="COMPOSICAO",S!$A:$E,I!$A:$E),2,FALSE)</f>
        <v>SINAPI</v>
      </c>
      <c r="D281" s="24" t="str">
        <f>VLOOKUP(B281,IF(A281="COMPOSICAO",S!$A:$E,I!$A:$E),3,FALSE)</f>
        <v>ARMAÇÃO DE PILAR OU VIGA DE ESTRUTURA CONVENCIONAL DE CONCRETO ARMADO UTILIZANDO AÇO CA-50 DE 10,0 MM - MONTAGEM. AF_06/2022</v>
      </c>
      <c r="E281" s="23" t="str">
        <f>VLOOKUP(B281,IF(A281="COMPOSICAO",S!$A:$E,I!$A:$E),4,FALSE)</f>
        <v>KG</v>
      </c>
      <c r="F281" s="23">
        <v>20.357600000000001</v>
      </c>
      <c r="G281" s="76">
        <f>IF(A281="COMPOSICAO",VLOOKUP("TOTAL SEM BDI - "&amp;B281,CPUAUX1!$A:$J,9,FALSE),VLOOKUP(B281,I!$A:$E,5,FALSE))</f>
        <v>11.23</v>
      </c>
      <c r="H281" s="77"/>
      <c r="I281" s="76">
        <f t="shared" si="24"/>
        <v>228.61</v>
      </c>
      <c r="J281" s="77"/>
      <c r="M281" s="23">
        <f t="shared" si="25"/>
        <v>92762</v>
      </c>
      <c r="N281" s="5">
        <f>SUMIF(ORCAMENTO!B:B,B274,ORCAMENTO!F:F)</f>
        <v>1.8000000000000003</v>
      </c>
      <c r="O281" s="23">
        <f t="shared" si="26"/>
        <v>36.64368000000001</v>
      </c>
      <c r="Q281" s="23">
        <f ca="1">IFERROR(SUMIF(CO!B:B,B274,OFFSET(CO!F:F,0,(4+MATCH(ETAPA,CO!$J$6:$V$6,0)))),0)</f>
        <v>0.60000000000000009</v>
      </c>
      <c r="R281" s="23">
        <f t="shared" ca="1" si="27"/>
        <v>12.214560000000002</v>
      </c>
    </row>
    <row r="282" spans="1:18" ht="45" customHeight="1" x14ac:dyDescent="0.3">
      <c r="A282" s="23" t="s">
        <v>1004</v>
      </c>
      <c r="B282" s="23">
        <v>92763</v>
      </c>
      <c r="C282" s="23" t="str">
        <f>VLOOKUP(B282,IF(A282="COMPOSICAO",S!$A:$E,I!$A:$E),2,FALSE)</f>
        <v>SINAPI</v>
      </c>
      <c r="D282" s="24" t="str">
        <f>VLOOKUP(B282,IF(A282="COMPOSICAO",S!$A:$E,I!$A:$E),3,FALSE)</f>
        <v>ARMAÇÃO DE PILAR OU VIGA DE ESTRUTURA CONVENCIONAL DE CONCRETO ARMADO UTILIZANDO AÇO CA-50 DE 12,5 MM - MONTAGEM. AF_06/2022</v>
      </c>
      <c r="E282" s="23" t="str">
        <f>VLOOKUP(B282,IF(A282="COMPOSICAO",S!$A:$E,I!$A:$E),4,FALSE)</f>
        <v>KG</v>
      </c>
      <c r="F282" s="23">
        <v>7.9741999999999997</v>
      </c>
      <c r="G282" s="76">
        <f>IF(A282="COMPOSICAO",VLOOKUP("TOTAL SEM BDI - "&amp;B282,CPUAUX1!$A:$J,9,FALSE),VLOOKUP(B282,I!$A:$E,5,FALSE))</f>
        <v>9.44</v>
      </c>
      <c r="H282" s="77"/>
      <c r="I282" s="76">
        <f t="shared" si="24"/>
        <v>75.27</v>
      </c>
      <c r="J282" s="77"/>
      <c r="M282" s="23">
        <f t="shared" si="25"/>
        <v>92763</v>
      </c>
      <c r="N282" s="5">
        <f>SUMIF(ORCAMENTO!B:B,B274,ORCAMENTO!F:F)</f>
        <v>1.8000000000000003</v>
      </c>
      <c r="O282" s="23">
        <f t="shared" si="26"/>
        <v>14.353560000000002</v>
      </c>
      <c r="Q282" s="23">
        <f ca="1">IFERROR(SUMIF(CO!B:B,B274,OFFSET(CO!F:F,0,(4+MATCH(ETAPA,CO!$J$6:$V$6,0)))),0)</f>
        <v>0.60000000000000009</v>
      </c>
      <c r="R282" s="23">
        <f t="shared" ca="1" si="27"/>
        <v>4.7845200000000006</v>
      </c>
    </row>
    <row r="283" spans="1:18" ht="45" customHeight="1" x14ac:dyDescent="0.3">
      <c r="A283" s="23" t="s">
        <v>1004</v>
      </c>
      <c r="B283" s="23">
        <v>92764</v>
      </c>
      <c r="C283" s="23" t="str">
        <f>VLOOKUP(B283,IF(A283="COMPOSICAO",S!$A:$E,I!$A:$E),2,FALSE)</f>
        <v>SINAPI</v>
      </c>
      <c r="D283" s="24" t="str">
        <f>VLOOKUP(B283,IF(A283="COMPOSICAO",S!$A:$E,I!$A:$E),3,FALSE)</f>
        <v>ARMAÇÃO DE PILAR OU VIGA DE ESTRUTURA CONVENCIONAL DE CONCRETO ARMADO UTILIZANDO AÇO CA-50 DE 16,0 MM - MONTAGEM. AF_06/2022</v>
      </c>
      <c r="E283" s="23" t="str">
        <f>VLOOKUP(B283,IF(A283="COMPOSICAO",S!$A:$E,I!$A:$E),4,FALSE)</f>
        <v>KG</v>
      </c>
      <c r="F283" s="23">
        <v>2.4283000000000001</v>
      </c>
      <c r="G283" s="76">
        <f>IF(A283="COMPOSICAO",VLOOKUP("TOTAL SEM BDI - "&amp;B283,CPUAUX1!$A:$J,9,FALSE),VLOOKUP(B283,I!$A:$E,5,FALSE))</f>
        <v>9.1300000000000008</v>
      </c>
      <c r="H283" s="77"/>
      <c r="I283" s="76">
        <f t="shared" si="24"/>
        <v>22.17</v>
      </c>
      <c r="J283" s="77"/>
      <c r="M283" s="23">
        <f t="shared" si="25"/>
        <v>92764</v>
      </c>
      <c r="N283" s="5">
        <f>SUMIF(ORCAMENTO!B:B,B274,ORCAMENTO!F:F)</f>
        <v>1.8000000000000003</v>
      </c>
      <c r="O283" s="23">
        <f t="shared" si="26"/>
        <v>4.3709400000000009</v>
      </c>
      <c r="Q283" s="23">
        <f ca="1">IFERROR(SUMIF(CO!B:B,B274,OFFSET(CO!F:F,0,(4+MATCH(ETAPA,CO!$J$6:$V$6,0)))),0)</f>
        <v>0.60000000000000009</v>
      </c>
      <c r="R283" s="23">
        <f t="shared" ca="1" si="27"/>
        <v>1.4569800000000004</v>
      </c>
    </row>
    <row r="284" spans="1:18" ht="45" customHeight="1" x14ac:dyDescent="0.3">
      <c r="A284" s="23" t="s">
        <v>1004</v>
      </c>
      <c r="B284" s="23">
        <v>92765</v>
      </c>
      <c r="C284" s="23" t="str">
        <f>VLOOKUP(B284,IF(A284="COMPOSICAO",S!$A:$E,I!$A:$E),2,FALSE)</f>
        <v>SINAPI</v>
      </c>
      <c r="D284" s="24" t="str">
        <f>VLOOKUP(B284,IF(A284="COMPOSICAO",S!$A:$E,I!$A:$E),3,FALSE)</f>
        <v>ARMAÇÃO DE PILAR OU VIGA DE ESTRUTURA CONVENCIONAL DE CONCRETO ARMADO UTILIZANDO AÇO CA-50 DE 20,0 MM - MONTAGEM. AF_06/2022</v>
      </c>
      <c r="E284" s="23" t="str">
        <f>VLOOKUP(B284,IF(A284="COMPOSICAO",S!$A:$E,I!$A:$E),4,FALSE)</f>
        <v>KG</v>
      </c>
      <c r="F284" s="23">
        <v>4.2644000000000002</v>
      </c>
      <c r="G284" s="76">
        <f>IF(A284="COMPOSICAO",VLOOKUP("TOTAL SEM BDI - "&amp;B284,CPUAUX1!$A:$J,9,FALSE),VLOOKUP(B284,I!$A:$E,5,FALSE))</f>
        <v>10.4</v>
      </c>
      <c r="H284" s="77"/>
      <c r="I284" s="76">
        <f t="shared" si="24"/>
        <v>44.34</v>
      </c>
      <c r="J284" s="77"/>
      <c r="M284" s="23">
        <f t="shared" si="25"/>
        <v>92765</v>
      </c>
      <c r="N284" s="5">
        <f>SUMIF(ORCAMENTO!B:B,B274,ORCAMENTO!F:F)</f>
        <v>1.8000000000000003</v>
      </c>
      <c r="O284" s="23">
        <f t="shared" si="26"/>
        <v>7.6759200000000014</v>
      </c>
      <c r="Q284" s="23">
        <f ca="1">IFERROR(SUMIF(CO!B:B,B274,OFFSET(CO!F:F,0,(4+MATCH(ETAPA,CO!$J$6:$V$6,0)))),0)</f>
        <v>0.60000000000000009</v>
      </c>
      <c r="R284" s="23">
        <f t="shared" ca="1" si="27"/>
        <v>2.5586400000000005</v>
      </c>
    </row>
    <row r="285" spans="1:18" ht="30" customHeight="1" x14ac:dyDescent="0.3">
      <c r="A285" s="23" t="s">
        <v>1004</v>
      </c>
      <c r="B285" s="23">
        <v>96543</v>
      </c>
      <c r="C285" s="23" t="str">
        <f>VLOOKUP(B285,IF(A285="COMPOSICAO",S!$A:$E,I!$A:$E),2,FALSE)</f>
        <v>SINAPI</v>
      </c>
      <c r="D285" s="24" t="str">
        <f>VLOOKUP(B285,IF(A285="COMPOSICAO",S!$A:$E,I!$A:$E),3,FALSE)</f>
        <v>ARMAÇÃO DE BLOCO UTILIZANDO AÇO CA-60 DE 5 MM - MONTAGEM. AF_01/2024</v>
      </c>
      <c r="E285" s="23" t="str">
        <f>VLOOKUP(B285,IF(A285="COMPOSICAO",S!$A:$E,I!$A:$E),4,FALSE)</f>
        <v>KG</v>
      </c>
      <c r="F285" s="23">
        <v>0.19270000000000001</v>
      </c>
      <c r="G285" s="76">
        <f>IF(A285="COMPOSICAO",VLOOKUP("TOTAL SEM BDI - "&amp;B285,CPUAUX1!$A:$J,9,FALSE),VLOOKUP(B285,I!$A:$E,5,FALSE))</f>
        <v>19.899999999999999</v>
      </c>
      <c r="H285" s="77"/>
      <c r="I285" s="76">
        <f t="shared" si="24"/>
        <v>3.83</v>
      </c>
      <c r="J285" s="77"/>
      <c r="M285" s="23">
        <f t="shared" si="25"/>
        <v>96543</v>
      </c>
      <c r="N285" s="5">
        <f>SUMIF(ORCAMENTO!B:B,B274,ORCAMENTO!F:F)</f>
        <v>1.8000000000000003</v>
      </c>
      <c r="O285" s="23">
        <f t="shared" si="26"/>
        <v>0.34686000000000006</v>
      </c>
      <c r="Q285" s="23">
        <f ca="1">IFERROR(SUMIF(CO!B:B,B274,OFFSET(CO!F:F,0,(4+MATCH(ETAPA,CO!$J$6:$V$6,0)))),0)</f>
        <v>0.60000000000000009</v>
      </c>
      <c r="R285" s="23">
        <f t="shared" ca="1" si="27"/>
        <v>0.11562000000000003</v>
      </c>
    </row>
    <row r="286" spans="1:18" ht="30" customHeight="1" x14ac:dyDescent="0.3">
      <c r="A286" s="23" t="s">
        <v>1004</v>
      </c>
      <c r="B286" s="23">
        <v>96544</v>
      </c>
      <c r="C286" s="23" t="str">
        <f>VLOOKUP(B286,IF(A286="COMPOSICAO",S!$A:$E,I!$A:$E),2,FALSE)</f>
        <v>SINAPI</v>
      </c>
      <c r="D286" s="24" t="str">
        <f>VLOOKUP(B286,IF(A286="COMPOSICAO",S!$A:$E,I!$A:$E),3,FALSE)</f>
        <v>ARMAÇÃO DE BLOCO UTILIZANDO AÇO CA-50 DE 6,3 MM - MONTAGEM. AF_01/2024</v>
      </c>
      <c r="E286" s="23" t="str">
        <f>VLOOKUP(B286,IF(A286="COMPOSICAO",S!$A:$E,I!$A:$E),4,FALSE)</f>
        <v>KG</v>
      </c>
      <c r="F286" s="23">
        <v>0.33239999999999997</v>
      </c>
      <c r="G286" s="76">
        <f>IF(A286="COMPOSICAO",VLOOKUP("TOTAL SEM BDI - "&amp;B286,CPUAUX1!$A:$J,9,FALSE),VLOOKUP(B286,I!$A:$E,5,FALSE))</f>
        <v>17.930000000000003</v>
      </c>
      <c r="H286" s="77"/>
      <c r="I286" s="76">
        <f t="shared" si="24"/>
        <v>5.95</v>
      </c>
      <c r="J286" s="77"/>
      <c r="M286" s="23">
        <f t="shared" si="25"/>
        <v>96544</v>
      </c>
      <c r="N286" s="5">
        <f>SUMIF(ORCAMENTO!B:B,B274,ORCAMENTO!F:F)</f>
        <v>1.8000000000000003</v>
      </c>
      <c r="O286" s="23">
        <f t="shared" si="26"/>
        <v>0.59832000000000007</v>
      </c>
      <c r="Q286" s="23">
        <f ca="1">IFERROR(SUMIF(CO!B:B,B274,OFFSET(CO!F:F,0,(4+MATCH(ETAPA,CO!$J$6:$V$6,0)))),0)</f>
        <v>0.60000000000000009</v>
      </c>
      <c r="R286" s="23">
        <f t="shared" ca="1" si="27"/>
        <v>0.19944000000000001</v>
      </c>
    </row>
    <row r="287" spans="1:18" ht="30" customHeight="1" x14ac:dyDescent="0.3">
      <c r="A287" s="23" t="s">
        <v>1004</v>
      </c>
      <c r="B287" s="23">
        <v>96545</v>
      </c>
      <c r="C287" s="23" t="str">
        <f>VLOOKUP(B287,IF(A287="COMPOSICAO",S!$A:$E,I!$A:$E),2,FALSE)</f>
        <v>SINAPI</v>
      </c>
      <c r="D287" s="24" t="str">
        <f>VLOOKUP(B287,IF(A287="COMPOSICAO",S!$A:$E,I!$A:$E),3,FALSE)</f>
        <v>ARMAÇÃO DE BLOCO UTILIZANDO AÇO CA-50 DE 8 MM - MONTAGEM. AF_01/2024</v>
      </c>
      <c r="E287" s="23" t="str">
        <f>VLOOKUP(B287,IF(A287="COMPOSICAO",S!$A:$E,I!$A:$E),4,FALSE)</f>
        <v>KG</v>
      </c>
      <c r="F287" s="23">
        <v>0.17530000000000001</v>
      </c>
      <c r="G287" s="76">
        <f>IF(A287="COMPOSICAO",VLOOKUP("TOTAL SEM BDI - "&amp;B287,CPUAUX1!$A:$J,9,FALSE),VLOOKUP(B287,I!$A:$E,5,FALSE))</f>
        <v>16.169999999999998</v>
      </c>
      <c r="H287" s="77"/>
      <c r="I287" s="76">
        <f t="shared" si="24"/>
        <v>2.83</v>
      </c>
      <c r="J287" s="77"/>
      <c r="M287" s="23">
        <f t="shared" si="25"/>
        <v>96545</v>
      </c>
      <c r="N287" s="5">
        <f>SUMIF(ORCAMENTO!B:B,B274,ORCAMENTO!F:F)</f>
        <v>1.8000000000000003</v>
      </c>
      <c r="O287" s="23">
        <f t="shared" si="26"/>
        <v>0.31554000000000004</v>
      </c>
      <c r="Q287" s="23">
        <f ca="1">IFERROR(SUMIF(CO!B:B,B274,OFFSET(CO!F:F,0,(4+MATCH(ETAPA,CO!$J$6:$V$6,0)))),0)</f>
        <v>0.60000000000000009</v>
      </c>
      <c r="R287" s="23">
        <f t="shared" ca="1" si="27"/>
        <v>0.10518000000000002</v>
      </c>
    </row>
    <row r="288" spans="1:18" ht="30" customHeight="1" x14ac:dyDescent="0.3">
      <c r="A288" s="23" t="s">
        <v>1004</v>
      </c>
      <c r="B288" s="23">
        <v>96546</v>
      </c>
      <c r="C288" s="23" t="str">
        <f>VLOOKUP(B288,IF(A288="COMPOSICAO",S!$A:$E,I!$A:$E),2,FALSE)</f>
        <v>SINAPI</v>
      </c>
      <c r="D288" s="24" t="str">
        <f>VLOOKUP(B288,IF(A288="COMPOSICAO",S!$A:$E,I!$A:$E),3,FALSE)</f>
        <v>ARMAÇÃO DE BLOCO UTILIZANDO AÇO CA-50 DE 10 MM - MONTAGEM. AF_01/2024</v>
      </c>
      <c r="E288" s="23" t="str">
        <f>VLOOKUP(B288,IF(A288="COMPOSICAO",S!$A:$E,I!$A:$E),4,FALSE)</f>
        <v>KG</v>
      </c>
      <c r="F288" s="23">
        <v>2.6637</v>
      </c>
      <c r="G288" s="76">
        <f>IF(A288="COMPOSICAO",VLOOKUP("TOTAL SEM BDI - "&amp;B288,CPUAUX1!$A:$J,9,FALSE),VLOOKUP(B288,I!$A:$E,5,FALSE))</f>
        <v>14.15</v>
      </c>
      <c r="H288" s="77"/>
      <c r="I288" s="76">
        <f t="shared" si="24"/>
        <v>37.69</v>
      </c>
      <c r="J288" s="77"/>
      <c r="M288" s="23">
        <f t="shared" si="25"/>
        <v>96546</v>
      </c>
      <c r="N288" s="5">
        <f>SUMIF(ORCAMENTO!B:B,B274,ORCAMENTO!F:F)</f>
        <v>1.8000000000000003</v>
      </c>
      <c r="O288" s="23">
        <f t="shared" si="26"/>
        <v>4.7946600000000004</v>
      </c>
      <c r="Q288" s="23">
        <f ca="1">IFERROR(SUMIF(CO!B:B,B274,OFFSET(CO!F:F,0,(4+MATCH(ETAPA,CO!$J$6:$V$6,0)))),0)</f>
        <v>0.60000000000000009</v>
      </c>
      <c r="R288" s="23">
        <f t="shared" ca="1" si="27"/>
        <v>1.5982200000000002</v>
      </c>
    </row>
    <row r="289" spans="1:18" ht="45" customHeight="1" x14ac:dyDescent="0.3">
      <c r="A289" s="23" t="s">
        <v>1004</v>
      </c>
      <c r="B289" s="23">
        <v>104920</v>
      </c>
      <c r="C289" s="23" t="str">
        <f>VLOOKUP(B289,IF(A289="COMPOSICAO",S!$A:$E,I!$A:$E),2,FALSE)</f>
        <v>SINAPI</v>
      </c>
      <c r="D289" s="24" t="str">
        <f>VLOOKUP(B289,IF(A289="COMPOSICAO",S!$A:$E,I!$A:$E),3,FALSE)</f>
        <v>ARMAÇÃO DE BLOCO, SAPATA ISOLADA, VIGA BALDRAME E SAPATA CORRIDA UTILIZANDO AÇO CA-50 DE 12,5 MM - MONTAGEM. AF_01/2024</v>
      </c>
      <c r="E289" s="23" t="str">
        <f>VLOOKUP(B289,IF(A289="COMPOSICAO",S!$A:$E,I!$A:$E),4,FALSE)</f>
        <v>KG</v>
      </c>
      <c r="F289" s="23">
        <v>1.4605999999999999</v>
      </c>
      <c r="G289" s="76">
        <f>IF(A289="COMPOSICAO",VLOOKUP("TOTAL SEM BDI - "&amp;B289,CPUAUX1!$A:$J,9,FALSE),VLOOKUP(B289,I!$A:$E,5,FALSE))</f>
        <v>10.930000000000001</v>
      </c>
      <c r="H289" s="77"/>
      <c r="I289" s="76">
        <f t="shared" si="24"/>
        <v>15.96</v>
      </c>
      <c r="J289" s="77"/>
      <c r="M289" s="23">
        <f t="shared" si="25"/>
        <v>104920</v>
      </c>
      <c r="N289" s="5">
        <f>SUMIF(ORCAMENTO!B:B,B274,ORCAMENTO!F:F)</f>
        <v>1.8000000000000003</v>
      </c>
      <c r="O289" s="23">
        <f t="shared" si="26"/>
        <v>2.6290800000000001</v>
      </c>
      <c r="Q289" s="23">
        <f ca="1">IFERROR(SUMIF(CO!B:B,B274,OFFSET(CO!F:F,0,(4+MATCH(ETAPA,CO!$J$6:$V$6,0)))),0)</f>
        <v>0.60000000000000009</v>
      </c>
      <c r="R289" s="23">
        <f t="shared" ca="1" si="27"/>
        <v>0.87636000000000003</v>
      </c>
    </row>
    <row r="290" spans="1:18" x14ac:dyDescent="0.3">
      <c r="A290" s="73" t="str">
        <f>"TOTAL SEM BDI - "&amp;B274</f>
        <v>TOTAL SEM BDI - COMPCOM02</v>
      </c>
      <c r="B290" s="74"/>
      <c r="C290" s="74"/>
      <c r="D290" s="74"/>
      <c r="E290" s="74"/>
      <c r="F290" s="74"/>
      <c r="G290" s="74"/>
      <c r="H290" s="75"/>
      <c r="I290" s="76">
        <f>SUM(I274:I289)</f>
        <v>1270.1599999999999</v>
      </c>
      <c r="J290" s="77"/>
    </row>
    <row r="291" spans="1:18" x14ac:dyDescent="0.3">
      <c r="A291" s="73" t="str">
        <f>"TAXA DE BDI ("&amp;TEXT(BDI,"00,00")&amp;" %)"</f>
        <v>TAXA DE BDI (22,33 %)</v>
      </c>
      <c r="B291" s="74"/>
      <c r="C291" s="74"/>
      <c r="D291" s="74"/>
      <c r="E291" s="74"/>
      <c r="F291" s="74"/>
      <c r="G291" s="74"/>
      <c r="H291" s="75"/>
      <c r="I291" s="76">
        <f>ROUND(I290*(BDI/100),2)</f>
        <v>283.63</v>
      </c>
      <c r="J291" s="77"/>
    </row>
    <row r="292" spans="1:18" x14ac:dyDescent="0.3">
      <c r="A292" s="73" t="str">
        <f>"TOTAL COM BDI - "&amp;B274</f>
        <v>TOTAL COM BDI - COMPCOM02</v>
      </c>
      <c r="B292" s="74"/>
      <c r="C292" s="74"/>
      <c r="D292" s="74"/>
      <c r="E292" s="74"/>
      <c r="F292" s="74"/>
      <c r="G292" s="74"/>
      <c r="H292" s="75"/>
      <c r="I292" s="76">
        <f>SUM(I290:I291)</f>
        <v>1553.79</v>
      </c>
      <c r="J292" s="77"/>
    </row>
    <row r="294" spans="1:18" x14ac:dyDescent="0.3">
      <c r="A294" s="4" t="s">
        <v>1000</v>
      </c>
      <c r="B294" s="4" t="s">
        <v>170</v>
      </c>
      <c r="C294" s="4" t="s">
        <v>171</v>
      </c>
      <c r="D294" s="4" t="s">
        <v>18</v>
      </c>
      <c r="E294" s="4" t="s">
        <v>172</v>
      </c>
      <c r="F294" s="4" t="s">
        <v>507</v>
      </c>
      <c r="G294" s="45" t="s">
        <v>1001</v>
      </c>
      <c r="H294" s="46"/>
      <c r="I294" s="45" t="s">
        <v>12</v>
      </c>
      <c r="J294" s="46"/>
    </row>
    <row r="295" spans="1:18" ht="60" customHeight="1" x14ac:dyDescent="0.3">
      <c r="A295" s="15" t="s">
        <v>1034</v>
      </c>
      <c r="B295" s="15">
        <v>103329</v>
      </c>
      <c r="C295" s="15" t="str">
        <f>VLOOKUP(B295,S!$A:$G,2,FALSE)</f>
        <v>SINAPI</v>
      </c>
      <c r="D295" s="22" t="str">
        <f>VLOOKUP(B295,S!$A:$G,3,FALSE)</f>
        <v>ALVENARIA DE VEDAÇÃO DE BLOCOS CERÂMICOS FURADOS NA HORIZONTAL DE 9X19X19 CM (ESPESSURA 9 CM) E ARGAMASSA DE ASSENTAMENTO COM PREPARO MANUAL. AF_12/2021</v>
      </c>
      <c r="E295" s="15" t="str">
        <f>VLOOKUP(B295,S!$A:$G,4,FALSE)</f>
        <v>M2</v>
      </c>
      <c r="F295" s="15"/>
      <c r="G295" s="78">
        <f>I302</f>
        <v>95.039999999999992</v>
      </c>
      <c r="H295" s="79"/>
      <c r="I295" s="78"/>
      <c r="J295" s="79"/>
      <c r="K295" s="16">
        <f>VLOOKUP(B295,S!A:G,5,FALSE)</f>
        <v>95.04</v>
      </c>
      <c r="L295" s="15" t="str">
        <f>IF(K295=G295,"OK, CONFORME TABELA",IF(G295&gt;K295,"ACIMA DA TABELA: ","ABAIXO DA TABELA: ")&amp;TRUNC((G295*100)/K295,2)&amp;" %")</f>
        <v>OK, CONFORME TABELA</v>
      </c>
    </row>
    <row r="296" spans="1:18" x14ac:dyDescent="0.3">
      <c r="A296" s="23" t="s">
        <v>1004</v>
      </c>
      <c r="B296" s="23">
        <v>88316</v>
      </c>
      <c r="C296" s="23" t="str">
        <f>VLOOKUP(B296,IF(A296="COMPOSICAO",S!$A:$E,I!$A:$E),2,FALSE)</f>
        <v>SINAPI</v>
      </c>
      <c r="D296" s="24" t="str">
        <f>VLOOKUP(B296,IF(A296="COMPOSICAO",S!$A:$E,I!$A:$E),3,FALSE)</f>
        <v>SERVENTE COM ENCARGOS COMPLEMENTARES</v>
      </c>
      <c r="E296" s="23" t="str">
        <f>VLOOKUP(B296,IF(A296="COMPOSICAO",S!$A:$E,I!$A:$E),4,FALSE)</f>
        <v>H</v>
      </c>
      <c r="F296" s="23">
        <f>0.805/pcf</f>
        <v>0.80500000000000005</v>
      </c>
      <c r="G296" s="76">
        <f>IF(A296="COMPOSICAO",VLOOKUP("TOTAL SEM BDI - "&amp;B296,CPUAUX1!$A:$J,9,FALSE),VLOOKUP(B296,I!$A:$E,5,FALSE))</f>
        <v>21.71</v>
      </c>
      <c r="H296" s="77"/>
      <c r="I296" s="76">
        <f t="shared" ref="I296:I301" si="28">TRUNC(F296*G296,2)</f>
        <v>17.47</v>
      </c>
      <c r="J296" s="77"/>
      <c r="M296" s="23">
        <f t="shared" ref="M296:M301" si="29">B296</f>
        <v>88316</v>
      </c>
      <c r="N296" s="5">
        <f>SUMIF(ORCAMENTO!B:B,B295,ORCAMENTO!F:F)</f>
        <v>115.86000000000001</v>
      </c>
      <c r="O296" s="23">
        <f t="shared" ref="O296:O301" si="30">F296*N296</f>
        <v>93.26730000000002</v>
      </c>
      <c r="Q296" s="23">
        <f ca="1">IFERROR(SUMIF(CO!B:B,B295,OFFSET(CO!F:F,0,(4+MATCH(ETAPA,CO!$J$6:$V$6,0)))),0)</f>
        <v>38.620000000000005</v>
      </c>
      <c r="R296" s="23">
        <f t="shared" ref="R296:R301" ca="1" si="31">F296*Q296</f>
        <v>31.089100000000006</v>
      </c>
    </row>
    <row r="297" spans="1:18" x14ac:dyDescent="0.3">
      <c r="A297" s="23" t="s">
        <v>1004</v>
      </c>
      <c r="B297" s="23">
        <v>88309</v>
      </c>
      <c r="C297" s="23" t="str">
        <f>VLOOKUP(B297,IF(A297="COMPOSICAO",S!$A:$E,I!$A:$E),2,FALSE)</f>
        <v>SINAPI</v>
      </c>
      <c r="D297" s="24" t="str">
        <f>VLOOKUP(B297,IF(A297="COMPOSICAO",S!$A:$E,I!$A:$E),3,FALSE)</f>
        <v>PEDREIRO COM ENCARGOS COMPLEMENTARES</v>
      </c>
      <c r="E297" s="23" t="str">
        <f>VLOOKUP(B297,IF(A297="COMPOSICAO",S!$A:$E,I!$A:$E),4,FALSE)</f>
        <v>H</v>
      </c>
      <c r="F297" s="23">
        <f>1.61/pcf</f>
        <v>1.61</v>
      </c>
      <c r="G297" s="76">
        <f>IF(A297="COMPOSICAO",VLOOKUP("TOTAL SEM BDI - "&amp;B297,CPUAUX1!$A:$J,9,FALSE),VLOOKUP(B297,I!$A:$E,5,FALSE))</f>
        <v>27.39</v>
      </c>
      <c r="H297" s="77"/>
      <c r="I297" s="76">
        <f t="shared" si="28"/>
        <v>44.09</v>
      </c>
      <c r="J297" s="77"/>
      <c r="M297" s="23">
        <f t="shared" si="29"/>
        <v>88309</v>
      </c>
      <c r="N297" s="5">
        <f>SUMIF(ORCAMENTO!B:B,B295,ORCAMENTO!F:F)</f>
        <v>115.86000000000001</v>
      </c>
      <c r="O297" s="23">
        <f t="shared" si="30"/>
        <v>186.53460000000004</v>
      </c>
      <c r="Q297" s="23">
        <f ca="1">IFERROR(SUMIF(CO!B:B,B295,OFFSET(CO!F:F,0,(4+MATCH(ETAPA,CO!$J$6:$V$6,0)))),0)</f>
        <v>38.620000000000005</v>
      </c>
      <c r="R297" s="23">
        <f t="shared" ca="1" si="31"/>
        <v>62.178200000000011</v>
      </c>
    </row>
    <row r="298" spans="1:18" ht="60" customHeight="1" x14ac:dyDescent="0.3">
      <c r="A298" s="23" t="s">
        <v>1004</v>
      </c>
      <c r="B298" s="23">
        <v>87369</v>
      </c>
      <c r="C298" s="23" t="str">
        <f>VLOOKUP(B298,IF(A298="COMPOSICAO",S!$A:$E,I!$A:$E),2,FALSE)</f>
        <v>SINAPI</v>
      </c>
      <c r="D298" s="24" t="str">
        <f>VLOOKUP(B298,IF(A298="COMPOSICAO",S!$A:$E,I!$A:$E),3,FALSE)</f>
        <v>ARGAMASSA TRAÇO 1:2:8 (EM VOLUME DE CIMENTO, CAL E AREIA MÉDIA ÚMIDA) PARA EMBOÇO/MASSA ÚNICA/ASSENTAMENTO DE ALVENARIA DE VEDAÇÃO, PREPARO MANUAL. AF_08/2019</v>
      </c>
      <c r="E298" s="23" t="str">
        <f>VLOOKUP(B298,IF(A298="COMPOSICAO",S!$A:$E,I!$A:$E),4,FALSE)</f>
        <v>M3</v>
      </c>
      <c r="F298" s="23">
        <v>9.1000000000000004E-3</v>
      </c>
      <c r="G298" s="76">
        <f>IF(A298="COMPOSICAO",VLOOKUP("TOTAL SEM BDI - "&amp;B298,CPUAUX1!$A:$J,9,FALSE),VLOOKUP(B298,I!$A:$E,5,FALSE))</f>
        <v>750.01</v>
      </c>
      <c r="H298" s="77"/>
      <c r="I298" s="76">
        <f t="shared" si="28"/>
        <v>6.82</v>
      </c>
      <c r="J298" s="77"/>
      <c r="M298" s="23">
        <f t="shared" si="29"/>
        <v>87369</v>
      </c>
      <c r="N298" s="5">
        <f>SUMIF(ORCAMENTO!B:B,B295,ORCAMENTO!F:F)</f>
        <v>115.86000000000001</v>
      </c>
      <c r="O298" s="23">
        <f t="shared" si="30"/>
        <v>1.0543260000000001</v>
      </c>
      <c r="Q298" s="23">
        <f ca="1">IFERROR(SUMIF(CO!B:B,B295,OFFSET(CO!F:F,0,(4+MATCH(ETAPA,CO!$J$6:$V$6,0)))),0)</f>
        <v>38.620000000000005</v>
      </c>
      <c r="R298" s="23">
        <f t="shared" ca="1" si="31"/>
        <v>0.35144200000000003</v>
      </c>
    </row>
    <row r="299" spans="1:18" ht="30" customHeight="1" x14ac:dyDescent="0.3">
      <c r="A299" s="23" t="s">
        <v>1005</v>
      </c>
      <c r="B299" s="23">
        <v>37395</v>
      </c>
      <c r="C299" s="23" t="str">
        <f>VLOOKUP(B299,IF(A299="COMPOSICAO",S!$A:$E,I!$A:$E),2,FALSE)</f>
        <v>SINAPI</v>
      </c>
      <c r="D299" s="24" t="str">
        <f>VLOOKUP(B299,IF(A299="COMPOSICAO",S!$A:$E,I!$A:$E),3,FALSE)</f>
        <v>PINO DE ACO COM FURO, HASTE = 27 MM (ACAO DIRETA)</v>
      </c>
      <c r="E299" s="23" t="str">
        <f>VLOOKUP(B299,IF(A299="COMPOSICAO",S!$A:$E,I!$A:$E),4,FALSE)</f>
        <v>CENTO</v>
      </c>
      <c r="F299" s="23">
        <v>5.0000000000000001E-3</v>
      </c>
      <c r="G299" s="76">
        <f>IF(A299="COMPOSICAO",VLOOKUP("TOTAL SEM BDI - "&amp;B299,CPUAUX1!$A:$J,9,FALSE),VLOOKUP(B299,I!$A:$E,5,FALSE))</f>
        <v>44.86</v>
      </c>
      <c r="H299" s="77"/>
      <c r="I299" s="76">
        <f t="shared" si="28"/>
        <v>0.22</v>
      </c>
      <c r="J299" s="77"/>
      <c r="M299" s="23">
        <f t="shared" si="29"/>
        <v>37395</v>
      </c>
      <c r="N299" s="5">
        <f>SUMIF(ORCAMENTO!B:B,B295,ORCAMENTO!F:F)</f>
        <v>115.86000000000001</v>
      </c>
      <c r="O299" s="23">
        <f t="shared" si="30"/>
        <v>0.57930000000000004</v>
      </c>
      <c r="Q299" s="23">
        <f ca="1">IFERROR(SUMIF(CO!B:B,B295,OFFSET(CO!F:F,0,(4+MATCH(ETAPA,CO!$J$6:$V$6,0)))),0)</f>
        <v>38.620000000000005</v>
      </c>
      <c r="R299" s="23">
        <f t="shared" ca="1" si="31"/>
        <v>0.19310000000000002</v>
      </c>
    </row>
    <row r="300" spans="1:18" ht="45" customHeight="1" x14ac:dyDescent="0.3">
      <c r="A300" s="23" t="s">
        <v>1005</v>
      </c>
      <c r="B300" s="23">
        <v>34557</v>
      </c>
      <c r="C300" s="23" t="str">
        <f>VLOOKUP(B300,IF(A300="COMPOSICAO",S!$A:$E,I!$A:$E),2,FALSE)</f>
        <v>SINAPI</v>
      </c>
      <c r="D300" s="24" t="str">
        <f>VLOOKUP(B300,IF(A300="COMPOSICAO",S!$A:$E,I!$A:$E),3,FALSE)</f>
        <v>TELA DE ACO SOLDADA GALVANIZADA/ZINCADA PARA ALVENARIA, FIO D = *1,20 A 1,70* MM, MALHA 15 X 15 MM, (C X L) *50 X 7,5* CM</v>
      </c>
      <c r="E300" s="23" t="str">
        <f>VLOOKUP(B300,IF(A300="COMPOSICAO",S!$A:$E,I!$A:$E),4,FALSE)</f>
        <v>M</v>
      </c>
      <c r="F300" s="23">
        <v>0.42</v>
      </c>
      <c r="G300" s="76">
        <f>IF(A300="COMPOSICAO",VLOOKUP("TOTAL SEM BDI - "&amp;B300,CPUAUX1!$A:$J,9,FALSE),VLOOKUP(B300,I!$A:$E,5,FALSE))</f>
        <v>2.3199999999999998</v>
      </c>
      <c r="H300" s="77"/>
      <c r="I300" s="76">
        <f t="shared" si="28"/>
        <v>0.97</v>
      </c>
      <c r="J300" s="77"/>
      <c r="M300" s="23">
        <f t="shared" si="29"/>
        <v>34557</v>
      </c>
      <c r="N300" s="5">
        <f>SUMIF(ORCAMENTO!B:B,B295,ORCAMENTO!F:F)</f>
        <v>115.86000000000001</v>
      </c>
      <c r="O300" s="23">
        <f t="shared" si="30"/>
        <v>48.661200000000001</v>
      </c>
      <c r="Q300" s="23">
        <f ca="1">IFERROR(SUMIF(CO!B:B,B295,OFFSET(CO!F:F,0,(4+MATCH(ETAPA,CO!$J$6:$V$6,0)))),0)</f>
        <v>38.620000000000005</v>
      </c>
      <c r="R300" s="23">
        <f t="shared" ca="1" si="31"/>
        <v>16.220400000000001</v>
      </c>
    </row>
    <row r="301" spans="1:18" ht="45" customHeight="1" x14ac:dyDescent="0.3">
      <c r="A301" s="23" t="s">
        <v>1005</v>
      </c>
      <c r="B301" s="23">
        <v>7271</v>
      </c>
      <c r="C301" s="23" t="str">
        <f>VLOOKUP(B301,IF(A301="COMPOSICAO",S!$A:$E,I!$A:$E),2,FALSE)</f>
        <v>SINAPI</v>
      </c>
      <c r="D301" s="24" t="str">
        <f>VLOOKUP(B301,IF(A301="COMPOSICAO",S!$A:$E,I!$A:$E),3,FALSE)</f>
        <v>BLOCO CERAMICO / TIJOLO VAZADO PARA ALVENARIA DE VEDACAO, 8 FUROS NA HORIZONTAL DE 9 X 19 X 19 CM (L X A X C)</v>
      </c>
      <c r="E301" s="23" t="str">
        <f>VLOOKUP(B301,IF(A301="COMPOSICAO",S!$A:$E,I!$A:$E),4,FALSE)</f>
        <v>UN</v>
      </c>
      <c r="F301" s="23">
        <v>28.31</v>
      </c>
      <c r="G301" s="76">
        <f>IF(A301="COMPOSICAO",VLOOKUP("TOTAL SEM BDI - "&amp;B301,CPUAUX1!$A:$J,9,FALSE),VLOOKUP(B301,I!$A:$E,5,FALSE))</f>
        <v>0.9</v>
      </c>
      <c r="H301" s="77"/>
      <c r="I301" s="76">
        <f t="shared" si="28"/>
        <v>25.47</v>
      </c>
      <c r="J301" s="77"/>
      <c r="M301" s="23">
        <f t="shared" si="29"/>
        <v>7271</v>
      </c>
      <c r="N301" s="5">
        <f>SUMIF(ORCAMENTO!B:B,B295,ORCAMENTO!F:F)</f>
        <v>115.86000000000001</v>
      </c>
      <c r="O301" s="23">
        <f t="shared" si="30"/>
        <v>3279.9966000000004</v>
      </c>
      <c r="Q301" s="23">
        <f ca="1">IFERROR(SUMIF(CO!B:B,B295,OFFSET(CO!F:F,0,(4+MATCH(ETAPA,CO!$J$6:$V$6,0)))),0)</f>
        <v>38.620000000000005</v>
      </c>
      <c r="R301" s="23">
        <f t="shared" ca="1" si="31"/>
        <v>1093.3322000000001</v>
      </c>
    </row>
    <row r="302" spans="1:18" x14ac:dyDescent="0.3">
      <c r="A302" s="73" t="str">
        <f>"TOTAL SEM BDI - "&amp;B295</f>
        <v>TOTAL SEM BDI - 103329</v>
      </c>
      <c r="B302" s="74"/>
      <c r="C302" s="74"/>
      <c r="D302" s="74"/>
      <c r="E302" s="74"/>
      <c r="F302" s="74"/>
      <c r="G302" s="74"/>
      <c r="H302" s="75"/>
      <c r="I302" s="76">
        <f>SUM(I295:I301)</f>
        <v>95.039999999999992</v>
      </c>
      <c r="J302" s="77"/>
    </row>
    <row r="303" spans="1:18" x14ac:dyDescent="0.3">
      <c r="A303" s="73" t="str">
        <f>"TAXA DE BDI ("&amp;TEXT(BDI,"00,00")&amp;" %)"</f>
        <v>TAXA DE BDI (22,33 %)</v>
      </c>
      <c r="B303" s="74"/>
      <c r="C303" s="74"/>
      <c r="D303" s="74"/>
      <c r="E303" s="74"/>
      <c r="F303" s="74"/>
      <c r="G303" s="74"/>
      <c r="H303" s="75"/>
      <c r="I303" s="76">
        <f>ROUND(I302*(BDI/100),2)</f>
        <v>21.22</v>
      </c>
      <c r="J303" s="77"/>
    </row>
    <row r="304" spans="1:18" x14ac:dyDescent="0.3">
      <c r="A304" s="73" t="str">
        <f>"TOTAL COM BDI - "&amp;B295</f>
        <v>TOTAL COM BDI - 103329</v>
      </c>
      <c r="B304" s="74"/>
      <c r="C304" s="74"/>
      <c r="D304" s="74"/>
      <c r="E304" s="74"/>
      <c r="F304" s="74"/>
      <c r="G304" s="74"/>
      <c r="H304" s="75"/>
      <c r="I304" s="76">
        <f>SUM(I302:I303)</f>
        <v>116.25999999999999</v>
      </c>
      <c r="J304" s="77"/>
    </row>
    <row r="306" spans="1:18" x14ac:dyDescent="0.3">
      <c r="A306" s="4" t="s">
        <v>1000</v>
      </c>
      <c r="B306" s="4" t="s">
        <v>170</v>
      </c>
      <c r="C306" s="4" t="s">
        <v>171</v>
      </c>
      <c r="D306" s="4" t="s">
        <v>18</v>
      </c>
      <c r="E306" s="4" t="s">
        <v>172</v>
      </c>
      <c r="F306" s="4" t="s">
        <v>507</v>
      </c>
      <c r="G306" s="45" t="s">
        <v>1001</v>
      </c>
      <c r="H306" s="46"/>
      <c r="I306" s="45" t="s">
        <v>12</v>
      </c>
      <c r="J306" s="46"/>
    </row>
    <row r="307" spans="1:18" ht="60" customHeight="1" x14ac:dyDescent="0.3">
      <c r="A307" s="15" t="s">
        <v>1035</v>
      </c>
      <c r="B307" s="15">
        <v>101161</v>
      </c>
      <c r="C307" s="15" t="str">
        <f>VLOOKUP(B307,S!$A:$G,2,FALSE)</f>
        <v>SINAPI</v>
      </c>
      <c r="D307" s="22" t="str">
        <f>VLOOKUP(B307,S!$A:$G,3,FALSE)</f>
        <v>ALVENARIA DE VEDAÇÃO COM ELEMENTO VAZADO DE CONCRETO (COBOGÓ) DE 7X50X50CM E ARGAMASSA DE ASSENTAMENTO COM PREPARO EM BETONEIRA. AF_05/2020</v>
      </c>
      <c r="E307" s="15" t="str">
        <f>VLOOKUP(B307,S!$A:$G,4,FALSE)</f>
        <v>M2</v>
      </c>
      <c r="F307" s="15"/>
      <c r="G307" s="78">
        <f>I312</f>
        <v>204.37</v>
      </c>
      <c r="H307" s="79"/>
      <c r="I307" s="78"/>
      <c r="J307" s="79"/>
      <c r="K307" s="16">
        <f>VLOOKUP(B307,S!A:G,5,FALSE)</f>
        <v>204.37</v>
      </c>
      <c r="L307" s="15" t="str">
        <f>IF(K307=G307,"OK, CONFORME TABELA",IF(G307&gt;K307,"ACIMA DA TABELA: ","ABAIXO DA TABELA: ")&amp;TRUNC((G307*100)/K307,2)&amp;" %")</f>
        <v>OK, CONFORME TABELA</v>
      </c>
    </row>
    <row r="308" spans="1:18" ht="45" customHeight="1" x14ac:dyDescent="0.3">
      <c r="A308" s="23" t="s">
        <v>1004</v>
      </c>
      <c r="B308" s="23">
        <v>100489</v>
      </c>
      <c r="C308" s="23" t="str">
        <f>VLOOKUP(B308,IF(A308="COMPOSICAO",S!$A:$E,I!$A:$E),2,FALSE)</f>
        <v>SINAPI</v>
      </c>
      <c r="D308" s="24" t="str">
        <f>VLOOKUP(B308,IF(A308="COMPOSICAO",S!$A:$E,I!$A:$E),3,FALSE)</f>
        <v>ARGAMASSA TRAÇO 1:3 (EM VOLUME DE CIMENTO E AREIA MÉDIA ÚMIDA), PREPARO MECÂNICO COM BETONEIRA 600 L. AF_08/2019</v>
      </c>
      <c r="E308" s="23" t="str">
        <f>VLOOKUP(B308,IF(A308="COMPOSICAO",S!$A:$E,I!$A:$E),4,FALSE)</f>
        <v>M3</v>
      </c>
      <c r="F308" s="23">
        <v>0.01</v>
      </c>
      <c r="G308" s="76">
        <f>IF(A308="COMPOSICAO",VLOOKUP("TOTAL SEM BDI - "&amp;B308,CPUAUX1!$A:$J,9,FALSE),VLOOKUP(B308,I!$A:$E,5,FALSE))</f>
        <v>669.96</v>
      </c>
      <c r="H308" s="77"/>
      <c r="I308" s="76">
        <f>TRUNC(F308*G308,2)</f>
        <v>6.69</v>
      </c>
      <c r="J308" s="77"/>
      <c r="M308" s="23">
        <f>B308</f>
        <v>100489</v>
      </c>
      <c r="N308" s="5">
        <f>SUMIF(ORCAMENTO!B:B,B307,ORCAMENTO!F:F)</f>
        <v>9</v>
      </c>
      <c r="O308" s="23">
        <f>F308*N308</f>
        <v>0.09</v>
      </c>
      <c r="Q308" s="23">
        <f ca="1">IFERROR(SUMIF(CO!B:B,B307,OFFSET(CO!F:F,0,(4+MATCH(ETAPA,CO!$J$6:$V$6,0)))),0)</f>
        <v>3</v>
      </c>
      <c r="R308" s="23">
        <f ca="1">F308*Q308</f>
        <v>0.03</v>
      </c>
    </row>
    <row r="309" spans="1:18" x14ac:dyDescent="0.3">
      <c r="A309" s="23" t="s">
        <v>1004</v>
      </c>
      <c r="B309" s="23">
        <v>88316</v>
      </c>
      <c r="C309" s="23" t="str">
        <f>VLOOKUP(B309,IF(A309="COMPOSICAO",S!$A:$E,I!$A:$E),2,FALSE)</f>
        <v>SINAPI</v>
      </c>
      <c r="D309" s="24" t="str">
        <f>VLOOKUP(B309,IF(A309="COMPOSICAO",S!$A:$E,I!$A:$E),3,FALSE)</f>
        <v>SERVENTE COM ENCARGOS COMPLEMENTARES</v>
      </c>
      <c r="E309" s="23" t="str">
        <f>VLOOKUP(B309,IF(A309="COMPOSICAO",S!$A:$E,I!$A:$E),4,FALSE)</f>
        <v>H</v>
      </c>
      <c r="F309" s="23">
        <f>1.028/pcf</f>
        <v>1.028</v>
      </c>
      <c r="G309" s="76">
        <f>IF(A309="COMPOSICAO",VLOOKUP("TOTAL SEM BDI - "&amp;B309,CPUAUX1!$A:$J,9,FALSE),VLOOKUP(B309,I!$A:$E,5,FALSE))</f>
        <v>21.71</v>
      </c>
      <c r="H309" s="77"/>
      <c r="I309" s="76">
        <f>TRUNC(F309*G309,2)</f>
        <v>22.31</v>
      </c>
      <c r="J309" s="77"/>
      <c r="M309" s="23">
        <f>B309</f>
        <v>88316</v>
      </c>
      <c r="N309" s="5">
        <f>SUMIF(ORCAMENTO!B:B,B307,ORCAMENTO!F:F)</f>
        <v>9</v>
      </c>
      <c r="O309" s="23">
        <f>F309*N309</f>
        <v>9.2520000000000007</v>
      </c>
      <c r="Q309" s="23">
        <f ca="1">IFERROR(SUMIF(CO!B:B,B307,OFFSET(CO!F:F,0,(4+MATCH(ETAPA,CO!$J$6:$V$6,0)))),0)</f>
        <v>3</v>
      </c>
      <c r="R309" s="23">
        <f ca="1">F309*Q309</f>
        <v>3.0840000000000001</v>
      </c>
    </row>
    <row r="310" spans="1:18" x14ac:dyDescent="0.3">
      <c r="A310" s="23" t="s">
        <v>1004</v>
      </c>
      <c r="B310" s="23">
        <v>88309</v>
      </c>
      <c r="C310" s="23" t="str">
        <f>VLOOKUP(B310,IF(A310="COMPOSICAO",S!$A:$E,I!$A:$E),2,FALSE)</f>
        <v>SINAPI</v>
      </c>
      <c r="D310" s="24" t="str">
        <f>VLOOKUP(B310,IF(A310="COMPOSICAO",S!$A:$E,I!$A:$E),3,FALSE)</f>
        <v>PEDREIRO COM ENCARGOS COMPLEMENTARES</v>
      </c>
      <c r="E310" s="23" t="str">
        <f>VLOOKUP(B310,IF(A310="COMPOSICAO",S!$A:$E,I!$A:$E),4,FALSE)</f>
        <v>H</v>
      </c>
      <c r="F310" s="23">
        <f>2.055/pcf</f>
        <v>2.0550000000000002</v>
      </c>
      <c r="G310" s="76">
        <f>IF(A310="COMPOSICAO",VLOOKUP("TOTAL SEM BDI - "&amp;B310,CPUAUX1!$A:$J,9,FALSE),VLOOKUP(B310,I!$A:$E,5,FALSE))</f>
        <v>27.39</v>
      </c>
      <c r="H310" s="77"/>
      <c r="I310" s="76">
        <f>TRUNC(F310*G310,2)</f>
        <v>56.28</v>
      </c>
      <c r="J310" s="77"/>
      <c r="M310" s="23">
        <f>B310</f>
        <v>88309</v>
      </c>
      <c r="N310" s="5">
        <f>SUMIF(ORCAMENTO!B:B,B307,ORCAMENTO!F:F)</f>
        <v>9</v>
      </c>
      <c r="O310" s="23">
        <f>F310*N310</f>
        <v>18.495000000000001</v>
      </c>
      <c r="Q310" s="23">
        <f ca="1">IFERROR(SUMIF(CO!B:B,B307,OFFSET(CO!F:F,0,(4+MATCH(ETAPA,CO!$J$6:$V$6,0)))),0)</f>
        <v>3</v>
      </c>
      <c r="R310" s="23">
        <f ca="1">F310*Q310</f>
        <v>6.1650000000000009</v>
      </c>
    </row>
    <row r="311" spans="1:18" ht="30" customHeight="1" x14ac:dyDescent="0.3">
      <c r="A311" s="23" t="s">
        <v>1005</v>
      </c>
      <c r="B311" s="23">
        <v>665</v>
      </c>
      <c r="C311" s="23" t="str">
        <f>VLOOKUP(B311,IF(A311="COMPOSICAO",S!$A:$E,I!$A:$E),2,FALSE)</f>
        <v>SINAPI</v>
      </c>
      <c r="D311" s="24" t="str">
        <f>VLOOKUP(B311,IF(A311="COMPOSICAO",S!$A:$E,I!$A:$E),3,FALSE)</f>
        <v>ELEMENTO VAZADO DE CONCRETO, QUADRICULADO, 16 FUROS *50 X 50 X 7* CM</v>
      </c>
      <c r="E311" s="23" t="str">
        <f>VLOOKUP(B311,IF(A311="COMPOSICAO",S!$A:$E,I!$A:$E),4,FALSE)</f>
        <v>UN</v>
      </c>
      <c r="F311" s="23">
        <v>3.95</v>
      </c>
      <c r="G311" s="76">
        <f>IF(A311="COMPOSICAO",VLOOKUP("TOTAL SEM BDI - "&amp;B311,CPUAUX1!$A:$J,9,FALSE),VLOOKUP(B311,I!$A:$E,5,FALSE))</f>
        <v>30.15</v>
      </c>
      <c r="H311" s="77"/>
      <c r="I311" s="76">
        <f>TRUNC(F311*G311,2)</f>
        <v>119.09</v>
      </c>
      <c r="J311" s="77"/>
      <c r="M311" s="23">
        <f>B311</f>
        <v>665</v>
      </c>
      <c r="N311" s="5">
        <f>SUMIF(ORCAMENTO!B:B,B307,ORCAMENTO!F:F)</f>
        <v>9</v>
      </c>
      <c r="O311" s="23">
        <f>F311*N311</f>
        <v>35.550000000000004</v>
      </c>
      <c r="Q311" s="23">
        <f ca="1">IFERROR(SUMIF(CO!B:B,B307,OFFSET(CO!F:F,0,(4+MATCH(ETAPA,CO!$J$6:$V$6,0)))),0)</f>
        <v>3</v>
      </c>
      <c r="R311" s="23">
        <f ca="1">F311*Q311</f>
        <v>11.850000000000001</v>
      </c>
    </row>
    <row r="312" spans="1:18" x14ac:dyDescent="0.3">
      <c r="A312" s="73" t="str">
        <f>"TOTAL SEM BDI - "&amp;B307</f>
        <v>TOTAL SEM BDI - 101161</v>
      </c>
      <c r="B312" s="74"/>
      <c r="C312" s="74"/>
      <c r="D312" s="74"/>
      <c r="E312" s="74"/>
      <c r="F312" s="74"/>
      <c r="G312" s="74"/>
      <c r="H312" s="75"/>
      <c r="I312" s="76">
        <f>SUM(I307:I311)</f>
        <v>204.37</v>
      </c>
      <c r="J312" s="77"/>
    </row>
    <row r="313" spans="1:18" x14ac:dyDescent="0.3">
      <c r="A313" s="73" t="str">
        <f>"TAXA DE BDI ("&amp;TEXT(BDI,"00,00")&amp;" %)"</f>
        <v>TAXA DE BDI (22,33 %)</v>
      </c>
      <c r="B313" s="74"/>
      <c r="C313" s="74"/>
      <c r="D313" s="74"/>
      <c r="E313" s="74"/>
      <c r="F313" s="74"/>
      <c r="G313" s="74"/>
      <c r="H313" s="75"/>
      <c r="I313" s="76">
        <f>ROUND(I312*(BDI/100),2)</f>
        <v>45.64</v>
      </c>
      <c r="J313" s="77"/>
    </row>
    <row r="314" spans="1:18" x14ac:dyDescent="0.3">
      <c r="A314" s="73" t="str">
        <f>"TOTAL COM BDI - "&amp;B307</f>
        <v>TOTAL COM BDI - 101161</v>
      </c>
      <c r="B314" s="74"/>
      <c r="C314" s="74"/>
      <c r="D314" s="74"/>
      <c r="E314" s="74"/>
      <c r="F314" s="74"/>
      <c r="G314" s="74"/>
      <c r="H314" s="75"/>
      <c r="I314" s="76">
        <f>SUM(I312:I313)</f>
        <v>250.01</v>
      </c>
      <c r="J314" s="77"/>
    </row>
    <row r="316" spans="1:18" x14ac:dyDescent="0.3">
      <c r="A316" s="4" t="s">
        <v>1000</v>
      </c>
      <c r="B316" s="4" t="s">
        <v>170</v>
      </c>
      <c r="C316" s="4" t="s">
        <v>171</v>
      </c>
      <c r="D316" s="4" t="s">
        <v>18</v>
      </c>
      <c r="E316" s="4" t="s">
        <v>172</v>
      </c>
      <c r="F316" s="4" t="s">
        <v>507</v>
      </c>
      <c r="G316" s="45" t="s">
        <v>1001</v>
      </c>
      <c r="H316" s="46"/>
      <c r="I316" s="45" t="s">
        <v>12</v>
      </c>
      <c r="J316" s="46"/>
    </row>
    <row r="317" spans="1:18" ht="45" customHeight="1" x14ac:dyDescent="0.3">
      <c r="A317" s="15" t="s">
        <v>1010</v>
      </c>
      <c r="B317" s="15" t="s">
        <v>588</v>
      </c>
      <c r="C317" s="15" t="str">
        <f>VLOOKUP(B317,S!$A:$G,2,FALSE)</f>
        <v>PRÓPRIA</v>
      </c>
      <c r="D317" s="22" t="str">
        <f>VLOOKUP(B317,S!$A:$G,3,FALSE)</f>
        <v>TELHAMENTO COM TELHA CERÂMICA CAPA-CANAL, TIPO COLONIAL, COM ATÉ 2 ÁGUAS, INCLUSO TRANSPORTE VERTICAL</v>
      </c>
      <c r="E317" s="15" t="str">
        <f>VLOOKUP(B317,S!$A:$G,4,FALSE)</f>
        <v>M²</v>
      </c>
      <c r="F317" s="15"/>
      <c r="G317" s="78">
        <f>I321</f>
        <v>37.64</v>
      </c>
      <c r="H317" s="79"/>
      <c r="I317" s="78"/>
      <c r="J317" s="79"/>
      <c r="K317" s="16">
        <f>VLOOKUP(B317,S!A:G,5,FALSE)</f>
        <v>0</v>
      </c>
      <c r="L317" s="15" t="s">
        <v>1003</v>
      </c>
    </row>
    <row r="318" spans="1:18" ht="60" customHeight="1" x14ac:dyDescent="0.3">
      <c r="A318" s="23" t="s">
        <v>1005</v>
      </c>
      <c r="B318" s="23">
        <v>7173</v>
      </c>
      <c r="C318" s="23" t="str">
        <f>VLOOKUP(B318,IF(A318="COMPOSICAO",S!$A:$E,I!$A:$E),2,FALSE)</f>
        <v>SINAPI</v>
      </c>
      <c r="D318" s="24" t="str">
        <f>VLOOKUP(B318,IF(A318="COMPOSICAO",S!$A:$E,I!$A:$E),3,FALSE)</f>
        <v>TELHA DE BARRO / CERAMICA, NAO ESMALTADA, TIPO COLONIAL, CANAL, PLAN, PAULISTA, COMPRIMENTO DE *44 A 50* CM, RENDIMENTO DE COBERTURA DE *26* TELHAS/M2</v>
      </c>
      <c r="E318" s="23" t="str">
        <f>VLOOKUP(B318,IF(A318="COMPOSICAO",S!$A:$E,I!$A:$E),4,FALSE)</f>
        <v>MIL</v>
      </c>
      <c r="F318" s="23">
        <v>2.75E-2</v>
      </c>
      <c r="G318" s="76">
        <f>IF(A318="COMPOSICAO",VLOOKUP("TOTAL SEM BDI - "&amp;B318,CPUAUX1!$A:$J,9,FALSE),VLOOKUP(B318,I!$A:$E,5,FALSE))</f>
        <v>925</v>
      </c>
      <c r="H318" s="77"/>
      <c r="I318" s="76">
        <f>TRUNC(F318*G318,2)</f>
        <v>25.43</v>
      </c>
      <c r="J318" s="77"/>
      <c r="M318" s="23">
        <f>B318</f>
        <v>7173</v>
      </c>
      <c r="N318" s="5">
        <f>SUMIF(ORCAMENTO!B:B,B317,ORCAMENTO!F:F)</f>
        <v>61.38000000000001</v>
      </c>
      <c r="O318" s="23">
        <f>F318*N318</f>
        <v>1.6879500000000003</v>
      </c>
      <c r="Q318" s="23">
        <f ca="1">IFERROR(SUMIF(CO!B:B,B317,OFFSET(CO!F:F,0,(4+MATCH(ETAPA,CO!$J$6:$V$6,0)))),0)</f>
        <v>20.46</v>
      </c>
      <c r="R318" s="23">
        <f ca="1">F318*Q318</f>
        <v>0.56264999999999998</v>
      </c>
    </row>
    <row r="319" spans="1:18" x14ac:dyDescent="0.3">
      <c r="A319" s="23" t="s">
        <v>1004</v>
      </c>
      <c r="B319" s="23">
        <v>88316</v>
      </c>
      <c r="C319" s="23" t="str">
        <f>VLOOKUP(B319,IF(A319="COMPOSICAO",S!$A:$E,I!$A:$E),2,FALSE)</f>
        <v>SINAPI</v>
      </c>
      <c r="D319" s="24" t="str">
        <f>VLOOKUP(B319,IF(A319="COMPOSICAO",S!$A:$E,I!$A:$E),3,FALSE)</f>
        <v>SERVENTE COM ENCARGOS COMPLEMENTARES</v>
      </c>
      <c r="E319" s="23" t="str">
        <f>VLOOKUP(B319,IF(A319="COMPOSICAO",S!$A:$E,I!$A:$E),4,FALSE)</f>
        <v>H</v>
      </c>
      <c r="F319" s="23">
        <f>0.399/pcf</f>
        <v>0.39900000000000002</v>
      </c>
      <c r="G319" s="76">
        <f>IF(A319="COMPOSICAO",VLOOKUP("TOTAL SEM BDI - "&amp;B319,CPUAUX1!$A:$J,9,FALSE),VLOOKUP(B319,I!$A:$E,5,FALSE))</f>
        <v>21.71</v>
      </c>
      <c r="H319" s="77"/>
      <c r="I319" s="76">
        <f>TRUNC(F319*G319,2)</f>
        <v>8.66</v>
      </c>
      <c r="J319" s="77"/>
      <c r="M319" s="23">
        <f>B319</f>
        <v>88316</v>
      </c>
      <c r="N319" s="5">
        <f>SUMIF(ORCAMENTO!B:B,B317,ORCAMENTO!F:F)</f>
        <v>61.38000000000001</v>
      </c>
      <c r="O319" s="23">
        <f>F319*N319</f>
        <v>24.490620000000007</v>
      </c>
      <c r="Q319" s="23">
        <f ca="1">IFERROR(SUMIF(CO!B:B,B317,OFFSET(CO!F:F,0,(4+MATCH(ETAPA,CO!$J$6:$V$6,0)))),0)</f>
        <v>20.46</v>
      </c>
      <c r="R319" s="23">
        <f ca="1">F319*Q319</f>
        <v>8.1635400000000011</v>
      </c>
    </row>
    <row r="320" spans="1:18" x14ac:dyDescent="0.3">
      <c r="A320" s="23" t="s">
        <v>1004</v>
      </c>
      <c r="B320" s="23">
        <v>88323</v>
      </c>
      <c r="C320" s="23" t="str">
        <f>VLOOKUP(B320,IF(A320="COMPOSICAO",S!$A:$E,I!$A:$E),2,FALSE)</f>
        <v>SINAPI</v>
      </c>
      <c r="D320" s="24" t="str">
        <f>VLOOKUP(B320,IF(A320="COMPOSICAO",S!$A:$E,I!$A:$E),3,FALSE)</f>
        <v>TELHADISTA COM ENCARGOS COMPLEMENTARES</v>
      </c>
      <c r="E320" s="23" t="str">
        <f>VLOOKUP(B320,IF(A320="COMPOSICAO",S!$A:$E,I!$A:$E),4,FALSE)</f>
        <v>H</v>
      </c>
      <c r="F320" s="23">
        <f>0.133/pcf</f>
        <v>0.13300000000000001</v>
      </c>
      <c r="G320" s="76">
        <f>IF(A320="COMPOSICAO",VLOOKUP("TOTAL SEM BDI - "&amp;B320,CPUAUX1!$A:$J,9,FALSE),VLOOKUP(B320,I!$A:$E,5,FALSE))</f>
        <v>26.71</v>
      </c>
      <c r="H320" s="77"/>
      <c r="I320" s="76">
        <f>TRUNC(F320*G320,2)</f>
        <v>3.55</v>
      </c>
      <c r="J320" s="77"/>
      <c r="M320" s="23">
        <f>B320</f>
        <v>88323</v>
      </c>
      <c r="N320" s="5">
        <f>SUMIF(ORCAMENTO!B:B,B317,ORCAMENTO!F:F)</f>
        <v>61.38000000000001</v>
      </c>
      <c r="O320" s="23">
        <f>F320*N320</f>
        <v>8.1635400000000011</v>
      </c>
      <c r="Q320" s="23">
        <f ca="1">IFERROR(SUMIF(CO!B:B,B317,OFFSET(CO!F:F,0,(4+MATCH(ETAPA,CO!$J$6:$V$6,0)))),0)</f>
        <v>20.46</v>
      </c>
      <c r="R320" s="23">
        <f ca="1">F320*Q320</f>
        <v>2.7211800000000004</v>
      </c>
    </row>
    <row r="321" spans="1:18" x14ac:dyDescent="0.3">
      <c r="A321" s="73" t="str">
        <f>"TOTAL SEM BDI - "&amp;B317</f>
        <v>TOTAL SEM BDI - COMPCOM03</v>
      </c>
      <c r="B321" s="74"/>
      <c r="C321" s="74"/>
      <c r="D321" s="74"/>
      <c r="E321" s="74"/>
      <c r="F321" s="74"/>
      <c r="G321" s="74"/>
      <c r="H321" s="75"/>
      <c r="I321" s="76">
        <f>SUM(I317:I320)</f>
        <v>37.64</v>
      </c>
      <c r="J321" s="77"/>
    </row>
    <row r="322" spans="1:18" x14ac:dyDescent="0.3">
      <c r="A322" s="73" t="str">
        <f>"TAXA DE BDI ("&amp;TEXT(BDI,"00,00")&amp;" %)"</f>
        <v>TAXA DE BDI (22,33 %)</v>
      </c>
      <c r="B322" s="74"/>
      <c r="C322" s="74"/>
      <c r="D322" s="74"/>
      <c r="E322" s="74"/>
      <c r="F322" s="74"/>
      <c r="G322" s="74"/>
      <c r="H322" s="75"/>
      <c r="I322" s="76">
        <f>ROUND(I321*(BDI/100),2)</f>
        <v>8.41</v>
      </c>
      <c r="J322" s="77"/>
    </row>
    <row r="323" spans="1:18" x14ac:dyDescent="0.3">
      <c r="A323" s="73" t="str">
        <f>"TOTAL COM BDI - "&amp;B317</f>
        <v>TOTAL COM BDI - COMPCOM03</v>
      </c>
      <c r="B323" s="74"/>
      <c r="C323" s="74"/>
      <c r="D323" s="74"/>
      <c r="E323" s="74"/>
      <c r="F323" s="74"/>
      <c r="G323" s="74"/>
      <c r="H323" s="75"/>
      <c r="I323" s="76">
        <f>SUM(I321:I322)</f>
        <v>46.05</v>
      </c>
      <c r="J323" s="77"/>
    </row>
    <row r="325" spans="1:18" x14ac:dyDescent="0.3">
      <c r="A325" s="4" t="s">
        <v>1000</v>
      </c>
      <c r="B325" s="4" t="s">
        <v>170</v>
      </c>
      <c r="C325" s="4" t="s">
        <v>171</v>
      </c>
      <c r="D325" s="4" t="s">
        <v>18</v>
      </c>
      <c r="E325" s="4" t="s">
        <v>172</v>
      </c>
      <c r="F325" s="4" t="s">
        <v>507</v>
      </c>
      <c r="G325" s="45" t="s">
        <v>1001</v>
      </c>
      <c r="H325" s="46"/>
      <c r="I325" s="45" t="s">
        <v>12</v>
      </c>
      <c r="J325" s="46"/>
    </row>
    <row r="326" spans="1:18" ht="60" customHeight="1" x14ac:dyDescent="0.3">
      <c r="A326" s="15" t="s">
        <v>1010</v>
      </c>
      <c r="B326" s="15" t="s">
        <v>590</v>
      </c>
      <c r="C326" s="15" t="str">
        <f>VLOOKUP(B326,S!$A:$G,2,FALSE)</f>
        <v>PRÓPRIA</v>
      </c>
      <c r="D326" s="22" t="str">
        <f>VLOOKUP(B326,S!$A:$G,3,FALSE)</f>
        <v>TRAMA DE MADEIRA COMPOSTA POR RIPAS, CAIBROS E TERÇAS PARA TELHADOS DE ATÉ 2 ÁGUAS PARA TELHA CERÂMICA CAPA-CANAL, INCLUSO TRANSPORTE VERTICAL</v>
      </c>
      <c r="E326" s="15" t="str">
        <f>VLOOKUP(B326,S!$A:$G,4,FALSE)</f>
        <v>M²</v>
      </c>
      <c r="F326" s="15"/>
      <c r="G326" s="78">
        <f>I335</f>
        <v>66.67</v>
      </c>
      <c r="H326" s="79"/>
      <c r="I326" s="78"/>
      <c r="J326" s="79"/>
      <c r="K326" s="16">
        <f>VLOOKUP(B326,S!A:G,5,FALSE)</f>
        <v>0</v>
      </c>
      <c r="L326" s="15" t="s">
        <v>1003</v>
      </c>
    </row>
    <row r="327" spans="1:18" ht="45" customHeight="1" x14ac:dyDescent="0.3">
      <c r="A327" s="23" t="s">
        <v>1005</v>
      </c>
      <c r="B327" s="23">
        <v>4408</v>
      </c>
      <c r="C327" s="23" t="str">
        <f>VLOOKUP(B327,IF(A327="COMPOSICAO",S!$A:$E,I!$A:$E),2,FALSE)</f>
        <v>SINAPI</v>
      </c>
      <c r="D327" s="24" t="str">
        <f>VLOOKUP(B327,IF(A327="COMPOSICAO",S!$A:$E,I!$A:$E),3,FALSE)</f>
        <v>RIPA NAO APARELHADA, *1,5 X 5* CM, EM MACARANDUBA/MASSARANDUBA, ANGELIM OU EQUIVALENTE DA REGIAO - BRUTA</v>
      </c>
      <c r="E327" s="23" t="str">
        <f>VLOOKUP(B327,IF(A327="COMPOSICAO",S!$A:$E,I!$A:$E),4,FALSE)</f>
        <v>M</v>
      </c>
      <c r="F327" s="23">
        <v>2.573</v>
      </c>
      <c r="G327" s="76">
        <f>IF(A327="COMPOSICAO",VLOOKUP("TOTAL SEM BDI - "&amp;B327,CPUAUX1!$A:$J,9,FALSE),VLOOKUP(B327,I!$A:$E,5,FALSE))</f>
        <v>1.9</v>
      </c>
      <c r="H327" s="77"/>
      <c r="I327" s="76">
        <f t="shared" ref="I327:I334" si="32">TRUNC(F327*G327,2)</f>
        <v>4.88</v>
      </c>
      <c r="J327" s="77"/>
      <c r="M327" s="23">
        <f t="shared" ref="M327:M334" si="33">B327</f>
        <v>4408</v>
      </c>
      <c r="N327" s="5">
        <f>SUMIF(ORCAMENTO!B:B,B326,ORCAMENTO!F:F)</f>
        <v>61.38000000000001</v>
      </c>
      <c r="O327" s="23">
        <f t="shared" ref="O327:O334" si="34">F327*N327</f>
        <v>157.93074000000001</v>
      </c>
      <c r="Q327" s="23">
        <f ca="1">IFERROR(SUMIF(CO!B:B,B326,OFFSET(CO!F:F,0,(4+MATCH(ETAPA,CO!$J$6:$V$6,0)))),0)</f>
        <v>20.46</v>
      </c>
      <c r="R327" s="23">
        <f t="shared" ref="R327:R334" ca="1" si="35">F327*Q327</f>
        <v>52.64358</v>
      </c>
    </row>
    <row r="328" spans="1:18" ht="45" customHeight="1" x14ac:dyDescent="0.3">
      <c r="A328" s="23" t="s">
        <v>1005</v>
      </c>
      <c r="B328" s="23">
        <v>4425</v>
      </c>
      <c r="C328" s="23" t="str">
        <f>VLOOKUP(B328,IF(A328="COMPOSICAO",S!$A:$E,I!$A:$E),2,FALSE)</f>
        <v>SINAPI</v>
      </c>
      <c r="D328" s="24" t="str">
        <f>VLOOKUP(B328,IF(A328="COMPOSICAO",S!$A:$E,I!$A:$E),3,FALSE)</f>
        <v>VIGA NAO APARELHADA *6 X 12* CM, EM MACARANDUBA/MASSARANDUBA, ANGELIM OU EQUIVALENTE DA REGIAO - BRUTA</v>
      </c>
      <c r="E328" s="23" t="str">
        <f>VLOOKUP(B328,IF(A328="COMPOSICAO",S!$A:$E,I!$A:$E),4,FALSE)</f>
        <v>M</v>
      </c>
      <c r="F328" s="23">
        <v>0.73499999999999999</v>
      </c>
      <c r="G328" s="76">
        <f>IF(A328="COMPOSICAO",VLOOKUP("TOTAL SEM BDI - "&amp;B328,CPUAUX1!$A:$J,9,FALSE),VLOOKUP(B328,I!$A:$E,5,FALSE))</f>
        <v>21.15</v>
      </c>
      <c r="H328" s="77"/>
      <c r="I328" s="76">
        <f t="shared" si="32"/>
        <v>15.54</v>
      </c>
      <c r="J328" s="77"/>
      <c r="M328" s="23">
        <f t="shared" si="33"/>
        <v>4425</v>
      </c>
      <c r="N328" s="5">
        <f>SUMIF(ORCAMENTO!B:B,B326,ORCAMENTO!F:F)</f>
        <v>61.38000000000001</v>
      </c>
      <c r="O328" s="23">
        <f t="shared" si="34"/>
        <v>45.114300000000007</v>
      </c>
      <c r="Q328" s="23">
        <f ca="1">IFERROR(SUMIF(CO!B:B,B326,OFFSET(CO!F:F,0,(4+MATCH(ETAPA,CO!$J$6:$V$6,0)))),0)</f>
        <v>20.46</v>
      </c>
      <c r="R328" s="23">
        <f t="shared" ca="1" si="35"/>
        <v>15.0381</v>
      </c>
    </row>
    <row r="329" spans="1:18" ht="45" customHeight="1" x14ac:dyDescent="0.3">
      <c r="A329" s="23" t="s">
        <v>1005</v>
      </c>
      <c r="B329" s="23">
        <v>4430</v>
      </c>
      <c r="C329" s="23" t="str">
        <f>VLOOKUP(B329,IF(A329="COMPOSICAO",S!$A:$E,I!$A:$E),2,FALSE)</f>
        <v>SINAPI</v>
      </c>
      <c r="D329" s="24" t="str">
        <f>VLOOKUP(B329,IF(A329="COMPOSICAO",S!$A:$E,I!$A:$E),3,FALSE)</f>
        <v>CAIBRO NAO APARELHADO *5 X 6* CM, EM MACARANDUBA/MASSARANDUBA, ANGELIM OU EQUIVALENTE DA REGIAO - BRUTA</v>
      </c>
      <c r="E329" s="23" t="str">
        <f>VLOOKUP(B329,IF(A329="COMPOSICAO",S!$A:$E,I!$A:$E),4,FALSE)</f>
        <v>M</v>
      </c>
      <c r="F329" s="23">
        <v>2.3359999999999999</v>
      </c>
      <c r="G329" s="76">
        <f>IF(A329="COMPOSICAO",VLOOKUP("TOTAL SEM BDI - "&amp;B329,CPUAUX1!$A:$J,9,FALSE),VLOOKUP(B329,I!$A:$E,5,FALSE))</f>
        <v>10</v>
      </c>
      <c r="H329" s="77"/>
      <c r="I329" s="76">
        <f t="shared" si="32"/>
        <v>23.36</v>
      </c>
      <c r="J329" s="77"/>
      <c r="M329" s="23">
        <f t="shared" si="33"/>
        <v>4430</v>
      </c>
      <c r="N329" s="5">
        <f>SUMIF(ORCAMENTO!B:B,B326,ORCAMENTO!F:F)</f>
        <v>61.38000000000001</v>
      </c>
      <c r="O329" s="23">
        <f t="shared" si="34"/>
        <v>143.38368000000003</v>
      </c>
      <c r="Q329" s="23">
        <f ca="1">IFERROR(SUMIF(CO!B:B,B326,OFFSET(CO!F:F,0,(4+MATCH(ETAPA,CO!$J$6:$V$6,0)))),0)</f>
        <v>20.46</v>
      </c>
      <c r="R329" s="23">
        <f t="shared" ca="1" si="35"/>
        <v>47.794559999999997</v>
      </c>
    </row>
    <row r="330" spans="1:18" ht="30" customHeight="1" x14ac:dyDescent="0.3">
      <c r="A330" s="23" t="s">
        <v>1005</v>
      </c>
      <c r="B330" s="23">
        <v>20247</v>
      </c>
      <c r="C330" s="23" t="str">
        <f>VLOOKUP(B330,IF(A330="COMPOSICAO",S!$A:$E,I!$A:$E),2,FALSE)</f>
        <v>SINAPI</v>
      </c>
      <c r="D330" s="24" t="str">
        <f>VLOOKUP(B330,IF(A330="COMPOSICAO",S!$A:$E,I!$A:$E),3,FALSE)</f>
        <v>PREGO DE ACO POLIDO COM CABECA 15 X 15 (1 1/4 X 13)</v>
      </c>
      <c r="E330" s="23" t="str">
        <f>VLOOKUP(B330,IF(A330="COMPOSICAO",S!$A:$E,I!$A:$E),4,FALSE)</f>
        <v>KG</v>
      </c>
      <c r="F330" s="23">
        <v>7.0000000000000007E-2</v>
      </c>
      <c r="G330" s="76">
        <f>IF(A330="COMPOSICAO",VLOOKUP("TOTAL SEM BDI - "&amp;B330,CPUAUX1!$A:$J,9,FALSE),VLOOKUP(B330,I!$A:$E,5,FALSE))</f>
        <v>22.53</v>
      </c>
      <c r="H330" s="77"/>
      <c r="I330" s="76">
        <f t="shared" si="32"/>
        <v>1.57</v>
      </c>
      <c r="J330" s="77"/>
      <c r="M330" s="23">
        <f t="shared" si="33"/>
        <v>20247</v>
      </c>
      <c r="N330" s="5">
        <f>SUMIF(ORCAMENTO!B:B,B326,ORCAMENTO!F:F)</f>
        <v>61.38000000000001</v>
      </c>
      <c r="O330" s="23">
        <f t="shared" si="34"/>
        <v>4.2966000000000015</v>
      </c>
      <c r="Q330" s="23">
        <f ca="1">IFERROR(SUMIF(CO!B:B,B326,OFFSET(CO!F:F,0,(4+MATCH(ETAPA,CO!$J$6:$V$6,0)))),0)</f>
        <v>20.46</v>
      </c>
      <c r="R330" s="23">
        <f t="shared" ca="1" si="35"/>
        <v>1.4322000000000001</v>
      </c>
    </row>
    <row r="331" spans="1:18" ht="30" customHeight="1" x14ac:dyDescent="0.3">
      <c r="A331" s="23" t="s">
        <v>1005</v>
      </c>
      <c r="B331" s="23">
        <v>39027</v>
      </c>
      <c r="C331" s="23" t="str">
        <f>VLOOKUP(B331,IF(A331="COMPOSICAO",S!$A:$E,I!$A:$E),2,FALSE)</f>
        <v>SINAPI</v>
      </c>
      <c r="D331" s="24" t="str">
        <f>VLOOKUP(B331,IF(A331="COMPOSICAO",S!$A:$E,I!$A:$E),3,FALSE)</f>
        <v>PREGO DE ACO POLIDO COM CABECA 19 X 36 (3 1/4 X 9)</v>
      </c>
      <c r="E331" s="23" t="str">
        <f>VLOOKUP(B331,IF(A331="COMPOSICAO",S!$A:$E,I!$A:$E),4,FALSE)</f>
        <v>KG</v>
      </c>
      <c r="F331" s="23">
        <v>0.05</v>
      </c>
      <c r="G331" s="76">
        <f>IF(A331="COMPOSICAO",VLOOKUP("TOTAL SEM BDI - "&amp;B331,CPUAUX1!$A:$J,9,FALSE),VLOOKUP(B331,I!$A:$E,5,FALSE))</f>
        <v>20.32</v>
      </c>
      <c r="H331" s="77"/>
      <c r="I331" s="76">
        <f t="shared" si="32"/>
        <v>1.01</v>
      </c>
      <c r="J331" s="77"/>
      <c r="M331" s="23">
        <f t="shared" si="33"/>
        <v>39027</v>
      </c>
      <c r="N331" s="5">
        <f>SUMIF(ORCAMENTO!B:B,B326,ORCAMENTO!F:F)</f>
        <v>61.38000000000001</v>
      </c>
      <c r="O331" s="23">
        <f t="shared" si="34"/>
        <v>3.0690000000000008</v>
      </c>
      <c r="Q331" s="23">
        <f ca="1">IFERROR(SUMIF(CO!B:B,B326,OFFSET(CO!F:F,0,(4+MATCH(ETAPA,CO!$J$6:$V$6,0)))),0)</f>
        <v>20.46</v>
      </c>
      <c r="R331" s="23">
        <f t="shared" ca="1" si="35"/>
        <v>1.0230000000000001</v>
      </c>
    </row>
    <row r="332" spans="1:18" ht="30" customHeight="1" x14ac:dyDescent="0.3">
      <c r="A332" s="23" t="s">
        <v>1005</v>
      </c>
      <c r="B332" s="23">
        <v>40568</v>
      </c>
      <c r="C332" s="23" t="str">
        <f>VLOOKUP(B332,IF(A332="COMPOSICAO",S!$A:$E,I!$A:$E),2,FALSE)</f>
        <v>SINAPI</v>
      </c>
      <c r="D332" s="24" t="str">
        <f>VLOOKUP(B332,IF(A332="COMPOSICAO",S!$A:$E,I!$A:$E),3,FALSE)</f>
        <v>PREGO DE ACO POLIDO COM CABECA 22 X 48 (4 1/4 X 5)</v>
      </c>
      <c r="E332" s="23" t="str">
        <f>VLOOKUP(B332,IF(A332="COMPOSICAO",S!$A:$E,I!$A:$E),4,FALSE)</f>
        <v>KG</v>
      </c>
      <c r="F332" s="23">
        <v>0.03</v>
      </c>
      <c r="G332" s="76">
        <f>IF(A332="COMPOSICAO",VLOOKUP("TOTAL SEM BDI - "&amp;B332,CPUAUX1!$A:$J,9,FALSE),VLOOKUP(B332,I!$A:$E,5,FALSE))</f>
        <v>20.5</v>
      </c>
      <c r="H332" s="77"/>
      <c r="I332" s="76">
        <f t="shared" si="32"/>
        <v>0.61</v>
      </c>
      <c r="J332" s="77"/>
      <c r="M332" s="23">
        <f t="shared" si="33"/>
        <v>40568</v>
      </c>
      <c r="N332" s="5">
        <f>SUMIF(ORCAMENTO!B:B,B326,ORCAMENTO!F:F)</f>
        <v>61.38000000000001</v>
      </c>
      <c r="O332" s="23">
        <f t="shared" si="34"/>
        <v>1.8414000000000001</v>
      </c>
      <c r="Q332" s="23">
        <f ca="1">IFERROR(SUMIF(CO!B:B,B326,OFFSET(CO!F:F,0,(4+MATCH(ETAPA,CO!$J$6:$V$6,0)))),0)</f>
        <v>20.46</v>
      </c>
      <c r="R332" s="23">
        <f t="shared" ca="1" si="35"/>
        <v>0.61380000000000001</v>
      </c>
    </row>
    <row r="333" spans="1:18" ht="30" customHeight="1" x14ac:dyDescent="0.3">
      <c r="A333" s="23" t="s">
        <v>1004</v>
      </c>
      <c r="B333" s="23">
        <v>88239</v>
      </c>
      <c r="C333" s="23" t="str">
        <f>VLOOKUP(B333,IF(A333="COMPOSICAO",S!$A:$E,I!$A:$E),2,FALSE)</f>
        <v>SINAPI</v>
      </c>
      <c r="D333" s="24" t="str">
        <f>VLOOKUP(B333,IF(A333="COMPOSICAO",S!$A:$E,I!$A:$E),3,FALSE)</f>
        <v>AJUDANTE DE CARPINTEIRO COM ENCARGOS COMPLEMENTARES</v>
      </c>
      <c r="E333" s="23" t="str">
        <f>VLOOKUP(B333,IF(A333="COMPOSICAO",S!$A:$E,I!$A:$E),4,FALSE)</f>
        <v>H</v>
      </c>
      <c r="F333" s="23">
        <f>0.402/pcf</f>
        <v>0.40200000000000002</v>
      </c>
      <c r="G333" s="76">
        <f>IF(A333="COMPOSICAO",VLOOKUP("TOTAL SEM BDI - "&amp;B333,CPUAUX1!$A:$J,9,FALSE),VLOOKUP(B333,I!$A:$E,5,FALSE))</f>
        <v>22.2</v>
      </c>
      <c r="H333" s="77"/>
      <c r="I333" s="76">
        <f t="shared" si="32"/>
        <v>8.92</v>
      </c>
      <c r="J333" s="77"/>
      <c r="M333" s="23">
        <f t="shared" si="33"/>
        <v>88239</v>
      </c>
      <c r="N333" s="5">
        <f>SUMIF(ORCAMENTO!B:B,B326,ORCAMENTO!F:F)</f>
        <v>61.38000000000001</v>
      </c>
      <c r="O333" s="23">
        <f t="shared" si="34"/>
        <v>24.674760000000006</v>
      </c>
      <c r="Q333" s="23">
        <f ca="1">IFERROR(SUMIF(CO!B:B,B326,OFFSET(CO!F:F,0,(4+MATCH(ETAPA,CO!$J$6:$V$6,0)))),0)</f>
        <v>20.46</v>
      </c>
      <c r="R333" s="23">
        <f t="shared" ca="1" si="35"/>
        <v>8.2249200000000009</v>
      </c>
    </row>
    <row r="334" spans="1:18" ht="30" customHeight="1" x14ac:dyDescent="0.3">
      <c r="A334" s="23" t="s">
        <v>1004</v>
      </c>
      <c r="B334" s="23">
        <v>88262</v>
      </c>
      <c r="C334" s="23" t="str">
        <f>VLOOKUP(B334,IF(A334="COMPOSICAO",S!$A:$E,I!$A:$E),2,FALSE)</f>
        <v>SINAPI</v>
      </c>
      <c r="D334" s="24" t="str">
        <f>VLOOKUP(B334,IF(A334="COMPOSICAO",S!$A:$E,I!$A:$E),3,FALSE)</f>
        <v>CARPINTEIRO DE FORMAS COM ENCARGOS COMPLEMENTARES</v>
      </c>
      <c r="E334" s="23" t="str">
        <f>VLOOKUP(B334,IF(A334="COMPOSICAO",S!$A:$E,I!$A:$E),4,FALSE)</f>
        <v>H</v>
      </c>
      <c r="F334" s="23">
        <f>0.4/pcf</f>
        <v>0.4</v>
      </c>
      <c r="G334" s="76">
        <f>IF(A334="COMPOSICAO",VLOOKUP("TOTAL SEM BDI - "&amp;B334,CPUAUX1!$A:$J,9,FALSE),VLOOKUP(B334,I!$A:$E,5,FALSE))</f>
        <v>26.97</v>
      </c>
      <c r="H334" s="77"/>
      <c r="I334" s="76">
        <f t="shared" si="32"/>
        <v>10.78</v>
      </c>
      <c r="J334" s="77"/>
      <c r="M334" s="23">
        <f t="shared" si="33"/>
        <v>88262</v>
      </c>
      <c r="N334" s="5">
        <f>SUMIF(ORCAMENTO!B:B,B326,ORCAMENTO!F:F)</f>
        <v>61.38000000000001</v>
      </c>
      <c r="O334" s="23">
        <f t="shared" si="34"/>
        <v>24.552000000000007</v>
      </c>
      <c r="Q334" s="23">
        <f ca="1">IFERROR(SUMIF(CO!B:B,B326,OFFSET(CO!F:F,0,(4+MATCH(ETAPA,CO!$J$6:$V$6,0)))),0)</f>
        <v>20.46</v>
      </c>
      <c r="R334" s="23">
        <f t="shared" ca="1" si="35"/>
        <v>8.1840000000000011</v>
      </c>
    </row>
    <row r="335" spans="1:18" x14ac:dyDescent="0.3">
      <c r="A335" s="73" t="str">
        <f>"TOTAL SEM BDI - "&amp;B326</f>
        <v>TOTAL SEM BDI - COMPCOM04</v>
      </c>
      <c r="B335" s="74"/>
      <c r="C335" s="74"/>
      <c r="D335" s="74"/>
      <c r="E335" s="74"/>
      <c r="F335" s="74"/>
      <c r="G335" s="74"/>
      <c r="H335" s="75"/>
      <c r="I335" s="76">
        <f>SUM(I326:I334)</f>
        <v>66.67</v>
      </c>
      <c r="J335" s="77"/>
    </row>
    <row r="336" spans="1:18" x14ac:dyDescent="0.3">
      <c r="A336" s="73" t="str">
        <f>"TAXA DE BDI ("&amp;TEXT(BDI,"00,00")&amp;" %)"</f>
        <v>TAXA DE BDI (22,33 %)</v>
      </c>
      <c r="B336" s="74"/>
      <c r="C336" s="74"/>
      <c r="D336" s="74"/>
      <c r="E336" s="74"/>
      <c r="F336" s="74"/>
      <c r="G336" s="74"/>
      <c r="H336" s="75"/>
      <c r="I336" s="76">
        <f>ROUND(I335*(BDI/100),2)</f>
        <v>14.89</v>
      </c>
      <c r="J336" s="77"/>
    </row>
    <row r="337" spans="1:18" x14ac:dyDescent="0.3">
      <c r="A337" s="73" t="str">
        <f>"TOTAL COM BDI - "&amp;B326</f>
        <v>TOTAL COM BDI - COMPCOM04</v>
      </c>
      <c r="B337" s="74"/>
      <c r="C337" s="74"/>
      <c r="D337" s="74"/>
      <c r="E337" s="74"/>
      <c r="F337" s="74"/>
      <c r="G337" s="74"/>
      <c r="H337" s="75"/>
      <c r="I337" s="76">
        <f>SUM(I335:I336)</f>
        <v>81.56</v>
      </c>
      <c r="J337" s="77"/>
    </row>
    <row r="339" spans="1:18" x14ac:dyDescent="0.3">
      <c r="A339" s="4" t="s">
        <v>1000</v>
      </c>
      <c r="B339" s="4" t="s">
        <v>170</v>
      </c>
      <c r="C339" s="4" t="s">
        <v>171</v>
      </c>
      <c r="D339" s="4" t="s">
        <v>18</v>
      </c>
      <c r="E339" s="4" t="s">
        <v>172</v>
      </c>
      <c r="F339" s="4" t="s">
        <v>507</v>
      </c>
      <c r="G339" s="45" t="s">
        <v>1001</v>
      </c>
      <c r="H339" s="46"/>
      <c r="I339" s="45" t="s">
        <v>12</v>
      </c>
      <c r="J339" s="46"/>
    </row>
    <row r="340" spans="1:18" ht="45" customHeight="1" x14ac:dyDescent="0.3">
      <c r="A340" s="15" t="s">
        <v>1036</v>
      </c>
      <c r="B340" s="15">
        <v>101749</v>
      </c>
      <c r="C340" s="15" t="str">
        <f>VLOOKUP(B340,S!$A:$G,2,FALSE)</f>
        <v>SINAPI</v>
      </c>
      <c r="D340" s="22" t="str">
        <f>VLOOKUP(B340,S!$A:$G,3,FALSE)</f>
        <v>PISO CIMENTADO, TRAÇO 1:3 (CIMENTO E AREIA), ACABAMENTO LISO, ESPESSURA 4,0 CM, PREPARO MECÂNICO DA ARGAMASSA. AF_09/2020</v>
      </c>
      <c r="E340" s="15" t="str">
        <f>VLOOKUP(B340,S!$A:$G,4,FALSE)</f>
        <v>M2</v>
      </c>
      <c r="F340" s="15"/>
      <c r="G340" s="78">
        <f>I346</f>
        <v>64.739999999999995</v>
      </c>
      <c r="H340" s="79"/>
      <c r="I340" s="78"/>
      <c r="J340" s="79"/>
      <c r="K340" s="16">
        <f>VLOOKUP(B340,S!A:G,5,FALSE)</f>
        <v>64.739999999999995</v>
      </c>
      <c r="L340" s="15" t="str">
        <f>IF(K340=G340,"OK, CONFORME TABELA",IF(G340&gt;K340,"ACIMA DA TABELA: ","ABAIXO DA TABELA: ")&amp;TRUNC((G340*100)/K340,2)&amp;" %")</f>
        <v>OK, CONFORME TABELA</v>
      </c>
    </row>
    <row r="341" spans="1:18" x14ac:dyDescent="0.3">
      <c r="A341" s="23" t="s">
        <v>1004</v>
      </c>
      <c r="B341" s="23">
        <v>88316</v>
      </c>
      <c r="C341" s="23" t="str">
        <f>VLOOKUP(B341,IF(A341="COMPOSICAO",S!$A:$E,I!$A:$E),2,FALSE)</f>
        <v>SINAPI</v>
      </c>
      <c r="D341" s="24" t="str">
        <f>VLOOKUP(B341,IF(A341="COMPOSICAO",S!$A:$E,I!$A:$E),3,FALSE)</f>
        <v>SERVENTE COM ENCARGOS COMPLEMENTARES</v>
      </c>
      <c r="E341" s="23" t="str">
        <f>VLOOKUP(B341,IF(A341="COMPOSICAO",S!$A:$E,I!$A:$E),4,FALSE)</f>
        <v>H</v>
      </c>
      <c r="F341" s="23">
        <f>0.209/pcf</f>
        <v>0.20899999999999999</v>
      </c>
      <c r="G341" s="76">
        <f>IF(A341="COMPOSICAO",VLOOKUP("TOTAL SEM BDI - "&amp;B341,CPUAUX1!$A:$J,9,FALSE),VLOOKUP(B341,I!$A:$E,5,FALSE))</f>
        <v>21.71</v>
      </c>
      <c r="H341" s="77"/>
      <c r="I341" s="76">
        <f>TRUNC(F341*G341,2)</f>
        <v>4.53</v>
      </c>
      <c r="J341" s="77"/>
      <c r="M341" s="23">
        <f>B341</f>
        <v>88316</v>
      </c>
      <c r="N341" s="5">
        <f>SUMIF(ORCAMENTO!B:B,B340,ORCAMENTO!F:F)</f>
        <v>24</v>
      </c>
      <c r="O341" s="23">
        <f>F341*N341</f>
        <v>5.016</v>
      </c>
      <c r="Q341" s="23">
        <f ca="1">IFERROR(SUMIF(CO!B:B,B340,OFFSET(CO!F:F,0,(4+MATCH(ETAPA,CO!$J$6:$V$6,0)))),0)</f>
        <v>8</v>
      </c>
      <c r="R341" s="23">
        <f ca="1">F341*Q341</f>
        <v>1.6719999999999999</v>
      </c>
    </row>
    <row r="342" spans="1:18" x14ac:dyDescent="0.3">
      <c r="A342" s="23" t="s">
        <v>1004</v>
      </c>
      <c r="B342" s="23">
        <v>88309</v>
      </c>
      <c r="C342" s="23" t="str">
        <f>VLOOKUP(B342,IF(A342="COMPOSICAO",S!$A:$E,I!$A:$E),2,FALSE)</f>
        <v>SINAPI</v>
      </c>
      <c r="D342" s="24" t="str">
        <f>VLOOKUP(B342,IF(A342="COMPOSICAO",S!$A:$E,I!$A:$E),3,FALSE)</f>
        <v>PEDREIRO COM ENCARGOS COMPLEMENTARES</v>
      </c>
      <c r="E342" s="23" t="str">
        <f>VLOOKUP(B342,IF(A342="COMPOSICAO",S!$A:$E,I!$A:$E),4,FALSE)</f>
        <v>H</v>
      </c>
      <c r="F342" s="23">
        <f>0.418/pcf</f>
        <v>0.41799999999999998</v>
      </c>
      <c r="G342" s="76">
        <f>IF(A342="COMPOSICAO",VLOOKUP("TOTAL SEM BDI - "&amp;B342,CPUAUX1!$A:$J,9,FALSE),VLOOKUP(B342,I!$A:$E,5,FALSE))</f>
        <v>27.39</v>
      </c>
      <c r="H342" s="77"/>
      <c r="I342" s="76">
        <f>TRUNC(F342*G342,2)</f>
        <v>11.44</v>
      </c>
      <c r="J342" s="77"/>
      <c r="M342" s="23">
        <f>B342</f>
        <v>88309</v>
      </c>
      <c r="N342" s="5">
        <f>SUMIF(ORCAMENTO!B:B,B340,ORCAMENTO!F:F)</f>
        <v>24</v>
      </c>
      <c r="O342" s="23">
        <f>F342*N342</f>
        <v>10.032</v>
      </c>
      <c r="Q342" s="23">
        <f ca="1">IFERROR(SUMIF(CO!B:B,B340,OFFSET(CO!F:F,0,(4+MATCH(ETAPA,CO!$J$6:$V$6,0)))),0)</f>
        <v>8</v>
      </c>
      <c r="R342" s="23">
        <f ca="1">F342*Q342</f>
        <v>3.3439999999999999</v>
      </c>
    </row>
    <row r="343" spans="1:18" ht="45" customHeight="1" x14ac:dyDescent="0.3">
      <c r="A343" s="23" t="s">
        <v>1004</v>
      </c>
      <c r="B343" s="23">
        <v>87298</v>
      </c>
      <c r="C343" s="23" t="str">
        <f>VLOOKUP(B343,IF(A343="COMPOSICAO",S!$A:$E,I!$A:$E),2,FALSE)</f>
        <v>SINAPI</v>
      </c>
      <c r="D343" s="24" t="str">
        <f>VLOOKUP(B343,IF(A343="COMPOSICAO",S!$A:$E,I!$A:$E),3,FALSE)</f>
        <v>ARGAMASSA TRAÇO 1:3 (EM VOLUME DE CIMENTO E AREIA MÉDIA ÚMIDA) PARA CONTRAPISO, PREPARO MECÂNICO COM BETONEIRA 400 L. AF_08/2019</v>
      </c>
      <c r="E343" s="23" t="str">
        <f>VLOOKUP(B343,IF(A343="COMPOSICAO",S!$A:$E,I!$A:$E),4,FALSE)</f>
        <v>M3</v>
      </c>
      <c r="F343" s="23">
        <v>5.2999999999999999E-2</v>
      </c>
      <c r="G343" s="76">
        <f>IF(A343="COMPOSICAO",VLOOKUP("TOTAL SEM BDI - "&amp;B343,CPUAUX1!$A:$J,9,FALSE),VLOOKUP(B343,I!$A:$E,5,FALSE))</f>
        <v>811.66</v>
      </c>
      <c r="H343" s="77"/>
      <c r="I343" s="76">
        <f>TRUNC(F343*G343,2)</f>
        <v>43.01</v>
      </c>
      <c r="J343" s="77"/>
      <c r="M343" s="23">
        <f>B343</f>
        <v>87298</v>
      </c>
      <c r="N343" s="5">
        <f>SUMIF(ORCAMENTO!B:B,B340,ORCAMENTO!F:F)</f>
        <v>24</v>
      </c>
      <c r="O343" s="23">
        <f>F343*N343</f>
        <v>1.272</v>
      </c>
      <c r="Q343" s="23">
        <f ca="1">IFERROR(SUMIF(CO!B:B,B340,OFFSET(CO!F:F,0,(4+MATCH(ETAPA,CO!$J$6:$V$6,0)))),0)</f>
        <v>8</v>
      </c>
      <c r="R343" s="23">
        <f ca="1">F343*Q343</f>
        <v>0.42399999999999999</v>
      </c>
    </row>
    <row r="344" spans="1:18" ht="30" customHeight="1" x14ac:dyDescent="0.3">
      <c r="A344" s="23" t="s">
        <v>1005</v>
      </c>
      <c r="B344" s="23">
        <v>3671</v>
      </c>
      <c r="C344" s="23" t="str">
        <f>VLOOKUP(B344,IF(A344="COMPOSICAO",S!$A:$E,I!$A:$E),2,FALSE)</f>
        <v>SINAPI</v>
      </c>
      <c r="D344" s="24" t="str">
        <f>VLOOKUP(B344,IF(A344="COMPOSICAO",S!$A:$E,I!$A:$E),3,FALSE)</f>
        <v>JUNTA PLASTICA DE DILATACAO PARA PISOS, COR CINZA, 17 X 3 MM (ALTURA X ESPESSURA)</v>
      </c>
      <c r="E344" s="23" t="str">
        <f>VLOOKUP(B344,IF(A344="COMPOSICAO",S!$A:$E,I!$A:$E),4,FALSE)</f>
        <v>M</v>
      </c>
      <c r="F344" s="23">
        <v>1.67</v>
      </c>
      <c r="G344" s="76">
        <f>IF(A344="COMPOSICAO",VLOOKUP("TOTAL SEM BDI - "&amp;B344,CPUAUX1!$A:$J,9,FALSE),VLOOKUP(B344,I!$A:$E,5,FALSE))</f>
        <v>3.15</v>
      </c>
      <c r="H344" s="77"/>
      <c r="I344" s="76">
        <f>TRUNC(F344*G344,2)</f>
        <v>5.26</v>
      </c>
      <c r="J344" s="77"/>
      <c r="M344" s="23">
        <f>B344</f>
        <v>3671</v>
      </c>
      <c r="N344" s="5">
        <f>SUMIF(ORCAMENTO!B:B,B340,ORCAMENTO!F:F)</f>
        <v>24</v>
      </c>
      <c r="O344" s="23">
        <f>F344*N344</f>
        <v>40.08</v>
      </c>
      <c r="Q344" s="23">
        <f ca="1">IFERROR(SUMIF(CO!B:B,B340,OFFSET(CO!F:F,0,(4+MATCH(ETAPA,CO!$J$6:$V$6,0)))),0)</f>
        <v>8</v>
      </c>
      <c r="R344" s="23">
        <f ca="1">F344*Q344</f>
        <v>13.36</v>
      </c>
    </row>
    <row r="345" spans="1:18" x14ac:dyDescent="0.3">
      <c r="A345" s="23" t="s">
        <v>1005</v>
      </c>
      <c r="B345" s="23">
        <v>1379</v>
      </c>
      <c r="C345" s="23" t="str">
        <f>VLOOKUP(B345,IF(A345="COMPOSICAO",S!$A:$E,I!$A:$E),2,FALSE)</f>
        <v>SINAPI</v>
      </c>
      <c r="D345" s="24" t="str">
        <f>VLOOKUP(B345,IF(A345="COMPOSICAO",S!$A:$E,I!$A:$E),3,FALSE)</f>
        <v>CIMENTO PORTLAND COMPOSTO CP II-32</v>
      </c>
      <c r="E345" s="23" t="str">
        <f>VLOOKUP(B345,IF(A345="COMPOSICAO",S!$A:$E,I!$A:$E),4,FALSE)</f>
        <v>KG</v>
      </c>
      <c r="F345" s="23">
        <v>0.5</v>
      </c>
      <c r="G345" s="76">
        <f>IF(A345="COMPOSICAO",VLOOKUP("TOTAL SEM BDI - "&amp;B345,CPUAUX1!$A:$J,9,FALSE),VLOOKUP(B345,I!$A:$E,5,FALSE))</f>
        <v>1</v>
      </c>
      <c r="H345" s="77"/>
      <c r="I345" s="76">
        <f>TRUNC(F345*G345,2)</f>
        <v>0.5</v>
      </c>
      <c r="J345" s="77"/>
      <c r="M345" s="23">
        <f>B345</f>
        <v>1379</v>
      </c>
      <c r="N345" s="5">
        <f>SUMIF(ORCAMENTO!B:B,B340,ORCAMENTO!F:F)</f>
        <v>24</v>
      </c>
      <c r="O345" s="23">
        <f>F345*N345</f>
        <v>12</v>
      </c>
      <c r="Q345" s="23">
        <f ca="1">IFERROR(SUMIF(CO!B:B,B340,OFFSET(CO!F:F,0,(4+MATCH(ETAPA,CO!$J$6:$V$6,0)))),0)</f>
        <v>8</v>
      </c>
      <c r="R345" s="23">
        <f ca="1">F345*Q345</f>
        <v>4</v>
      </c>
    </row>
    <row r="346" spans="1:18" x14ac:dyDescent="0.3">
      <c r="A346" s="73" t="str">
        <f>"TOTAL SEM BDI - "&amp;B340</f>
        <v>TOTAL SEM BDI - 101749</v>
      </c>
      <c r="B346" s="74"/>
      <c r="C346" s="74"/>
      <c r="D346" s="74"/>
      <c r="E346" s="74"/>
      <c r="F346" s="74"/>
      <c r="G346" s="74"/>
      <c r="H346" s="75"/>
      <c r="I346" s="76">
        <f>SUM(I340:I345)</f>
        <v>64.739999999999995</v>
      </c>
      <c r="J346" s="77"/>
    </row>
    <row r="347" spans="1:18" x14ac:dyDescent="0.3">
      <c r="A347" s="73" t="str">
        <f>"TAXA DE BDI ("&amp;TEXT(BDI,"00,00")&amp;" %)"</f>
        <v>TAXA DE BDI (22,33 %)</v>
      </c>
      <c r="B347" s="74"/>
      <c r="C347" s="74"/>
      <c r="D347" s="74"/>
      <c r="E347" s="74"/>
      <c r="F347" s="74"/>
      <c r="G347" s="74"/>
      <c r="H347" s="75"/>
      <c r="I347" s="76">
        <f>ROUND(I346*(BDI/100),2)</f>
        <v>14.46</v>
      </c>
      <c r="J347" s="77"/>
    </row>
    <row r="348" spans="1:18" x14ac:dyDescent="0.3">
      <c r="A348" s="73" t="str">
        <f>"TOTAL COM BDI - "&amp;B340</f>
        <v>TOTAL COM BDI - 101749</v>
      </c>
      <c r="B348" s="74"/>
      <c r="C348" s="74"/>
      <c r="D348" s="74"/>
      <c r="E348" s="74"/>
      <c r="F348" s="74"/>
      <c r="G348" s="74"/>
      <c r="H348" s="75"/>
      <c r="I348" s="76">
        <f>SUM(I346:I347)</f>
        <v>79.199999999999989</v>
      </c>
      <c r="J348" s="77"/>
    </row>
    <row r="350" spans="1:18" x14ac:dyDescent="0.3">
      <c r="A350" s="4" t="s">
        <v>1000</v>
      </c>
      <c r="B350" s="4" t="s">
        <v>170</v>
      </c>
      <c r="C350" s="4" t="s">
        <v>171</v>
      </c>
      <c r="D350" s="4" t="s">
        <v>18</v>
      </c>
      <c r="E350" s="4" t="s">
        <v>172</v>
      </c>
      <c r="F350" s="4" t="s">
        <v>507</v>
      </c>
      <c r="G350" s="45" t="s">
        <v>1001</v>
      </c>
      <c r="H350" s="46"/>
      <c r="I350" s="45" t="s">
        <v>12</v>
      </c>
      <c r="J350" s="46"/>
    </row>
    <row r="351" spans="1:18" ht="60" customHeight="1" x14ac:dyDescent="0.3">
      <c r="A351" s="15" t="s">
        <v>1037</v>
      </c>
      <c r="B351" s="15">
        <v>94994</v>
      </c>
      <c r="C351" s="15" t="str">
        <f>VLOOKUP(B351,S!$A:$G,2,FALSE)</f>
        <v>SINAPI</v>
      </c>
      <c r="D351" s="22" t="str">
        <f>VLOOKUP(B351,S!$A:$G,3,FALSE)</f>
        <v>EXECUÇÃO DE PASSEIO (CALÇADA) OU PISO DE CONCRETO COM CONCRETO MOLDADO IN LOCO, FEITO EM OBRA, ACABAMENTO CONVENCIONAL, ESPESSURA 8 CM, ARMADO. AF_08/2022</v>
      </c>
      <c r="E351" s="15" t="str">
        <f>VLOOKUP(B351,S!$A:$G,4,FALSE)</f>
        <v>M2</v>
      </c>
      <c r="F351" s="15"/>
      <c r="G351" s="78">
        <f>I361</f>
        <v>108.30000000000003</v>
      </c>
      <c r="H351" s="79"/>
      <c r="I351" s="78"/>
      <c r="J351" s="79"/>
      <c r="K351" s="16">
        <f>VLOOKUP(B351,S!A:G,5,FALSE)</f>
        <v>108.3</v>
      </c>
      <c r="L351" s="15" t="str">
        <f>IF(K351=G351,"OK, CONFORME TABELA",IF(G351&gt;K351,"ACIMA DA TABELA: ","ABAIXO DA TABELA: ")&amp;TRUNC((G351*100)/K351,2)&amp;" %")</f>
        <v>OK, CONFORME TABELA</v>
      </c>
    </row>
    <row r="352" spans="1:18" ht="60" customHeight="1" x14ac:dyDescent="0.3">
      <c r="A352" s="23" t="s">
        <v>1004</v>
      </c>
      <c r="B352" s="23">
        <v>94964</v>
      </c>
      <c r="C352" s="23" t="str">
        <f>VLOOKUP(B352,IF(A352="COMPOSICAO",S!$A:$E,I!$A:$E),2,FALSE)</f>
        <v>SINAPI</v>
      </c>
      <c r="D352" s="24" t="str">
        <f>VLOOKUP(B352,IF(A352="COMPOSICAO",S!$A:$E,I!$A:$E),3,FALSE)</f>
        <v>CONCRETO FCK = 20MPA, TRAÇO 1:2,7:3 (EM MASSA SECA DE CIMENTO/ AREIA MÉDIA/ BRITA 1) - PREPARO MECÂNICO COM BETONEIRA 400 L. AF_05/2021</v>
      </c>
      <c r="E352" s="23" t="str">
        <f>VLOOKUP(B352,IF(A352="COMPOSICAO",S!$A:$E,I!$A:$E),4,FALSE)</f>
        <v>M3</v>
      </c>
      <c r="F352" s="23">
        <v>9.8500000000000004E-2</v>
      </c>
      <c r="G352" s="76">
        <f>IF(A352="COMPOSICAO",VLOOKUP("TOTAL SEM BDI - "&amp;B352,CPUAUX1!$A:$J,9,FALSE),VLOOKUP(B352,I!$A:$E,5,FALSE))</f>
        <v>629.44000000000005</v>
      </c>
      <c r="H352" s="77"/>
      <c r="I352" s="76">
        <f t="shared" ref="I352:I360" si="36">TRUNC(F352*G352,2)</f>
        <v>61.99</v>
      </c>
      <c r="J352" s="77"/>
      <c r="M352" s="23">
        <f t="shared" ref="M352:M360" si="37">B352</f>
        <v>94964</v>
      </c>
      <c r="N352" s="5">
        <f>SUMIF(ORCAMENTO!B:B,B351,ORCAMENTO!F:F)</f>
        <v>33.6</v>
      </c>
      <c r="O352" s="23">
        <f t="shared" ref="O352:O360" si="38">F352*N352</f>
        <v>3.3096000000000001</v>
      </c>
      <c r="Q352" s="23">
        <f ca="1">IFERROR(SUMIF(CO!B:B,B351,OFFSET(CO!F:F,0,(4+MATCH(ETAPA,CO!$J$6:$V$6,0)))),0)</f>
        <v>11.2</v>
      </c>
      <c r="R352" s="23">
        <f t="shared" ref="R352:R360" ca="1" si="39">F352*Q352</f>
        <v>1.1032</v>
      </c>
    </row>
    <row r="353" spans="1:18" x14ac:dyDescent="0.3">
      <c r="A353" s="23" t="s">
        <v>1004</v>
      </c>
      <c r="B353" s="23">
        <v>88316</v>
      </c>
      <c r="C353" s="23" t="str">
        <f>VLOOKUP(B353,IF(A353="COMPOSICAO",S!$A:$E,I!$A:$E),2,FALSE)</f>
        <v>SINAPI</v>
      </c>
      <c r="D353" s="24" t="str">
        <f>VLOOKUP(B353,IF(A353="COMPOSICAO",S!$A:$E,I!$A:$E),3,FALSE)</f>
        <v>SERVENTE COM ENCARGOS COMPLEMENTARES</v>
      </c>
      <c r="E353" s="23" t="str">
        <f>VLOOKUP(B353,IF(A353="COMPOSICAO",S!$A:$E,I!$A:$E),4,FALSE)</f>
        <v>H</v>
      </c>
      <c r="F353" s="23">
        <f>0.3183/pcf</f>
        <v>0.31830000000000003</v>
      </c>
      <c r="G353" s="76">
        <f>IF(A353="COMPOSICAO",VLOOKUP("TOTAL SEM BDI - "&amp;B353,CPUAUX1!$A:$J,9,FALSE),VLOOKUP(B353,I!$A:$E,5,FALSE))</f>
        <v>21.71</v>
      </c>
      <c r="H353" s="77"/>
      <c r="I353" s="76">
        <f t="shared" si="36"/>
        <v>6.91</v>
      </c>
      <c r="J353" s="77"/>
      <c r="M353" s="23">
        <f t="shared" si="37"/>
        <v>88316</v>
      </c>
      <c r="N353" s="5">
        <f>SUMIF(ORCAMENTO!B:B,B351,ORCAMENTO!F:F)</f>
        <v>33.6</v>
      </c>
      <c r="O353" s="23">
        <f t="shared" si="38"/>
        <v>10.694880000000001</v>
      </c>
      <c r="Q353" s="23">
        <f ca="1">IFERROR(SUMIF(CO!B:B,B351,OFFSET(CO!F:F,0,(4+MATCH(ETAPA,CO!$J$6:$V$6,0)))),0)</f>
        <v>11.2</v>
      </c>
      <c r="R353" s="23">
        <f t="shared" ca="1" si="39"/>
        <v>3.5649600000000001</v>
      </c>
    </row>
    <row r="354" spans="1:18" x14ac:dyDescent="0.3">
      <c r="A354" s="23" t="s">
        <v>1004</v>
      </c>
      <c r="B354" s="23">
        <v>88309</v>
      </c>
      <c r="C354" s="23" t="str">
        <f>VLOOKUP(B354,IF(A354="COMPOSICAO",S!$A:$E,I!$A:$E),2,FALSE)</f>
        <v>SINAPI</v>
      </c>
      <c r="D354" s="24" t="str">
        <f>VLOOKUP(B354,IF(A354="COMPOSICAO",S!$A:$E,I!$A:$E),3,FALSE)</f>
        <v>PEDREIRO COM ENCARGOS COMPLEMENTARES</v>
      </c>
      <c r="E354" s="23" t="str">
        <f>VLOOKUP(B354,IF(A354="COMPOSICAO",S!$A:$E,I!$A:$E),4,FALSE)</f>
        <v>H</v>
      </c>
      <c r="F354" s="23">
        <f>0.1882/pcf</f>
        <v>0.18820000000000001</v>
      </c>
      <c r="G354" s="76">
        <f>IF(A354="COMPOSICAO",VLOOKUP("TOTAL SEM BDI - "&amp;B354,CPUAUX1!$A:$J,9,FALSE),VLOOKUP(B354,I!$A:$E,5,FALSE))</f>
        <v>27.39</v>
      </c>
      <c r="H354" s="77"/>
      <c r="I354" s="76">
        <f t="shared" si="36"/>
        <v>5.15</v>
      </c>
      <c r="J354" s="77"/>
      <c r="M354" s="23">
        <f t="shared" si="37"/>
        <v>88309</v>
      </c>
      <c r="N354" s="5">
        <f>SUMIF(ORCAMENTO!B:B,B351,ORCAMENTO!F:F)</f>
        <v>33.6</v>
      </c>
      <c r="O354" s="23">
        <f t="shared" si="38"/>
        <v>6.3235200000000003</v>
      </c>
      <c r="Q354" s="23">
        <f ca="1">IFERROR(SUMIF(CO!B:B,B351,OFFSET(CO!F:F,0,(4+MATCH(ETAPA,CO!$J$6:$V$6,0)))),0)</f>
        <v>11.2</v>
      </c>
      <c r="R354" s="23">
        <f t="shared" ca="1" si="39"/>
        <v>2.1078399999999999</v>
      </c>
    </row>
    <row r="355" spans="1:18" ht="30" customHeight="1" x14ac:dyDescent="0.3">
      <c r="A355" s="23" t="s">
        <v>1004</v>
      </c>
      <c r="B355" s="23">
        <v>88262</v>
      </c>
      <c r="C355" s="23" t="str">
        <f>VLOOKUP(B355,IF(A355="COMPOSICAO",S!$A:$E,I!$A:$E),2,FALSE)</f>
        <v>SINAPI</v>
      </c>
      <c r="D355" s="24" t="str">
        <f>VLOOKUP(B355,IF(A355="COMPOSICAO",S!$A:$E,I!$A:$E),3,FALSE)</f>
        <v>CARPINTEIRO DE FORMAS COM ENCARGOS COMPLEMENTARES</v>
      </c>
      <c r="E355" s="23" t="str">
        <f>VLOOKUP(B355,IF(A355="COMPOSICAO",S!$A:$E,I!$A:$E),4,FALSE)</f>
        <v>H</v>
      </c>
      <c r="F355" s="23">
        <f>0.1301/pcf</f>
        <v>0.13009999999999999</v>
      </c>
      <c r="G355" s="76">
        <f>IF(A355="COMPOSICAO",VLOOKUP("TOTAL SEM BDI - "&amp;B355,CPUAUX1!$A:$J,9,FALSE),VLOOKUP(B355,I!$A:$E,5,FALSE))</f>
        <v>26.97</v>
      </c>
      <c r="H355" s="77"/>
      <c r="I355" s="76">
        <f t="shared" si="36"/>
        <v>3.5</v>
      </c>
      <c r="J355" s="77"/>
      <c r="M355" s="23">
        <f t="shared" si="37"/>
        <v>88262</v>
      </c>
      <c r="N355" s="5">
        <f>SUMIF(ORCAMENTO!B:B,B351,ORCAMENTO!F:F)</f>
        <v>33.6</v>
      </c>
      <c r="O355" s="23">
        <f t="shared" si="38"/>
        <v>4.3713600000000001</v>
      </c>
      <c r="Q355" s="23">
        <f ca="1">IFERROR(SUMIF(CO!B:B,B351,OFFSET(CO!F:F,0,(4+MATCH(ETAPA,CO!$J$6:$V$6,0)))),0)</f>
        <v>11.2</v>
      </c>
      <c r="R355" s="23">
        <f t="shared" ca="1" si="39"/>
        <v>1.4571199999999997</v>
      </c>
    </row>
    <row r="356" spans="1:18" ht="60" customHeight="1" x14ac:dyDescent="0.3">
      <c r="A356" s="23" t="s">
        <v>1005</v>
      </c>
      <c r="B356" s="23">
        <v>7156</v>
      </c>
      <c r="C356" s="23" t="str">
        <f>VLOOKUP(B356,IF(A356="COMPOSICAO",S!$A:$E,I!$A:$E),2,FALSE)</f>
        <v>SINAPI</v>
      </c>
      <c r="D356" s="24" t="str">
        <f>VLOOKUP(B356,IF(A356="COMPOSICAO",S!$A:$E,I!$A:$E),3,FALSE)</f>
        <v>TELA DE ACO SOLDADA NERVURADA, CA-60, Q-196, (3,11 KG/M2), DIAMETRO DO FIO = 5,0 MM, LARGURA = 2,45 M, ESPACAMENTO DA MALHA = 10 X 10 CM</v>
      </c>
      <c r="E356" s="23" t="str">
        <f>VLOOKUP(B356,IF(A356="COMPOSICAO",S!$A:$E,I!$A:$E),4,FALSE)</f>
        <v>M2</v>
      </c>
      <c r="F356" s="23">
        <v>1.0815999999999999</v>
      </c>
      <c r="G356" s="76">
        <f>IF(A356="COMPOSICAO",VLOOKUP("TOTAL SEM BDI - "&amp;B356,CPUAUX1!$A:$J,9,FALSE),VLOOKUP(B356,I!$A:$E,5,FALSE))</f>
        <v>26.18</v>
      </c>
      <c r="H356" s="77"/>
      <c r="I356" s="76">
        <f t="shared" si="36"/>
        <v>28.31</v>
      </c>
      <c r="J356" s="77"/>
      <c r="M356" s="23">
        <f t="shared" si="37"/>
        <v>7156</v>
      </c>
      <c r="N356" s="5">
        <f>SUMIF(ORCAMENTO!B:B,B351,ORCAMENTO!F:F)</f>
        <v>33.6</v>
      </c>
      <c r="O356" s="23">
        <f t="shared" si="38"/>
        <v>36.341760000000001</v>
      </c>
      <c r="Q356" s="23">
        <f ca="1">IFERROR(SUMIF(CO!B:B,B351,OFFSET(CO!F:F,0,(4+MATCH(ETAPA,CO!$J$6:$V$6,0)))),0)</f>
        <v>11.2</v>
      </c>
      <c r="R356" s="23">
        <f t="shared" ca="1" si="39"/>
        <v>12.113919999999998</v>
      </c>
    </row>
    <row r="357" spans="1:18" ht="30" customHeight="1" x14ac:dyDescent="0.3">
      <c r="A357" s="23" t="s">
        <v>1005</v>
      </c>
      <c r="B357" s="23">
        <v>5068</v>
      </c>
      <c r="C357" s="23" t="str">
        <f>VLOOKUP(B357,IF(A357="COMPOSICAO",S!$A:$E,I!$A:$E),2,FALSE)</f>
        <v>SINAPI</v>
      </c>
      <c r="D357" s="24" t="str">
        <f>VLOOKUP(B357,IF(A357="COMPOSICAO",S!$A:$E,I!$A:$E),3,FALSE)</f>
        <v>PREGO DE ACO POLIDO COM CABECA 17 X 21 (2 X 11)</v>
      </c>
      <c r="E357" s="23" t="str">
        <f>VLOOKUP(B357,IF(A357="COMPOSICAO",S!$A:$E,I!$A:$E),4,FALSE)</f>
        <v>KG</v>
      </c>
      <c r="F357" s="23">
        <v>2.4E-2</v>
      </c>
      <c r="G357" s="76">
        <f>IF(A357="COMPOSICAO",VLOOKUP("TOTAL SEM BDI - "&amp;B357,CPUAUX1!$A:$J,9,FALSE),VLOOKUP(B357,I!$A:$E,5,FALSE))</f>
        <v>20.34</v>
      </c>
      <c r="H357" s="77"/>
      <c r="I357" s="76">
        <f t="shared" si="36"/>
        <v>0.48</v>
      </c>
      <c r="J357" s="77"/>
      <c r="M357" s="23">
        <f t="shared" si="37"/>
        <v>5068</v>
      </c>
      <c r="N357" s="5">
        <f>SUMIF(ORCAMENTO!B:B,B351,ORCAMENTO!F:F)</f>
        <v>33.6</v>
      </c>
      <c r="O357" s="23">
        <f t="shared" si="38"/>
        <v>0.80640000000000001</v>
      </c>
      <c r="Q357" s="23">
        <f ca="1">IFERROR(SUMIF(CO!B:B,B351,OFFSET(CO!F:F,0,(4+MATCH(ETAPA,CO!$J$6:$V$6,0)))),0)</f>
        <v>11.2</v>
      </c>
      <c r="R357" s="23">
        <f t="shared" ca="1" si="39"/>
        <v>0.26879999999999998</v>
      </c>
    </row>
    <row r="358" spans="1:18" ht="30" customHeight="1" x14ac:dyDescent="0.3">
      <c r="A358" s="23" t="s">
        <v>1005</v>
      </c>
      <c r="B358" s="23">
        <v>4517</v>
      </c>
      <c r="C358" s="23" t="str">
        <f>VLOOKUP(B358,IF(A358="COMPOSICAO",S!$A:$E,I!$A:$E),2,FALSE)</f>
        <v>SINAPI</v>
      </c>
      <c r="D358" s="24" t="str">
        <f>VLOOKUP(B358,IF(A358="COMPOSICAO",S!$A:$E,I!$A:$E),3,FALSE)</f>
        <v>SARRAFO *2,5 X 7,5* CM EM PINUS, MISTA OU EQUIVALENTE DA REGIAO - BRUTA</v>
      </c>
      <c r="E358" s="23" t="str">
        <f>VLOOKUP(B358,IF(A358="COMPOSICAO",S!$A:$E,I!$A:$E),4,FALSE)</f>
        <v>M</v>
      </c>
      <c r="F358" s="23">
        <v>0.2</v>
      </c>
      <c r="G358" s="76">
        <f>IF(A358="COMPOSICAO",VLOOKUP("TOTAL SEM BDI - "&amp;B358,CPUAUX1!$A:$J,9,FALSE),VLOOKUP(B358,I!$A:$E,5,FALSE))</f>
        <v>3.49</v>
      </c>
      <c r="H358" s="77"/>
      <c r="I358" s="76">
        <f t="shared" si="36"/>
        <v>0.69</v>
      </c>
      <c r="J358" s="77"/>
      <c r="M358" s="23">
        <f t="shared" si="37"/>
        <v>4517</v>
      </c>
      <c r="N358" s="5">
        <f>SUMIF(ORCAMENTO!B:B,B351,ORCAMENTO!F:F)</f>
        <v>33.6</v>
      </c>
      <c r="O358" s="23">
        <f t="shared" si="38"/>
        <v>6.7200000000000006</v>
      </c>
      <c r="Q358" s="23">
        <f ca="1">IFERROR(SUMIF(CO!B:B,B351,OFFSET(CO!F:F,0,(4+MATCH(ETAPA,CO!$J$6:$V$6,0)))),0)</f>
        <v>11.2</v>
      </c>
      <c r="R358" s="23">
        <f t="shared" ca="1" si="39"/>
        <v>2.2399999999999998</v>
      </c>
    </row>
    <row r="359" spans="1:18" ht="30" customHeight="1" x14ac:dyDescent="0.3">
      <c r="A359" s="23" t="s">
        <v>1005</v>
      </c>
      <c r="B359" s="23">
        <v>4509</v>
      </c>
      <c r="C359" s="23" t="str">
        <f>VLOOKUP(B359,IF(A359="COMPOSICAO",S!$A:$E,I!$A:$E),2,FALSE)</f>
        <v>SINAPI</v>
      </c>
      <c r="D359" s="24" t="str">
        <f>VLOOKUP(B359,IF(A359="COMPOSICAO",S!$A:$E,I!$A:$E),3,FALSE)</f>
        <v>SARRAFO *2,5 X 10* CM EM PINUS, MISTA OU EQUIVALENTE DA REGIAO - BRUTA</v>
      </c>
      <c r="E359" s="23" t="str">
        <f>VLOOKUP(B359,IF(A359="COMPOSICAO",S!$A:$E,I!$A:$E),4,FALSE)</f>
        <v>M</v>
      </c>
      <c r="F359" s="23">
        <v>0.25</v>
      </c>
      <c r="G359" s="76">
        <f>IF(A359="COMPOSICAO",VLOOKUP("TOTAL SEM BDI - "&amp;B359,CPUAUX1!$A:$J,9,FALSE),VLOOKUP(B359,I!$A:$E,5,FALSE))</f>
        <v>5.0599999999999996</v>
      </c>
      <c r="H359" s="77"/>
      <c r="I359" s="76">
        <f t="shared" si="36"/>
        <v>1.26</v>
      </c>
      <c r="J359" s="77"/>
      <c r="M359" s="23">
        <f t="shared" si="37"/>
        <v>4509</v>
      </c>
      <c r="N359" s="5">
        <f>SUMIF(ORCAMENTO!B:B,B351,ORCAMENTO!F:F)</f>
        <v>33.6</v>
      </c>
      <c r="O359" s="23">
        <f t="shared" si="38"/>
        <v>8.4</v>
      </c>
      <c r="Q359" s="23">
        <f ca="1">IFERROR(SUMIF(CO!B:B,B351,OFFSET(CO!F:F,0,(4+MATCH(ETAPA,CO!$J$6:$V$6,0)))),0)</f>
        <v>11.2</v>
      </c>
      <c r="R359" s="23">
        <f t="shared" ca="1" si="39"/>
        <v>2.8</v>
      </c>
    </row>
    <row r="360" spans="1:18" ht="30" customHeight="1" x14ac:dyDescent="0.3">
      <c r="A360" s="23" t="s">
        <v>1005</v>
      </c>
      <c r="B360" s="23">
        <v>2692</v>
      </c>
      <c r="C360" s="23" t="str">
        <f>VLOOKUP(B360,IF(A360="COMPOSICAO",S!$A:$E,I!$A:$E),2,FALSE)</f>
        <v>SINAPI</v>
      </c>
      <c r="D360" s="24" t="str">
        <f>VLOOKUP(B360,IF(A360="COMPOSICAO",S!$A:$E,I!$A:$E),3,FALSE)</f>
        <v>DESMOLDANTE PROTETOR PARA FORMAS DE MADEIRA, DE BASE OLEOSA EMULSIONADA EM AGUA</v>
      </c>
      <c r="E360" s="23" t="str">
        <f>VLOOKUP(B360,IF(A360="COMPOSICAO",S!$A:$E,I!$A:$E),4,FALSE)</f>
        <v>L</v>
      </c>
      <c r="F360" s="23">
        <v>1.6999999999999999E-3</v>
      </c>
      <c r="G360" s="76">
        <f>IF(A360="COMPOSICAO",VLOOKUP("TOTAL SEM BDI - "&amp;B360,CPUAUX1!$A:$J,9,FALSE),VLOOKUP(B360,I!$A:$E,5,FALSE))</f>
        <v>10.72</v>
      </c>
      <c r="H360" s="77"/>
      <c r="I360" s="76">
        <f t="shared" si="36"/>
        <v>0.01</v>
      </c>
      <c r="J360" s="77"/>
      <c r="M360" s="23">
        <f t="shared" si="37"/>
        <v>2692</v>
      </c>
      <c r="N360" s="5">
        <f>SUMIF(ORCAMENTO!B:B,B351,ORCAMENTO!F:F)</f>
        <v>33.6</v>
      </c>
      <c r="O360" s="23">
        <f t="shared" si="38"/>
        <v>5.7119999999999997E-2</v>
      </c>
      <c r="Q360" s="23">
        <f ca="1">IFERROR(SUMIF(CO!B:B,B351,OFFSET(CO!F:F,0,(4+MATCH(ETAPA,CO!$J$6:$V$6,0)))),0)</f>
        <v>11.2</v>
      </c>
      <c r="R360" s="23">
        <f t="shared" ca="1" si="39"/>
        <v>1.9039999999999998E-2</v>
      </c>
    </row>
    <row r="361" spans="1:18" x14ac:dyDescent="0.3">
      <c r="A361" s="73" t="str">
        <f>"TOTAL SEM BDI - "&amp;B351</f>
        <v>TOTAL SEM BDI - 94994</v>
      </c>
      <c r="B361" s="74"/>
      <c r="C361" s="74"/>
      <c r="D361" s="74"/>
      <c r="E361" s="74"/>
      <c r="F361" s="74"/>
      <c r="G361" s="74"/>
      <c r="H361" s="75"/>
      <c r="I361" s="76">
        <f>SUM(I351:I360)</f>
        <v>108.30000000000003</v>
      </c>
      <c r="J361" s="77"/>
    </row>
    <row r="362" spans="1:18" x14ac:dyDescent="0.3">
      <c r="A362" s="73" t="str">
        <f>"TAXA DE BDI ("&amp;TEXT(BDI,"00,00")&amp;" %)"</f>
        <v>TAXA DE BDI (22,33 %)</v>
      </c>
      <c r="B362" s="74"/>
      <c r="C362" s="74"/>
      <c r="D362" s="74"/>
      <c r="E362" s="74"/>
      <c r="F362" s="74"/>
      <c r="G362" s="74"/>
      <c r="H362" s="75"/>
      <c r="I362" s="76">
        <f>ROUND(I361*(BDI/100),2)</f>
        <v>24.18</v>
      </c>
      <c r="J362" s="77"/>
    </row>
    <row r="363" spans="1:18" x14ac:dyDescent="0.3">
      <c r="A363" s="73" t="str">
        <f>"TOTAL COM BDI - "&amp;B351</f>
        <v>TOTAL COM BDI - 94994</v>
      </c>
      <c r="B363" s="74"/>
      <c r="C363" s="74"/>
      <c r="D363" s="74"/>
      <c r="E363" s="74"/>
      <c r="F363" s="74"/>
      <c r="G363" s="74"/>
      <c r="H363" s="75"/>
      <c r="I363" s="76">
        <f>SUM(I361:I362)</f>
        <v>132.48000000000002</v>
      </c>
      <c r="J363" s="77"/>
    </row>
    <row r="365" spans="1:18" x14ac:dyDescent="0.3">
      <c r="A365" s="4" t="s">
        <v>1000</v>
      </c>
      <c r="B365" s="4" t="s">
        <v>170</v>
      </c>
      <c r="C365" s="4" t="s">
        <v>171</v>
      </c>
      <c r="D365" s="4" t="s">
        <v>18</v>
      </c>
      <c r="E365" s="4" t="s">
        <v>172</v>
      </c>
      <c r="F365" s="4" t="s">
        <v>507</v>
      </c>
      <c r="G365" s="45" t="s">
        <v>1001</v>
      </c>
      <c r="H365" s="46"/>
      <c r="I365" s="45" t="s">
        <v>12</v>
      </c>
      <c r="J365" s="46"/>
    </row>
    <row r="366" spans="1:18" ht="60" customHeight="1" x14ac:dyDescent="0.3">
      <c r="A366" s="15" t="s">
        <v>1038</v>
      </c>
      <c r="B366" s="15">
        <v>87904</v>
      </c>
      <c r="C366" s="15" t="str">
        <f>VLOOKUP(B366,S!$A:$G,2,FALSE)</f>
        <v>SINAPI</v>
      </c>
      <c r="D366" s="22" t="str">
        <f>VLOOKUP(B366,S!$A:$G,3,FALSE)</f>
        <v>CHAPISCO APLICADO EM ALVENARIA (COM PRESENÇA DE VÃOS) E ESTRUTURAS DE CONCRETO DE FACHADA, COM COLHER DE PEDREIRO. ARGAMASSA TRAÇO 1:3 COM PREPARO MANUAL. AF_10/2022</v>
      </c>
      <c r="E366" s="15" t="str">
        <f>VLOOKUP(B366,S!$A:$G,4,FALSE)</f>
        <v>M2</v>
      </c>
      <c r="F366" s="15"/>
      <c r="G366" s="78">
        <f>I370</f>
        <v>8.7199999999999989</v>
      </c>
      <c r="H366" s="79"/>
      <c r="I366" s="78"/>
      <c r="J366" s="79"/>
      <c r="K366" s="16">
        <f>VLOOKUP(B366,S!A:G,5,FALSE)</f>
        <v>8.7200000000000006</v>
      </c>
      <c r="L366" s="15" t="str">
        <f>IF(K366=G366,"OK, CONFORME TABELA",IF(G366&gt;K366,"ACIMA DA TABELA: ","ABAIXO DA TABELA: ")&amp;TRUNC((G366*100)/K366,2)&amp;" %")</f>
        <v>OK, CONFORME TABELA</v>
      </c>
    </row>
    <row r="367" spans="1:18" x14ac:dyDescent="0.3">
      <c r="A367" s="23" t="s">
        <v>1004</v>
      </c>
      <c r="B367" s="23">
        <v>88316</v>
      </c>
      <c r="C367" s="23" t="str">
        <f>VLOOKUP(B367,IF(A367="COMPOSICAO",S!$A:$E,I!$A:$E),2,FALSE)</f>
        <v>SINAPI</v>
      </c>
      <c r="D367" s="24" t="str">
        <f>VLOOKUP(B367,IF(A367="COMPOSICAO",S!$A:$E,I!$A:$E),3,FALSE)</f>
        <v>SERVENTE COM ENCARGOS COMPLEMENTARES</v>
      </c>
      <c r="E367" s="23" t="str">
        <f>VLOOKUP(B367,IF(A367="COMPOSICAO",S!$A:$E,I!$A:$E),4,FALSE)</f>
        <v>H</v>
      </c>
      <c r="F367" s="23">
        <f>0.0575/pcf</f>
        <v>5.7500000000000002E-2</v>
      </c>
      <c r="G367" s="76">
        <f>IF(A367="COMPOSICAO",VLOOKUP("TOTAL SEM BDI - "&amp;B367,CPUAUX1!$A:$J,9,FALSE),VLOOKUP(B367,I!$A:$E,5,FALSE))</f>
        <v>21.71</v>
      </c>
      <c r="H367" s="77"/>
      <c r="I367" s="76">
        <f>TRUNC(F367*G367,2)</f>
        <v>1.24</v>
      </c>
      <c r="J367" s="77"/>
      <c r="M367" s="23">
        <f>B367</f>
        <v>88316</v>
      </c>
      <c r="N367" s="5">
        <f>SUMIF(ORCAMENTO!B:B,B366,ORCAMENTO!F:F)</f>
        <v>231.72</v>
      </c>
      <c r="O367" s="23">
        <f>F367*N367</f>
        <v>13.3239</v>
      </c>
      <c r="Q367" s="23">
        <f ca="1">IFERROR(SUMIF(CO!B:B,B366,OFFSET(CO!F:F,0,(4+MATCH(ETAPA,CO!$J$6:$V$6,0)))),0)</f>
        <v>77.239999999999995</v>
      </c>
      <c r="R367" s="23">
        <f ca="1">F367*Q367</f>
        <v>4.4413</v>
      </c>
    </row>
    <row r="368" spans="1:18" x14ac:dyDescent="0.3">
      <c r="A368" s="23" t="s">
        <v>1004</v>
      </c>
      <c r="B368" s="23">
        <v>88309</v>
      </c>
      <c r="C368" s="23" t="str">
        <f>VLOOKUP(B368,IF(A368="COMPOSICAO",S!$A:$E,I!$A:$E),2,FALSE)</f>
        <v>SINAPI</v>
      </c>
      <c r="D368" s="24" t="str">
        <f>VLOOKUP(B368,IF(A368="COMPOSICAO",S!$A:$E,I!$A:$E),3,FALSE)</f>
        <v>PEDREIRO COM ENCARGOS COMPLEMENTARES</v>
      </c>
      <c r="E368" s="23" t="str">
        <f>VLOOKUP(B368,IF(A368="COMPOSICAO",S!$A:$E,I!$A:$E),4,FALSE)</f>
        <v>H</v>
      </c>
      <c r="F368" s="23">
        <f>0.1724/pcf</f>
        <v>0.1724</v>
      </c>
      <c r="G368" s="76">
        <f>IF(A368="COMPOSICAO",VLOOKUP("TOTAL SEM BDI - "&amp;B368,CPUAUX1!$A:$J,9,FALSE),VLOOKUP(B368,I!$A:$E,5,FALSE))</f>
        <v>27.39</v>
      </c>
      <c r="H368" s="77"/>
      <c r="I368" s="76">
        <f>TRUNC(F368*G368,2)</f>
        <v>4.72</v>
      </c>
      <c r="J368" s="77"/>
      <c r="M368" s="23">
        <f>B368</f>
        <v>88309</v>
      </c>
      <c r="N368" s="5">
        <f>SUMIF(ORCAMENTO!B:B,B366,ORCAMENTO!F:F)</f>
        <v>231.72</v>
      </c>
      <c r="O368" s="23">
        <f>F368*N368</f>
        <v>39.948527999999996</v>
      </c>
      <c r="Q368" s="23">
        <f ca="1">IFERROR(SUMIF(CO!B:B,B366,OFFSET(CO!F:F,0,(4+MATCH(ETAPA,CO!$J$6:$V$6,0)))),0)</f>
        <v>77.239999999999995</v>
      </c>
      <c r="R368" s="23">
        <f ca="1">F368*Q368</f>
        <v>13.316175999999999</v>
      </c>
    </row>
    <row r="369" spans="1:18" ht="45" customHeight="1" x14ac:dyDescent="0.3">
      <c r="A369" s="23" t="s">
        <v>1004</v>
      </c>
      <c r="B369" s="23">
        <v>87377</v>
      </c>
      <c r="C369" s="23" t="str">
        <f>VLOOKUP(B369,IF(A369="COMPOSICAO",S!$A:$E,I!$A:$E),2,FALSE)</f>
        <v>SINAPI</v>
      </c>
      <c r="D369" s="24" t="str">
        <f>VLOOKUP(B369,IF(A369="COMPOSICAO",S!$A:$E,I!$A:$E),3,FALSE)</f>
        <v>ARGAMASSA TRAÇO 1:3 (EM VOLUME DE CIMENTO E AREIA GROSSA ÚMIDA) PARA CHAPISCO CONVENCIONAL, PREPARO MANUAL. AF_08/2019</v>
      </c>
      <c r="E369" s="23" t="str">
        <f>VLOOKUP(B369,IF(A369="COMPOSICAO",S!$A:$E,I!$A:$E),4,FALSE)</f>
        <v>M3</v>
      </c>
      <c r="F369" s="23">
        <v>3.7000000000000002E-3</v>
      </c>
      <c r="G369" s="76">
        <f>IF(A369="COMPOSICAO",VLOOKUP("TOTAL SEM BDI - "&amp;B369,CPUAUX1!$A:$J,9,FALSE),VLOOKUP(B369,I!$A:$E,5,FALSE))</f>
        <v>747.56</v>
      </c>
      <c r="H369" s="77"/>
      <c r="I369" s="76">
        <f>TRUNC(F369*G369,2)</f>
        <v>2.76</v>
      </c>
      <c r="J369" s="77"/>
      <c r="M369" s="23">
        <f>B369</f>
        <v>87377</v>
      </c>
      <c r="N369" s="5">
        <f>SUMIF(ORCAMENTO!B:B,B366,ORCAMENTO!F:F)</f>
        <v>231.72</v>
      </c>
      <c r="O369" s="23">
        <f>F369*N369</f>
        <v>0.85736400000000001</v>
      </c>
      <c r="Q369" s="23">
        <f ca="1">IFERROR(SUMIF(CO!B:B,B366,OFFSET(CO!F:F,0,(4+MATCH(ETAPA,CO!$J$6:$V$6,0)))),0)</f>
        <v>77.239999999999995</v>
      </c>
      <c r="R369" s="23">
        <f ca="1">F369*Q369</f>
        <v>0.28578799999999999</v>
      </c>
    </row>
    <row r="370" spans="1:18" x14ac:dyDescent="0.3">
      <c r="A370" s="73" t="str">
        <f>"TOTAL SEM BDI - "&amp;B366</f>
        <v>TOTAL SEM BDI - 87904</v>
      </c>
      <c r="B370" s="74"/>
      <c r="C370" s="74"/>
      <c r="D370" s="74"/>
      <c r="E370" s="74"/>
      <c r="F370" s="74"/>
      <c r="G370" s="74"/>
      <c r="H370" s="75"/>
      <c r="I370" s="76">
        <f>SUM(I366:I369)</f>
        <v>8.7199999999999989</v>
      </c>
      <c r="J370" s="77"/>
    </row>
    <row r="371" spans="1:18" x14ac:dyDescent="0.3">
      <c r="A371" s="73" t="str">
        <f>"TAXA DE BDI ("&amp;TEXT(BDI,"00,00")&amp;" %)"</f>
        <v>TAXA DE BDI (22,33 %)</v>
      </c>
      <c r="B371" s="74"/>
      <c r="C371" s="74"/>
      <c r="D371" s="74"/>
      <c r="E371" s="74"/>
      <c r="F371" s="74"/>
      <c r="G371" s="74"/>
      <c r="H371" s="75"/>
      <c r="I371" s="76">
        <f>ROUND(I370*(BDI/100),2)</f>
        <v>1.95</v>
      </c>
      <c r="J371" s="77"/>
    </row>
    <row r="372" spans="1:18" x14ac:dyDescent="0.3">
      <c r="A372" s="73" t="str">
        <f>"TOTAL COM BDI - "&amp;B366</f>
        <v>TOTAL COM BDI - 87904</v>
      </c>
      <c r="B372" s="74"/>
      <c r="C372" s="74"/>
      <c r="D372" s="74"/>
      <c r="E372" s="74"/>
      <c r="F372" s="74"/>
      <c r="G372" s="74"/>
      <c r="H372" s="75"/>
      <c r="I372" s="76">
        <f>SUM(I370:I371)</f>
        <v>10.669999999999998</v>
      </c>
      <c r="J372" s="77"/>
    </row>
    <row r="374" spans="1:18" x14ac:dyDescent="0.3">
      <c r="A374" s="4" t="s">
        <v>1000</v>
      </c>
      <c r="B374" s="4" t="s">
        <v>170</v>
      </c>
      <c r="C374" s="4" t="s">
        <v>171</v>
      </c>
      <c r="D374" s="4" t="s">
        <v>18</v>
      </c>
      <c r="E374" s="4" t="s">
        <v>172</v>
      </c>
      <c r="F374" s="4" t="s">
        <v>507</v>
      </c>
      <c r="G374" s="45" t="s">
        <v>1001</v>
      </c>
      <c r="H374" s="46"/>
      <c r="I374" s="45" t="s">
        <v>12</v>
      </c>
      <c r="J374" s="46"/>
    </row>
    <row r="375" spans="1:18" ht="60" customHeight="1" x14ac:dyDescent="0.3">
      <c r="A375" s="15" t="s">
        <v>1039</v>
      </c>
      <c r="B375" s="15">
        <v>87530</v>
      </c>
      <c r="C375" s="15" t="str">
        <f>VLOOKUP(B375,S!$A:$G,2,FALSE)</f>
        <v>SINAPI</v>
      </c>
      <c r="D375" s="22" t="str">
        <f>VLOOKUP(B375,S!$A:$G,3,FALSE)</f>
        <v>MASSA ÚNICA, EM ARGAMASSA TRAÇO 1:2:8, PREPARO MANUAL, APLICADA MANUALMENTE EM PAREDES INTERNAS DE AMBIENTES COM ÁREA ENTRE 5M² E 10M², E = 17,5MM, COM TALISCAS. AF_03/2024</v>
      </c>
      <c r="E375" s="15" t="str">
        <f>VLOOKUP(B375,S!$A:$G,4,FALSE)</f>
        <v>M2</v>
      </c>
      <c r="F375" s="15"/>
      <c r="G375" s="78">
        <f>I379</f>
        <v>40.85</v>
      </c>
      <c r="H375" s="79"/>
      <c r="I375" s="78"/>
      <c r="J375" s="79"/>
      <c r="K375" s="16">
        <f>VLOOKUP(B375,S!A:G,5,FALSE)</f>
        <v>40.85</v>
      </c>
      <c r="L375" s="15" t="str">
        <f>IF(K375=G375,"OK, CONFORME TABELA",IF(G375&gt;K375,"ACIMA DA TABELA: ","ABAIXO DA TABELA: ")&amp;TRUNC((G375*100)/K375,2)&amp;" %")</f>
        <v>OK, CONFORME TABELA</v>
      </c>
    </row>
    <row r="376" spans="1:18" x14ac:dyDescent="0.3">
      <c r="A376" s="23" t="s">
        <v>1004</v>
      </c>
      <c r="B376" s="23">
        <v>88316</v>
      </c>
      <c r="C376" s="23" t="str">
        <f>VLOOKUP(B376,IF(A376="COMPOSICAO",S!$A:$E,I!$A:$E),2,FALSE)</f>
        <v>SINAPI</v>
      </c>
      <c r="D376" s="24" t="str">
        <f>VLOOKUP(B376,IF(A376="COMPOSICAO",S!$A:$E,I!$A:$E),3,FALSE)</f>
        <v>SERVENTE COM ENCARGOS COMPLEMENTARES</v>
      </c>
      <c r="E376" s="23" t="str">
        <f>VLOOKUP(B376,IF(A376="COMPOSICAO",S!$A:$E,I!$A:$E),4,FALSE)</f>
        <v>H</v>
      </c>
      <c r="F376" s="23">
        <f>0.2362/pcf</f>
        <v>0.23619999999999999</v>
      </c>
      <c r="G376" s="76">
        <f>IF(A376="COMPOSICAO",VLOOKUP("TOTAL SEM BDI - "&amp;B376,CPUAUX1!$A:$J,9,FALSE),VLOOKUP(B376,I!$A:$E,5,FALSE))</f>
        <v>21.71</v>
      </c>
      <c r="H376" s="77"/>
      <c r="I376" s="76">
        <f>TRUNC(F376*G376,2)</f>
        <v>5.12</v>
      </c>
      <c r="J376" s="77"/>
      <c r="M376" s="23">
        <f>B376</f>
        <v>88316</v>
      </c>
      <c r="N376" s="5">
        <f>SUMIF(ORCAMENTO!B:B,B375,ORCAMENTO!F:F)</f>
        <v>231.72</v>
      </c>
      <c r="O376" s="23">
        <f>F376*N376</f>
        <v>54.732264000000001</v>
      </c>
      <c r="Q376" s="23">
        <f ca="1">IFERROR(SUMIF(CO!B:B,B375,OFFSET(CO!F:F,0,(4+MATCH(ETAPA,CO!$J$6:$V$6,0)))),0)</f>
        <v>77.239999999999995</v>
      </c>
      <c r="R376" s="23">
        <f ca="1">F376*Q376</f>
        <v>18.244087999999998</v>
      </c>
    </row>
    <row r="377" spans="1:18" x14ac:dyDescent="0.3">
      <c r="A377" s="23" t="s">
        <v>1004</v>
      </c>
      <c r="B377" s="23">
        <v>88309</v>
      </c>
      <c r="C377" s="23" t="str">
        <f>VLOOKUP(B377,IF(A377="COMPOSICAO",S!$A:$E,I!$A:$E),2,FALSE)</f>
        <v>SINAPI</v>
      </c>
      <c r="D377" s="24" t="str">
        <f>VLOOKUP(B377,IF(A377="COMPOSICAO",S!$A:$E,I!$A:$E),3,FALSE)</f>
        <v>PEDREIRO COM ENCARGOS COMPLEMENTARES</v>
      </c>
      <c r="E377" s="23" t="str">
        <f>VLOOKUP(B377,IF(A377="COMPOSICAO",S!$A:$E,I!$A:$E),4,FALSE)</f>
        <v>H</v>
      </c>
      <c r="F377" s="23">
        <f>0.4724/pcf</f>
        <v>0.47239999999999999</v>
      </c>
      <c r="G377" s="76">
        <f>IF(A377="COMPOSICAO",VLOOKUP("TOTAL SEM BDI - "&amp;B377,CPUAUX1!$A:$J,9,FALSE),VLOOKUP(B377,I!$A:$E,5,FALSE))</f>
        <v>27.39</v>
      </c>
      <c r="H377" s="77"/>
      <c r="I377" s="76">
        <f>TRUNC(F377*G377,2)</f>
        <v>12.93</v>
      </c>
      <c r="J377" s="77"/>
      <c r="M377" s="23">
        <f>B377</f>
        <v>88309</v>
      </c>
      <c r="N377" s="5">
        <f>SUMIF(ORCAMENTO!B:B,B375,ORCAMENTO!F:F)</f>
        <v>231.72</v>
      </c>
      <c r="O377" s="23">
        <f>F377*N377</f>
        <v>109.464528</v>
      </c>
      <c r="Q377" s="23">
        <f ca="1">IFERROR(SUMIF(CO!B:B,B375,OFFSET(CO!F:F,0,(4+MATCH(ETAPA,CO!$J$6:$V$6,0)))),0)</f>
        <v>77.239999999999995</v>
      </c>
      <c r="R377" s="23">
        <f ca="1">F377*Q377</f>
        <v>36.488175999999996</v>
      </c>
    </row>
    <row r="378" spans="1:18" ht="60" customHeight="1" x14ac:dyDescent="0.3">
      <c r="A378" s="23" t="s">
        <v>1004</v>
      </c>
      <c r="B378" s="23">
        <v>87369</v>
      </c>
      <c r="C378" s="23" t="str">
        <f>VLOOKUP(B378,IF(A378="COMPOSICAO",S!$A:$E,I!$A:$E),2,FALSE)</f>
        <v>SINAPI</v>
      </c>
      <c r="D378" s="24" t="str">
        <f>VLOOKUP(B378,IF(A378="COMPOSICAO",S!$A:$E,I!$A:$E),3,FALSE)</f>
        <v>ARGAMASSA TRAÇO 1:2:8 (EM VOLUME DE CIMENTO, CAL E AREIA MÉDIA ÚMIDA) PARA EMBOÇO/MASSA ÚNICA/ASSENTAMENTO DE ALVENARIA DE VEDAÇÃO, PREPARO MANUAL. AF_08/2019</v>
      </c>
      <c r="E378" s="23" t="str">
        <f>VLOOKUP(B378,IF(A378="COMPOSICAO",S!$A:$E,I!$A:$E),4,FALSE)</f>
        <v>M3</v>
      </c>
      <c r="F378" s="23">
        <v>3.04E-2</v>
      </c>
      <c r="G378" s="76">
        <f>IF(A378="COMPOSICAO",VLOOKUP("TOTAL SEM BDI - "&amp;B378,CPUAUX1!$A:$J,9,FALSE),VLOOKUP(B378,I!$A:$E,5,FALSE))</f>
        <v>750.01</v>
      </c>
      <c r="H378" s="77"/>
      <c r="I378" s="76">
        <f>TRUNC(F378*G378,2)</f>
        <v>22.8</v>
      </c>
      <c r="J378" s="77"/>
      <c r="M378" s="23">
        <f>B378</f>
        <v>87369</v>
      </c>
      <c r="N378" s="5">
        <f>SUMIF(ORCAMENTO!B:B,B375,ORCAMENTO!F:F)</f>
        <v>231.72</v>
      </c>
      <c r="O378" s="23">
        <f>F378*N378</f>
        <v>7.0442879999999999</v>
      </c>
      <c r="Q378" s="23">
        <f ca="1">IFERROR(SUMIF(CO!B:B,B375,OFFSET(CO!F:F,0,(4+MATCH(ETAPA,CO!$J$6:$V$6,0)))),0)</f>
        <v>77.239999999999995</v>
      </c>
      <c r="R378" s="23">
        <f ca="1">F378*Q378</f>
        <v>2.348096</v>
      </c>
    </row>
    <row r="379" spans="1:18" x14ac:dyDescent="0.3">
      <c r="A379" s="73" t="str">
        <f>"TOTAL SEM BDI - "&amp;B375</f>
        <v>TOTAL SEM BDI - 87530</v>
      </c>
      <c r="B379" s="74"/>
      <c r="C379" s="74"/>
      <c r="D379" s="74"/>
      <c r="E379" s="74"/>
      <c r="F379" s="74"/>
      <c r="G379" s="74"/>
      <c r="H379" s="75"/>
      <c r="I379" s="76">
        <f>SUM(I375:I378)</f>
        <v>40.85</v>
      </c>
      <c r="J379" s="77"/>
    </row>
    <row r="380" spans="1:18" x14ac:dyDescent="0.3">
      <c r="A380" s="73" t="str">
        <f>"TAXA DE BDI ("&amp;TEXT(BDI,"00,00")&amp;" %)"</f>
        <v>TAXA DE BDI (22,33 %)</v>
      </c>
      <c r="B380" s="74"/>
      <c r="C380" s="74"/>
      <c r="D380" s="74"/>
      <c r="E380" s="74"/>
      <c r="F380" s="74"/>
      <c r="G380" s="74"/>
      <c r="H380" s="75"/>
      <c r="I380" s="76">
        <f>ROUND(I379*(BDI/100),2)</f>
        <v>9.1199999999999992</v>
      </c>
      <c r="J380" s="77"/>
    </row>
    <row r="381" spans="1:18" x14ac:dyDescent="0.3">
      <c r="A381" s="73" t="str">
        <f>"TOTAL COM BDI - "&amp;B375</f>
        <v>TOTAL COM BDI - 87530</v>
      </c>
      <c r="B381" s="74"/>
      <c r="C381" s="74"/>
      <c r="D381" s="74"/>
      <c r="E381" s="74"/>
      <c r="F381" s="74"/>
      <c r="G381" s="74"/>
      <c r="H381" s="75"/>
      <c r="I381" s="76">
        <f>SUM(I379:I380)</f>
        <v>49.97</v>
      </c>
      <c r="J381" s="77"/>
    </row>
    <row r="383" spans="1:18" x14ac:dyDescent="0.3">
      <c r="A383" s="4" t="s">
        <v>1000</v>
      </c>
      <c r="B383" s="4" t="s">
        <v>170</v>
      </c>
      <c r="C383" s="4" t="s">
        <v>171</v>
      </c>
      <c r="D383" s="4" t="s">
        <v>18</v>
      </c>
      <c r="E383" s="4" t="s">
        <v>172</v>
      </c>
      <c r="F383" s="4" t="s">
        <v>507</v>
      </c>
      <c r="G383" s="45" t="s">
        <v>1001</v>
      </c>
      <c r="H383" s="46"/>
      <c r="I383" s="45" t="s">
        <v>12</v>
      </c>
      <c r="J383" s="46"/>
    </row>
    <row r="384" spans="1:18" ht="30" customHeight="1" x14ac:dyDescent="0.3">
      <c r="A384" s="15" t="s">
        <v>1040</v>
      </c>
      <c r="B384" s="15">
        <v>100701</v>
      </c>
      <c r="C384" s="15" t="str">
        <f>VLOOKUP(B384,S!$A:$G,2,FALSE)</f>
        <v>SINAPI</v>
      </c>
      <c r="D384" s="22" t="str">
        <f>VLOOKUP(B384,S!$A:$G,3,FALSE)</f>
        <v>PORTA DE FERRO, DE ABRIR, TIPO GRADE COM CHAPA, COM GUARNIÇÕES. AF_12/2019</v>
      </c>
      <c r="E384" s="15" t="str">
        <f>VLOOKUP(B384,S!$A:$G,4,FALSE)</f>
        <v>M2</v>
      </c>
      <c r="F384" s="15"/>
      <c r="G384" s="78">
        <f>I389</f>
        <v>415.24</v>
      </c>
      <c r="H384" s="79"/>
      <c r="I384" s="78"/>
      <c r="J384" s="79"/>
      <c r="K384" s="16">
        <f>VLOOKUP(B384,S!A:G,5,FALSE)</f>
        <v>415.24</v>
      </c>
      <c r="L384" s="15" t="str">
        <f>IF(K384=G384,"OK, CONFORME TABELA",IF(G384&gt;K384,"ACIMA DA TABELA: ","ABAIXO DA TABELA: ")&amp;TRUNC((G384*100)/K384,2)&amp;" %")</f>
        <v>OK, CONFORME TABELA</v>
      </c>
    </row>
    <row r="385" spans="1:18" ht="45" customHeight="1" x14ac:dyDescent="0.3">
      <c r="A385" s="23" t="s">
        <v>1004</v>
      </c>
      <c r="B385" s="23">
        <v>88627</v>
      </c>
      <c r="C385" s="23" t="str">
        <f>VLOOKUP(B385,IF(A385="COMPOSICAO",S!$A:$E,I!$A:$E),2,FALSE)</f>
        <v>SINAPI</v>
      </c>
      <c r="D385" s="24" t="str">
        <f>VLOOKUP(B385,IF(A385="COMPOSICAO",S!$A:$E,I!$A:$E),3,FALSE)</f>
        <v>ARGAMASSA TRAÇO 1:0,5:4,5 (EM VOLUME DE CIMENTO, CAL E AREIA MÉDIA ÚMIDA) PARA ASSENTAMENTO DE ALVENARIA, PREPARO MANUAL. AF_08/2019</v>
      </c>
      <c r="E385" s="23" t="str">
        <f>VLOOKUP(B385,IF(A385="COMPOSICAO",S!$A:$E,I!$A:$E),4,FALSE)</f>
        <v>M3</v>
      </c>
      <c r="F385" s="23">
        <v>1.2E-2</v>
      </c>
      <c r="G385" s="76">
        <f>IF(A385="COMPOSICAO",VLOOKUP("TOTAL SEM BDI - "&amp;B385,CPUAUX1!$A:$J,9,FALSE),VLOOKUP(B385,I!$A:$E,5,FALSE))</f>
        <v>726.2600000000001</v>
      </c>
      <c r="H385" s="77"/>
      <c r="I385" s="76">
        <f>TRUNC(F385*G385,2)</f>
        <v>8.7100000000000009</v>
      </c>
      <c r="J385" s="77"/>
      <c r="M385" s="23">
        <f>B385</f>
        <v>88627</v>
      </c>
      <c r="N385" s="5">
        <f>SUMIF(ORCAMENTO!B:B,B384,ORCAMENTO!F:F)</f>
        <v>10.08</v>
      </c>
      <c r="O385" s="23">
        <f>F385*N385</f>
        <v>0.12096</v>
      </c>
      <c r="Q385" s="23">
        <f ca="1">IFERROR(SUMIF(CO!B:B,B384,OFFSET(CO!F:F,0,(4+MATCH(ETAPA,CO!$J$6:$V$6,0)))),0)</f>
        <v>3.36</v>
      </c>
      <c r="R385" s="23">
        <f ca="1">F385*Q385</f>
        <v>4.0320000000000002E-2</v>
      </c>
    </row>
    <row r="386" spans="1:18" x14ac:dyDescent="0.3">
      <c r="A386" s="23" t="s">
        <v>1004</v>
      </c>
      <c r="B386" s="23">
        <v>88316</v>
      </c>
      <c r="C386" s="23" t="str">
        <f>VLOOKUP(B386,IF(A386="COMPOSICAO",S!$A:$E,I!$A:$E),2,FALSE)</f>
        <v>SINAPI</v>
      </c>
      <c r="D386" s="24" t="str">
        <f>VLOOKUP(B386,IF(A386="COMPOSICAO",S!$A:$E,I!$A:$E),3,FALSE)</f>
        <v>SERVENTE COM ENCARGOS COMPLEMENTARES</v>
      </c>
      <c r="E386" s="23" t="str">
        <f>VLOOKUP(B386,IF(A386="COMPOSICAO",S!$A:$E,I!$A:$E),4,FALSE)</f>
        <v>H</v>
      </c>
      <c r="F386" s="23">
        <f>0.229/pcf</f>
        <v>0.22900000000000001</v>
      </c>
      <c r="G386" s="76">
        <f>IF(A386="COMPOSICAO",VLOOKUP("TOTAL SEM BDI - "&amp;B386,CPUAUX1!$A:$J,9,FALSE),VLOOKUP(B386,I!$A:$E,5,FALSE))</f>
        <v>21.71</v>
      </c>
      <c r="H386" s="77"/>
      <c r="I386" s="76">
        <f>TRUNC(F386*G386,2)</f>
        <v>4.97</v>
      </c>
      <c r="J386" s="77"/>
      <c r="M386" s="23">
        <f>B386</f>
        <v>88316</v>
      </c>
      <c r="N386" s="5">
        <f>SUMIF(ORCAMENTO!B:B,B384,ORCAMENTO!F:F)</f>
        <v>10.08</v>
      </c>
      <c r="O386" s="23">
        <f>F386*N386</f>
        <v>2.3083200000000001</v>
      </c>
      <c r="Q386" s="23">
        <f ca="1">IFERROR(SUMIF(CO!B:B,B384,OFFSET(CO!F:F,0,(4+MATCH(ETAPA,CO!$J$6:$V$6,0)))),0)</f>
        <v>3.36</v>
      </c>
      <c r="R386" s="23">
        <f ca="1">F386*Q386</f>
        <v>0.76944000000000001</v>
      </c>
    </row>
    <row r="387" spans="1:18" x14ac:dyDescent="0.3">
      <c r="A387" s="23" t="s">
        <v>1004</v>
      </c>
      <c r="B387" s="23">
        <v>88309</v>
      </c>
      <c r="C387" s="23" t="str">
        <f>VLOOKUP(B387,IF(A387="COMPOSICAO",S!$A:$E,I!$A:$E),2,FALSE)</f>
        <v>SINAPI</v>
      </c>
      <c r="D387" s="24" t="str">
        <f>VLOOKUP(B387,IF(A387="COMPOSICAO",S!$A:$E,I!$A:$E),3,FALSE)</f>
        <v>PEDREIRO COM ENCARGOS COMPLEMENTARES</v>
      </c>
      <c r="E387" s="23" t="str">
        <f>VLOOKUP(B387,IF(A387="COMPOSICAO",S!$A:$E,I!$A:$E),4,FALSE)</f>
        <v>H</v>
      </c>
      <c r="F387" s="23">
        <f>0.457/pcf</f>
        <v>0.45700000000000002</v>
      </c>
      <c r="G387" s="76">
        <f>IF(A387="COMPOSICAO",VLOOKUP("TOTAL SEM BDI - "&amp;B387,CPUAUX1!$A:$J,9,FALSE),VLOOKUP(B387,I!$A:$E,5,FALSE))</f>
        <v>27.39</v>
      </c>
      <c r="H387" s="77"/>
      <c r="I387" s="76">
        <f>TRUNC(F387*G387,2)</f>
        <v>12.51</v>
      </c>
      <c r="J387" s="77"/>
      <c r="M387" s="23">
        <f>B387</f>
        <v>88309</v>
      </c>
      <c r="N387" s="5">
        <f>SUMIF(ORCAMENTO!B:B,B384,ORCAMENTO!F:F)</f>
        <v>10.08</v>
      </c>
      <c r="O387" s="23">
        <f>F387*N387</f>
        <v>4.60656</v>
      </c>
      <c r="Q387" s="23">
        <f ca="1">IFERROR(SUMIF(CO!B:B,B384,OFFSET(CO!F:F,0,(4+MATCH(ETAPA,CO!$J$6:$V$6,0)))),0)</f>
        <v>3.36</v>
      </c>
      <c r="R387" s="23">
        <f ca="1">F387*Q387</f>
        <v>1.53552</v>
      </c>
    </row>
    <row r="388" spans="1:18" ht="45" customHeight="1" x14ac:dyDescent="0.3">
      <c r="A388" s="23" t="s">
        <v>1005</v>
      </c>
      <c r="B388" s="23">
        <v>4930</v>
      </c>
      <c r="C388" s="23" t="str">
        <f>VLOOKUP(B388,IF(A388="COMPOSICAO",S!$A:$E,I!$A:$E),2,FALSE)</f>
        <v>SINAPI</v>
      </c>
      <c r="D388" s="24" t="str">
        <f>VLOOKUP(B388,IF(A388="COMPOSICAO",S!$A:$E,I!$A:$E),3,FALSE)</f>
        <v>PORTA DE ABRIR / GIRO, EM GRADIL FERRO, COM BARRA CHATA 3 CM X 1/4", COM REQUADRO E GUARNICAO - COMPLETO - ACABAMENTO NATURAL</v>
      </c>
      <c r="E388" s="23" t="str">
        <f>VLOOKUP(B388,IF(A388="COMPOSICAO",S!$A:$E,I!$A:$E),4,FALSE)</f>
        <v>M2</v>
      </c>
      <c r="F388" s="23">
        <v>1</v>
      </c>
      <c r="G388" s="76">
        <f>IF(A388="COMPOSICAO",VLOOKUP("TOTAL SEM BDI - "&amp;B388,CPUAUX1!$A:$J,9,FALSE),VLOOKUP(B388,I!$A:$E,5,FALSE))</f>
        <v>389.05</v>
      </c>
      <c r="H388" s="77"/>
      <c r="I388" s="76">
        <f>TRUNC(F388*G388,2)</f>
        <v>389.05</v>
      </c>
      <c r="J388" s="77"/>
      <c r="M388" s="23">
        <f>B388</f>
        <v>4930</v>
      </c>
      <c r="N388" s="5">
        <f>SUMIF(ORCAMENTO!B:B,B384,ORCAMENTO!F:F)</f>
        <v>10.08</v>
      </c>
      <c r="O388" s="23">
        <f>F388*N388</f>
        <v>10.08</v>
      </c>
      <c r="Q388" s="23">
        <f ca="1">IFERROR(SUMIF(CO!B:B,B384,OFFSET(CO!F:F,0,(4+MATCH(ETAPA,CO!$J$6:$V$6,0)))),0)</f>
        <v>3.36</v>
      </c>
      <c r="R388" s="23">
        <f ca="1">F388*Q388</f>
        <v>3.36</v>
      </c>
    </row>
    <row r="389" spans="1:18" x14ac:dyDescent="0.3">
      <c r="A389" s="73" t="str">
        <f>"TOTAL SEM BDI - "&amp;B384</f>
        <v>TOTAL SEM BDI - 100701</v>
      </c>
      <c r="B389" s="74"/>
      <c r="C389" s="74"/>
      <c r="D389" s="74"/>
      <c r="E389" s="74"/>
      <c r="F389" s="74"/>
      <c r="G389" s="74"/>
      <c r="H389" s="75"/>
      <c r="I389" s="76">
        <f>SUM(I384:I388)</f>
        <v>415.24</v>
      </c>
      <c r="J389" s="77"/>
    </row>
    <row r="390" spans="1:18" x14ac:dyDescent="0.3">
      <c r="A390" s="73" t="str">
        <f>"TAXA DE BDI ("&amp;TEXT(BDI,"00,00")&amp;" %)"</f>
        <v>TAXA DE BDI (22,33 %)</v>
      </c>
      <c r="B390" s="74"/>
      <c r="C390" s="74"/>
      <c r="D390" s="74"/>
      <c r="E390" s="74"/>
      <c r="F390" s="74"/>
      <c r="G390" s="74"/>
      <c r="H390" s="75"/>
      <c r="I390" s="76">
        <f>ROUND(I389*(BDI/100),2)</f>
        <v>92.72</v>
      </c>
      <c r="J390" s="77"/>
    </row>
    <row r="391" spans="1:18" x14ac:dyDescent="0.3">
      <c r="A391" s="73" t="str">
        <f>"TOTAL COM BDI - "&amp;B384</f>
        <v>TOTAL COM BDI - 100701</v>
      </c>
      <c r="B391" s="74"/>
      <c r="C391" s="74"/>
      <c r="D391" s="74"/>
      <c r="E391" s="74"/>
      <c r="F391" s="74"/>
      <c r="G391" s="74"/>
      <c r="H391" s="75"/>
      <c r="I391" s="76">
        <f>SUM(I389:I390)</f>
        <v>507.96000000000004</v>
      </c>
      <c r="J391" s="77"/>
    </row>
    <row r="393" spans="1:18" x14ac:dyDescent="0.3">
      <c r="A393" s="4" t="s">
        <v>1000</v>
      </c>
      <c r="B393" s="4" t="s">
        <v>170</v>
      </c>
      <c r="C393" s="4" t="s">
        <v>171</v>
      </c>
      <c r="D393" s="4" t="s">
        <v>18</v>
      </c>
      <c r="E393" s="4" t="s">
        <v>172</v>
      </c>
      <c r="F393" s="4" t="s">
        <v>507</v>
      </c>
      <c r="G393" s="45" t="s">
        <v>1001</v>
      </c>
      <c r="H393" s="46"/>
      <c r="I393" s="45" t="s">
        <v>12</v>
      </c>
      <c r="J393" s="46"/>
    </row>
    <row r="394" spans="1:18" ht="30" customHeight="1" x14ac:dyDescent="0.3">
      <c r="A394" s="15" t="s">
        <v>517</v>
      </c>
      <c r="B394" s="15" t="s">
        <v>603</v>
      </c>
      <c r="C394" s="15" t="str">
        <f>VLOOKUP(B394,S!$A:$G,2,FALSE)</f>
        <v>PRÓPRIA</v>
      </c>
      <c r="D394" s="22" t="str">
        <f>VLOOKUP(B394,S!$A:$G,3,FALSE)</f>
        <v>PORTÃO DE FERRO EM BARRA CHATA TIPO TIJOLINHO (REF: C1999-SEINFRA 28)</v>
      </c>
      <c r="E394" s="15" t="str">
        <f>VLOOKUP(B394,S!$A:$G,4,FALSE)</f>
        <v>M2</v>
      </c>
      <c r="F394" s="15"/>
      <c r="G394" s="78">
        <f>I402</f>
        <v>189.43</v>
      </c>
      <c r="H394" s="79"/>
      <c r="I394" s="78"/>
      <c r="J394" s="79"/>
      <c r="K394" s="16">
        <f>VLOOKUP(B394,S!A:G,5,FALSE)</f>
        <v>0</v>
      </c>
      <c r="L394" s="15" t="s">
        <v>1003</v>
      </c>
    </row>
    <row r="395" spans="1:18" x14ac:dyDescent="0.3">
      <c r="A395" s="23" t="s">
        <v>1005</v>
      </c>
      <c r="B395" s="23" t="s">
        <v>1041</v>
      </c>
      <c r="C395" s="23" t="str">
        <f>VLOOKUP(B395,IF(A395="COMPOSICAO",S!$A:$E,I!$A:$E),2,FALSE)</f>
        <v>SEINFRA</v>
      </c>
      <c r="D395" s="24" t="str">
        <f>VLOOKUP(B395,IF(A395="COMPOSICAO",S!$A:$E,I!$A:$E),3,FALSE)</f>
        <v>AREIA GROSSA</v>
      </c>
      <c r="E395" s="23" t="str">
        <f>VLOOKUP(B395,IF(A395="COMPOSICAO",S!$A:$E,I!$A:$E),4,FALSE)</f>
        <v>M3</v>
      </c>
      <c r="F395" s="23">
        <v>5.0000000000000001E-4</v>
      </c>
      <c r="G395" s="76">
        <f>IF(A395="COMPOSICAO",VLOOKUP("TOTAL SEM BDI - "&amp;B395,CPUAUX1!$A:$J,9,FALSE),VLOOKUP(B395,I!$A:$E,5,FALSE))</f>
        <v>119.58</v>
      </c>
      <c r="H395" s="77"/>
      <c r="I395" s="76">
        <f t="shared" ref="I395:I401" si="40">TRUNC(F395*G395,2)</f>
        <v>0.05</v>
      </c>
      <c r="J395" s="77"/>
      <c r="M395" s="23" t="str">
        <f t="shared" ref="M395:M401" si="41">B395</f>
        <v>I0108</v>
      </c>
      <c r="N395" s="5">
        <f>SUMIF(ORCAMENTO!B:B,B394,ORCAMENTO!F:F)</f>
        <v>36</v>
      </c>
      <c r="O395" s="23">
        <f t="shared" ref="O395:O401" si="42">F395*N395</f>
        <v>1.8000000000000002E-2</v>
      </c>
      <c r="Q395" s="23">
        <f ca="1">IFERROR(SUMIF(CO!B:B,B394,OFFSET(CO!F:F,0,(4+MATCH(ETAPA,CO!$J$6:$V$6,0)))),0)</f>
        <v>12</v>
      </c>
      <c r="R395" s="23">
        <f t="shared" ref="R395:R401" ca="1" si="43">F395*Q395</f>
        <v>6.0000000000000001E-3</v>
      </c>
    </row>
    <row r="396" spans="1:18" x14ac:dyDescent="0.3">
      <c r="A396" s="23" t="s">
        <v>1005</v>
      </c>
      <c r="B396" s="23" t="s">
        <v>1042</v>
      </c>
      <c r="C396" s="23" t="str">
        <f>VLOOKUP(B396,IF(A396="COMPOSICAO",S!$A:$E,I!$A:$E),2,FALSE)</f>
        <v>SEINFRA</v>
      </c>
      <c r="D396" s="24" t="str">
        <f>VLOOKUP(B396,IF(A396="COMPOSICAO",S!$A:$E,I!$A:$E),3,FALSE)</f>
        <v>BATENTE DE FERRO</v>
      </c>
      <c r="E396" s="23" t="str">
        <f>VLOOKUP(B396,IF(A396="COMPOSICAO",S!$A:$E,I!$A:$E),4,FALSE)</f>
        <v>M</v>
      </c>
      <c r="F396" s="23">
        <v>1.3</v>
      </c>
      <c r="G396" s="76">
        <f>IF(A396="COMPOSICAO",VLOOKUP("TOTAL SEM BDI - "&amp;B396,CPUAUX1!$A:$J,9,FALSE),VLOOKUP(B396,I!$A:$E,5,FALSE))</f>
        <v>25.17</v>
      </c>
      <c r="H396" s="77"/>
      <c r="I396" s="76">
        <f t="shared" si="40"/>
        <v>32.72</v>
      </c>
      <c r="J396" s="77"/>
      <c r="M396" s="23" t="str">
        <f t="shared" si="41"/>
        <v>I0208</v>
      </c>
      <c r="N396" s="5">
        <f>SUMIF(ORCAMENTO!B:B,B394,ORCAMENTO!F:F)</f>
        <v>36</v>
      </c>
      <c r="O396" s="23">
        <f t="shared" si="42"/>
        <v>46.800000000000004</v>
      </c>
      <c r="Q396" s="23">
        <f ca="1">IFERROR(SUMIF(CO!B:B,B394,OFFSET(CO!F:F,0,(4+MATCH(ETAPA,CO!$J$6:$V$6,0)))),0)</f>
        <v>12</v>
      </c>
      <c r="R396" s="23">
        <f t="shared" ca="1" si="43"/>
        <v>15.600000000000001</v>
      </c>
    </row>
    <row r="397" spans="1:18" x14ac:dyDescent="0.3">
      <c r="A397" s="23" t="s">
        <v>1005</v>
      </c>
      <c r="B397" s="23" t="s">
        <v>1043</v>
      </c>
      <c r="C397" s="23" t="str">
        <f>VLOOKUP(B397,IF(A397="COMPOSICAO",S!$A:$E,I!$A:$E),2,FALSE)</f>
        <v>SEINFRA</v>
      </c>
      <c r="D397" s="24" t="str">
        <f>VLOOKUP(B397,IF(A397="COMPOSICAO",S!$A:$E,I!$A:$E),3,FALSE)</f>
        <v>CIMENTO PORTLAND</v>
      </c>
      <c r="E397" s="23" t="str">
        <f>VLOOKUP(B397,IF(A397="COMPOSICAO",S!$A:$E,I!$A:$E),4,FALSE)</f>
        <v>KG</v>
      </c>
      <c r="F397" s="23">
        <v>0.15</v>
      </c>
      <c r="G397" s="76">
        <f>IF(A397="COMPOSICAO",VLOOKUP("TOTAL SEM BDI - "&amp;B397,CPUAUX1!$A:$J,9,FALSE),VLOOKUP(B397,I!$A:$E,5,FALSE))</f>
        <v>0.71</v>
      </c>
      <c r="H397" s="77"/>
      <c r="I397" s="76">
        <f t="shared" si="40"/>
        <v>0.1</v>
      </c>
      <c r="J397" s="77"/>
      <c r="M397" s="23" t="str">
        <f t="shared" si="41"/>
        <v>I0805</v>
      </c>
      <c r="N397" s="5">
        <f>SUMIF(ORCAMENTO!B:B,B394,ORCAMENTO!F:F)</f>
        <v>36</v>
      </c>
      <c r="O397" s="23">
        <f t="shared" si="42"/>
        <v>5.3999999999999995</v>
      </c>
      <c r="Q397" s="23">
        <f ca="1">IFERROR(SUMIF(CO!B:B,B394,OFFSET(CO!F:F,0,(4+MATCH(ETAPA,CO!$J$6:$V$6,0)))),0)</f>
        <v>12</v>
      </c>
      <c r="R397" s="23">
        <f t="shared" ca="1" si="43"/>
        <v>1.7999999999999998</v>
      </c>
    </row>
    <row r="398" spans="1:18" x14ac:dyDescent="0.3">
      <c r="A398" s="23" t="s">
        <v>1005</v>
      </c>
      <c r="B398" s="23" t="s">
        <v>1044</v>
      </c>
      <c r="C398" s="23" t="str">
        <f>VLOOKUP(B398,IF(A398="COMPOSICAO",S!$A:$E,I!$A:$E),2,FALSE)</f>
        <v>SEINFRA</v>
      </c>
      <c r="D398" s="24" t="str">
        <f>VLOOKUP(B398,IF(A398="COMPOSICAO",S!$A:$E,I!$A:$E),3,FALSE)</f>
        <v>FECHO DE ALAVANCA DE FERR0 DE 22CM</v>
      </c>
      <c r="E398" s="23" t="str">
        <f>VLOOKUP(B398,IF(A398="COMPOSICAO",S!$A:$E,I!$A:$E),4,FALSE)</f>
        <v>UN</v>
      </c>
      <c r="F398" s="23">
        <v>0.33</v>
      </c>
      <c r="G398" s="76">
        <f>IF(A398="COMPOSICAO",VLOOKUP("TOTAL SEM BDI - "&amp;B398,CPUAUX1!$A:$J,9,FALSE),VLOOKUP(B398,I!$A:$E,5,FALSE))</f>
        <v>28.92</v>
      </c>
      <c r="H398" s="77"/>
      <c r="I398" s="76">
        <f t="shared" si="40"/>
        <v>9.5399999999999991</v>
      </c>
      <c r="J398" s="77"/>
      <c r="M398" s="23" t="str">
        <f t="shared" si="41"/>
        <v>I1158</v>
      </c>
      <c r="N398" s="5">
        <f>SUMIF(ORCAMENTO!B:B,B394,ORCAMENTO!F:F)</f>
        <v>36</v>
      </c>
      <c r="O398" s="23">
        <f t="shared" si="42"/>
        <v>11.88</v>
      </c>
      <c r="Q398" s="23">
        <f ca="1">IFERROR(SUMIF(CO!B:B,B394,OFFSET(CO!F:F,0,(4+MATCH(ETAPA,CO!$J$6:$V$6,0)))),0)</f>
        <v>12</v>
      </c>
      <c r="R398" s="23">
        <f t="shared" ca="1" si="43"/>
        <v>3.96</v>
      </c>
    </row>
    <row r="399" spans="1:18" x14ac:dyDescent="0.3">
      <c r="A399" s="23" t="s">
        <v>1005</v>
      </c>
      <c r="B399" s="23" t="s">
        <v>1045</v>
      </c>
      <c r="C399" s="23" t="str">
        <f>VLOOKUP(B399,IF(A399="COMPOSICAO",S!$A:$E,I!$A:$E),2,FALSE)</f>
        <v>SEINFRA</v>
      </c>
      <c r="D399" s="24" t="str">
        <f>VLOOKUP(B399,IF(A399="COMPOSICAO",S!$A:$E,I!$A:$E),3,FALSE)</f>
        <v>GRADIL DE FERRO COM BARRA CHATA</v>
      </c>
      <c r="E399" s="23" t="str">
        <f>VLOOKUP(B399,IF(A399="COMPOSICAO",S!$A:$E,I!$A:$E),4,FALSE)</f>
        <v>M2</v>
      </c>
      <c r="F399" s="23">
        <v>1</v>
      </c>
      <c r="G399" s="76">
        <f>IF(A399="COMPOSICAO",VLOOKUP("TOTAL SEM BDI - "&amp;B399,CPUAUX1!$A:$J,9,FALSE),VLOOKUP(B399,I!$A:$E,5,FALSE))</f>
        <v>132.02000000000001</v>
      </c>
      <c r="H399" s="77"/>
      <c r="I399" s="76">
        <f t="shared" si="40"/>
        <v>132.02000000000001</v>
      </c>
      <c r="J399" s="77"/>
      <c r="M399" s="23" t="str">
        <f t="shared" si="41"/>
        <v>I1224</v>
      </c>
      <c r="N399" s="5">
        <f>SUMIF(ORCAMENTO!B:B,B394,ORCAMENTO!F:F)</f>
        <v>36</v>
      </c>
      <c r="O399" s="23">
        <f t="shared" si="42"/>
        <v>36</v>
      </c>
      <c r="Q399" s="23">
        <f ca="1">IFERROR(SUMIF(CO!B:B,B394,OFFSET(CO!F:F,0,(4+MATCH(ETAPA,CO!$J$6:$V$6,0)))),0)</f>
        <v>12</v>
      </c>
      <c r="R399" s="23">
        <f t="shared" ca="1" si="43"/>
        <v>12</v>
      </c>
    </row>
    <row r="400" spans="1:18" x14ac:dyDescent="0.3">
      <c r="A400" s="23" t="s">
        <v>1004</v>
      </c>
      <c r="B400" s="23">
        <v>88309</v>
      </c>
      <c r="C400" s="23" t="str">
        <f>VLOOKUP(B400,IF(A400="COMPOSICAO",S!$A:$E,I!$A:$E),2,FALSE)</f>
        <v>SINAPI</v>
      </c>
      <c r="D400" s="24" t="str">
        <f>VLOOKUP(B400,IF(A400="COMPOSICAO",S!$A:$E,I!$A:$E),3,FALSE)</f>
        <v>PEDREIRO COM ENCARGOS COMPLEMENTARES</v>
      </c>
      <c r="E400" s="23" t="str">
        <f>VLOOKUP(B400,IF(A400="COMPOSICAO",S!$A:$E,I!$A:$E),4,FALSE)</f>
        <v>H</v>
      </c>
      <c r="F400" s="23">
        <f>0.35/pcf</f>
        <v>0.35</v>
      </c>
      <c r="G400" s="76">
        <f>IF(A400="COMPOSICAO",VLOOKUP("TOTAL SEM BDI - "&amp;B400,CPUAUX1!$A:$J,9,FALSE),VLOOKUP(B400,I!$A:$E,5,FALSE))</f>
        <v>27.39</v>
      </c>
      <c r="H400" s="77"/>
      <c r="I400" s="76">
        <f t="shared" si="40"/>
        <v>9.58</v>
      </c>
      <c r="J400" s="77"/>
      <c r="M400" s="23">
        <f t="shared" si="41"/>
        <v>88309</v>
      </c>
      <c r="N400" s="5">
        <f>SUMIF(ORCAMENTO!B:B,B394,ORCAMENTO!F:F)</f>
        <v>36</v>
      </c>
      <c r="O400" s="23">
        <f t="shared" si="42"/>
        <v>12.6</v>
      </c>
      <c r="Q400" s="23">
        <f ca="1">IFERROR(SUMIF(CO!B:B,B394,OFFSET(CO!F:F,0,(4+MATCH(ETAPA,CO!$J$6:$V$6,0)))),0)</f>
        <v>12</v>
      </c>
      <c r="R400" s="23">
        <f t="shared" ca="1" si="43"/>
        <v>4.1999999999999993</v>
      </c>
    </row>
    <row r="401" spans="1:18" x14ac:dyDescent="0.3">
      <c r="A401" s="23" t="s">
        <v>1004</v>
      </c>
      <c r="B401" s="23">
        <v>88316</v>
      </c>
      <c r="C401" s="23" t="str">
        <f>VLOOKUP(B401,IF(A401="COMPOSICAO",S!$A:$E,I!$A:$E),2,FALSE)</f>
        <v>SINAPI</v>
      </c>
      <c r="D401" s="24" t="str">
        <f>VLOOKUP(B401,IF(A401="COMPOSICAO",S!$A:$E,I!$A:$E),3,FALSE)</f>
        <v>SERVENTE COM ENCARGOS COMPLEMENTARES</v>
      </c>
      <c r="E401" s="23" t="str">
        <f>VLOOKUP(B401,IF(A401="COMPOSICAO",S!$A:$E,I!$A:$E),4,FALSE)</f>
        <v>H</v>
      </c>
      <c r="F401" s="23">
        <f>0.25/pcf</f>
        <v>0.25</v>
      </c>
      <c r="G401" s="76">
        <f>IF(A401="COMPOSICAO",VLOOKUP("TOTAL SEM BDI - "&amp;B401,CPUAUX1!$A:$J,9,FALSE),VLOOKUP(B401,I!$A:$E,5,FALSE))</f>
        <v>21.71</v>
      </c>
      <c r="H401" s="77"/>
      <c r="I401" s="76">
        <f t="shared" si="40"/>
        <v>5.42</v>
      </c>
      <c r="J401" s="77"/>
      <c r="M401" s="23">
        <f t="shared" si="41"/>
        <v>88316</v>
      </c>
      <c r="N401" s="5">
        <f>SUMIF(ORCAMENTO!B:B,B394,ORCAMENTO!F:F)</f>
        <v>36</v>
      </c>
      <c r="O401" s="23">
        <f t="shared" si="42"/>
        <v>9</v>
      </c>
      <c r="Q401" s="23">
        <f ca="1">IFERROR(SUMIF(CO!B:B,B394,OFFSET(CO!F:F,0,(4+MATCH(ETAPA,CO!$J$6:$V$6,0)))),0)</f>
        <v>12</v>
      </c>
      <c r="R401" s="23">
        <f t="shared" ca="1" si="43"/>
        <v>3</v>
      </c>
    </row>
    <row r="402" spans="1:18" x14ac:dyDescent="0.3">
      <c r="A402" s="73" t="str">
        <f>"TOTAL SEM BDI - "&amp;B394</f>
        <v>TOTAL SEM BDI - COMP219</v>
      </c>
      <c r="B402" s="74"/>
      <c r="C402" s="74"/>
      <c r="D402" s="74"/>
      <c r="E402" s="74"/>
      <c r="F402" s="74"/>
      <c r="G402" s="74"/>
      <c r="H402" s="75"/>
      <c r="I402" s="76">
        <f>SUM(I394:I401)</f>
        <v>189.43</v>
      </c>
      <c r="J402" s="77"/>
    </row>
    <row r="403" spans="1:18" x14ac:dyDescent="0.3">
      <c r="A403" s="73" t="str">
        <f>"TAXA DE BDI ("&amp;TEXT(BDI,"00,00")&amp;" %)"</f>
        <v>TAXA DE BDI (22,33 %)</v>
      </c>
      <c r="B403" s="74"/>
      <c r="C403" s="74"/>
      <c r="D403" s="74"/>
      <c r="E403" s="74"/>
      <c r="F403" s="74"/>
      <c r="G403" s="74"/>
      <c r="H403" s="75"/>
      <c r="I403" s="76">
        <f>ROUND(I402*(BDI/100),2)</f>
        <v>42.3</v>
      </c>
      <c r="J403" s="77"/>
    </row>
    <row r="404" spans="1:18" x14ac:dyDescent="0.3">
      <c r="A404" s="73" t="str">
        <f>"TOTAL COM BDI - "&amp;B394</f>
        <v>TOTAL COM BDI - COMP219</v>
      </c>
      <c r="B404" s="74"/>
      <c r="C404" s="74"/>
      <c r="D404" s="74"/>
      <c r="E404" s="74"/>
      <c r="F404" s="74"/>
      <c r="G404" s="74"/>
      <c r="H404" s="75"/>
      <c r="I404" s="76">
        <f>SUM(I402:I403)</f>
        <v>231.73000000000002</v>
      </c>
      <c r="J404" s="77"/>
    </row>
    <row r="406" spans="1:18" x14ac:dyDescent="0.3">
      <c r="A406" s="4" t="s">
        <v>1000</v>
      </c>
      <c r="B406" s="4" t="s">
        <v>170</v>
      </c>
      <c r="C406" s="4" t="s">
        <v>171</v>
      </c>
      <c r="D406" s="4" t="s">
        <v>18</v>
      </c>
      <c r="E406" s="4" t="s">
        <v>172</v>
      </c>
      <c r="F406" s="4" t="s">
        <v>507</v>
      </c>
      <c r="G406" s="45" t="s">
        <v>1001</v>
      </c>
      <c r="H406" s="46"/>
      <c r="I406" s="45" t="s">
        <v>12</v>
      </c>
      <c r="J406" s="46"/>
    </row>
    <row r="407" spans="1:18" ht="30" customHeight="1" x14ac:dyDescent="0.3">
      <c r="A407" s="15" t="s">
        <v>517</v>
      </c>
      <c r="B407" s="15" t="s">
        <v>606</v>
      </c>
      <c r="C407" s="15" t="str">
        <f>VLOOKUP(B407,S!$A:$G,2,FALSE)</f>
        <v>PRÓPRIA</v>
      </c>
      <c r="D407" s="22" t="str">
        <f>VLOOKUP(B407,S!$A:$G,3,FALSE)</f>
        <v>CAIAÇÃO EM TRES DEMÃOS EM PAREDES (REF: C0589-SEINFRA 28)</v>
      </c>
      <c r="E407" s="15" t="str">
        <f>VLOOKUP(B407,S!$A:$G,4,FALSE)</f>
        <v>M2</v>
      </c>
      <c r="F407" s="15"/>
      <c r="G407" s="78">
        <f>I410</f>
        <v>9.3800000000000008</v>
      </c>
      <c r="H407" s="79"/>
      <c r="I407" s="78"/>
      <c r="J407" s="79"/>
      <c r="K407" s="16">
        <f>VLOOKUP(B407,S!A:G,5,FALSE)</f>
        <v>0</v>
      </c>
      <c r="L407" s="15" t="s">
        <v>1003</v>
      </c>
    </row>
    <row r="408" spans="1:18" x14ac:dyDescent="0.3">
      <c r="A408" s="23" t="s">
        <v>1005</v>
      </c>
      <c r="B408" s="23" t="s">
        <v>1046</v>
      </c>
      <c r="C408" s="23" t="str">
        <f>VLOOKUP(B408,IF(A408="COMPOSICAO",S!$A:$E,I!$A:$E),2,FALSE)</f>
        <v>SEINFRA</v>
      </c>
      <c r="D408" s="24" t="str">
        <f>VLOOKUP(B408,IF(A408="COMPOSICAO",S!$A:$E,I!$A:$E),3,FALSE)</f>
        <v>SUPERCAL</v>
      </c>
      <c r="E408" s="23" t="str">
        <f>VLOOKUP(B408,IF(A408="COMPOSICAO",S!$A:$E,I!$A:$E),4,FALSE)</f>
        <v>KG</v>
      </c>
      <c r="F408" s="23">
        <v>0.45</v>
      </c>
      <c r="G408" s="76">
        <f>IF(A408="COMPOSICAO",VLOOKUP("TOTAL SEM BDI - "&amp;B408,CPUAUX1!$A:$J,9,FALSE),VLOOKUP(B408,I!$A:$E,5,FALSE))</f>
        <v>1.47</v>
      </c>
      <c r="H408" s="77"/>
      <c r="I408" s="76">
        <f>TRUNC(F408*G408,2)</f>
        <v>0.66</v>
      </c>
      <c r="J408" s="77"/>
      <c r="M408" s="23" t="str">
        <f>B408</f>
        <v>I2496</v>
      </c>
      <c r="N408" s="5">
        <f>SUMIF(ORCAMENTO!B:B,B407,ORCAMENTO!F:F)</f>
        <v>231.72</v>
      </c>
      <c r="O408" s="23">
        <f>F408*N408</f>
        <v>104.274</v>
      </c>
      <c r="Q408" s="23">
        <f ca="1">IFERROR(SUMIF(CO!B:B,B407,OFFSET(CO!F:F,0,(4+MATCH(ETAPA,CO!$J$6:$V$6,0)))),0)</f>
        <v>77.239999999999995</v>
      </c>
      <c r="R408" s="23">
        <f ca="1">F408*Q408</f>
        <v>34.757999999999996</v>
      </c>
    </row>
    <row r="409" spans="1:18" x14ac:dyDescent="0.3">
      <c r="A409" s="23" t="s">
        <v>1004</v>
      </c>
      <c r="B409" s="23">
        <v>88310</v>
      </c>
      <c r="C409" s="23" t="str">
        <f>VLOOKUP(B409,IF(A409="COMPOSICAO",S!$A:$E,I!$A:$E),2,FALSE)</f>
        <v>SINAPI</v>
      </c>
      <c r="D409" s="24" t="str">
        <f>VLOOKUP(B409,IF(A409="COMPOSICAO",S!$A:$E,I!$A:$E),3,FALSE)</f>
        <v>PINTOR COM ENCARGOS COMPLEMENTARES</v>
      </c>
      <c r="E409" s="23" t="str">
        <f>VLOOKUP(B409,IF(A409="COMPOSICAO",S!$A:$E,I!$A:$E),4,FALSE)</f>
        <v>H</v>
      </c>
      <c r="F409" s="23">
        <f>0.3/pcf</f>
        <v>0.3</v>
      </c>
      <c r="G409" s="76">
        <f>IF(A409="COMPOSICAO",VLOOKUP("TOTAL SEM BDI - "&amp;B409,CPUAUX1!$A:$J,9,FALSE),VLOOKUP(B409,I!$A:$E,5,FALSE))</f>
        <v>29.069999999999997</v>
      </c>
      <c r="H409" s="77"/>
      <c r="I409" s="76">
        <f>TRUNC(F409*G409,2)</f>
        <v>8.7200000000000006</v>
      </c>
      <c r="J409" s="77"/>
      <c r="M409" s="23">
        <f>B409</f>
        <v>88310</v>
      </c>
      <c r="N409" s="5">
        <f>SUMIF(ORCAMENTO!B:B,B407,ORCAMENTO!F:F)</f>
        <v>231.72</v>
      </c>
      <c r="O409" s="23">
        <f>F409*N409</f>
        <v>69.515999999999991</v>
      </c>
      <c r="Q409" s="23">
        <f ca="1">IFERROR(SUMIF(CO!B:B,B407,OFFSET(CO!F:F,0,(4+MATCH(ETAPA,CO!$J$6:$V$6,0)))),0)</f>
        <v>77.239999999999995</v>
      </c>
      <c r="R409" s="23">
        <f ca="1">F409*Q409</f>
        <v>23.171999999999997</v>
      </c>
    </row>
    <row r="410" spans="1:18" x14ac:dyDescent="0.3">
      <c r="A410" s="73" t="str">
        <f>"TOTAL SEM BDI - "&amp;B407</f>
        <v>TOTAL SEM BDI - COMP205</v>
      </c>
      <c r="B410" s="74"/>
      <c r="C410" s="74"/>
      <c r="D410" s="74"/>
      <c r="E410" s="74"/>
      <c r="F410" s="74"/>
      <c r="G410" s="74"/>
      <c r="H410" s="75"/>
      <c r="I410" s="76">
        <f>SUM(I407:I409)</f>
        <v>9.3800000000000008</v>
      </c>
      <c r="J410" s="77"/>
    </row>
    <row r="411" spans="1:18" x14ac:dyDescent="0.3">
      <c r="A411" s="73" t="str">
        <f>"TAXA DE BDI ("&amp;TEXT(BDI,"00,00")&amp;" %)"</f>
        <v>TAXA DE BDI (22,33 %)</v>
      </c>
      <c r="B411" s="74"/>
      <c r="C411" s="74"/>
      <c r="D411" s="74"/>
      <c r="E411" s="74"/>
      <c r="F411" s="74"/>
      <c r="G411" s="74"/>
      <c r="H411" s="75"/>
      <c r="I411" s="76">
        <f>ROUND(I410*(BDI/100),2)</f>
        <v>2.09</v>
      </c>
      <c r="J411" s="77"/>
    </row>
    <row r="412" spans="1:18" x14ac:dyDescent="0.3">
      <c r="A412" s="73" t="str">
        <f>"TOTAL COM BDI - "&amp;B407</f>
        <v>TOTAL COM BDI - COMP205</v>
      </c>
      <c r="B412" s="74"/>
      <c r="C412" s="74"/>
      <c r="D412" s="74"/>
      <c r="E412" s="74"/>
      <c r="F412" s="74"/>
      <c r="G412" s="74"/>
      <c r="H412" s="75"/>
      <c r="I412" s="76">
        <f>SUM(I410:I411)</f>
        <v>11.47</v>
      </c>
      <c r="J412" s="77"/>
    </row>
    <row r="414" spans="1:18" x14ac:dyDescent="0.3">
      <c r="A414" s="4" t="s">
        <v>1000</v>
      </c>
      <c r="B414" s="4" t="s">
        <v>170</v>
      </c>
      <c r="C414" s="4" t="s">
        <v>171</v>
      </c>
      <c r="D414" s="4" t="s">
        <v>18</v>
      </c>
      <c r="E414" s="4" t="s">
        <v>172</v>
      </c>
      <c r="F414" s="4" t="s">
        <v>507</v>
      </c>
      <c r="G414" s="45" t="s">
        <v>1001</v>
      </c>
      <c r="H414" s="46"/>
      <c r="I414" s="45" t="s">
        <v>12</v>
      </c>
      <c r="J414" s="46"/>
    </row>
    <row r="415" spans="1:18" ht="75" customHeight="1" x14ac:dyDescent="0.3">
      <c r="A415" s="15" t="s">
        <v>1047</v>
      </c>
      <c r="B415" s="15">
        <v>100758</v>
      </c>
      <c r="C415" s="15" t="str">
        <f>VLOOKUP(B415,S!$A:$G,2,FALSE)</f>
        <v>SINAPI</v>
      </c>
      <c r="D415" s="22" t="str">
        <f>VLOOKUP(B415,S!$A:$G,3,FALSE)</f>
        <v>PINTURA COM TINTA ALQUÍDICA DE ACABAMENTO (ESMALTE SINTÉTICO ACETINADO) APLICADA A ROLO OU PINCEL SOBRE SUPERFÍCIES METÁLICAS (EXCETO PERFIL) EXECUTADO EM OBRA (02 DEMÃOS). AF_01/2020</v>
      </c>
      <c r="E415" s="15" t="str">
        <f>VLOOKUP(B415,S!$A:$G,4,FALSE)</f>
        <v>M2</v>
      </c>
      <c r="F415" s="15"/>
      <c r="G415" s="78">
        <f>I419</f>
        <v>50.339999999999996</v>
      </c>
      <c r="H415" s="79"/>
      <c r="I415" s="78"/>
      <c r="J415" s="79"/>
      <c r="K415" s="16">
        <f>VLOOKUP(B415,S!A:G,5,FALSE)</f>
        <v>50.34</v>
      </c>
      <c r="L415" s="15" t="str">
        <f>IF(K415=G415,"OK, CONFORME TABELA",IF(G415&gt;K415,"ACIMA DA TABELA: ","ABAIXO DA TABELA: ")&amp;TRUNC((G415*100)/K415,2)&amp;" %")</f>
        <v>OK, CONFORME TABELA</v>
      </c>
    </row>
    <row r="416" spans="1:18" x14ac:dyDescent="0.3">
      <c r="A416" s="23" t="s">
        <v>1004</v>
      </c>
      <c r="B416" s="23">
        <v>88310</v>
      </c>
      <c r="C416" s="23" t="str">
        <f>VLOOKUP(B416,IF(A416="COMPOSICAO",S!$A:$E,I!$A:$E),2,FALSE)</f>
        <v>SINAPI</v>
      </c>
      <c r="D416" s="24" t="str">
        <f>VLOOKUP(B416,IF(A416="COMPOSICAO",S!$A:$E,I!$A:$E),3,FALSE)</f>
        <v>PINTOR COM ENCARGOS COMPLEMENTARES</v>
      </c>
      <c r="E416" s="23" t="str">
        <f>VLOOKUP(B416,IF(A416="COMPOSICAO",S!$A:$E,I!$A:$E),4,FALSE)</f>
        <v>H</v>
      </c>
      <c r="F416" s="23">
        <f>1.3559/pcf</f>
        <v>1.3559000000000001</v>
      </c>
      <c r="G416" s="76">
        <f>IF(A416="COMPOSICAO",VLOOKUP("TOTAL SEM BDI - "&amp;B416,CPUAUX1!$A:$J,9,FALSE),VLOOKUP(B416,I!$A:$E,5,FALSE))</f>
        <v>29.069999999999997</v>
      </c>
      <c r="H416" s="77"/>
      <c r="I416" s="76">
        <f>TRUNC(F416*G416,2)</f>
        <v>39.409999999999997</v>
      </c>
      <c r="J416" s="77"/>
      <c r="M416" s="23">
        <f>B416</f>
        <v>88310</v>
      </c>
      <c r="N416" s="5">
        <f>SUMIF(ORCAMENTO!B:B,B415,ORCAMENTO!F:F)</f>
        <v>20.16</v>
      </c>
      <c r="O416" s="23">
        <f>F416*N416</f>
        <v>27.334944000000004</v>
      </c>
      <c r="Q416" s="23">
        <f ca="1">IFERROR(SUMIF(CO!B:B,B415,OFFSET(CO!F:F,0,(4+MATCH(ETAPA,CO!$J$6:$V$6,0)))),0)</f>
        <v>6.72</v>
      </c>
      <c r="R416" s="23">
        <f ca="1">F416*Q416</f>
        <v>9.1116480000000006</v>
      </c>
    </row>
    <row r="417" spans="1:18" x14ac:dyDescent="0.3">
      <c r="A417" s="23" t="s">
        <v>1005</v>
      </c>
      <c r="B417" s="23">
        <v>7311</v>
      </c>
      <c r="C417" s="23" t="str">
        <f>VLOOKUP(B417,IF(A417="COMPOSICAO",S!$A:$E,I!$A:$E),2,FALSE)</f>
        <v>SINAPI</v>
      </c>
      <c r="D417" s="24" t="str">
        <f>VLOOKUP(B417,IF(A417="COMPOSICAO",S!$A:$E,I!$A:$E),3,FALSE)</f>
        <v>TINTA ESMALTE SINTETICO PREMIUM ACETINADO</v>
      </c>
      <c r="E417" s="23" t="str">
        <f>VLOOKUP(B417,IF(A417="COMPOSICAO",S!$A:$E,I!$A:$E),4,FALSE)</f>
        <v>L</v>
      </c>
      <c r="F417" s="23">
        <v>0.25490000000000002</v>
      </c>
      <c r="G417" s="76">
        <f>IF(A417="COMPOSICAO",VLOOKUP("TOTAL SEM BDI - "&amp;B417,CPUAUX1!$A:$J,9,FALSE),VLOOKUP(B417,I!$A:$E,5,FALSE))</f>
        <v>39.74</v>
      </c>
      <c r="H417" s="77"/>
      <c r="I417" s="76">
        <f>TRUNC(F417*G417,2)</f>
        <v>10.119999999999999</v>
      </c>
      <c r="J417" s="77"/>
      <c r="M417" s="23">
        <f>B417</f>
        <v>7311</v>
      </c>
      <c r="N417" s="5">
        <f>SUMIF(ORCAMENTO!B:B,B415,ORCAMENTO!F:F)</f>
        <v>20.16</v>
      </c>
      <c r="O417" s="23">
        <f>F417*N417</f>
        <v>5.1387840000000002</v>
      </c>
      <c r="Q417" s="23">
        <f ca="1">IFERROR(SUMIF(CO!B:B,B415,OFFSET(CO!F:F,0,(4+MATCH(ETAPA,CO!$J$6:$V$6,0)))),0)</f>
        <v>6.72</v>
      </c>
      <c r="R417" s="23">
        <f ca="1">F417*Q417</f>
        <v>1.712928</v>
      </c>
    </row>
    <row r="418" spans="1:18" x14ac:dyDescent="0.3">
      <c r="A418" s="23" t="s">
        <v>1005</v>
      </c>
      <c r="B418" s="23">
        <v>5318</v>
      </c>
      <c r="C418" s="23" t="str">
        <f>VLOOKUP(B418,IF(A418="COMPOSICAO",S!$A:$E,I!$A:$E),2,FALSE)</f>
        <v>SINAPI</v>
      </c>
      <c r="D418" s="24" t="str">
        <f>VLOOKUP(B418,IF(A418="COMPOSICAO",S!$A:$E,I!$A:$E),3,FALSE)</f>
        <v>DILUENTE AGUARRAS</v>
      </c>
      <c r="E418" s="23" t="str">
        <f>VLOOKUP(B418,IF(A418="COMPOSICAO",S!$A:$E,I!$A:$E),4,FALSE)</f>
        <v>L</v>
      </c>
      <c r="F418" s="23">
        <v>2.5499999999999998E-2</v>
      </c>
      <c r="G418" s="76">
        <f>IF(A418="COMPOSICAO",VLOOKUP("TOTAL SEM BDI - "&amp;B418,CPUAUX1!$A:$J,9,FALSE),VLOOKUP(B418,I!$A:$E,5,FALSE))</f>
        <v>31.92</v>
      </c>
      <c r="H418" s="77"/>
      <c r="I418" s="76">
        <f>TRUNC(F418*G418,2)</f>
        <v>0.81</v>
      </c>
      <c r="J418" s="77"/>
      <c r="M418" s="23">
        <f>B418</f>
        <v>5318</v>
      </c>
      <c r="N418" s="5">
        <f>SUMIF(ORCAMENTO!B:B,B415,ORCAMENTO!F:F)</f>
        <v>20.16</v>
      </c>
      <c r="O418" s="23">
        <f>F418*N418</f>
        <v>0.51407999999999998</v>
      </c>
      <c r="Q418" s="23">
        <f ca="1">IFERROR(SUMIF(CO!B:B,B415,OFFSET(CO!F:F,0,(4+MATCH(ETAPA,CO!$J$6:$V$6,0)))),0)</f>
        <v>6.72</v>
      </c>
      <c r="R418" s="23">
        <f ca="1">F418*Q418</f>
        <v>0.17135999999999998</v>
      </c>
    </row>
    <row r="419" spans="1:18" x14ac:dyDescent="0.3">
      <c r="A419" s="73" t="str">
        <f>"TOTAL SEM BDI - "&amp;B415</f>
        <v>TOTAL SEM BDI - 100758</v>
      </c>
      <c r="B419" s="74"/>
      <c r="C419" s="74"/>
      <c r="D419" s="74"/>
      <c r="E419" s="74"/>
      <c r="F419" s="74"/>
      <c r="G419" s="74"/>
      <c r="H419" s="75"/>
      <c r="I419" s="76">
        <f>SUM(I415:I418)</f>
        <v>50.339999999999996</v>
      </c>
      <c r="J419" s="77"/>
    </row>
    <row r="420" spans="1:18" x14ac:dyDescent="0.3">
      <c r="A420" s="73" t="str">
        <f>"TAXA DE BDI ("&amp;TEXT(BDI,"00,00")&amp;" %)"</f>
        <v>TAXA DE BDI (22,33 %)</v>
      </c>
      <c r="B420" s="74"/>
      <c r="C420" s="74"/>
      <c r="D420" s="74"/>
      <c r="E420" s="74"/>
      <c r="F420" s="74"/>
      <c r="G420" s="74"/>
      <c r="H420" s="75"/>
      <c r="I420" s="76">
        <f>ROUND(I419*(BDI/100),2)</f>
        <v>11.24</v>
      </c>
      <c r="J420" s="77"/>
    </row>
    <row r="421" spans="1:18" x14ac:dyDescent="0.3">
      <c r="A421" s="73" t="str">
        <f>"TOTAL COM BDI - "&amp;B415</f>
        <v>TOTAL COM BDI - 100758</v>
      </c>
      <c r="B421" s="74"/>
      <c r="C421" s="74"/>
      <c r="D421" s="74"/>
      <c r="E421" s="74"/>
      <c r="F421" s="74"/>
      <c r="G421" s="74"/>
      <c r="H421" s="75"/>
      <c r="I421" s="76">
        <f>SUM(I419:I420)</f>
        <v>61.58</v>
      </c>
      <c r="J421" s="77"/>
    </row>
    <row r="423" spans="1:18" x14ac:dyDescent="0.3">
      <c r="A423" s="4" t="s">
        <v>1000</v>
      </c>
      <c r="B423" s="4" t="s">
        <v>170</v>
      </c>
      <c r="C423" s="4" t="s">
        <v>171</v>
      </c>
      <c r="D423" s="4" t="s">
        <v>18</v>
      </c>
      <c r="E423" s="4" t="s">
        <v>172</v>
      </c>
      <c r="F423" s="4" t="s">
        <v>507</v>
      </c>
      <c r="G423" s="45" t="s">
        <v>1001</v>
      </c>
      <c r="H423" s="46"/>
      <c r="I423" s="45" t="s">
        <v>12</v>
      </c>
      <c r="J423" s="46"/>
    </row>
    <row r="424" spans="1:18" ht="75" customHeight="1" x14ac:dyDescent="0.3">
      <c r="A424" s="15" t="s">
        <v>1048</v>
      </c>
      <c r="B424" s="15">
        <v>101197</v>
      </c>
      <c r="C424" s="15" t="str">
        <f>VLOOKUP(B424,S!$A:$G,2,FALSE)</f>
        <v>SINAPI</v>
      </c>
      <c r="D424" s="22" t="str">
        <f>VLOOKUP(B424,S!$A:$G,3,FALSE)</f>
        <v>CERCA COM MOURÕES DE CONCRETO, SEÇÃO "T" PONTA INCLINADA, 10X10 CM, ESPAÇAMENTO DE 2,5 M, CRAVADOS 0,5 M, COM 11 FIOS DE ARAME FARPADO Nº 14 - FORNECIMENTO E INSTALAÇÃO. AF_05/2020</v>
      </c>
      <c r="E424" s="15" t="str">
        <f>VLOOKUP(B424,S!$A:$G,4,FALSE)</f>
        <v>M</v>
      </c>
      <c r="F424" s="15"/>
      <c r="G424" s="78">
        <f>I431</f>
        <v>130.54</v>
      </c>
      <c r="H424" s="79"/>
      <c r="I424" s="78"/>
      <c r="J424" s="79"/>
      <c r="K424" s="16">
        <f>VLOOKUP(B424,S!A:G,5,FALSE)</f>
        <v>130.54</v>
      </c>
      <c r="L424" s="15" t="str">
        <f>IF(K424=G424,"OK, CONFORME TABELA",IF(G424&gt;K424,"ACIMA DA TABELA: ","ABAIXO DA TABELA: ")&amp;TRUNC((G424*100)/K424,2)&amp;" %")</f>
        <v>OK, CONFORME TABELA</v>
      </c>
    </row>
    <row r="425" spans="1:18" ht="60" customHeight="1" x14ac:dyDescent="0.3">
      <c r="A425" s="23" t="s">
        <v>1004</v>
      </c>
      <c r="B425" s="23">
        <v>94962</v>
      </c>
      <c r="C425" s="23" t="str">
        <f>VLOOKUP(B425,IF(A425="COMPOSICAO",S!$A:$E,I!$A:$E),2,FALSE)</f>
        <v>SINAPI</v>
      </c>
      <c r="D425" s="24" t="str">
        <f>VLOOKUP(B425,IF(A425="COMPOSICAO",S!$A:$E,I!$A:$E),3,FALSE)</f>
        <v>CONCRETO MAGRO PARA LASTRO, TRAÇO 1:4,5:4,5 (EM MASSA SECA DE CIMENTO/ AREIA MÉDIA/ BRITA 1) - PREPARO MECÂNICO COM BETONEIRA 400 L. AF_05/2021</v>
      </c>
      <c r="E425" s="23" t="str">
        <f>VLOOKUP(B425,IF(A425="COMPOSICAO",S!$A:$E,I!$A:$E),4,FALSE)</f>
        <v>M3</v>
      </c>
      <c r="F425" s="23">
        <v>0.09</v>
      </c>
      <c r="G425" s="76">
        <f>IF(A425="COMPOSICAO",VLOOKUP("TOTAL SEM BDI - "&amp;B425,CPUAUX1!$A:$J,9,FALSE),VLOOKUP(B425,I!$A:$E,5,FALSE))</f>
        <v>515.14</v>
      </c>
      <c r="H425" s="77"/>
      <c r="I425" s="76">
        <f t="shared" ref="I425:I430" si="44">TRUNC(F425*G425,2)</f>
        <v>46.36</v>
      </c>
      <c r="J425" s="77"/>
      <c r="M425" s="23">
        <f t="shared" ref="M425:M430" si="45">B425</f>
        <v>94962</v>
      </c>
      <c r="N425" s="5">
        <f>SUMIF(ORCAMENTO!B:B,B424,ORCAMENTO!F:F)</f>
        <v>222</v>
      </c>
      <c r="O425" s="23">
        <f t="shared" ref="O425:O430" si="46">F425*N425</f>
        <v>19.98</v>
      </c>
      <c r="Q425" s="23">
        <f ca="1">IFERROR(SUMIF(CO!B:B,B424,OFFSET(CO!F:F,0,(4+MATCH(ETAPA,CO!$J$6:$V$6,0)))),0)</f>
        <v>74</v>
      </c>
      <c r="R425" s="23">
        <f t="shared" ref="R425:R430" ca="1" si="47">F425*Q425</f>
        <v>6.66</v>
      </c>
    </row>
    <row r="426" spans="1:18" x14ac:dyDescent="0.3">
      <c r="A426" s="23" t="s">
        <v>1004</v>
      </c>
      <c r="B426" s="23">
        <v>88316</v>
      </c>
      <c r="C426" s="23" t="str">
        <f>VLOOKUP(B426,IF(A426="COMPOSICAO",S!$A:$E,I!$A:$E),2,FALSE)</f>
        <v>SINAPI</v>
      </c>
      <c r="D426" s="24" t="str">
        <f>VLOOKUP(B426,IF(A426="COMPOSICAO",S!$A:$E,I!$A:$E),3,FALSE)</f>
        <v>SERVENTE COM ENCARGOS COMPLEMENTARES</v>
      </c>
      <c r="E426" s="23" t="str">
        <f>VLOOKUP(B426,IF(A426="COMPOSICAO",S!$A:$E,I!$A:$E),4,FALSE)</f>
        <v>H</v>
      </c>
      <c r="F426" s="23">
        <f>0.8519/pcf</f>
        <v>0.85189999999999999</v>
      </c>
      <c r="G426" s="76">
        <f>IF(A426="COMPOSICAO",VLOOKUP("TOTAL SEM BDI - "&amp;B426,CPUAUX1!$A:$J,9,FALSE),VLOOKUP(B426,I!$A:$E,5,FALSE))</f>
        <v>21.71</v>
      </c>
      <c r="H426" s="77"/>
      <c r="I426" s="76">
        <f t="shared" si="44"/>
        <v>18.489999999999998</v>
      </c>
      <c r="J426" s="77"/>
      <c r="M426" s="23">
        <f t="shared" si="45"/>
        <v>88316</v>
      </c>
      <c r="N426" s="5">
        <f>SUMIF(ORCAMENTO!B:B,B424,ORCAMENTO!F:F)</f>
        <v>222</v>
      </c>
      <c r="O426" s="23">
        <f t="shared" si="46"/>
        <v>189.12180000000001</v>
      </c>
      <c r="Q426" s="23">
        <f ca="1">IFERROR(SUMIF(CO!B:B,B424,OFFSET(CO!F:F,0,(4+MATCH(ETAPA,CO!$J$6:$V$6,0)))),0)</f>
        <v>74</v>
      </c>
      <c r="R426" s="23">
        <f t="shared" ca="1" si="47"/>
        <v>63.040599999999998</v>
      </c>
    </row>
    <row r="427" spans="1:18" x14ac:dyDescent="0.3">
      <c r="A427" s="23" t="s">
        <v>1004</v>
      </c>
      <c r="B427" s="23">
        <v>88309</v>
      </c>
      <c r="C427" s="23" t="str">
        <f>VLOOKUP(B427,IF(A427="COMPOSICAO",S!$A:$E,I!$A:$E),2,FALSE)</f>
        <v>SINAPI</v>
      </c>
      <c r="D427" s="24" t="str">
        <f>VLOOKUP(B427,IF(A427="COMPOSICAO",S!$A:$E,I!$A:$E),3,FALSE)</f>
        <v>PEDREIRO COM ENCARGOS COMPLEMENTARES</v>
      </c>
      <c r="E427" s="23" t="str">
        <f>VLOOKUP(B427,IF(A427="COMPOSICAO",S!$A:$E,I!$A:$E),4,FALSE)</f>
        <v>H</v>
      </c>
      <c r="F427" s="23">
        <f>0.8519/pcf</f>
        <v>0.85189999999999999</v>
      </c>
      <c r="G427" s="76">
        <f>IF(A427="COMPOSICAO",VLOOKUP("TOTAL SEM BDI - "&amp;B427,CPUAUX1!$A:$J,9,FALSE),VLOOKUP(B427,I!$A:$E,5,FALSE))</f>
        <v>27.39</v>
      </c>
      <c r="H427" s="77"/>
      <c r="I427" s="76">
        <f t="shared" si="44"/>
        <v>23.33</v>
      </c>
      <c r="J427" s="77"/>
      <c r="M427" s="23">
        <f t="shared" si="45"/>
        <v>88309</v>
      </c>
      <c r="N427" s="5">
        <f>SUMIF(ORCAMENTO!B:B,B424,ORCAMENTO!F:F)</f>
        <v>222</v>
      </c>
      <c r="O427" s="23">
        <f t="shared" si="46"/>
        <v>189.12180000000001</v>
      </c>
      <c r="Q427" s="23">
        <f ca="1">IFERROR(SUMIF(CO!B:B,B424,OFFSET(CO!F:F,0,(4+MATCH(ETAPA,CO!$J$6:$V$6,0)))),0)</f>
        <v>74</v>
      </c>
      <c r="R427" s="23">
        <f t="shared" ca="1" si="47"/>
        <v>63.040599999999998</v>
      </c>
    </row>
    <row r="428" spans="1:18" ht="30" customHeight="1" x14ac:dyDescent="0.3">
      <c r="A428" s="23" t="s">
        <v>1005</v>
      </c>
      <c r="B428" s="23">
        <v>43130</v>
      </c>
      <c r="C428" s="23" t="str">
        <f>VLOOKUP(B428,IF(A428="COMPOSICAO",S!$A:$E,I!$A:$E),2,FALSE)</f>
        <v>SINAPI</v>
      </c>
      <c r="D428" s="24" t="str">
        <f>VLOOKUP(B428,IF(A428="COMPOSICAO",S!$A:$E,I!$A:$E),3,FALSE)</f>
        <v>ARAME GALVANIZADO 12 BWG, D = 2,76 MM (0,048 KG/M) OU 14 BWG, D = 2,11 MM (0,026 KG/M)</v>
      </c>
      <c r="E428" s="23" t="str">
        <f>VLOOKUP(B428,IF(A428="COMPOSICAO",S!$A:$E,I!$A:$E),4,FALSE)</f>
        <v>KG</v>
      </c>
      <c r="F428" s="23">
        <v>7.9000000000000001E-2</v>
      </c>
      <c r="G428" s="76">
        <f>IF(A428="COMPOSICAO",VLOOKUP("TOTAL SEM BDI - "&amp;B428,CPUAUX1!$A:$J,9,FALSE),VLOOKUP(B428,I!$A:$E,5,FALSE))</f>
        <v>22.18</v>
      </c>
      <c r="H428" s="77"/>
      <c r="I428" s="76">
        <f t="shared" si="44"/>
        <v>1.75</v>
      </c>
      <c r="J428" s="77"/>
      <c r="M428" s="23">
        <f t="shared" si="45"/>
        <v>43130</v>
      </c>
      <c r="N428" s="5">
        <f>SUMIF(ORCAMENTO!B:B,B424,ORCAMENTO!F:F)</f>
        <v>222</v>
      </c>
      <c r="O428" s="23">
        <f t="shared" si="46"/>
        <v>17.538</v>
      </c>
      <c r="Q428" s="23">
        <f ca="1">IFERROR(SUMIF(CO!B:B,B424,OFFSET(CO!F:F,0,(4+MATCH(ETAPA,CO!$J$6:$V$6,0)))),0)</f>
        <v>74</v>
      </c>
      <c r="R428" s="23">
        <f t="shared" ca="1" si="47"/>
        <v>5.8460000000000001</v>
      </c>
    </row>
    <row r="429" spans="1:18" ht="30" customHeight="1" x14ac:dyDescent="0.3">
      <c r="A429" s="23" t="s">
        <v>1005</v>
      </c>
      <c r="B429" s="23">
        <v>4114</v>
      </c>
      <c r="C429" s="23" t="str">
        <f>VLOOKUP(B429,IF(A429="COMPOSICAO",S!$A:$E,I!$A:$E),2,FALSE)</f>
        <v>SINAPI</v>
      </c>
      <c r="D429" s="24" t="str">
        <f>VLOOKUP(B429,IF(A429="COMPOSICAO",S!$A:$E,I!$A:$E),3,FALSE)</f>
        <v>MOURAO CONCRETO CURVO, SECAO "T", H = 2,80 M + CURVA COM 0,45 M, COM FUROS PARA FIOS</v>
      </c>
      <c r="E429" s="23" t="str">
        <f>VLOOKUP(B429,IF(A429="COMPOSICAO",S!$A:$E,I!$A:$E),4,FALSE)</f>
        <v>UN</v>
      </c>
      <c r="F429" s="23">
        <v>0.4</v>
      </c>
      <c r="G429" s="76">
        <f>IF(A429="COMPOSICAO",VLOOKUP("TOTAL SEM BDI - "&amp;B429,CPUAUX1!$A:$J,9,FALSE),VLOOKUP(B429,I!$A:$E,5,FALSE))</f>
        <v>64.400000000000006</v>
      </c>
      <c r="H429" s="77"/>
      <c r="I429" s="76">
        <f t="shared" si="44"/>
        <v>25.76</v>
      </c>
      <c r="J429" s="77"/>
      <c r="M429" s="23">
        <f t="shared" si="45"/>
        <v>4114</v>
      </c>
      <c r="N429" s="5">
        <f>SUMIF(ORCAMENTO!B:B,B424,ORCAMENTO!F:F)</f>
        <v>222</v>
      </c>
      <c r="O429" s="23">
        <f t="shared" si="46"/>
        <v>88.800000000000011</v>
      </c>
      <c r="Q429" s="23">
        <f ca="1">IFERROR(SUMIF(CO!B:B,B424,OFFSET(CO!F:F,0,(4+MATCH(ETAPA,CO!$J$6:$V$6,0)))),0)</f>
        <v>74</v>
      </c>
      <c r="R429" s="23">
        <f t="shared" ca="1" si="47"/>
        <v>29.6</v>
      </c>
    </row>
    <row r="430" spans="1:18" ht="30" customHeight="1" x14ac:dyDescent="0.3">
      <c r="A430" s="23" t="s">
        <v>1005</v>
      </c>
      <c r="B430" s="23">
        <v>339</v>
      </c>
      <c r="C430" s="23" t="str">
        <f>VLOOKUP(B430,IF(A430="COMPOSICAO",S!$A:$E,I!$A:$E),2,FALSE)</f>
        <v>SINAPI</v>
      </c>
      <c r="D430" s="24" t="str">
        <f>VLOOKUP(B430,IF(A430="COMPOSICAO",S!$A:$E,I!$A:$E),3,FALSE)</f>
        <v>ARAME FARPADO GALVANIZADO, 14 BWG (2,11 MM), CLASSE 250</v>
      </c>
      <c r="E430" s="23" t="str">
        <f>VLOOKUP(B430,IF(A430="COMPOSICAO",S!$A:$E,I!$A:$E),4,FALSE)</f>
        <v>M</v>
      </c>
      <c r="F430" s="23">
        <v>11</v>
      </c>
      <c r="G430" s="76">
        <f>IF(A430="COMPOSICAO",VLOOKUP("TOTAL SEM BDI - "&amp;B430,CPUAUX1!$A:$J,9,FALSE),VLOOKUP(B430,I!$A:$E,5,FALSE))</f>
        <v>1.35</v>
      </c>
      <c r="H430" s="77"/>
      <c r="I430" s="76">
        <f t="shared" si="44"/>
        <v>14.85</v>
      </c>
      <c r="J430" s="77"/>
      <c r="M430" s="23">
        <f t="shared" si="45"/>
        <v>339</v>
      </c>
      <c r="N430" s="5">
        <f>SUMIF(ORCAMENTO!B:B,B424,ORCAMENTO!F:F)</f>
        <v>222</v>
      </c>
      <c r="O430" s="23">
        <f t="shared" si="46"/>
        <v>2442</v>
      </c>
      <c r="Q430" s="23">
        <f ca="1">IFERROR(SUMIF(CO!B:B,B424,OFFSET(CO!F:F,0,(4+MATCH(ETAPA,CO!$J$6:$V$6,0)))),0)</f>
        <v>74</v>
      </c>
      <c r="R430" s="23">
        <f t="shared" ca="1" si="47"/>
        <v>814</v>
      </c>
    </row>
    <row r="431" spans="1:18" x14ac:dyDescent="0.3">
      <c r="A431" s="73" t="str">
        <f>"TOTAL SEM BDI - "&amp;B424</f>
        <v>TOTAL SEM BDI - 101197</v>
      </c>
      <c r="B431" s="74"/>
      <c r="C431" s="74"/>
      <c r="D431" s="74"/>
      <c r="E431" s="74"/>
      <c r="F431" s="74"/>
      <c r="G431" s="74"/>
      <c r="H431" s="75"/>
      <c r="I431" s="76">
        <f>SUM(I424:I430)</f>
        <v>130.54</v>
      </c>
      <c r="J431" s="77"/>
    </row>
    <row r="432" spans="1:18" x14ac:dyDescent="0.3">
      <c r="A432" s="73" t="str">
        <f>"TAXA DE BDI ("&amp;TEXT(BDI,"00,00")&amp;" %)"</f>
        <v>TAXA DE BDI (22,33 %)</v>
      </c>
      <c r="B432" s="74"/>
      <c r="C432" s="74"/>
      <c r="D432" s="74"/>
      <c r="E432" s="74"/>
      <c r="F432" s="74"/>
      <c r="G432" s="74"/>
      <c r="H432" s="75"/>
      <c r="I432" s="76">
        <f>ROUND(I431*(BDI/100),2)</f>
        <v>29.15</v>
      </c>
      <c r="J432" s="77"/>
    </row>
    <row r="433" spans="1:18" x14ac:dyDescent="0.3">
      <c r="A433" s="73" t="str">
        <f>"TOTAL COM BDI - "&amp;B424</f>
        <v>TOTAL COM BDI - 101197</v>
      </c>
      <c r="B433" s="74"/>
      <c r="C433" s="74"/>
      <c r="D433" s="74"/>
      <c r="E433" s="74"/>
      <c r="F433" s="74"/>
      <c r="G433" s="74"/>
      <c r="H433" s="75"/>
      <c r="I433" s="76">
        <f>SUM(I431:I432)</f>
        <v>159.69</v>
      </c>
      <c r="J433" s="77"/>
    </row>
    <row r="435" spans="1:18" x14ac:dyDescent="0.3">
      <c r="A435" s="4" t="s">
        <v>1000</v>
      </c>
      <c r="B435" s="4" t="s">
        <v>170</v>
      </c>
      <c r="C435" s="4" t="s">
        <v>171</v>
      </c>
      <c r="D435" s="4" t="s">
        <v>18</v>
      </c>
      <c r="E435" s="4" t="s">
        <v>172</v>
      </c>
      <c r="F435" s="4" t="s">
        <v>507</v>
      </c>
      <c r="G435" s="45" t="s">
        <v>1001</v>
      </c>
      <c r="H435" s="46"/>
      <c r="I435" s="45" t="s">
        <v>12</v>
      </c>
      <c r="J435" s="46"/>
    </row>
    <row r="436" spans="1:18" ht="75" customHeight="1" x14ac:dyDescent="0.3">
      <c r="A436" s="15" t="s">
        <v>517</v>
      </c>
      <c r="B436" s="15" t="s">
        <v>615</v>
      </c>
      <c r="C436" s="15" t="str">
        <f>VLOOKUP(B436,S!$A:$G,2,FALSE)</f>
        <v>PRÓPRIA</v>
      </c>
      <c r="D436" s="22" t="str">
        <f>VLOOKUP(B436,S!$A:$G,3,FALSE)</f>
        <v>FORNECIMENTO E INSTALAÇÃO DE KIT DE BOMBEAMENTO SOLAR P/ POÇO COM PROFUNDIDADE DE 100 A 120 M, INCLUSO BOMBA 3CV, INVERSOR, PAINÉIS, QUADRO DE COMANDO, DISJUNTORES, CABOS E CONEXÕES E ESTRUTURA TIPO SOLO</v>
      </c>
      <c r="E436" s="15" t="str">
        <f>VLOOKUP(B436,S!$A:$G,4,FALSE)</f>
        <v>UND</v>
      </c>
      <c r="F436" s="15"/>
      <c r="G436" s="78">
        <f>I450</f>
        <v>12042.74</v>
      </c>
      <c r="H436" s="79"/>
      <c r="I436" s="78"/>
      <c r="J436" s="79"/>
      <c r="K436" s="16">
        <f>VLOOKUP(B436,S!A:G,5,FALSE)</f>
        <v>0</v>
      </c>
      <c r="L436" s="15" t="s">
        <v>1003</v>
      </c>
    </row>
    <row r="437" spans="1:18" ht="30" customHeight="1" x14ac:dyDescent="0.3">
      <c r="A437" s="23" t="s">
        <v>1011</v>
      </c>
      <c r="B437" s="23" t="s">
        <v>1049</v>
      </c>
      <c r="C437" s="23" t="str">
        <f>VLOOKUP(B437,IF(A437="COMPOSICAO",S!$A:$E,I!$A:$E),2,FALSE)</f>
        <v>PRÓPRIA</v>
      </c>
      <c r="D437" s="24" t="str">
        <f>VLOOKUP(B437,IF(A437="COMPOSICAO",S!$A:$E,I!$A:$E),3,FALSE)</f>
        <v>BOMBA SUBMERSA 3 CV TRIFÁSICA MODELO 4R5PA-18  LEÃO OU SIMILAR</v>
      </c>
      <c r="E437" s="23" t="str">
        <f>VLOOKUP(B437,IF(A437="COMPOSICAO",S!$A:$E,I!$A:$E),4,FALSE)</f>
        <v>UND</v>
      </c>
      <c r="F437" s="23">
        <v>1</v>
      </c>
      <c r="G437" s="76">
        <f>IF(A437="COMPOSICAO",VLOOKUP("TOTAL SEM BDI - "&amp;B437,CPUAUX1!$A:$J,9,FALSE),VLOOKUP(B437,I!$A:$E,5,FALSE))</f>
        <v>2095</v>
      </c>
      <c r="H437" s="77"/>
      <c r="I437" s="76">
        <f t="shared" ref="I437:I449" si="48">TRUNC(F437*G437,2)</f>
        <v>2095</v>
      </c>
      <c r="J437" s="77"/>
      <c r="M437" s="23" t="str">
        <f t="shared" ref="M437:M449" si="49">B437</f>
        <v>COTA111</v>
      </c>
      <c r="N437" s="5">
        <f>SUMIF(ORCAMENTO!B:B,B436,ORCAMENTO!F:F)</f>
        <v>6</v>
      </c>
      <c r="O437" s="23">
        <f t="shared" ref="O437:O449" si="50">F437*N437</f>
        <v>6</v>
      </c>
      <c r="Q437" s="23">
        <f ca="1">IFERROR(SUMIF(CO!B:B,B436,OFFSET(CO!F:F,0,(4+MATCH(ETAPA,CO!$J$6:$V$6,0)))),0)</f>
        <v>2</v>
      </c>
      <c r="R437" s="23">
        <f t="shared" ref="R437:R449" ca="1" si="51">F437*Q437</f>
        <v>2</v>
      </c>
    </row>
    <row r="438" spans="1:18" ht="28.8" x14ac:dyDescent="0.3">
      <c r="A438" s="23" t="s">
        <v>1011</v>
      </c>
      <c r="B438" s="23" t="s">
        <v>1050</v>
      </c>
      <c r="C438" s="23" t="str">
        <f>VLOOKUP(B438,IF(A438="COMPOSICAO",S!$A:$E,I!$A:$E),2,FALSE)</f>
        <v>PRÓPRIA</v>
      </c>
      <c r="D438" s="24" t="str">
        <f>VLOOKUP(B438,IF(A438="COMPOSICAO",S!$A:$E,I!$A:$E),3,FALSE)</f>
        <v>PAINEL FOTOVOLTÁICO 605 W, 2384 MM X 1134 MM X 30 MM, TSUN OU SIMILAR</v>
      </c>
      <c r="E438" s="23" t="str">
        <f>VLOOKUP(B438,IF(A438="COMPOSICAO",S!$A:$E,I!$A:$E),4,FALSE)</f>
        <v>UND</v>
      </c>
      <c r="F438" s="23">
        <v>8</v>
      </c>
      <c r="G438" s="76">
        <f>IF(A438="COMPOSICAO",VLOOKUP("TOTAL SEM BDI - "&amp;B438,CPUAUX1!$A:$J,9,FALSE),VLOOKUP(B438,I!$A:$E,5,FALSE))</f>
        <v>659</v>
      </c>
      <c r="H438" s="77"/>
      <c r="I438" s="76">
        <f t="shared" si="48"/>
        <v>5272</v>
      </c>
      <c r="J438" s="77"/>
      <c r="M438" s="23" t="str">
        <f t="shared" si="49"/>
        <v>COTA121</v>
      </c>
      <c r="N438" s="5">
        <f>SUMIF(ORCAMENTO!B:B,B436,ORCAMENTO!F:F)</f>
        <v>6</v>
      </c>
      <c r="O438" s="23">
        <f t="shared" si="50"/>
        <v>48</v>
      </c>
      <c r="Q438" s="23">
        <f ca="1">IFERROR(SUMIF(CO!B:B,B436,OFFSET(CO!F:F,0,(4+MATCH(ETAPA,CO!$J$6:$V$6,0)))),0)</f>
        <v>2</v>
      </c>
      <c r="R438" s="23">
        <f t="shared" ca="1" si="51"/>
        <v>16</v>
      </c>
    </row>
    <row r="439" spans="1:18" ht="30" customHeight="1" x14ac:dyDescent="0.3">
      <c r="A439" s="23" t="s">
        <v>1011</v>
      </c>
      <c r="B439" s="23" t="s">
        <v>1051</v>
      </c>
      <c r="C439" s="23" t="str">
        <f>VLOOKUP(B439,IF(A439="COMPOSICAO",S!$A:$E,I!$A:$E),2,FALSE)</f>
        <v>PRÓPRIA</v>
      </c>
      <c r="D439" s="24" t="str">
        <f>VLOOKUP(B439,IF(A439="COMPOSICAO",S!$A:$E,I!$A:$E),3,FALSE)</f>
        <v>INVERSOR PARA BOMBEAMENTO SOLAR TRIFÁSICO 220V – 2.2KW, COM FREQUÊNCIA DE ENTRADA 50/60 HZ, POWTRAN OU SILIMAR</v>
      </c>
      <c r="E439" s="23" t="str">
        <f>VLOOKUP(B439,IF(A439="COMPOSICAO",S!$A:$E,I!$A:$E),4,FALSE)</f>
        <v>UND</v>
      </c>
      <c r="F439" s="23">
        <v>1</v>
      </c>
      <c r="G439" s="76">
        <f>IF(A439="COMPOSICAO",VLOOKUP("TOTAL SEM BDI - "&amp;B439,CPUAUX1!$A:$J,9,FALSE),VLOOKUP(B439,I!$A:$E,5,FALSE))</f>
        <v>1700</v>
      </c>
      <c r="H439" s="77"/>
      <c r="I439" s="76">
        <f t="shared" si="48"/>
        <v>1700</v>
      </c>
      <c r="J439" s="77"/>
      <c r="M439" s="23" t="str">
        <f t="shared" si="49"/>
        <v>COTA131</v>
      </c>
      <c r="N439" s="5">
        <f>SUMIF(ORCAMENTO!B:B,B436,ORCAMENTO!F:F)</f>
        <v>6</v>
      </c>
      <c r="O439" s="23">
        <f t="shared" si="50"/>
        <v>6</v>
      </c>
      <c r="Q439" s="23">
        <f ca="1">IFERROR(SUMIF(CO!B:B,B436,OFFSET(CO!F:F,0,(4+MATCH(ETAPA,CO!$J$6:$V$6,0)))),0)</f>
        <v>2</v>
      </c>
      <c r="R439" s="23">
        <f t="shared" ca="1" si="51"/>
        <v>2</v>
      </c>
    </row>
    <row r="440" spans="1:18" ht="28.8" x14ac:dyDescent="0.3">
      <c r="A440" s="23" t="s">
        <v>1011</v>
      </c>
      <c r="B440" s="23" t="s">
        <v>1052</v>
      </c>
      <c r="C440" s="23" t="str">
        <f>VLOOKUP(B440,IF(A440="COMPOSICAO",S!$A:$E,I!$A:$E),2,FALSE)</f>
        <v>PRÓPRIA</v>
      </c>
      <c r="D440" s="24" t="str">
        <f>VLOOKUP(B440,IF(A440="COMPOSICAO",S!$A:$E,I!$A:$E),3,FALSE)</f>
        <v>DISPOSITIVO CONTRA SURTO DE TENSÃO - DPS CORRENTE CONTÍNUA 1000 VDC</v>
      </c>
      <c r="E440" s="23" t="str">
        <f>VLOOKUP(B440,IF(A440="COMPOSICAO",S!$A:$E,I!$A:$E),4,FALSE)</f>
        <v>UND</v>
      </c>
      <c r="F440" s="23">
        <v>1</v>
      </c>
      <c r="G440" s="76">
        <f>IF(A440="COMPOSICAO",VLOOKUP("TOTAL SEM BDI - "&amp;B440,CPUAUX1!$A:$J,9,FALSE),VLOOKUP(B440,I!$A:$E,5,FALSE))</f>
        <v>120</v>
      </c>
      <c r="H440" s="77"/>
      <c r="I440" s="76">
        <f t="shared" si="48"/>
        <v>120</v>
      </c>
      <c r="J440" s="77"/>
      <c r="M440" s="23" t="str">
        <f t="shared" si="49"/>
        <v>COTA141</v>
      </c>
      <c r="N440" s="5">
        <f>SUMIF(ORCAMENTO!B:B,B436,ORCAMENTO!F:F)</f>
        <v>6</v>
      </c>
      <c r="O440" s="23">
        <f t="shared" si="50"/>
        <v>6</v>
      </c>
      <c r="Q440" s="23">
        <f ca="1">IFERROR(SUMIF(CO!B:B,B436,OFFSET(CO!F:F,0,(4+MATCH(ETAPA,CO!$J$6:$V$6,0)))),0)</f>
        <v>2</v>
      </c>
      <c r="R440" s="23">
        <f t="shared" ca="1" si="51"/>
        <v>2</v>
      </c>
    </row>
    <row r="441" spans="1:18" ht="28.8" x14ac:dyDescent="0.3">
      <c r="A441" s="23" t="s">
        <v>1011</v>
      </c>
      <c r="B441" s="23" t="s">
        <v>1053</v>
      </c>
      <c r="C441" s="23" t="str">
        <f>VLOOKUP(B441,IF(A441="COMPOSICAO",S!$A:$E,I!$A:$E),2,FALSE)</f>
        <v>PRÓPRIA</v>
      </c>
      <c r="D441" s="24" t="str">
        <f>VLOOKUP(B441,IF(A441="COMPOSICAO",S!$A:$E,I!$A:$E),3,FALSE)</f>
        <v>DISJUNTOR BIPOLAR CORRENTE CONTÍNUA, 32A 1000 VDC, PARA SISTEMA FOTOVOLTAICO</v>
      </c>
      <c r="E441" s="23" t="str">
        <f>VLOOKUP(B441,IF(A441="COMPOSICAO",S!$A:$E,I!$A:$E),4,FALSE)</f>
        <v>UND</v>
      </c>
      <c r="F441" s="23">
        <v>1</v>
      </c>
      <c r="G441" s="76">
        <f>IF(A441="COMPOSICAO",VLOOKUP("TOTAL SEM BDI - "&amp;B441,CPUAUX1!$A:$J,9,FALSE),VLOOKUP(B441,I!$A:$E,5,FALSE))</f>
        <v>75</v>
      </c>
      <c r="H441" s="77"/>
      <c r="I441" s="76">
        <f t="shared" si="48"/>
        <v>75</v>
      </c>
      <c r="J441" s="77"/>
      <c r="M441" s="23" t="str">
        <f t="shared" si="49"/>
        <v>COTA151</v>
      </c>
      <c r="N441" s="5">
        <f>SUMIF(ORCAMENTO!B:B,B436,ORCAMENTO!F:F)</f>
        <v>6</v>
      </c>
      <c r="O441" s="23">
        <f t="shared" si="50"/>
        <v>6</v>
      </c>
      <c r="Q441" s="23">
        <f ca="1">IFERROR(SUMIF(CO!B:B,B436,OFFSET(CO!F:F,0,(4+MATCH(ETAPA,CO!$J$6:$V$6,0)))),0)</f>
        <v>2</v>
      </c>
      <c r="R441" s="23">
        <f t="shared" ca="1" si="51"/>
        <v>2</v>
      </c>
    </row>
    <row r="442" spans="1:18" ht="28.8" x14ac:dyDescent="0.3">
      <c r="A442" s="23" t="s">
        <v>1011</v>
      </c>
      <c r="B442" s="23" t="s">
        <v>1054</v>
      </c>
      <c r="C442" s="23" t="str">
        <f>VLOOKUP(B442,IF(A442="COMPOSICAO",S!$A:$E,I!$A:$E),2,FALSE)</f>
        <v>PRÓPRIA</v>
      </c>
      <c r="D442" s="24" t="str">
        <f>VLOOKUP(B442,IF(A442="COMPOSICAO",S!$A:$E,I!$A:$E),3,FALSE)</f>
        <v>QUADRO DE COMANDO METÁLICO DE SOBREPOR, COM DIMENSÕES 400 X 300 X 200 MM</v>
      </c>
      <c r="E442" s="23" t="str">
        <f>VLOOKUP(B442,IF(A442="COMPOSICAO",S!$A:$E,I!$A:$E),4,FALSE)</f>
        <v>UND</v>
      </c>
      <c r="F442" s="23">
        <v>1</v>
      </c>
      <c r="G442" s="76">
        <f>IF(A442="COMPOSICAO",VLOOKUP("TOTAL SEM BDI - "&amp;B442,CPUAUX1!$A:$J,9,FALSE),VLOOKUP(B442,I!$A:$E,5,FALSE))</f>
        <v>225</v>
      </c>
      <c r="H442" s="77"/>
      <c r="I442" s="76">
        <f t="shared" si="48"/>
        <v>225</v>
      </c>
      <c r="J442" s="77"/>
      <c r="M442" s="23" t="str">
        <f t="shared" si="49"/>
        <v>COTA161</v>
      </c>
      <c r="N442" s="5">
        <f>SUMIF(ORCAMENTO!B:B,B436,ORCAMENTO!F:F)</f>
        <v>6</v>
      </c>
      <c r="O442" s="23">
        <f t="shared" si="50"/>
        <v>6</v>
      </c>
      <c r="Q442" s="23">
        <f ca="1">IFERROR(SUMIF(CO!B:B,B436,OFFSET(CO!F:F,0,(4+MATCH(ETAPA,CO!$J$6:$V$6,0)))),0)</f>
        <v>2</v>
      </c>
      <c r="R442" s="23">
        <f t="shared" ca="1" si="51"/>
        <v>2</v>
      </c>
    </row>
    <row r="443" spans="1:18" ht="28.8" x14ac:dyDescent="0.3">
      <c r="A443" s="23" t="s">
        <v>1011</v>
      </c>
      <c r="B443" s="23" t="s">
        <v>1055</v>
      </c>
      <c r="C443" s="23" t="str">
        <f>VLOOKUP(B443,IF(A443="COMPOSICAO",S!$A:$E,I!$A:$E),2,FALSE)</f>
        <v>PRÓPRIA</v>
      </c>
      <c r="D443" s="24" t="str">
        <f>VLOOKUP(B443,IF(A443="COMPOSICAO",S!$A:$E,I!$A:$E),3,FALSE)</f>
        <v>CONECTOR MC4 (PAR) PARA CABOS DE 6 MM, EM SISTEMA DE ENERGIA SOLAR</v>
      </c>
      <c r="E443" s="23" t="str">
        <f>VLOOKUP(B443,IF(A443="COMPOSICAO",S!$A:$E,I!$A:$E),4,FALSE)</f>
        <v>UND</v>
      </c>
      <c r="F443" s="23">
        <v>3</v>
      </c>
      <c r="G443" s="76">
        <f>IF(A443="COMPOSICAO",VLOOKUP("TOTAL SEM BDI - "&amp;B443,CPUAUX1!$A:$J,9,FALSE),VLOOKUP(B443,I!$A:$E,5,FALSE))</f>
        <v>10</v>
      </c>
      <c r="H443" s="77"/>
      <c r="I443" s="76">
        <f t="shared" si="48"/>
        <v>30</v>
      </c>
      <c r="J443" s="77"/>
      <c r="M443" s="23" t="str">
        <f t="shared" si="49"/>
        <v>COTA171</v>
      </c>
      <c r="N443" s="5">
        <f>SUMIF(ORCAMENTO!B:B,B436,ORCAMENTO!F:F)</f>
        <v>6</v>
      </c>
      <c r="O443" s="23">
        <f t="shared" si="50"/>
        <v>18</v>
      </c>
      <c r="Q443" s="23">
        <f ca="1">IFERROR(SUMIF(CO!B:B,B436,OFFSET(CO!F:F,0,(4+MATCH(ETAPA,CO!$J$6:$V$6,0)))),0)</f>
        <v>2</v>
      </c>
      <c r="R443" s="23">
        <f t="shared" ca="1" si="51"/>
        <v>6</v>
      </c>
    </row>
    <row r="444" spans="1:18" ht="28.8" x14ac:dyDescent="0.3">
      <c r="A444" s="23" t="s">
        <v>1011</v>
      </c>
      <c r="B444" s="23" t="s">
        <v>1056</v>
      </c>
      <c r="C444" s="23" t="str">
        <f>VLOOKUP(B444,IF(A444="COMPOSICAO",S!$A:$E,I!$A:$E),2,FALSE)</f>
        <v>PRÓPRIA</v>
      </c>
      <c r="D444" s="24" t="str">
        <f>VLOOKUP(B444,IF(A444="COMPOSICAO",S!$A:$E,I!$A:$E),3,FALSE)</f>
        <v>CABO SOLAR FOTOVOLTAICO 6MM, 0,6/ 1 KV CA - 1,8 KV CC, COM CONDUTORES EM COBRE ESTANHADO, ISOLAÇÃO EM XLPE</v>
      </c>
      <c r="E444" s="23" t="str">
        <f>VLOOKUP(B444,IF(A444="COMPOSICAO",S!$A:$E,I!$A:$E),4,FALSE)</f>
        <v>M</v>
      </c>
      <c r="F444" s="23">
        <v>40</v>
      </c>
      <c r="G444" s="76">
        <f>IF(A444="COMPOSICAO",VLOOKUP("TOTAL SEM BDI - "&amp;B444,CPUAUX1!$A:$J,9,FALSE),VLOOKUP(B444,I!$A:$E,5,FALSE))</f>
        <v>5.5</v>
      </c>
      <c r="H444" s="77"/>
      <c r="I444" s="76">
        <f t="shared" si="48"/>
        <v>220</v>
      </c>
      <c r="J444" s="77"/>
      <c r="M444" s="23" t="str">
        <f t="shared" si="49"/>
        <v>COTA184</v>
      </c>
      <c r="N444" s="5">
        <f>SUMIF(ORCAMENTO!B:B,B436,ORCAMENTO!F:F)</f>
        <v>6</v>
      </c>
      <c r="O444" s="23">
        <f t="shared" si="50"/>
        <v>240</v>
      </c>
      <c r="Q444" s="23">
        <f ca="1">IFERROR(SUMIF(CO!B:B,B436,OFFSET(CO!F:F,0,(4+MATCH(ETAPA,CO!$J$6:$V$6,0)))),0)</f>
        <v>2</v>
      </c>
      <c r="R444" s="23">
        <f t="shared" ca="1" si="51"/>
        <v>80</v>
      </c>
    </row>
    <row r="445" spans="1:18" ht="28.8" x14ac:dyDescent="0.3">
      <c r="A445" s="23" t="s">
        <v>1011</v>
      </c>
      <c r="B445" s="23" t="s">
        <v>1057</v>
      </c>
      <c r="C445" s="23" t="str">
        <f>VLOOKUP(B445,IF(A445="COMPOSICAO",S!$A:$E,I!$A:$E),2,FALSE)</f>
        <v>PRÓPRIA</v>
      </c>
      <c r="D445" s="24" t="str">
        <f>VLOOKUP(B445,IF(A445="COMPOSICAO",S!$A:$E,I!$A:$E),3,FALSE)</f>
        <v>KIT DE ATERRAMENTO (HASTE DE COBRE, CONECTOR E CAIXA DE INSPEÇÃO), FORNECIMENTO E INSTALAÇÃO</v>
      </c>
      <c r="E445" s="23" t="str">
        <f>VLOOKUP(B445,IF(A445="COMPOSICAO",S!$A:$E,I!$A:$E),4,FALSE)</f>
        <v>UND</v>
      </c>
      <c r="F445" s="23">
        <v>1</v>
      </c>
      <c r="G445" s="76">
        <f>IF(A445="COMPOSICAO",VLOOKUP("TOTAL SEM BDI - "&amp;B445,CPUAUX1!$A:$J,9,FALSE),VLOOKUP(B445,I!$A:$E,5,FALSE))</f>
        <v>56</v>
      </c>
      <c r="H445" s="77"/>
      <c r="I445" s="76">
        <f t="shared" si="48"/>
        <v>56</v>
      </c>
      <c r="J445" s="77"/>
      <c r="M445" s="23" t="str">
        <f t="shared" si="49"/>
        <v>COTA136</v>
      </c>
      <c r="N445" s="5">
        <f>SUMIF(ORCAMENTO!B:B,B436,ORCAMENTO!F:F)</f>
        <v>6</v>
      </c>
      <c r="O445" s="23">
        <f t="shared" si="50"/>
        <v>6</v>
      </c>
      <c r="Q445" s="23">
        <f ca="1">IFERROR(SUMIF(CO!B:B,B436,OFFSET(CO!F:F,0,(4+MATCH(ETAPA,CO!$J$6:$V$6,0)))),0)</f>
        <v>2</v>
      </c>
      <c r="R445" s="23">
        <f t="shared" ca="1" si="51"/>
        <v>2</v>
      </c>
    </row>
    <row r="446" spans="1:18" ht="28.8" x14ac:dyDescent="0.3">
      <c r="A446" s="23" t="s">
        <v>1011</v>
      </c>
      <c r="B446" s="23" t="s">
        <v>1058</v>
      </c>
      <c r="C446" s="23" t="str">
        <f>VLOOKUP(B446,IF(A446="COMPOSICAO",S!$A:$E,I!$A:$E),2,FALSE)</f>
        <v>PRÓPRIA</v>
      </c>
      <c r="D446" s="24" t="str">
        <f>VLOOKUP(B446,IF(A446="COMPOSICAO",S!$A:$E,I!$A:$E),3,FALSE)</f>
        <v>DISJUNTOR TRIPOLAR 32A CA, TIPO DIN, FORNECIMENTO E INSTALAÇÃO</v>
      </c>
      <c r="E446" s="23" t="str">
        <f>VLOOKUP(B446,IF(A446="COMPOSICAO",S!$A:$E,I!$A:$E),4,FALSE)</f>
        <v>UND</v>
      </c>
      <c r="F446" s="23">
        <v>1</v>
      </c>
      <c r="G446" s="76">
        <f>IF(A446="COMPOSICAO",VLOOKUP("TOTAL SEM BDI - "&amp;B446,CPUAUX1!$A:$J,9,FALSE),VLOOKUP(B446,I!$A:$E,5,FALSE))</f>
        <v>68</v>
      </c>
      <c r="H446" s="77"/>
      <c r="I446" s="76">
        <f t="shared" si="48"/>
        <v>68</v>
      </c>
      <c r="J446" s="77"/>
      <c r="M446" s="23" t="str">
        <f t="shared" si="49"/>
        <v>COTA137</v>
      </c>
      <c r="N446" s="5">
        <f>SUMIF(ORCAMENTO!B:B,B436,ORCAMENTO!F:F)</f>
        <v>6</v>
      </c>
      <c r="O446" s="23">
        <f t="shared" si="50"/>
        <v>6</v>
      </c>
      <c r="Q446" s="23">
        <f ca="1">IFERROR(SUMIF(CO!B:B,B436,OFFSET(CO!F:F,0,(4+MATCH(ETAPA,CO!$J$6:$V$6,0)))),0)</f>
        <v>2</v>
      </c>
      <c r="R446" s="23">
        <f t="shared" ca="1" si="51"/>
        <v>2</v>
      </c>
    </row>
    <row r="447" spans="1:18" ht="43.2" x14ac:dyDescent="0.3">
      <c r="A447" s="23" t="s">
        <v>1004</v>
      </c>
      <c r="B447" s="23" t="s">
        <v>1059</v>
      </c>
      <c r="C447" s="23" t="str">
        <f>VLOOKUP(B447,IF(A447="COMPOSICAO",S!$A:$E,I!$A:$E),2,FALSE)</f>
        <v>PRÓPRIA</v>
      </c>
      <c r="D447" s="24" t="str">
        <f>VLOOKUP(B447,IF(A447="COMPOSICAO",S!$A:$E,I!$A:$E),3,FALSE)</f>
        <v>FORNECIMENTO E INSTALAÇÃO DE ESTRUTURA TIPO SOLO PARA PAINEIS, INCLUSO FRETE, PERFIS E CANTONEIRAS EM ALUMÍNIO E CONECTORES</v>
      </c>
      <c r="E447" s="23" t="str">
        <f>VLOOKUP(B447,IF(A447="COMPOSICAO",S!$A:$E,I!$A:$E),4,FALSE)</f>
        <v>UND</v>
      </c>
      <c r="F447" s="23">
        <v>1</v>
      </c>
      <c r="G447" s="76">
        <f>IF(A447="COMPOSICAO",VLOOKUP("TOTAL SEM BDI - "&amp;B447,CPUAUX1!$A:$J,9,FALSE),VLOOKUP(B447,I!$A:$E,5,FALSE))</f>
        <v>1777.34</v>
      </c>
      <c r="H447" s="77"/>
      <c r="I447" s="76">
        <f t="shared" si="48"/>
        <v>1777.34</v>
      </c>
      <c r="J447" s="77"/>
      <c r="M447" s="23" t="str">
        <f t="shared" si="49"/>
        <v>comp196</v>
      </c>
      <c r="N447" s="5">
        <f>SUMIF(ORCAMENTO!B:B,B436,ORCAMENTO!F:F)</f>
        <v>6</v>
      </c>
      <c r="O447" s="23">
        <f t="shared" si="50"/>
        <v>6</v>
      </c>
      <c r="Q447" s="23">
        <f ca="1">IFERROR(SUMIF(CO!B:B,B436,OFFSET(CO!F:F,0,(4+MATCH(ETAPA,CO!$J$6:$V$6,0)))),0)</f>
        <v>2</v>
      </c>
      <c r="R447" s="23">
        <f t="shared" ca="1" si="51"/>
        <v>2</v>
      </c>
    </row>
    <row r="448" spans="1:18" x14ac:dyDescent="0.3">
      <c r="A448" s="23" t="s">
        <v>1004</v>
      </c>
      <c r="B448" s="23">
        <v>88264</v>
      </c>
      <c r="C448" s="23" t="str">
        <f>VLOOKUP(B448,IF(A448="COMPOSICAO",S!$A:$E,I!$A:$E),2,FALSE)</f>
        <v>SINAPI</v>
      </c>
      <c r="D448" s="24" t="str">
        <f>VLOOKUP(B448,IF(A448="COMPOSICAO",S!$A:$E,I!$A:$E),3,FALSE)</f>
        <v>ELETRICISTA COM ENCARGOS COMPLEMENTARES</v>
      </c>
      <c r="E448" s="23" t="str">
        <f>VLOOKUP(B448,IF(A448="COMPOSICAO",S!$A:$E,I!$A:$E),4,FALSE)</f>
        <v>H</v>
      </c>
      <c r="F448" s="23">
        <f>8/pcf</f>
        <v>8</v>
      </c>
      <c r="G448" s="76">
        <f>IF(A448="COMPOSICAO",VLOOKUP("TOTAL SEM BDI - "&amp;B448,CPUAUX1!$A:$J,9,FALSE),VLOOKUP(B448,I!$A:$E,5,FALSE))</f>
        <v>27.74</v>
      </c>
      <c r="H448" s="77"/>
      <c r="I448" s="76">
        <f t="shared" si="48"/>
        <v>221.92</v>
      </c>
      <c r="J448" s="77"/>
      <c r="M448" s="23">
        <f t="shared" si="49"/>
        <v>88264</v>
      </c>
      <c r="N448" s="5">
        <f>SUMIF(ORCAMENTO!B:B,B436,ORCAMENTO!F:F)</f>
        <v>6</v>
      </c>
      <c r="O448" s="23">
        <f t="shared" si="50"/>
        <v>48</v>
      </c>
      <c r="Q448" s="23">
        <f ca="1">IFERROR(SUMIF(CO!B:B,B436,OFFSET(CO!F:F,0,(4+MATCH(ETAPA,CO!$J$6:$V$6,0)))),0)</f>
        <v>2</v>
      </c>
      <c r="R448" s="23">
        <f t="shared" ca="1" si="51"/>
        <v>16</v>
      </c>
    </row>
    <row r="449" spans="1:18" ht="30" customHeight="1" x14ac:dyDescent="0.3">
      <c r="A449" s="23" t="s">
        <v>1004</v>
      </c>
      <c r="B449" s="23">
        <v>88247</v>
      </c>
      <c r="C449" s="23" t="str">
        <f>VLOOKUP(B449,IF(A449="COMPOSICAO",S!$A:$E,I!$A:$E),2,FALSE)</f>
        <v>SINAPI</v>
      </c>
      <c r="D449" s="24" t="str">
        <f>VLOOKUP(B449,IF(A449="COMPOSICAO",S!$A:$E,I!$A:$E),3,FALSE)</f>
        <v>AUXILIAR DE ELETRICISTA COM ENCARGOS COMPLEMENTARES</v>
      </c>
      <c r="E449" s="23" t="str">
        <f>VLOOKUP(B449,IF(A449="COMPOSICAO",S!$A:$E,I!$A:$E),4,FALSE)</f>
        <v>H</v>
      </c>
      <c r="F449" s="23">
        <f>8/pcf</f>
        <v>8</v>
      </c>
      <c r="G449" s="76">
        <f>IF(A449="COMPOSICAO",VLOOKUP("TOTAL SEM BDI - "&amp;B449,CPUAUX1!$A:$J,9,FALSE),VLOOKUP(B449,I!$A:$E,5,FALSE))</f>
        <v>22.810000000000002</v>
      </c>
      <c r="H449" s="77"/>
      <c r="I449" s="76">
        <f t="shared" si="48"/>
        <v>182.48</v>
      </c>
      <c r="J449" s="77"/>
      <c r="M449" s="23">
        <f t="shared" si="49"/>
        <v>88247</v>
      </c>
      <c r="N449" s="5">
        <f>SUMIF(ORCAMENTO!B:B,B436,ORCAMENTO!F:F)</f>
        <v>6</v>
      </c>
      <c r="O449" s="23">
        <f t="shared" si="50"/>
        <v>48</v>
      </c>
      <c r="Q449" s="23">
        <f ca="1">IFERROR(SUMIF(CO!B:B,B436,OFFSET(CO!F:F,0,(4+MATCH(ETAPA,CO!$J$6:$V$6,0)))),0)</f>
        <v>2</v>
      </c>
      <c r="R449" s="23">
        <f t="shared" ca="1" si="51"/>
        <v>16</v>
      </c>
    </row>
    <row r="450" spans="1:18" x14ac:dyDescent="0.3">
      <c r="A450" s="73" t="str">
        <f>"TOTAL SEM BDI - "&amp;B436</f>
        <v>TOTAL SEM BDI - COMP223</v>
      </c>
      <c r="B450" s="74"/>
      <c r="C450" s="74"/>
      <c r="D450" s="74"/>
      <c r="E450" s="74"/>
      <c r="F450" s="74"/>
      <c r="G450" s="74"/>
      <c r="H450" s="75"/>
      <c r="I450" s="76">
        <f>SUM(I436:I449)</f>
        <v>12042.74</v>
      </c>
      <c r="J450" s="77"/>
    </row>
    <row r="451" spans="1:18" x14ac:dyDescent="0.3">
      <c r="A451" s="73" t="str">
        <f>"TAXA DE BDI ("&amp;TEXT(BDI,"00,00")&amp;" %)"</f>
        <v>TAXA DE BDI (22,33 %)</v>
      </c>
      <c r="B451" s="74"/>
      <c r="C451" s="74"/>
      <c r="D451" s="74"/>
      <c r="E451" s="74"/>
      <c r="F451" s="74"/>
      <c r="G451" s="74"/>
      <c r="H451" s="75"/>
      <c r="I451" s="76">
        <f>ROUND(I450*(BDI/100),2)</f>
        <v>2689.14</v>
      </c>
      <c r="J451" s="77"/>
    </row>
    <row r="452" spans="1:18" x14ac:dyDescent="0.3">
      <c r="A452" s="73" t="str">
        <f>"TOTAL COM BDI - "&amp;B436</f>
        <v>TOTAL COM BDI - COMP223</v>
      </c>
      <c r="B452" s="74"/>
      <c r="C452" s="74"/>
      <c r="D452" s="74"/>
      <c r="E452" s="74"/>
      <c r="F452" s="74"/>
      <c r="G452" s="74"/>
      <c r="H452" s="75"/>
      <c r="I452" s="76">
        <f>SUM(I450:I451)</f>
        <v>14731.88</v>
      </c>
      <c r="J452" s="77"/>
    </row>
    <row r="454" spans="1:18" x14ac:dyDescent="0.3">
      <c r="A454" s="4" t="s">
        <v>1000</v>
      </c>
      <c r="B454" s="4" t="s">
        <v>170</v>
      </c>
      <c r="C454" s="4" t="s">
        <v>171</v>
      </c>
      <c r="D454" s="4" t="s">
        <v>18</v>
      </c>
      <c r="E454" s="4" t="s">
        <v>172</v>
      </c>
      <c r="F454" s="4" t="s">
        <v>507</v>
      </c>
      <c r="G454" s="45" t="s">
        <v>1001</v>
      </c>
      <c r="H454" s="46"/>
      <c r="I454" s="45" t="s">
        <v>12</v>
      </c>
      <c r="J454" s="46"/>
    </row>
    <row r="455" spans="1:18" ht="30" customHeight="1" x14ac:dyDescent="0.3">
      <c r="A455" s="15" t="s">
        <v>1010</v>
      </c>
      <c r="B455" s="15" t="s">
        <v>617</v>
      </c>
      <c r="C455" s="15" t="str">
        <f>VLOOKUP(B455,S!$A:$G,2,FALSE)</f>
        <v>PRÓPRIA</v>
      </c>
      <c r="D455" s="22" t="str">
        <f>VLOOKUP(B455,S!$A:$G,3,FALSE)</f>
        <v>FORNECIMENTO E INSTALAÇÃO DE CABO CHATO SUBMERSO DE 3 X 6 MM²</v>
      </c>
      <c r="E455" s="15" t="str">
        <f>VLOOKUP(B455,S!$A:$G,4,FALSE)</f>
        <v>M</v>
      </c>
      <c r="F455" s="15"/>
      <c r="G455" s="78">
        <f>I459</f>
        <v>25.98</v>
      </c>
      <c r="H455" s="79"/>
      <c r="I455" s="78"/>
      <c r="J455" s="79"/>
      <c r="K455" s="16">
        <f>VLOOKUP(B455,S!A:G,5,FALSE)</f>
        <v>0</v>
      </c>
      <c r="L455" s="15" t="s">
        <v>1003</v>
      </c>
    </row>
    <row r="456" spans="1:18" x14ac:dyDescent="0.3">
      <c r="A456" s="23" t="s">
        <v>1004</v>
      </c>
      <c r="B456" s="23">
        <v>88264</v>
      </c>
      <c r="C456" s="23" t="str">
        <f>VLOOKUP(B456,IF(A456="COMPOSICAO",S!$A:$E,I!$A:$E),2,FALSE)</f>
        <v>SINAPI</v>
      </c>
      <c r="D456" s="24" t="str">
        <f>VLOOKUP(B456,IF(A456="COMPOSICAO",S!$A:$E,I!$A:$E),3,FALSE)</f>
        <v>ELETRICISTA COM ENCARGOS COMPLEMENTARES</v>
      </c>
      <c r="E456" s="23" t="str">
        <f>VLOOKUP(B456,IF(A456="COMPOSICAO",S!$A:$E,I!$A:$E),4,FALSE)</f>
        <v>H</v>
      </c>
      <c r="F456" s="23">
        <f>0.051/pcf</f>
        <v>5.0999999999999997E-2</v>
      </c>
      <c r="G456" s="76">
        <f>IF(A456="COMPOSICAO",VLOOKUP("TOTAL SEM BDI - "&amp;B456,CPUAUX1!$A:$J,9,FALSE),VLOOKUP(B456,I!$A:$E,5,FALSE))</f>
        <v>27.74</v>
      </c>
      <c r="H456" s="77"/>
      <c r="I456" s="76">
        <f>TRUNC(F456*G456,2)</f>
        <v>1.41</v>
      </c>
      <c r="J456" s="77"/>
      <c r="M456" s="23">
        <f>B456</f>
        <v>88264</v>
      </c>
      <c r="N456" s="5">
        <f>SUMIF(ORCAMENTO!B:B,B455,ORCAMENTO!F:F)</f>
        <v>640</v>
      </c>
      <c r="O456" s="23">
        <f>F456*N456</f>
        <v>32.64</v>
      </c>
      <c r="Q456" s="23">
        <f ca="1">IFERROR(SUMIF(CO!B:B,B455,OFFSET(CO!F:F,0,(4+MATCH(ETAPA,CO!$J$6:$V$6,0)))),0)</f>
        <v>240</v>
      </c>
      <c r="R456" s="23">
        <f ca="1">F456*Q456</f>
        <v>12.239999999999998</v>
      </c>
    </row>
    <row r="457" spans="1:18" ht="30" customHeight="1" x14ac:dyDescent="0.3">
      <c r="A457" s="23" t="s">
        <v>1004</v>
      </c>
      <c r="B457" s="23">
        <v>88247</v>
      </c>
      <c r="C457" s="23" t="str">
        <f>VLOOKUP(B457,IF(A457="COMPOSICAO",S!$A:$E,I!$A:$E),2,FALSE)</f>
        <v>SINAPI</v>
      </c>
      <c r="D457" s="24" t="str">
        <f>VLOOKUP(B457,IF(A457="COMPOSICAO",S!$A:$E,I!$A:$E),3,FALSE)</f>
        <v>AUXILIAR DE ELETRICISTA COM ENCARGOS COMPLEMENTARES</v>
      </c>
      <c r="E457" s="23" t="str">
        <f>VLOOKUP(B457,IF(A457="COMPOSICAO",S!$A:$E,I!$A:$E),4,FALSE)</f>
        <v>H</v>
      </c>
      <c r="F457" s="23">
        <f>0.051/pcf</f>
        <v>5.0999999999999997E-2</v>
      </c>
      <c r="G457" s="76">
        <f>IF(A457="COMPOSICAO",VLOOKUP("TOTAL SEM BDI - "&amp;B457,CPUAUX1!$A:$J,9,FALSE),VLOOKUP(B457,I!$A:$E,5,FALSE))</f>
        <v>22.810000000000002</v>
      </c>
      <c r="H457" s="77"/>
      <c r="I457" s="76">
        <f>TRUNC(F457*G457,2)</f>
        <v>1.1599999999999999</v>
      </c>
      <c r="J457" s="77"/>
      <c r="M457" s="23">
        <f>B457</f>
        <v>88247</v>
      </c>
      <c r="N457" s="5">
        <f>SUMIF(ORCAMENTO!B:B,B455,ORCAMENTO!F:F)</f>
        <v>640</v>
      </c>
      <c r="O457" s="23">
        <f>F457*N457</f>
        <v>32.64</v>
      </c>
      <c r="Q457" s="23">
        <f ca="1">IFERROR(SUMIF(CO!B:B,B455,OFFSET(CO!F:F,0,(4+MATCH(ETAPA,CO!$J$6:$V$6,0)))),0)</f>
        <v>240</v>
      </c>
      <c r="R457" s="23">
        <f ca="1">F457*Q457</f>
        <v>12.239999999999998</v>
      </c>
    </row>
    <row r="458" spans="1:18" ht="30" customHeight="1" x14ac:dyDescent="0.3">
      <c r="A458" s="23" t="s">
        <v>1005</v>
      </c>
      <c r="B458" s="23">
        <v>34622</v>
      </c>
      <c r="C458" s="23" t="str">
        <f>VLOOKUP(B458,IF(A458="COMPOSICAO",S!$A:$E,I!$A:$E),2,FALSE)</f>
        <v>SINAPI</v>
      </c>
      <c r="D458" s="24" t="str">
        <f>VLOOKUP(B458,IF(A458="COMPOSICAO",S!$A:$E,I!$A:$E),3,FALSE)</f>
        <v>CABO FLEXIVEL PVC 750 V, 3 CONDUTORES DE 6,0 MM2</v>
      </c>
      <c r="E458" s="23" t="str">
        <f>VLOOKUP(B458,IF(A458="COMPOSICAO",S!$A:$E,I!$A:$E),4,FALSE)</f>
        <v>M</v>
      </c>
      <c r="F458" s="23">
        <v>1</v>
      </c>
      <c r="G458" s="76">
        <f>IF(A458="COMPOSICAO",VLOOKUP("TOTAL SEM BDI - "&amp;B458,CPUAUX1!$A:$J,9,FALSE),VLOOKUP(B458,I!$A:$E,5,FALSE))</f>
        <v>23.41</v>
      </c>
      <c r="H458" s="77"/>
      <c r="I458" s="76">
        <f>TRUNC(F458*G458,2)</f>
        <v>23.41</v>
      </c>
      <c r="J458" s="77"/>
      <c r="M458" s="23">
        <f>B458</f>
        <v>34622</v>
      </c>
      <c r="N458" s="5">
        <f>SUMIF(ORCAMENTO!B:B,B455,ORCAMENTO!F:F)</f>
        <v>640</v>
      </c>
      <c r="O458" s="23">
        <f>F458*N458</f>
        <v>640</v>
      </c>
      <c r="Q458" s="23">
        <f ca="1">IFERROR(SUMIF(CO!B:B,B455,OFFSET(CO!F:F,0,(4+MATCH(ETAPA,CO!$J$6:$V$6,0)))),0)</f>
        <v>240</v>
      </c>
      <c r="R458" s="23">
        <f ca="1">F458*Q458</f>
        <v>240</v>
      </c>
    </row>
    <row r="459" spans="1:18" x14ac:dyDescent="0.3">
      <c r="A459" s="73" t="str">
        <f>"TOTAL SEM BDI - "&amp;B455</f>
        <v>TOTAL SEM BDI - COMPOS24</v>
      </c>
      <c r="B459" s="74"/>
      <c r="C459" s="74"/>
      <c r="D459" s="74"/>
      <c r="E459" s="74"/>
      <c r="F459" s="74"/>
      <c r="G459" s="74"/>
      <c r="H459" s="75"/>
      <c r="I459" s="76">
        <f>SUM(I455:I458)</f>
        <v>25.98</v>
      </c>
      <c r="J459" s="77"/>
    </row>
    <row r="460" spans="1:18" x14ac:dyDescent="0.3">
      <c r="A460" s="73" t="str">
        <f>"TAXA DE BDI ("&amp;TEXT(BDI,"00,00")&amp;" %)"</f>
        <v>TAXA DE BDI (22,33 %)</v>
      </c>
      <c r="B460" s="74"/>
      <c r="C460" s="74"/>
      <c r="D460" s="74"/>
      <c r="E460" s="74"/>
      <c r="F460" s="74"/>
      <c r="G460" s="74"/>
      <c r="H460" s="75"/>
      <c r="I460" s="76">
        <f>ROUND(I459*(BDI/100),2)</f>
        <v>5.8</v>
      </c>
      <c r="J460" s="77"/>
    </row>
    <row r="461" spans="1:18" x14ac:dyDescent="0.3">
      <c r="A461" s="73" t="str">
        <f>"TOTAL COM BDI - "&amp;B455</f>
        <v>TOTAL COM BDI - COMPOS24</v>
      </c>
      <c r="B461" s="74"/>
      <c r="C461" s="74"/>
      <c r="D461" s="74"/>
      <c r="E461" s="74"/>
      <c r="F461" s="74"/>
      <c r="G461" s="74"/>
      <c r="H461" s="75"/>
      <c r="I461" s="76">
        <f>SUM(I459:I460)</f>
        <v>31.78</v>
      </c>
      <c r="J461" s="77"/>
    </row>
    <row r="463" spans="1:18" x14ac:dyDescent="0.3">
      <c r="A463" s="4" t="s">
        <v>1000</v>
      </c>
      <c r="B463" s="4" t="s">
        <v>170</v>
      </c>
      <c r="C463" s="4" t="s">
        <v>171</v>
      </c>
      <c r="D463" s="4" t="s">
        <v>18</v>
      </c>
      <c r="E463" s="4" t="s">
        <v>172</v>
      </c>
      <c r="F463" s="4" t="s">
        <v>507</v>
      </c>
      <c r="G463" s="45" t="s">
        <v>1001</v>
      </c>
      <c r="H463" s="46"/>
      <c r="I463" s="45" t="s">
        <v>12</v>
      </c>
      <c r="J463" s="46"/>
    </row>
    <row r="464" spans="1:18" x14ac:dyDescent="0.3">
      <c r="A464" s="15" t="s">
        <v>1060</v>
      </c>
      <c r="B464" s="15" t="s">
        <v>621</v>
      </c>
      <c r="C464" s="15" t="str">
        <f>VLOOKUP(B464,S!$A:$G,2,FALSE)</f>
        <v>PRÓPRIA</v>
      </c>
      <c r="D464" s="22" t="str">
        <f>VLOOKUP(B464,S!$A:$G,3,FALSE)</f>
        <v>REATERRO DE VALA COM COMPACTAÇÃO MANUAL</v>
      </c>
      <c r="E464" s="15" t="str">
        <f>VLOOKUP(B464,S!$A:$G,4,FALSE)</f>
        <v>M³</v>
      </c>
      <c r="F464" s="15"/>
      <c r="G464" s="78">
        <f>I466</f>
        <v>36.9</v>
      </c>
      <c r="H464" s="79"/>
      <c r="I464" s="78"/>
      <c r="J464" s="79"/>
      <c r="K464" s="16">
        <f>VLOOKUP(B464,S!A:G,5,FALSE)</f>
        <v>0</v>
      </c>
      <c r="L464" s="15" t="s">
        <v>1003</v>
      </c>
    </row>
    <row r="465" spans="1:18" x14ac:dyDescent="0.3">
      <c r="A465" s="23" t="s">
        <v>1004</v>
      </c>
      <c r="B465" s="23">
        <v>88316</v>
      </c>
      <c r="C465" s="23" t="str">
        <f>VLOOKUP(B465,IF(A465="COMPOSICAO",S!$A:$E,I!$A:$E),2,FALSE)</f>
        <v>SINAPI</v>
      </c>
      <c r="D465" s="24" t="str">
        <f>VLOOKUP(B465,IF(A465="COMPOSICAO",S!$A:$E,I!$A:$E),3,FALSE)</f>
        <v>SERVENTE COM ENCARGOS COMPLEMENTARES</v>
      </c>
      <c r="E465" s="23" t="str">
        <f>VLOOKUP(B465,IF(A465="COMPOSICAO",S!$A:$E,I!$A:$E),4,FALSE)</f>
        <v>H</v>
      </c>
      <c r="F465" s="23">
        <f>1.7/pcf</f>
        <v>1.7</v>
      </c>
      <c r="G465" s="76">
        <f>IF(A465="COMPOSICAO",VLOOKUP("TOTAL SEM BDI - "&amp;B465,CPUAUX1!$A:$J,9,FALSE),VLOOKUP(B465,I!$A:$E,5,FALSE))</f>
        <v>21.71</v>
      </c>
      <c r="H465" s="77"/>
      <c r="I465" s="76">
        <f>TRUNC(F465*G465,2)</f>
        <v>36.9</v>
      </c>
      <c r="J465" s="77"/>
      <c r="M465" s="23">
        <f>B465</f>
        <v>88316</v>
      </c>
      <c r="N465" s="5">
        <f>SUMIF(ORCAMENTO!B:B,B464,ORCAMENTO!F:F)</f>
        <v>19.38</v>
      </c>
      <c r="O465" s="23">
        <f>F465*N465</f>
        <v>32.945999999999998</v>
      </c>
      <c r="Q465" s="23">
        <f ca="1">IFERROR(SUMIF(CO!B:B,B464,OFFSET(CO!F:F,0,(4+MATCH(ETAPA,CO!$J$6:$V$6,0)))),0)</f>
        <v>6.46</v>
      </c>
      <c r="R465" s="23">
        <f ca="1">F465*Q465</f>
        <v>10.981999999999999</v>
      </c>
    </row>
    <row r="466" spans="1:18" x14ac:dyDescent="0.3">
      <c r="A466" s="73" t="str">
        <f>"TOTAL SEM BDI - "&amp;B464</f>
        <v>TOTAL SEM BDI - COMPOS28</v>
      </c>
      <c r="B466" s="74"/>
      <c r="C466" s="74"/>
      <c r="D466" s="74"/>
      <c r="E466" s="74"/>
      <c r="F466" s="74"/>
      <c r="G466" s="74"/>
      <c r="H466" s="75"/>
      <c r="I466" s="76">
        <f>SUM(I464:I465)</f>
        <v>36.9</v>
      </c>
      <c r="J466" s="77"/>
    </row>
    <row r="467" spans="1:18" x14ac:dyDescent="0.3">
      <c r="A467" s="73" t="str">
        <f>"TAXA DE BDI ("&amp;TEXT(BDI,"00,00")&amp;" %)"</f>
        <v>TAXA DE BDI (22,33 %)</v>
      </c>
      <c r="B467" s="74"/>
      <c r="C467" s="74"/>
      <c r="D467" s="74"/>
      <c r="E467" s="74"/>
      <c r="F467" s="74"/>
      <c r="G467" s="74"/>
      <c r="H467" s="75"/>
      <c r="I467" s="76">
        <f>ROUND(I466*(BDI/100),2)</f>
        <v>8.24</v>
      </c>
      <c r="J467" s="77"/>
    </row>
    <row r="468" spans="1:18" x14ac:dyDescent="0.3">
      <c r="A468" s="73" t="str">
        <f>"TOTAL COM BDI - "&amp;B464</f>
        <v>TOTAL COM BDI - COMPOS28</v>
      </c>
      <c r="B468" s="74"/>
      <c r="C468" s="74"/>
      <c r="D468" s="74"/>
      <c r="E468" s="74"/>
      <c r="F468" s="74"/>
      <c r="G468" s="74"/>
      <c r="H468" s="75"/>
      <c r="I468" s="76">
        <f>SUM(I466:I467)</f>
        <v>45.14</v>
      </c>
      <c r="J468" s="77"/>
    </row>
    <row r="470" spans="1:18" x14ac:dyDescent="0.3">
      <c r="A470" s="4" t="s">
        <v>1000</v>
      </c>
      <c r="B470" s="4" t="s">
        <v>170</v>
      </c>
      <c r="C470" s="4" t="s">
        <v>171</v>
      </c>
      <c r="D470" s="4" t="s">
        <v>18</v>
      </c>
      <c r="E470" s="4" t="s">
        <v>172</v>
      </c>
      <c r="F470" s="4" t="s">
        <v>507</v>
      </c>
      <c r="G470" s="45" t="s">
        <v>1001</v>
      </c>
      <c r="H470" s="46"/>
      <c r="I470" s="45" t="s">
        <v>12</v>
      </c>
      <c r="J470" s="46"/>
    </row>
    <row r="471" spans="1:18" ht="30" customHeight="1" x14ac:dyDescent="0.3">
      <c r="A471" s="15" t="s">
        <v>517</v>
      </c>
      <c r="B471" s="15" t="s">
        <v>623</v>
      </c>
      <c r="C471" s="15" t="str">
        <f>VLOOKUP(B471,S!$A:$G,2,FALSE)</f>
        <v>PRÓPRIA</v>
      </c>
      <c r="D471" s="22" t="str">
        <f>VLOOKUP(B471,S!$A:$G,3,FALSE)</f>
        <v>BLOCO DE ANCORAGEM EM CONCRETO SIMPLES FCK=10MPA (REF: C3403-SEINFRA 28)</v>
      </c>
      <c r="E471" s="15" t="str">
        <f>VLOOKUP(B471,S!$A:$G,4,FALSE)</f>
        <v>M3</v>
      </c>
      <c r="F471" s="15"/>
      <c r="G471" s="78">
        <f>I474</f>
        <v>832.05</v>
      </c>
      <c r="H471" s="79"/>
      <c r="I471" s="78"/>
      <c r="J471" s="79"/>
      <c r="K471" s="16">
        <f>VLOOKUP(B471,S!A:G,5,FALSE)</f>
        <v>0</v>
      </c>
      <c r="L471" s="15" t="s">
        <v>1003</v>
      </c>
    </row>
    <row r="472" spans="1:18" ht="30" customHeight="1" x14ac:dyDescent="0.3">
      <c r="A472" s="23" t="s">
        <v>1004</v>
      </c>
      <c r="B472" s="23" t="s">
        <v>1061</v>
      </c>
      <c r="C472" s="23" t="str">
        <f>VLOOKUP(B472,IF(A472="COMPOSICAO",S!$A:$E,I!$A:$E),2,FALSE)</f>
        <v>PRÓPRIA</v>
      </c>
      <c r="D472" s="24" t="str">
        <f>VLOOKUP(B472,IF(A472="COMPOSICAO",S!$A:$E,I!$A:$E),3,FALSE)</f>
        <v>CONCRETO P/VIBR., FCK 10 MPA COM AGREGADO ADQUIRIDO (REF: C0838-SEINFRA 28)</v>
      </c>
      <c r="E472" s="23" t="str">
        <f>VLOOKUP(B472,IF(A472="COMPOSICAO",S!$A:$E,I!$A:$E),4,FALSE)</f>
        <v>M3</v>
      </c>
      <c r="F472" s="23">
        <v>1</v>
      </c>
      <c r="G472" s="76">
        <f>IF(A472="COMPOSICAO",VLOOKUP("TOTAL SEM BDI - "&amp;B472,CPUAUX1!$A:$J,9,FALSE),VLOOKUP(B472,I!$A:$E,5,FALSE))</f>
        <v>491.16999999999996</v>
      </c>
      <c r="H472" s="77"/>
      <c r="I472" s="76">
        <f>TRUNC(F472*G472,2)</f>
        <v>491.17</v>
      </c>
      <c r="J472" s="77"/>
      <c r="M472" s="23" t="str">
        <f>B472</f>
        <v>COMP214</v>
      </c>
      <c r="N472" s="5">
        <f>SUMIF(ORCAMENTO!B:B,B471,ORCAMENTO!F:F)</f>
        <v>1.56</v>
      </c>
      <c r="O472" s="23">
        <f>F472*N472</f>
        <v>1.56</v>
      </c>
      <c r="Q472" s="23">
        <f ca="1">IFERROR(SUMIF(CO!B:B,B471,OFFSET(CO!F:F,0,(4+MATCH(ETAPA,CO!$J$6:$V$6,0)))),0)</f>
        <v>0.52</v>
      </c>
      <c r="R472" s="23">
        <f ca="1">F472*Q472</f>
        <v>0.52</v>
      </c>
    </row>
    <row r="473" spans="1:18" ht="30" customHeight="1" x14ac:dyDescent="0.3">
      <c r="A473" s="23" t="s">
        <v>1004</v>
      </c>
      <c r="B473" s="23" t="s">
        <v>1062</v>
      </c>
      <c r="C473" s="23" t="str">
        <f>VLOOKUP(B473,IF(A473="COMPOSICAO",S!$A:$E,I!$A:$E),2,FALSE)</f>
        <v>PRÓPRIA</v>
      </c>
      <c r="D473" s="24" t="str">
        <f>VLOOKUP(B473,IF(A473="COMPOSICAO",S!$A:$E,I!$A:$E),3,FALSE)</f>
        <v>FORMA DE TÁBUAS DE 1" DE 3A. P/FUNDAÇÕES UTIL. 5 X (REF: C1400-SEINFRA 28)</v>
      </c>
      <c r="E473" s="23" t="str">
        <f>VLOOKUP(B473,IF(A473="COMPOSICAO",S!$A:$E,I!$A:$E),4,FALSE)</f>
        <v>M2</v>
      </c>
      <c r="F473" s="23">
        <v>4</v>
      </c>
      <c r="G473" s="76">
        <f>IF(A473="COMPOSICAO",VLOOKUP("TOTAL SEM BDI - "&amp;B473,CPUAUX1!$A:$J,9,FALSE),VLOOKUP(B473,I!$A:$E,5,FALSE))</f>
        <v>85.22</v>
      </c>
      <c r="H473" s="77"/>
      <c r="I473" s="76">
        <f>TRUNC(F473*G473,2)</f>
        <v>340.88</v>
      </c>
      <c r="J473" s="77"/>
      <c r="M473" s="23" t="str">
        <f>B473</f>
        <v>COMP215</v>
      </c>
      <c r="N473" s="5">
        <f>SUMIF(ORCAMENTO!B:B,B471,ORCAMENTO!F:F)</f>
        <v>1.56</v>
      </c>
      <c r="O473" s="23">
        <f>F473*N473</f>
        <v>6.24</v>
      </c>
      <c r="Q473" s="23">
        <f ca="1">IFERROR(SUMIF(CO!B:B,B471,OFFSET(CO!F:F,0,(4+MATCH(ETAPA,CO!$J$6:$V$6,0)))),0)</f>
        <v>0.52</v>
      </c>
      <c r="R473" s="23">
        <f ca="1">F473*Q473</f>
        <v>2.08</v>
      </c>
    </row>
    <row r="474" spans="1:18" x14ac:dyDescent="0.3">
      <c r="A474" s="73" t="str">
        <f>"TOTAL SEM BDI - "&amp;B471</f>
        <v>TOTAL SEM BDI - COMP216</v>
      </c>
      <c r="B474" s="74"/>
      <c r="C474" s="74"/>
      <c r="D474" s="74"/>
      <c r="E474" s="74"/>
      <c r="F474" s="74"/>
      <c r="G474" s="74"/>
      <c r="H474" s="75"/>
      <c r="I474" s="76">
        <f>SUM(I471:I473)</f>
        <v>832.05</v>
      </c>
      <c r="J474" s="77"/>
    </row>
    <row r="475" spans="1:18" x14ac:dyDescent="0.3">
      <c r="A475" s="73" t="str">
        <f>"TAXA DE BDI ("&amp;TEXT(BDI,"00,00")&amp;" %)"</f>
        <v>TAXA DE BDI (22,33 %)</v>
      </c>
      <c r="B475" s="74"/>
      <c r="C475" s="74"/>
      <c r="D475" s="74"/>
      <c r="E475" s="74"/>
      <c r="F475" s="74"/>
      <c r="G475" s="74"/>
      <c r="H475" s="75"/>
      <c r="I475" s="76">
        <f>ROUND(I474*(BDI/100),2)</f>
        <v>185.8</v>
      </c>
      <c r="J475" s="77"/>
    </row>
    <row r="476" spans="1:18" x14ac:dyDescent="0.3">
      <c r="A476" s="73" t="str">
        <f>"TOTAL COM BDI - "&amp;B471</f>
        <v>TOTAL COM BDI - COMP216</v>
      </c>
      <c r="B476" s="74"/>
      <c r="C476" s="74"/>
      <c r="D476" s="74"/>
      <c r="E476" s="74"/>
      <c r="F476" s="74"/>
      <c r="G476" s="74"/>
      <c r="H476" s="75"/>
      <c r="I476" s="76">
        <f>SUM(I474:I475)</f>
        <v>1017.8499999999999</v>
      </c>
      <c r="J476" s="77"/>
    </row>
    <row r="478" spans="1:18" x14ac:dyDescent="0.3">
      <c r="A478" s="4" t="s">
        <v>1000</v>
      </c>
      <c r="B478" s="4" t="s">
        <v>170</v>
      </c>
      <c r="C478" s="4" t="s">
        <v>171</v>
      </c>
      <c r="D478" s="4" t="s">
        <v>18</v>
      </c>
      <c r="E478" s="4" t="s">
        <v>172</v>
      </c>
      <c r="F478" s="4" t="s">
        <v>507</v>
      </c>
      <c r="G478" s="45" t="s">
        <v>1001</v>
      </c>
      <c r="H478" s="46"/>
      <c r="I478" s="45" t="s">
        <v>12</v>
      </c>
      <c r="J478" s="46"/>
    </row>
    <row r="479" spans="1:18" ht="30" customHeight="1" x14ac:dyDescent="0.3">
      <c r="A479" s="15" t="s">
        <v>1063</v>
      </c>
      <c r="B479" s="15">
        <v>94498</v>
      </c>
      <c r="C479" s="15" t="str">
        <f>VLOOKUP(B479,S!$A:$G,2,FALSE)</f>
        <v>SINAPI</v>
      </c>
      <c r="D479" s="22" t="str">
        <f>VLOOKUP(B479,S!$A:$G,3,FALSE)</f>
        <v>REGISTRO DE GAVETA BRUTO, LATÃO, ROSCÁVEL, 2" - FORNECIMENTO E INSTALAÇÃO. AF_08/2021</v>
      </c>
      <c r="E479" s="15" t="str">
        <f>VLOOKUP(B479,S!$A:$G,4,FALSE)</f>
        <v>UN</v>
      </c>
      <c r="F479" s="15"/>
      <c r="G479" s="78">
        <f>I484</f>
        <v>164.12</v>
      </c>
      <c r="H479" s="79"/>
      <c r="I479" s="78"/>
      <c r="J479" s="79"/>
      <c r="K479" s="16">
        <f>VLOOKUP(B479,S!A:G,5,FALSE)</f>
        <v>164.12</v>
      </c>
      <c r="L479" s="15" t="str">
        <f>IF(K479=G479,"OK, CONFORME TABELA",IF(G479&gt;K479,"ACIMA DA TABELA: ","ABAIXO DA TABELA: ")&amp;TRUNC((G479*100)/K479,2)&amp;" %")</f>
        <v>OK, CONFORME TABELA</v>
      </c>
    </row>
    <row r="480" spans="1:18" ht="30" customHeight="1" x14ac:dyDescent="0.3">
      <c r="A480" s="23" t="s">
        <v>1004</v>
      </c>
      <c r="B480" s="23">
        <v>88267</v>
      </c>
      <c r="C480" s="23" t="str">
        <f>VLOOKUP(B480,IF(A480="COMPOSICAO",S!$A:$E,I!$A:$E),2,FALSE)</f>
        <v>SINAPI</v>
      </c>
      <c r="D480" s="24" t="str">
        <f>VLOOKUP(B480,IF(A480="COMPOSICAO",S!$A:$E,I!$A:$E),3,FALSE)</f>
        <v>ENCANADOR OU BOMBEIRO HIDRÁULICO COM ENCARGOS COMPLEMENTARES</v>
      </c>
      <c r="E480" s="23" t="str">
        <f>VLOOKUP(B480,IF(A480="COMPOSICAO",S!$A:$E,I!$A:$E),4,FALSE)</f>
        <v>H</v>
      </c>
      <c r="F480" s="23">
        <f>0.3398/pcf</f>
        <v>0.33979999999999999</v>
      </c>
      <c r="G480" s="76">
        <f>IF(A480="COMPOSICAO",VLOOKUP("TOTAL SEM BDI - "&amp;B480,CPUAUX1!$A:$J,9,FALSE),VLOOKUP(B480,I!$A:$E,5,FALSE))</f>
        <v>26.669999999999998</v>
      </c>
      <c r="H480" s="77"/>
      <c r="I480" s="76">
        <f>TRUNC(F480*G480,2)</f>
        <v>9.06</v>
      </c>
      <c r="J480" s="77"/>
      <c r="M480" s="23">
        <f>B480</f>
        <v>88267</v>
      </c>
      <c r="N480" s="5">
        <f>SUMIF(ORCAMENTO!B:B,B479,ORCAMENTO!F:F)</f>
        <v>19</v>
      </c>
      <c r="O480" s="23">
        <f>F480*N480</f>
        <v>6.4561999999999999</v>
      </c>
      <c r="Q480" s="23">
        <f ca="1">IFERROR(SUMIF(CO!B:B,B479,OFFSET(CO!F:F,0,(4+MATCH(ETAPA,CO!$J$6:$V$6,0)))),0)</f>
        <v>7</v>
      </c>
      <c r="R480" s="23">
        <f ca="1">F480*Q480</f>
        <v>2.3786</v>
      </c>
    </row>
    <row r="481" spans="1:18" ht="30" customHeight="1" x14ac:dyDescent="0.3">
      <c r="A481" s="23" t="s">
        <v>1004</v>
      </c>
      <c r="B481" s="23">
        <v>88248</v>
      </c>
      <c r="C481" s="23" t="str">
        <f>VLOOKUP(B481,IF(A481="COMPOSICAO",S!$A:$E,I!$A:$E),2,FALSE)</f>
        <v>SINAPI</v>
      </c>
      <c r="D481" s="24" t="str">
        <f>VLOOKUP(B481,IF(A481="COMPOSICAO",S!$A:$E,I!$A:$E),3,FALSE)</f>
        <v>AUXILIAR DE ENCANADOR OU BOMBEIRO HIDRÁULICO COM ENCARGOS COMPLEMENTARES</v>
      </c>
      <c r="E481" s="23" t="str">
        <f>VLOOKUP(B481,IF(A481="COMPOSICAO",S!$A:$E,I!$A:$E),4,FALSE)</f>
        <v>H</v>
      </c>
      <c r="F481" s="23">
        <f>0.3398/pcf</f>
        <v>0.33979999999999999</v>
      </c>
      <c r="G481" s="76">
        <f>IF(A481="COMPOSICAO",VLOOKUP("TOTAL SEM BDI - "&amp;B481,CPUAUX1!$A:$J,9,FALSE),VLOOKUP(B481,I!$A:$E,5,FALSE))</f>
        <v>21.82</v>
      </c>
      <c r="H481" s="77"/>
      <c r="I481" s="76">
        <f>TRUNC(F481*G481,2)</f>
        <v>7.41</v>
      </c>
      <c r="J481" s="77"/>
      <c r="M481" s="23">
        <f>B481</f>
        <v>88248</v>
      </c>
      <c r="N481" s="5">
        <f>SUMIF(ORCAMENTO!B:B,B479,ORCAMENTO!F:F)</f>
        <v>19</v>
      </c>
      <c r="O481" s="23">
        <f>F481*N481</f>
        <v>6.4561999999999999</v>
      </c>
      <c r="Q481" s="23">
        <f ca="1">IFERROR(SUMIF(CO!B:B,B479,OFFSET(CO!F:F,0,(4+MATCH(ETAPA,CO!$J$6:$V$6,0)))),0)</f>
        <v>7</v>
      </c>
      <c r="R481" s="23">
        <f ca="1">F481*Q481</f>
        <v>2.3786</v>
      </c>
    </row>
    <row r="482" spans="1:18" ht="30" customHeight="1" x14ac:dyDescent="0.3">
      <c r="A482" s="23" t="s">
        <v>1005</v>
      </c>
      <c r="B482" s="23">
        <v>6028</v>
      </c>
      <c r="C482" s="23" t="str">
        <f>VLOOKUP(B482,IF(A482="COMPOSICAO",S!$A:$E,I!$A:$E),2,FALSE)</f>
        <v>SINAPI</v>
      </c>
      <c r="D482" s="24" t="str">
        <f>VLOOKUP(B482,IF(A482="COMPOSICAO",S!$A:$E,I!$A:$E),3,FALSE)</f>
        <v>REGISTRO GAVETA BRUTO EM LATAO FORJADO, BITOLA 2"</v>
      </c>
      <c r="E482" s="23" t="str">
        <f>VLOOKUP(B482,IF(A482="COMPOSICAO",S!$A:$E,I!$A:$E),4,FALSE)</f>
        <v>UN</v>
      </c>
      <c r="F482" s="23">
        <v>1</v>
      </c>
      <c r="G482" s="76">
        <f>IF(A482="COMPOSICAO",VLOOKUP("TOTAL SEM BDI - "&amp;B482,CPUAUX1!$A:$J,9,FALSE),VLOOKUP(B482,I!$A:$E,5,FALSE))</f>
        <v>147.29</v>
      </c>
      <c r="H482" s="77"/>
      <c r="I482" s="76">
        <f>TRUNC(F482*G482,2)</f>
        <v>147.29</v>
      </c>
      <c r="J482" s="77"/>
      <c r="M482" s="23">
        <f>B482</f>
        <v>6028</v>
      </c>
      <c r="N482" s="5">
        <f>SUMIF(ORCAMENTO!B:B,B479,ORCAMENTO!F:F)</f>
        <v>19</v>
      </c>
      <c r="O482" s="23">
        <f>F482*N482</f>
        <v>19</v>
      </c>
      <c r="Q482" s="23">
        <f ca="1">IFERROR(SUMIF(CO!B:B,B479,OFFSET(CO!F:F,0,(4+MATCH(ETAPA,CO!$J$6:$V$6,0)))),0)</f>
        <v>7</v>
      </c>
      <c r="R482" s="23">
        <f ca="1">F482*Q482</f>
        <v>7</v>
      </c>
    </row>
    <row r="483" spans="1:18" ht="30" customHeight="1" x14ac:dyDescent="0.3">
      <c r="A483" s="23" t="s">
        <v>1005</v>
      </c>
      <c r="B483" s="23">
        <v>3148</v>
      </c>
      <c r="C483" s="23" t="str">
        <f>VLOOKUP(B483,IF(A483="COMPOSICAO",S!$A:$E,I!$A:$E),2,FALSE)</f>
        <v>SINAPI</v>
      </c>
      <c r="D483" s="24" t="str">
        <f>VLOOKUP(B483,IF(A483="COMPOSICAO",S!$A:$E,I!$A:$E),3,FALSE)</f>
        <v>FITA VEDA ROSCA, EM PTFE, ROLO DE 18 MM X 50 M (L X C)</v>
      </c>
      <c r="E483" s="23" t="str">
        <f>VLOOKUP(B483,IF(A483="COMPOSICAO",S!$A:$E,I!$A:$E),4,FALSE)</f>
        <v>UN</v>
      </c>
      <c r="F483" s="23">
        <v>2.4E-2</v>
      </c>
      <c r="G483" s="76">
        <f>IF(A483="COMPOSICAO",VLOOKUP("TOTAL SEM BDI - "&amp;B483,CPUAUX1!$A:$J,9,FALSE),VLOOKUP(B483,I!$A:$E,5,FALSE))</f>
        <v>15.26</v>
      </c>
      <c r="H483" s="77"/>
      <c r="I483" s="76">
        <f>TRUNC(F483*G483,2)</f>
        <v>0.36</v>
      </c>
      <c r="J483" s="77"/>
      <c r="M483" s="23">
        <f>B483</f>
        <v>3148</v>
      </c>
      <c r="N483" s="5">
        <f>SUMIF(ORCAMENTO!B:B,B479,ORCAMENTO!F:F)</f>
        <v>19</v>
      </c>
      <c r="O483" s="23">
        <f>F483*N483</f>
        <v>0.45600000000000002</v>
      </c>
      <c r="Q483" s="23">
        <f ca="1">IFERROR(SUMIF(CO!B:B,B479,OFFSET(CO!F:F,0,(4+MATCH(ETAPA,CO!$J$6:$V$6,0)))),0)</f>
        <v>7</v>
      </c>
      <c r="R483" s="23">
        <f ca="1">F483*Q483</f>
        <v>0.16800000000000001</v>
      </c>
    </row>
    <row r="484" spans="1:18" x14ac:dyDescent="0.3">
      <c r="A484" s="73" t="str">
        <f>"TOTAL SEM BDI - "&amp;B479</f>
        <v>TOTAL SEM BDI - 94498</v>
      </c>
      <c r="B484" s="74"/>
      <c r="C484" s="74"/>
      <c r="D484" s="74"/>
      <c r="E484" s="74"/>
      <c r="F484" s="74"/>
      <c r="G484" s="74"/>
      <c r="H484" s="75"/>
      <c r="I484" s="76">
        <f>SUM(I479:I483)</f>
        <v>164.12</v>
      </c>
      <c r="J484" s="77"/>
    </row>
    <row r="485" spans="1:18" x14ac:dyDescent="0.3">
      <c r="A485" s="73" t="str">
        <f>"TAXA DE BDI ("&amp;TEXT(BDI,"00,00")&amp;" %)"</f>
        <v>TAXA DE BDI (22,33 %)</v>
      </c>
      <c r="B485" s="74"/>
      <c r="C485" s="74"/>
      <c r="D485" s="74"/>
      <c r="E485" s="74"/>
      <c r="F485" s="74"/>
      <c r="G485" s="74"/>
      <c r="H485" s="75"/>
      <c r="I485" s="76">
        <f>ROUND(I484*(BDI/100),2)</f>
        <v>36.65</v>
      </c>
      <c r="J485" s="77"/>
    </row>
    <row r="486" spans="1:18" x14ac:dyDescent="0.3">
      <c r="A486" s="73" t="str">
        <f>"TOTAL COM BDI - "&amp;B479</f>
        <v>TOTAL COM BDI - 94498</v>
      </c>
      <c r="B486" s="74"/>
      <c r="C486" s="74"/>
      <c r="D486" s="74"/>
      <c r="E486" s="74"/>
      <c r="F486" s="74"/>
      <c r="G486" s="74"/>
      <c r="H486" s="75"/>
      <c r="I486" s="76">
        <f>SUM(I484:I485)</f>
        <v>200.77</v>
      </c>
      <c r="J486" s="77"/>
    </row>
    <row r="488" spans="1:18" x14ac:dyDescent="0.3">
      <c r="A488" s="4" t="s">
        <v>1000</v>
      </c>
      <c r="B488" s="4" t="s">
        <v>170</v>
      </c>
      <c r="C488" s="4" t="s">
        <v>171</v>
      </c>
      <c r="D488" s="4" t="s">
        <v>18</v>
      </c>
      <c r="E488" s="4" t="s">
        <v>172</v>
      </c>
      <c r="F488" s="4" t="s">
        <v>507</v>
      </c>
      <c r="G488" s="45" t="s">
        <v>1001</v>
      </c>
      <c r="H488" s="46"/>
      <c r="I488" s="45" t="s">
        <v>12</v>
      </c>
      <c r="J488" s="46"/>
    </row>
    <row r="489" spans="1:18" ht="30" customHeight="1" x14ac:dyDescent="0.3">
      <c r="A489" s="15" t="s">
        <v>1064</v>
      </c>
      <c r="B489" s="15" t="s">
        <v>627</v>
      </c>
      <c r="C489" s="15" t="str">
        <f>VLOOKUP(B489,S!$A:$G,2,FALSE)</f>
        <v>PRÓPRIA</v>
      </c>
      <c r="D489" s="22" t="str">
        <f>VLOOKUP(B489,S!$A:$G,3,FALSE)</f>
        <v>AQUISIÇÃO E ASSENTAMENTO DE TUBO RÍGIDO PVC, CLASSE 12, DN 50 MM, INCLUSO CONEXÕES</v>
      </c>
      <c r="E489" s="15" t="str">
        <f>VLOOKUP(B489,S!$A:$G,4,FALSE)</f>
        <v>M</v>
      </c>
      <c r="F489" s="15"/>
      <c r="G489" s="78">
        <f>I494</f>
        <v>25.79</v>
      </c>
      <c r="H489" s="79"/>
      <c r="I489" s="78"/>
      <c r="J489" s="79"/>
      <c r="K489" s="16">
        <f>VLOOKUP(B489,S!A:G,5,FALSE)</f>
        <v>0</v>
      </c>
      <c r="L489" s="15" t="s">
        <v>1003</v>
      </c>
    </row>
    <row r="490" spans="1:18" x14ac:dyDescent="0.3">
      <c r="A490" s="23" t="s">
        <v>1004</v>
      </c>
      <c r="B490" s="23">
        <v>88316</v>
      </c>
      <c r="C490" s="23" t="str">
        <f>VLOOKUP(B490,IF(A490="COMPOSICAO",S!$A:$E,I!$A:$E),2,FALSE)</f>
        <v>SINAPI</v>
      </c>
      <c r="D490" s="24" t="str">
        <f>VLOOKUP(B490,IF(A490="COMPOSICAO",S!$A:$E,I!$A:$E),3,FALSE)</f>
        <v>SERVENTE COM ENCARGOS COMPLEMENTARES</v>
      </c>
      <c r="E490" s="23" t="str">
        <f>VLOOKUP(B490,IF(A490="COMPOSICAO",S!$A:$E,I!$A:$E),4,FALSE)</f>
        <v>H</v>
      </c>
      <c r="F490" s="23">
        <f>0.0635/pcf</f>
        <v>6.3500000000000001E-2</v>
      </c>
      <c r="G490" s="76">
        <f>IF(A490="COMPOSICAO",VLOOKUP("TOTAL SEM BDI - "&amp;B490,CPUAUX1!$A:$J,9,FALSE),VLOOKUP(B490,I!$A:$E,5,FALSE))</f>
        <v>21.71</v>
      </c>
      <c r="H490" s="77"/>
      <c r="I490" s="76">
        <f>TRUNC(F490*G490,2)</f>
        <v>1.37</v>
      </c>
      <c r="J490" s="77"/>
      <c r="M490" s="23">
        <f>B490</f>
        <v>88316</v>
      </c>
      <c r="N490" s="5">
        <f>SUMIF(ORCAMENTO!B:B,B489,ORCAMENTO!F:F)</f>
        <v>96</v>
      </c>
      <c r="O490" s="23">
        <f>F490*N490</f>
        <v>6.0960000000000001</v>
      </c>
      <c r="Q490" s="23">
        <f ca="1">IFERROR(SUMIF(CO!B:B,B489,OFFSET(CO!F:F,0,(4+MATCH(ETAPA,CO!$J$6:$V$6,0)))),0)</f>
        <v>32</v>
      </c>
      <c r="R490" s="23">
        <f ca="1">F490*Q490</f>
        <v>2.032</v>
      </c>
    </row>
    <row r="491" spans="1:18" ht="30" customHeight="1" x14ac:dyDescent="0.3">
      <c r="A491" s="23" t="s">
        <v>1004</v>
      </c>
      <c r="B491" s="23">
        <v>88246</v>
      </c>
      <c r="C491" s="23" t="str">
        <f>VLOOKUP(B491,IF(A491="COMPOSICAO",S!$A:$E,I!$A:$E),2,FALSE)</f>
        <v>SINAPI</v>
      </c>
      <c r="D491" s="24" t="str">
        <f>VLOOKUP(B491,IF(A491="COMPOSICAO",S!$A:$E,I!$A:$E),3,FALSE)</f>
        <v>ASSENTADOR DE TUBOS COM ENCARGOS COMPLEMENTARES</v>
      </c>
      <c r="E491" s="23" t="str">
        <f>VLOOKUP(B491,IF(A491="COMPOSICAO",S!$A:$E,I!$A:$E),4,FALSE)</f>
        <v>H</v>
      </c>
      <c r="F491" s="23">
        <f>0.03/pcf</f>
        <v>0.03</v>
      </c>
      <c r="G491" s="76">
        <f>IF(A491="COMPOSICAO",VLOOKUP("TOTAL SEM BDI - "&amp;B491,CPUAUX1!$A:$J,9,FALSE),VLOOKUP(B491,I!$A:$E,5,FALSE))</f>
        <v>19.630000000000003</v>
      </c>
      <c r="H491" s="77"/>
      <c r="I491" s="76">
        <f>TRUNC(F491*G491,2)</f>
        <v>0.57999999999999996</v>
      </c>
      <c r="J491" s="77"/>
      <c r="M491" s="23">
        <f>B491</f>
        <v>88246</v>
      </c>
      <c r="N491" s="5">
        <f>SUMIF(ORCAMENTO!B:B,B489,ORCAMENTO!F:F)</f>
        <v>96</v>
      </c>
      <c r="O491" s="23">
        <f>F491*N491</f>
        <v>2.88</v>
      </c>
      <c r="Q491" s="23">
        <f ca="1">IFERROR(SUMIF(CO!B:B,B489,OFFSET(CO!F:F,0,(4+MATCH(ETAPA,CO!$J$6:$V$6,0)))),0)</f>
        <v>32</v>
      </c>
      <c r="R491" s="23">
        <f ca="1">F491*Q491</f>
        <v>0.96</v>
      </c>
    </row>
    <row r="492" spans="1:18" ht="30" customHeight="1" x14ac:dyDescent="0.3">
      <c r="A492" s="23" t="s">
        <v>1005</v>
      </c>
      <c r="B492" s="23">
        <v>325</v>
      </c>
      <c r="C492" s="23" t="str">
        <f>VLOOKUP(B492,IF(A492="COMPOSICAO",S!$A:$E,I!$A:$E),2,FALSE)</f>
        <v>SINAPI</v>
      </c>
      <c r="D492" s="24" t="str">
        <f>VLOOKUP(B492,IF(A492="COMPOSICAO",S!$A:$E,I!$A:$E),3,FALSE)</f>
        <v>ANEL BORRACHA, PARA TUBO/CONEXAO PVC PBA, DN 50 MM, PARA REDE AGUA</v>
      </c>
      <c r="E492" s="23" t="str">
        <f>VLOOKUP(B492,IF(A492="COMPOSICAO",S!$A:$E,I!$A:$E),4,FALSE)</f>
        <v>UN</v>
      </c>
      <c r="F492" s="23">
        <v>0.17</v>
      </c>
      <c r="G492" s="76">
        <f>IF(A492="COMPOSICAO",VLOOKUP("TOTAL SEM BDI - "&amp;B492,CPUAUX1!$A:$J,9,FALSE),VLOOKUP(B492,I!$A:$E,5,FALSE))</f>
        <v>2.96</v>
      </c>
      <c r="H492" s="77"/>
      <c r="I492" s="76">
        <f>TRUNC(F492*G492,2)</f>
        <v>0.5</v>
      </c>
      <c r="J492" s="77"/>
      <c r="M492" s="23">
        <f>B492</f>
        <v>325</v>
      </c>
      <c r="N492" s="5">
        <f>SUMIF(ORCAMENTO!B:B,B489,ORCAMENTO!F:F)</f>
        <v>96</v>
      </c>
      <c r="O492" s="23">
        <f>F492*N492</f>
        <v>16.32</v>
      </c>
      <c r="Q492" s="23">
        <f ca="1">IFERROR(SUMIF(CO!B:B,B489,OFFSET(CO!F:F,0,(4+MATCH(ETAPA,CO!$J$6:$V$6,0)))),0)</f>
        <v>32</v>
      </c>
      <c r="R492" s="23">
        <f ca="1">F492*Q492</f>
        <v>5.44</v>
      </c>
    </row>
    <row r="493" spans="1:18" ht="30" customHeight="1" x14ac:dyDescent="0.3">
      <c r="A493" s="23" t="s">
        <v>1005</v>
      </c>
      <c r="B493" s="23">
        <v>36084</v>
      </c>
      <c r="C493" s="23" t="str">
        <f>VLOOKUP(B493,IF(A493="COMPOSICAO",S!$A:$E,I!$A:$E),2,FALSE)</f>
        <v>SINAPI</v>
      </c>
      <c r="D493" s="24" t="str">
        <f>VLOOKUP(B493,IF(A493="COMPOSICAO",S!$A:$E,I!$A:$E),3,FALSE)</f>
        <v>TUBO PVC PBA JEI, CLASSE 12, DN 50 MM, PARA REDE DE AGUA (NBR 5647)</v>
      </c>
      <c r="E493" s="23" t="str">
        <f>VLOOKUP(B493,IF(A493="COMPOSICAO",S!$A:$E,I!$A:$E),4,FALSE)</f>
        <v>M</v>
      </c>
      <c r="F493" s="23">
        <v>1</v>
      </c>
      <c r="G493" s="76">
        <f>IF(A493="COMPOSICAO",VLOOKUP("TOTAL SEM BDI - "&amp;B493,CPUAUX1!$A:$J,9,FALSE),VLOOKUP(B493,I!$A:$E,5,FALSE))</f>
        <v>23.34</v>
      </c>
      <c r="H493" s="77"/>
      <c r="I493" s="76">
        <f>TRUNC(F493*G493,2)</f>
        <v>23.34</v>
      </c>
      <c r="J493" s="77"/>
      <c r="M493" s="23">
        <f>B493</f>
        <v>36084</v>
      </c>
      <c r="N493" s="5">
        <f>SUMIF(ORCAMENTO!B:B,B489,ORCAMENTO!F:F)</f>
        <v>96</v>
      </c>
      <c r="O493" s="23">
        <f>F493*N493</f>
        <v>96</v>
      </c>
      <c r="Q493" s="23">
        <f ca="1">IFERROR(SUMIF(CO!B:B,B489,OFFSET(CO!F:F,0,(4+MATCH(ETAPA,CO!$J$6:$V$6,0)))),0)</f>
        <v>32</v>
      </c>
      <c r="R493" s="23">
        <f ca="1">F493*Q493</f>
        <v>32</v>
      </c>
    </row>
    <row r="494" spans="1:18" x14ac:dyDescent="0.3">
      <c r="A494" s="73" t="str">
        <f>"TOTAL SEM BDI - "&amp;B489</f>
        <v>TOTAL SEM BDI - COMPOS27</v>
      </c>
      <c r="B494" s="74"/>
      <c r="C494" s="74"/>
      <c r="D494" s="74"/>
      <c r="E494" s="74"/>
      <c r="F494" s="74"/>
      <c r="G494" s="74"/>
      <c r="H494" s="75"/>
      <c r="I494" s="76">
        <f>SUM(I489:I493)</f>
        <v>25.79</v>
      </c>
      <c r="J494" s="77"/>
    </row>
    <row r="495" spans="1:18" x14ac:dyDescent="0.3">
      <c r="A495" s="73" t="str">
        <f>"TAXA DE BDI ("&amp;TEXT(BDI,"00,00")&amp;" %)"</f>
        <v>TAXA DE BDI (22,33 %)</v>
      </c>
      <c r="B495" s="74"/>
      <c r="C495" s="74"/>
      <c r="D495" s="74"/>
      <c r="E495" s="74"/>
      <c r="F495" s="74"/>
      <c r="G495" s="74"/>
      <c r="H495" s="75"/>
      <c r="I495" s="76">
        <f>ROUND(I494*(BDI/100),2)</f>
        <v>5.76</v>
      </c>
      <c r="J495" s="77"/>
    </row>
    <row r="496" spans="1:18" x14ac:dyDescent="0.3">
      <c r="A496" s="73" t="str">
        <f>"TOTAL COM BDI - "&amp;B489</f>
        <v>TOTAL COM BDI - COMPOS27</v>
      </c>
      <c r="B496" s="74"/>
      <c r="C496" s="74"/>
      <c r="D496" s="74"/>
      <c r="E496" s="74"/>
      <c r="F496" s="74"/>
      <c r="G496" s="74"/>
      <c r="H496" s="75"/>
      <c r="I496" s="76">
        <f>SUM(I494:I495)</f>
        <v>31.549999999999997</v>
      </c>
      <c r="J496" s="77"/>
    </row>
    <row r="498" spans="1:18" x14ac:dyDescent="0.3">
      <c r="A498" s="4" t="s">
        <v>1000</v>
      </c>
      <c r="B498" s="4" t="s">
        <v>170</v>
      </c>
      <c r="C498" s="4" t="s">
        <v>171</v>
      </c>
      <c r="D498" s="4" t="s">
        <v>18</v>
      </c>
      <c r="E498" s="4" t="s">
        <v>172</v>
      </c>
      <c r="F498" s="4" t="s">
        <v>507</v>
      </c>
      <c r="G498" s="45" t="s">
        <v>1001</v>
      </c>
      <c r="H498" s="46"/>
      <c r="I498" s="45" t="s">
        <v>12</v>
      </c>
      <c r="J498" s="46"/>
    </row>
    <row r="499" spans="1:18" ht="105" customHeight="1" x14ac:dyDescent="0.3">
      <c r="A499" s="15" t="s">
        <v>1010</v>
      </c>
      <c r="B499" s="15" t="s">
        <v>630</v>
      </c>
      <c r="C499" s="15" t="str">
        <f>VLOOKUP(B499,S!$A:$G,2,FALSE)</f>
        <v>PRÓPRIA</v>
      </c>
      <c r="D499" s="22" t="str">
        <f>VLOOKUP(B499,S!$A:$G,3,FALSE)</f>
        <v>FORNECIMENTO E INSTALAÇÃO DE RESERVATÓRIO ELEVADO C/ CAIXA D'AGUA EM POLIESTER REFORCADO COM FIBRA DE VIDRO DE 10.000 LITROS, APOIADO EM ESTRUTURA PRÉ-MOLDADA EM CONCRETO, COMPOSTA DE CAPITEL P/APOIO DA CAIXA E PILAR C/ALTURA ÚTIL = 10,00M, INCLUSO FRETE E MONTAGEM NO LOCAL, COM FUNDAÇÃO EM CONCRETO SIMPLES FCK=20MPA</v>
      </c>
      <c r="E499" s="15" t="str">
        <f>VLOOKUP(B499,S!$A:$G,4,FALSE)</f>
        <v>UND</v>
      </c>
      <c r="F499" s="15"/>
      <c r="G499" s="78">
        <f>I503</f>
        <v>24798.26</v>
      </c>
      <c r="H499" s="79"/>
      <c r="I499" s="78"/>
      <c r="J499" s="79"/>
      <c r="K499" s="16">
        <f>VLOOKUP(B499,S!A:G,5,FALSE)</f>
        <v>0</v>
      </c>
      <c r="L499" s="15" t="s">
        <v>1003</v>
      </c>
    </row>
    <row r="500" spans="1:18" ht="58.8" customHeight="1" x14ac:dyDescent="0.3">
      <c r="A500" s="23" t="s">
        <v>1011</v>
      </c>
      <c r="B500" s="23" t="s">
        <v>1065</v>
      </c>
      <c r="C500" s="23" t="str">
        <f>VLOOKUP(B500,IF(A500="COMPOSICAO",S!$A:$E,I!$A:$E),2,FALSE)</f>
        <v>PRÓPRIA</v>
      </c>
      <c r="D500" s="24" t="str">
        <f>VLOOKUP(B500,IF(A500="COMPOSICAO",S!$A:$E,I!$A:$E),3,FALSE)</f>
        <v>FORNECIMENTO E INSTALAÇÃO DE BASE PARA RESERVATÓRIO EM CONCRETO PRÉ-MOLDADO COM H=10,00 M LIVRE, COM 03 PILARES E 01 LAJE,  INCLUSO FRETE E FUNDAÇÃO EM CONCRETO SIMPLES FCK = 20 MPA</v>
      </c>
      <c r="E500" s="23" t="str">
        <f>VLOOKUP(B500,IF(A500="COMPOSICAO",S!$A:$E,I!$A:$E),4,FALSE)</f>
        <v>UN</v>
      </c>
      <c r="F500" s="23">
        <v>1</v>
      </c>
      <c r="G500" s="76">
        <f>IF(A500="COMPOSICAO",VLOOKUP("TOTAL SEM BDI - "&amp;B500,CPUAUX1!$A:$J,9,FALSE),VLOOKUP(B500,I!$A:$E,5,FALSE))</f>
        <v>18900</v>
      </c>
      <c r="H500" s="77"/>
      <c r="I500" s="76">
        <f>TRUNC(F500*G500,2)</f>
        <v>18900</v>
      </c>
      <c r="J500" s="77"/>
      <c r="M500" s="23" t="str">
        <f>B500</f>
        <v>COTA13</v>
      </c>
      <c r="N500" s="5">
        <f>SUMIF(ORCAMENTO!B:B,B499,ORCAMENTO!F:F)</f>
        <v>6</v>
      </c>
      <c r="O500" s="23">
        <f>F500*N500</f>
        <v>6</v>
      </c>
      <c r="Q500" s="23">
        <f ca="1">IFERROR(SUMIF(CO!B:B,B499,OFFSET(CO!F:F,0,(4+MATCH(ETAPA,CO!$J$6:$V$6,0)))),0)</f>
        <v>3</v>
      </c>
      <c r="R500" s="23">
        <f ca="1">F500*Q500</f>
        <v>3</v>
      </c>
    </row>
    <row r="501" spans="1:18" ht="30" customHeight="1" x14ac:dyDescent="0.3">
      <c r="A501" s="23" t="s">
        <v>1004</v>
      </c>
      <c r="B501" s="23" t="s">
        <v>1066</v>
      </c>
      <c r="C501" s="23" t="str">
        <f>VLOOKUP(B501,IF(A501="COMPOSICAO",S!$A:$E,I!$A:$E),2,FALSE)</f>
        <v>PRÓPRIA</v>
      </c>
      <c r="D501" s="24" t="str">
        <f>VLOOKUP(B501,IF(A501="COMPOSICAO",S!$A:$E,I!$A:$E),3,FALSE)</f>
        <v>PINTURA LOGOTIPO DA SECRETARIA EM RESERVATÓRIO DE FIBRA DE VIDRO</v>
      </c>
      <c r="E501" s="23" t="str">
        <f>VLOOKUP(B501,IF(A501="COMPOSICAO",S!$A:$E,I!$A:$E),4,FALSE)</f>
        <v>UND</v>
      </c>
      <c r="F501" s="23">
        <v>1</v>
      </c>
      <c r="G501" s="76">
        <f>IF(A501="COMPOSICAO",VLOOKUP("TOTAL SEM BDI - "&amp;B501,CPUAUX1!$A:$J,9,FALSE),VLOOKUP(B501,I!$A:$E,5,FALSE))</f>
        <v>84.94</v>
      </c>
      <c r="H501" s="77"/>
      <c r="I501" s="76">
        <f>TRUNC(F501*G501,2)</f>
        <v>84.94</v>
      </c>
      <c r="J501" s="77"/>
      <c r="M501" s="23" t="str">
        <f>B501</f>
        <v>COMPOS33</v>
      </c>
      <c r="N501" s="5">
        <f>SUMIF(ORCAMENTO!B:B,B499,ORCAMENTO!F:F)</f>
        <v>6</v>
      </c>
      <c r="O501" s="23">
        <f>F501*N501</f>
        <v>6</v>
      </c>
      <c r="Q501" s="23">
        <f ca="1">IFERROR(SUMIF(CO!B:B,B499,OFFSET(CO!F:F,0,(4+MATCH(ETAPA,CO!$J$6:$V$6,0)))),0)</f>
        <v>3</v>
      </c>
      <c r="R501" s="23">
        <f ca="1">F501*Q501</f>
        <v>3</v>
      </c>
    </row>
    <row r="502" spans="1:18" ht="45" customHeight="1" x14ac:dyDescent="0.3">
      <c r="A502" s="23" t="s">
        <v>1005</v>
      </c>
      <c r="B502" s="23">
        <v>37106</v>
      </c>
      <c r="C502" s="23" t="str">
        <f>VLOOKUP(B502,IF(A502="COMPOSICAO",S!$A:$E,I!$A:$E),2,FALSE)</f>
        <v>SINAPI</v>
      </c>
      <c r="D502" s="24" t="str">
        <f>VLOOKUP(B502,IF(A502="COMPOSICAO",S!$A:$E,I!$A:$E),3,FALSE)</f>
        <v>CAIXA D'AGUA / RESERVATORIO EM POLIESTER REFORCADO COM FIBRA DE VIDRO, 10000 LITROS, COM TAMPA</v>
      </c>
      <c r="E502" s="23" t="str">
        <f>VLOOKUP(B502,IF(A502="COMPOSICAO",S!$A:$E,I!$A:$E),4,FALSE)</f>
        <v>UN</v>
      </c>
      <c r="F502" s="23">
        <v>1</v>
      </c>
      <c r="G502" s="76">
        <f>IF(A502="COMPOSICAO",VLOOKUP("TOTAL SEM BDI - "&amp;B502,CPUAUX1!$A:$J,9,FALSE),VLOOKUP(B502,I!$A:$E,5,FALSE))</f>
        <v>5813.32</v>
      </c>
      <c r="H502" s="77"/>
      <c r="I502" s="76">
        <f>TRUNC(F502*G502,2)</f>
        <v>5813.32</v>
      </c>
      <c r="J502" s="77"/>
      <c r="M502" s="23">
        <f>B502</f>
        <v>37106</v>
      </c>
      <c r="N502" s="5">
        <f>SUMIF(ORCAMENTO!B:B,B499,ORCAMENTO!F:F)</f>
        <v>6</v>
      </c>
      <c r="O502" s="23">
        <f>F502*N502</f>
        <v>6</v>
      </c>
      <c r="Q502" s="23">
        <f ca="1">IFERROR(SUMIF(CO!B:B,B499,OFFSET(CO!F:F,0,(4+MATCH(ETAPA,CO!$J$6:$V$6,0)))),0)</f>
        <v>3</v>
      </c>
      <c r="R502" s="23">
        <f ca="1">F502*Q502</f>
        <v>3</v>
      </c>
    </row>
    <row r="503" spans="1:18" x14ac:dyDescent="0.3">
      <c r="A503" s="73" t="str">
        <f>"TOTAL SEM BDI - "&amp;B499</f>
        <v>TOTAL SEM BDI - COMPOS34</v>
      </c>
      <c r="B503" s="74"/>
      <c r="C503" s="74"/>
      <c r="D503" s="74"/>
      <c r="E503" s="74"/>
      <c r="F503" s="74"/>
      <c r="G503" s="74"/>
      <c r="H503" s="75"/>
      <c r="I503" s="76">
        <f>SUM(I499:I502)</f>
        <v>24798.26</v>
      </c>
      <c r="J503" s="77"/>
    </row>
    <row r="504" spans="1:18" x14ac:dyDescent="0.3">
      <c r="A504" s="73" t="str">
        <f>"TAXA DE BDI ("&amp;TEXT(BDI,"00,00")&amp;" %)"</f>
        <v>TAXA DE BDI (22,33 %)</v>
      </c>
      <c r="B504" s="74"/>
      <c r="C504" s="74"/>
      <c r="D504" s="74"/>
      <c r="E504" s="74"/>
      <c r="F504" s="74"/>
      <c r="G504" s="74"/>
      <c r="H504" s="75"/>
      <c r="I504" s="76">
        <f>ROUND(I503*(BDI/100),2)</f>
        <v>5537.45</v>
      </c>
      <c r="J504" s="77"/>
    </row>
    <row r="505" spans="1:18" x14ac:dyDescent="0.3">
      <c r="A505" s="73" t="str">
        <f>"TOTAL COM BDI - "&amp;B499</f>
        <v>TOTAL COM BDI - COMPOS34</v>
      </c>
      <c r="B505" s="74"/>
      <c r="C505" s="74"/>
      <c r="D505" s="74"/>
      <c r="E505" s="74"/>
      <c r="F505" s="74"/>
      <c r="G505" s="74"/>
      <c r="H505" s="75"/>
      <c r="I505" s="76">
        <f>SUM(I503:I504)</f>
        <v>30335.71</v>
      </c>
      <c r="J505" s="77"/>
    </row>
    <row r="507" spans="1:18" x14ac:dyDescent="0.3">
      <c r="A507" s="4" t="s">
        <v>1000</v>
      </c>
      <c r="B507" s="4" t="s">
        <v>170</v>
      </c>
      <c r="C507" s="4" t="s">
        <v>171</v>
      </c>
      <c r="D507" s="4" t="s">
        <v>18</v>
      </c>
      <c r="E507" s="4" t="s">
        <v>172</v>
      </c>
      <c r="F507" s="4" t="s">
        <v>507</v>
      </c>
      <c r="G507" s="45" t="s">
        <v>1001</v>
      </c>
      <c r="H507" s="46"/>
      <c r="I507" s="45" t="s">
        <v>12</v>
      </c>
      <c r="J507" s="46"/>
    </row>
    <row r="508" spans="1:18" ht="90" customHeight="1" x14ac:dyDescent="0.3">
      <c r="A508" s="15" t="s">
        <v>1031</v>
      </c>
      <c r="B508" s="15">
        <v>102314</v>
      </c>
      <c r="C508" s="15" t="str">
        <f>VLOOKUP(B508,S!$A:$G,2,FALSE)</f>
        <v>SINAPI</v>
      </c>
      <c r="D508" s="22" t="str">
        <f>VLOOKUP(B508,S!$A:$G,3,FALSE)</f>
        <v>ESCAVAÇÃO MECANIZADA DE VALA COM PROF. ATÉ 1,5 M (MÉDIA MONTANTE E JUSANTE/UMA COMPOSIÇÃO POR TRECHO),COM ESCAVADEIRA (0,8 M3), LARG. MENOR QUE 1,5 M, EM SOLO DE 2A CATEGORIA, LOCAIS COM BAIXO NÍVEL DE INTERFERÊNCIA. AF_09/2024</v>
      </c>
      <c r="E508" s="15" t="str">
        <f>VLOOKUP(B508,S!$A:$G,4,FALSE)</f>
        <v>M3</v>
      </c>
      <c r="F508" s="15"/>
      <c r="G508" s="78">
        <f>I512</f>
        <v>8.5</v>
      </c>
      <c r="H508" s="79"/>
      <c r="I508" s="78"/>
      <c r="J508" s="79"/>
      <c r="K508" s="16">
        <f>VLOOKUP(B508,S!A:G,5,FALSE)</f>
        <v>8.5</v>
      </c>
      <c r="L508" s="15" t="str">
        <f>IF(K508=G508,"OK, CONFORME TABELA",IF(G508&gt;K508,"ACIMA DA TABELA: ","ABAIXO DA TABELA: ")&amp;TRUNC((G508*100)/K508,2)&amp;" %")</f>
        <v>OK, CONFORME TABELA</v>
      </c>
    </row>
    <row r="509" spans="1:18" x14ac:dyDescent="0.3">
      <c r="A509" s="23" t="s">
        <v>1004</v>
      </c>
      <c r="B509" s="23">
        <v>88316</v>
      </c>
      <c r="C509" s="23" t="str">
        <f>VLOOKUP(B509,IF(A509="COMPOSICAO",S!$A:$E,I!$A:$E),2,FALSE)</f>
        <v>SINAPI</v>
      </c>
      <c r="D509" s="24" t="str">
        <f>VLOOKUP(B509,IF(A509="COMPOSICAO",S!$A:$E,I!$A:$E),3,FALSE)</f>
        <v>SERVENTE COM ENCARGOS COMPLEMENTARES</v>
      </c>
      <c r="E509" s="23" t="str">
        <f>VLOOKUP(B509,IF(A509="COMPOSICAO",S!$A:$E,I!$A:$E),4,FALSE)</f>
        <v>H</v>
      </c>
      <c r="F509" s="23">
        <f>0.0468178/pcf</f>
        <v>4.68178E-2</v>
      </c>
      <c r="G509" s="76">
        <f>IF(A509="COMPOSICAO",VLOOKUP("TOTAL SEM BDI - "&amp;B509,CPUAUX1!$A:$J,9,FALSE),VLOOKUP(B509,I!$A:$E,5,FALSE))</f>
        <v>21.71</v>
      </c>
      <c r="H509" s="77"/>
      <c r="I509" s="76">
        <f>TRUNC(F509*G509,2)</f>
        <v>1.01</v>
      </c>
      <c r="J509" s="77"/>
      <c r="M509" s="23">
        <f>B509</f>
        <v>88316</v>
      </c>
      <c r="N509" s="5">
        <f>SUMIF(ORCAMENTO!B:B,B508,ORCAMENTO!F:F)</f>
        <v>6557.6399999999985</v>
      </c>
      <c r="O509" s="23">
        <f>F509*N509</f>
        <v>307.0142779919999</v>
      </c>
      <c r="Q509" s="23">
        <f ca="1">IFERROR(SUMIF(CO!B:B,B508,OFFSET(CO!F:F,0,(4+MATCH(ETAPA,CO!$J$6:$V$6,0)))),0)</f>
        <v>1705.92</v>
      </c>
      <c r="R509" s="23">
        <f ca="1">F509*Q509</f>
        <v>79.867421375999996</v>
      </c>
    </row>
    <row r="510" spans="1:18" ht="45" customHeight="1" x14ac:dyDescent="0.3">
      <c r="A510" s="23" t="s">
        <v>1004</v>
      </c>
      <c r="B510" s="23">
        <v>5632</v>
      </c>
      <c r="C510" s="23" t="str">
        <f>VLOOKUP(B510,IF(A510="COMPOSICAO",S!$A:$E,I!$A:$E),2,FALSE)</f>
        <v>SINAPI</v>
      </c>
      <c r="D510" s="24" t="str">
        <f>VLOOKUP(B510,IF(A510="COMPOSICAO",S!$A:$E,I!$A:$E),3,FALSE)</f>
        <v>ESCAVADEIRA HIDRÁULICA SOBRE ESTEIRAS, CAÇAMBA 0,80 M3, PESO OPERACIONAL 17 T, POTENCIA BRUTA 111 HP - CHI DIURNO. AF_06/2014</v>
      </c>
      <c r="E510" s="23" t="str">
        <f>VLOOKUP(B510,IF(A510="COMPOSICAO",S!$A:$E,I!$A:$E),4,FALSE)</f>
        <v>CHI</v>
      </c>
      <c r="F510" s="23">
        <v>2.0629100000000001E-2</v>
      </c>
      <c r="G510" s="76">
        <f>IF(A510="COMPOSICAO",VLOOKUP("TOTAL SEM BDI - "&amp;B510,CPUAUX1!$A:$J,9,FALSE),VLOOKUP(B510,I!$A:$E,5,FALSE))</f>
        <v>91.12</v>
      </c>
      <c r="H510" s="77"/>
      <c r="I510" s="76">
        <f>TRUNC(F510*G510,2)</f>
        <v>1.87</v>
      </c>
      <c r="J510" s="77"/>
      <c r="M510" s="23">
        <f>B510</f>
        <v>5632</v>
      </c>
      <c r="N510" s="5">
        <f>SUMIF(ORCAMENTO!B:B,B508,ORCAMENTO!F:F)</f>
        <v>6557.6399999999985</v>
      </c>
      <c r="O510" s="23">
        <f>F510*N510</f>
        <v>135.27821132399998</v>
      </c>
      <c r="Q510" s="23">
        <f ca="1">IFERROR(SUMIF(CO!B:B,B508,OFFSET(CO!F:F,0,(4+MATCH(ETAPA,CO!$J$6:$V$6,0)))),0)</f>
        <v>1705.92</v>
      </c>
      <c r="R510" s="23">
        <f ca="1">F510*Q510</f>
        <v>35.191594272000003</v>
      </c>
    </row>
    <row r="511" spans="1:18" ht="45" customHeight="1" x14ac:dyDescent="0.3">
      <c r="A511" s="23" t="s">
        <v>1004</v>
      </c>
      <c r="B511" s="23">
        <v>5631</v>
      </c>
      <c r="C511" s="23" t="str">
        <f>VLOOKUP(B511,IF(A511="COMPOSICAO",S!$A:$E,I!$A:$E),2,FALSE)</f>
        <v>SINAPI</v>
      </c>
      <c r="D511" s="24" t="str">
        <f>VLOOKUP(B511,IF(A511="COMPOSICAO",S!$A:$E,I!$A:$E),3,FALSE)</f>
        <v>ESCAVADEIRA HIDRÁULICA SOBRE ESTEIRAS, CAÇAMBA 0,80 M3, PESO OPERACIONAL 17 T, POTENCIA BRUTA 111 HP - CHP DIURNO. AF_06/2014</v>
      </c>
      <c r="E511" s="23" t="str">
        <f>VLOOKUP(B511,IF(A511="COMPOSICAO",S!$A:$E,I!$A:$E),4,FALSE)</f>
        <v>CHP</v>
      </c>
      <c r="F511" s="23">
        <v>2.6188699999999999E-2</v>
      </c>
      <c r="G511" s="76">
        <f>IF(A511="COMPOSICAO",VLOOKUP("TOTAL SEM BDI - "&amp;B511,CPUAUX1!$A:$J,9,FALSE),VLOOKUP(B511,I!$A:$E,5,FALSE))</f>
        <v>214.63</v>
      </c>
      <c r="H511" s="77"/>
      <c r="I511" s="76">
        <f>TRUNC(F511*G511,2)</f>
        <v>5.62</v>
      </c>
      <c r="J511" s="77"/>
      <c r="M511" s="23">
        <f>B511</f>
        <v>5631</v>
      </c>
      <c r="N511" s="5">
        <f>SUMIF(ORCAMENTO!B:B,B508,ORCAMENTO!F:F)</f>
        <v>6557.6399999999985</v>
      </c>
      <c r="O511" s="23">
        <f>F511*N511</f>
        <v>171.73606666799995</v>
      </c>
      <c r="Q511" s="23">
        <f ca="1">IFERROR(SUMIF(CO!B:B,B508,OFFSET(CO!F:F,0,(4+MATCH(ETAPA,CO!$J$6:$V$6,0)))),0)</f>
        <v>1705.92</v>
      </c>
      <c r="R511" s="23">
        <f ca="1">F511*Q511</f>
        <v>44.675827104</v>
      </c>
    </row>
    <row r="512" spans="1:18" x14ac:dyDescent="0.3">
      <c r="A512" s="73" t="str">
        <f>"TOTAL SEM BDI - "&amp;B508</f>
        <v>TOTAL SEM BDI - 102314</v>
      </c>
      <c r="B512" s="74"/>
      <c r="C512" s="74"/>
      <c r="D512" s="74"/>
      <c r="E512" s="74"/>
      <c r="F512" s="74"/>
      <c r="G512" s="74"/>
      <c r="H512" s="75"/>
      <c r="I512" s="76">
        <f>SUM(I508:I511)</f>
        <v>8.5</v>
      </c>
      <c r="J512" s="77"/>
    </row>
    <row r="513" spans="1:18" x14ac:dyDescent="0.3">
      <c r="A513" s="73" t="str">
        <f>"TAXA DE BDI ("&amp;TEXT(BDI,"00,00")&amp;" %)"</f>
        <v>TAXA DE BDI (22,33 %)</v>
      </c>
      <c r="B513" s="74"/>
      <c r="C513" s="74"/>
      <c r="D513" s="74"/>
      <c r="E513" s="74"/>
      <c r="F513" s="74"/>
      <c r="G513" s="74"/>
      <c r="H513" s="75"/>
      <c r="I513" s="76">
        <f>ROUND(I512*(BDI/100),2)</f>
        <v>1.9</v>
      </c>
      <c r="J513" s="77"/>
    </row>
    <row r="514" spans="1:18" x14ac:dyDescent="0.3">
      <c r="A514" s="73" t="str">
        <f>"TOTAL COM BDI - "&amp;B508</f>
        <v>TOTAL COM BDI - 102314</v>
      </c>
      <c r="B514" s="74"/>
      <c r="C514" s="74"/>
      <c r="D514" s="74"/>
      <c r="E514" s="74"/>
      <c r="F514" s="74"/>
      <c r="G514" s="74"/>
      <c r="H514" s="75"/>
      <c r="I514" s="76">
        <f>SUM(I512:I513)</f>
        <v>10.4</v>
      </c>
      <c r="J514" s="77"/>
    </row>
    <row r="516" spans="1:18" x14ac:dyDescent="0.3">
      <c r="A516" s="4" t="s">
        <v>1000</v>
      </c>
      <c r="B516" s="4" t="s">
        <v>170</v>
      </c>
      <c r="C516" s="4" t="s">
        <v>171</v>
      </c>
      <c r="D516" s="4" t="s">
        <v>18</v>
      </c>
      <c r="E516" s="4" t="s">
        <v>172</v>
      </c>
      <c r="F516" s="4" t="s">
        <v>507</v>
      </c>
      <c r="G516" s="45" t="s">
        <v>1001</v>
      </c>
      <c r="H516" s="46"/>
      <c r="I516" s="45" t="s">
        <v>12</v>
      </c>
      <c r="J516" s="46"/>
    </row>
    <row r="517" spans="1:18" ht="90" customHeight="1" x14ac:dyDescent="0.3">
      <c r="A517" s="15" t="s">
        <v>1067</v>
      </c>
      <c r="B517" s="15" t="s">
        <v>637</v>
      </c>
      <c r="C517" s="15" t="str">
        <f>VLOOKUP(B517,S!$A:$G,2,FALSE)</f>
        <v>PRÓPRIA</v>
      </c>
      <c r="D517" s="22" t="str">
        <f>VLOOKUP(B517,S!$A:$G,3,FALSE)</f>
        <v>REATERRO MECANIZADO DE VALA COM RETROESCAVADEIRA (CAPACIDADE DA CAÇAMBA DA RETRO: 0,26 M³/POTÊNCIA: 88 HP), LARGURA ATÉ 0,8 M, PROFUNDIDADE ATÉ 1,5 M, COM SOLO (SEM SUBSTITUIÇÃO) DE 1ª CATEGORIA. AF_08/2023 (REF: 104733-SINAPI-05/2025)</v>
      </c>
      <c r="E517" s="15" t="str">
        <f>VLOOKUP(B517,S!$A:$G,4,FALSE)</f>
        <v>M3</v>
      </c>
      <c r="F517" s="15"/>
      <c r="G517" s="78">
        <f>I520</f>
        <v>12.76</v>
      </c>
      <c r="H517" s="79"/>
      <c r="I517" s="78"/>
      <c r="J517" s="79"/>
      <c r="K517" s="16">
        <f>VLOOKUP(B517,S!A:G,5,FALSE)</f>
        <v>0</v>
      </c>
      <c r="L517" s="15" t="s">
        <v>1003</v>
      </c>
    </row>
    <row r="518" spans="1:18" ht="90" customHeight="1" x14ac:dyDescent="0.3">
      <c r="A518" s="23" t="s">
        <v>1004</v>
      </c>
      <c r="B518" s="23">
        <v>5679</v>
      </c>
      <c r="C518" s="23" t="str">
        <f>VLOOKUP(B518,IF(A518="COMPOSICAO",S!$A:$E,I!$A:$E),2,FALSE)</f>
        <v>SINAPI</v>
      </c>
      <c r="D518" s="24" t="str">
        <f>VLOOKUP(B518,IF(A518="COMPOSICAO",S!$A:$E,I!$A:$E),3,FALSE)</f>
        <v>RETROESCAVADEIRA SOBRE RODAS COM CARREGADEIRA, TRAÇÃO 4X4, POTÊNCIA LÍQ. 88 HP, CAÇAMBA CARREG. CAP. MÍN. 1 M3, CAÇAMBA RETRO CAP. 0,26 M3, PESO OPERACIONAL MÍN. 6.674 KG, PROFUNDIDADE ESCAVAÇÃO MÁX. 4,37 M - CHI DIURNO. AF_06/2014</v>
      </c>
      <c r="E518" s="23" t="str">
        <f>VLOOKUP(B518,IF(A518="COMPOSICAO",S!$A:$E,I!$A:$E),4,FALSE)</f>
        <v>CHI</v>
      </c>
      <c r="F518" s="23">
        <v>7.7700000000000005E-2</v>
      </c>
      <c r="G518" s="76">
        <f>IF(A518="COMPOSICAO",VLOOKUP("TOTAL SEM BDI - "&amp;B518,CPUAUX1!$A:$J,9,FALSE),VLOOKUP(B518,I!$A:$E,5,FALSE))</f>
        <v>63.27</v>
      </c>
      <c r="H518" s="77"/>
      <c r="I518" s="76">
        <f>TRUNC(F518*G518,2)</f>
        <v>4.91</v>
      </c>
      <c r="J518" s="77"/>
      <c r="M518" s="23">
        <f>B518</f>
        <v>5679</v>
      </c>
      <c r="N518" s="5">
        <f>SUMIF(ORCAMENTO!B:B,B517,ORCAMENTO!F:F)</f>
        <v>6557.6399999999985</v>
      </c>
      <c r="O518" s="23">
        <f>F518*N518</f>
        <v>509.52862799999991</v>
      </c>
      <c r="Q518" s="23">
        <f ca="1">IFERROR(SUMIF(CO!B:B,B517,OFFSET(CO!F:F,0,(4+MATCH(ETAPA,CO!$J$6:$V$6,0)))),0)</f>
        <v>1705.92</v>
      </c>
      <c r="R518" s="23">
        <f ca="1">F518*Q518</f>
        <v>132.54998400000002</v>
      </c>
    </row>
    <row r="519" spans="1:18" ht="90" customHeight="1" x14ac:dyDescent="0.3">
      <c r="A519" s="23" t="s">
        <v>1004</v>
      </c>
      <c r="B519" s="23">
        <v>5678</v>
      </c>
      <c r="C519" s="23" t="str">
        <f>VLOOKUP(B519,IF(A519="COMPOSICAO",S!$A:$E,I!$A:$E),2,FALSE)</f>
        <v>SINAPI</v>
      </c>
      <c r="D519" s="24" t="str">
        <f>VLOOKUP(B519,IF(A519="COMPOSICAO",S!$A:$E,I!$A:$E),3,FALSE)</f>
        <v>RETROESCAVADEIRA SOBRE RODAS COM CARREGADEIRA, TRAÇÃO 4X4, POTÊNCIA LÍQ. 88 HP, CAÇAMBA CARREG. CAP. MÍN. 1 M3, CAÇAMBA RETRO CAP. 0,26 M3, PESO OPERACIONAL MÍN. 6.674 KG, PROFUNDIDADE ESCAVAÇÃO MÁX. 4,37 M - CHP DIURNO. AF_06/2014</v>
      </c>
      <c r="E519" s="23" t="str">
        <f>VLOOKUP(B519,IF(A519="COMPOSICAO",S!$A:$E,I!$A:$E),4,FALSE)</f>
        <v>CHP</v>
      </c>
      <c r="F519" s="23">
        <v>5.3800000000000001E-2</v>
      </c>
      <c r="G519" s="76">
        <f>IF(A519="COMPOSICAO",VLOOKUP("TOTAL SEM BDI - "&amp;B519,CPUAUX1!$A:$J,9,FALSE),VLOOKUP(B519,I!$A:$E,5,FALSE))</f>
        <v>146.07</v>
      </c>
      <c r="H519" s="77"/>
      <c r="I519" s="76">
        <f>TRUNC(F519*G519,2)</f>
        <v>7.85</v>
      </c>
      <c r="J519" s="77"/>
      <c r="M519" s="23">
        <f>B519</f>
        <v>5678</v>
      </c>
      <c r="N519" s="5">
        <f>SUMIF(ORCAMENTO!B:B,B517,ORCAMENTO!F:F)</f>
        <v>6557.6399999999985</v>
      </c>
      <c r="O519" s="23">
        <f>F519*N519</f>
        <v>352.80103199999991</v>
      </c>
      <c r="Q519" s="23">
        <f ca="1">IFERROR(SUMIF(CO!B:B,B517,OFFSET(CO!F:F,0,(4+MATCH(ETAPA,CO!$J$6:$V$6,0)))),0)</f>
        <v>1705.92</v>
      </c>
      <c r="R519" s="23">
        <f ca="1">F519*Q519</f>
        <v>91.778496000000004</v>
      </c>
    </row>
    <row r="520" spans="1:18" x14ac:dyDescent="0.3">
      <c r="A520" s="73" t="str">
        <f>"TOTAL SEM BDI - "&amp;B517</f>
        <v>TOTAL SEM BDI - COMP199</v>
      </c>
      <c r="B520" s="74"/>
      <c r="C520" s="74"/>
      <c r="D520" s="74"/>
      <c r="E520" s="74"/>
      <c r="F520" s="74"/>
      <c r="G520" s="74"/>
      <c r="H520" s="75"/>
      <c r="I520" s="76">
        <f>SUM(I517:I519)</f>
        <v>12.76</v>
      </c>
      <c r="J520" s="77"/>
    </row>
    <row r="521" spans="1:18" x14ac:dyDescent="0.3">
      <c r="A521" s="73" t="str">
        <f>"TAXA DE BDI ("&amp;TEXT(BDI,"00,00")&amp;" %)"</f>
        <v>TAXA DE BDI (22,33 %)</v>
      </c>
      <c r="B521" s="74"/>
      <c r="C521" s="74"/>
      <c r="D521" s="74"/>
      <c r="E521" s="74"/>
      <c r="F521" s="74"/>
      <c r="G521" s="74"/>
      <c r="H521" s="75"/>
      <c r="I521" s="76">
        <f>ROUND(I520*(BDI/100),2)</f>
        <v>2.85</v>
      </c>
      <c r="J521" s="77"/>
    </row>
    <row r="522" spans="1:18" x14ac:dyDescent="0.3">
      <c r="A522" s="73" t="str">
        <f>"TOTAL COM BDI - "&amp;B517</f>
        <v>TOTAL COM BDI - COMP199</v>
      </c>
      <c r="B522" s="74"/>
      <c r="C522" s="74"/>
      <c r="D522" s="74"/>
      <c r="E522" s="74"/>
      <c r="F522" s="74"/>
      <c r="G522" s="74"/>
      <c r="H522" s="75"/>
      <c r="I522" s="76">
        <f>SUM(I520:I521)</f>
        <v>15.61</v>
      </c>
      <c r="J522" s="77"/>
    </row>
    <row r="524" spans="1:18" x14ac:dyDescent="0.3">
      <c r="A524" s="4" t="s">
        <v>1000</v>
      </c>
      <c r="B524" s="4" t="s">
        <v>170</v>
      </c>
      <c r="C524" s="4" t="s">
        <v>171</v>
      </c>
      <c r="D524" s="4" t="s">
        <v>18</v>
      </c>
      <c r="E524" s="4" t="s">
        <v>172</v>
      </c>
      <c r="F524" s="4" t="s">
        <v>507</v>
      </c>
      <c r="G524" s="45" t="s">
        <v>1001</v>
      </c>
      <c r="H524" s="46"/>
      <c r="I524" s="45" t="s">
        <v>12</v>
      </c>
      <c r="J524" s="46"/>
    </row>
    <row r="525" spans="1:18" ht="30" customHeight="1" x14ac:dyDescent="0.3">
      <c r="A525" s="15" t="s">
        <v>1064</v>
      </c>
      <c r="B525" s="15" t="s">
        <v>640</v>
      </c>
      <c r="C525" s="15" t="str">
        <f>VLOOKUP(B525,S!$A:$G,2,FALSE)</f>
        <v>PRÓPRIA</v>
      </c>
      <c r="D525" s="22" t="str">
        <f>VLOOKUP(B525,S!$A:$G,3,FALSE)</f>
        <v>AQUISIÇÃO E ASSENTAMENTO DE TUBO RÍGIDO PVC, CLASSE 12, DN 60 MM, INCLUSO CONEXÕES</v>
      </c>
      <c r="E525" s="15" t="str">
        <f>VLOOKUP(B525,S!$A:$G,4,FALSE)</f>
        <v>M</v>
      </c>
      <c r="F525" s="15"/>
      <c r="G525" s="78">
        <f>I531</f>
        <v>27.91</v>
      </c>
      <c r="H525" s="79"/>
      <c r="I525" s="78"/>
      <c r="J525" s="79"/>
      <c r="K525" s="16">
        <f>VLOOKUP(B525,S!A:G,5,FALSE)</f>
        <v>0</v>
      </c>
      <c r="L525" s="15" t="s">
        <v>1003</v>
      </c>
    </row>
    <row r="526" spans="1:18" x14ac:dyDescent="0.3">
      <c r="A526" s="23" t="s">
        <v>1004</v>
      </c>
      <c r="B526" s="23">
        <v>88316</v>
      </c>
      <c r="C526" s="23" t="str">
        <f>VLOOKUP(B526,IF(A526="COMPOSICAO",S!$A:$E,I!$A:$E),2,FALSE)</f>
        <v>SINAPI</v>
      </c>
      <c r="D526" s="24" t="str">
        <f>VLOOKUP(B526,IF(A526="COMPOSICAO",S!$A:$E,I!$A:$E),3,FALSE)</f>
        <v>SERVENTE COM ENCARGOS COMPLEMENTARES</v>
      </c>
      <c r="E526" s="23" t="str">
        <f>VLOOKUP(B526,IF(A526="COMPOSICAO",S!$A:$E,I!$A:$E),4,FALSE)</f>
        <v>H</v>
      </c>
      <c r="F526" s="23">
        <f>0.0635/pcf</f>
        <v>6.3500000000000001E-2</v>
      </c>
      <c r="G526" s="76">
        <f>IF(A526="COMPOSICAO",VLOOKUP("TOTAL SEM BDI - "&amp;B526,CPUAUX1!$A:$J,9,FALSE),VLOOKUP(B526,I!$A:$E,5,FALSE))</f>
        <v>21.71</v>
      </c>
      <c r="H526" s="77"/>
      <c r="I526" s="76">
        <f>TRUNC(F526*G526,2)</f>
        <v>1.37</v>
      </c>
      <c r="J526" s="77"/>
      <c r="M526" s="23">
        <f>B526</f>
        <v>88316</v>
      </c>
      <c r="N526" s="5">
        <f>SUMIF(ORCAMENTO!B:B,B525,ORCAMENTO!F:F)</f>
        <v>16123.900000000001</v>
      </c>
      <c r="O526" s="23">
        <f>F526*N526</f>
        <v>1023.8676500000001</v>
      </c>
      <c r="Q526" s="23">
        <f ca="1">IFERROR(SUMIF(CO!B:B,B525,OFFSET(CO!F:F,0,(4+MATCH(ETAPA,CO!$J$6:$V$6,0)))),0)</f>
        <v>4253</v>
      </c>
      <c r="R526" s="23">
        <f ca="1">F526*Q526</f>
        <v>270.06549999999999</v>
      </c>
    </row>
    <row r="527" spans="1:18" ht="30" customHeight="1" x14ac:dyDescent="0.3">
      <c r="A527" s="23" t="s">
        <v>1004</v>
      </c>
      <c r="B527" s="23">
        <v>88246</v>
      </c>
      <c r="C527" s="23" t="str">
        <f>VLOOKUP(B527,IF(A527="COMPOSICAO",S!$A:$E,I!$A:$E),2,FALSE)</f>
        <v>SINAPI</v>
      </c>
      <c r="D527" s="24" t="str">
        <f>VLOOKUP(B527,IF(A527="COMPOSICAO",S!$A:$E,I!$A:$E),3,FALSE)</f>
        <v>ASSENTADOR DE TUBOS COM ENCARGOS COMPLEMENTARES</v>
      </c>
      <c r="E527" s="23" t="str">
        <f>VLOOKUP(B527,IF(A527="COMPOSICAO",S!$A:$E,I!$A:$E),4,FALSE)</f>
        <v>H</v>
      </c>
      <c r="F527" s="23">
        <f>0.03/pcf</f>
        <v>0.03</v>
      </c>
      <c r="G527" s="76">
        <f>IF(A527="COMPOSICAO",VLOOKUP("TOTAL SEM BDI - "&amp;B527,CPUAUX1!$A:$J,9,FALSE),VLOOKUP(B527,I!$A:$E,5,FALSE))</f>
        <v>19.630000000000003</v>
      </c>
      <c r="H527" s="77"/>
      <c r="I527" s="76">
        <f>TRUNC(F527*G527,2)</f>
        <v>0.57999999999999996</v>
      </c>
      <c r="J527" s="77"/>
      <c r="M527" s="23">
        <f>B527</f>
        <v>88246</v>
      </c>
      <c r="N527" s="5">
        <f>SUMIF(ORCAMENTO!B:B,B525,ORCAMENTO!F:F)</f>
        <v>16123.900000000001</v>
      </c>
      <c r="O527" s="23">
        <f>F527*N527</f>
        <v>483.71700000000004</v>
      </c>
      <c r="Q527" s="23">
        <f ca="1">IFERROR(SUMIF(CO!B:B,B525,OFFSET(CO!F:F,0,(4+MATCH(ETAPA,CO!$J$6:$V$6,0)))),0)</f>
        <v>4253</v>
      </c>
      <c r="R527" s="23">
        <f ca="1">F527*Q527</f>
        <v>127.58999999999999</v>
      </c>
    </row>
    <row r="528" spans="1:18" ht="30" customHeight="1" x14ac:dyDescent="0.3">
      <c r="A528" s="23" t="s">
        <v>1005</v>
      </c>
      <c r="B528" s="23">
        <v>325</v>
      </c>
      <c r="C528" s="23" t="str">
        <f>VLOOKUP(B528,IF(A528="COMPOSICAO",S!$A:$E,I!$A:$E),2,FALSE)</f>
        <v>SINAPI</v>
      </c>
      <c r="D528" s="24" t="str">
        <f>VLOOKUP(B528,IF(A528="COMPOSICAO",S!$A:$E,I!$A:$E),3,FALSE)</f>
        <v>ANEL BORRACHA, PARA TUBO/CONEXAO PVC PBA, DN 50 MM, PARA REDE AGUA</v>
      </c>
      <c r="E528" s="23" t="str">
        <f>VLOOKUP(B528,IF(A528="COMPOSICAO",S!$A:$E,I!$A:$E),4,FALSE)</f>
        <v>UN</v>
      </c>
      <c r="F528" s="23">
        <v>0.17</v>
      </c>
      <c r="G528" s="76">
        <f>IF(A528="COMPOSICAO",VLOOKUP("TOTAL SEM BDI - "&amp;B528,CPUAUX1!$A:$J,9,FALSE),VLOOKUP(B528,I!$A:$E,5,FALSE))</f>
        <v>2.96</v>
      </c>
      <c r="H528" s="77"/>
      <c r="I528" s="76">
        <f>TRUNC(F528*G528,2)</f>
        <v>0.5</v>
      </c>
      <c r="J528" s="77"/>
      <c r="M528" s="23">
        <f>B528</f>
        <v>325</v>
      </c>
      <c r="N528" s="5">
        <f>SUMIF(ORCAMENTO!B:B,B525,ORCAMENTO!F:F)</f>
        <v>16123.900000000001</v>
      </c>
      <c r="O528" s="23">
        <f>F528*N528</f>
        <v>2741.0630000000006</v>
      </c>
      <c r="Q528" s="23">
        <f ca="1">IFERROR(SUMIF(CO!B:B,B525,OFFSET(CO!F:F,0,(4+MATCH(ETAPA,CO!$J$6:$V$6,0)))),0)</f>
        <v>4253</v>
      </c>
      <c r="R528" s="23">
        <f ca="1">F528*Q528</f>
        <v>723.0100000000001</v>
      </c>
    </row>
    <row r="529" spans="1:18" ht="45" customHeight="1" x14ac:dyDescent="0.3">
      <c r="A529" s="23" t="s">
        <v>1005</v>
      </c>
      <c r="B529" s="23">
        <v>20078</v>
      </c>
      <c r="C529" s="23" t="str">
        <f>VLOOKUP(B529,IF(A529="COMPOSICAO",S!$A:$E,I!$A:$E),2,FALSE)</f>
        <v>SINAPI</v>
      </c>
      <c r="D529" s="24" t="str">
        <f>VLOOKUP(B529,IF(A529="COMPOSICAO",S!$A:$E,I!$A:$E),3,FALSE)</f>
        <v>PASTA LUBRIFICANTE PARA TUBOS E CONEXOES COM JUNTA ELASTICA, EMBALAGEM DE *400* GR (USO EM PVC, ACO, POLIETILENO E OUTROS)</v>
      </c>
      <c r="E529" s="23" t="str">
        <f>VLOOKUP(B529,IF(A529="COMPOSICAO",S!$A:$E,I!$A:$E),4,FALSE)</f>
        <v>UN</v>
      </c>
      <c r="F529" s="23">
        <v>3.0000000000000001E-3</v>
      </c>
      <c r="G529" s="76">
        <f>IF(A529="COMPOSICAO",VLOOKUP("TOTAL SEM BDI - "&amp;B529,CPUAUX1!$A:$J,9,FALSE),VLOOKUP(B529,I!$A:$E,5,FALSE))</f>
        <v>29.05</v>
      </c>
      <c r="H529" s="77"/>
      <c r="I529" s="76">
        <f>TRUNC(F529*G529,2)</f>
        <v>0.08</v>
      </c>
      <c r="J529" s="77"/>
      <c r="M529" s="23">
        <f>B529</f>
        <v>20078</v>
      </c>
      <c r="N529" s="5">
        <f>SUMIF(ORCAMENTO!B:B,B525,ORCAMENTO!F:F)</f>
        <v>16123.900000000001</v>
      </c>
      <c r="O529" s="23">
        <f>F529*N529</f>
        <v>48.371700000000004</v>
      </c>
      <c r="Q529" s="23">
        <f ca="1">IFERROR(SUMIF(CO!B:B,B525,OFFSET(CO!F:F,0,(4+MATCH(ETAPA,CO!$J$6:$V$6,0)))),0)</f>
        <v>4253</v>
      </c>
      <c r="R529" s="23">
        <f ca="1">F529*Q529</f>
        <v>12.759</v>
      </c>
    </row>
    <row r="530" spans="1:18" ht="30" customHeight="1" x14ac:dyDescent="0.3">
      <c r="A530" s="23" t="s">
        <v>1005</v>
      </c>
      <c r="B530" s="23">
        <v>9873</v>
      </c>
      <c r="C530" s="23" t="str">
        <f>VLOOKUP(B530,IF(A530="COMPOSICAO",S!$A:$E,I!$A:$E),2,FALSE)</f>
        <v>SINAPI</v>
      </c>
      <c r="D530" s="24" t="str">
        <f>VLOOKUP(B530,IF(A530="COMPOSICAO",S!$A:$E,I!$A:$E),3,FALSE)</f>
        <v>TUBO PVC, SOLDAVEL, DE 60 MM, AGUA FRIA (NBR-5648)</v>
      </c>
      <c r="E530" s="23" t="str">
        <f>VLOOKUP(B530,IF(A530="COMPOSICAO",S!$A:$E,I!$A:$E),4,FALSE)</f>
        <v>M</v>
      </c>
      <c r="F530" s="23">
        <v>1</v>
      </c>
      <c r="G530" s="76">
        <f>IF(A530="COMPOSICAO",VLOOKUP("TOTAL SEM BDI - "&amp;B530,CPUAUX1!$A:$J,9,FALSE),VLOOKUP(B530,I!$A:$E,5,FALSE))</f>
        <v>25.38</v>
      </c>
      <c r="H530" s="77"/>
      <c r="I530" s="76">
        <f>TRUNC(F530*G530,2)</f>
        <v>25.38</v>
      </c>
      <c r="J530" s="77"/>
      <c r="M530" s="23">
        <f>B530</f>
        <v>9873</v>
      </c>
      <c r="N530" s="5">
        <f>SUMIF(ORCAMENTO!B:B,B525,ORCAMENTO!F:F)</f>
        <v>16123.900000000001</v>
      </c>
      <c r="O530" s="23">
        <f>F530*N530</f>
        <v>16123.900000000001</v>
      </c>
      <c r="Q530" s="23">
        <f ca="1">IFERROR(SUMIF(CO!B:B,B525,OFFSET(CO!F:F,0,(4+MATCH(ETAPA,CO!$J$6:$V$6,0)))),0)</f>
        <v>4253</v>
      </c>
      <c r="R530" s="23">
        <f ca="1">F530*Q530</f>
        <v>4253</v>
      </c>
    </row>
    <row r="531" spans="1:18" x14ac:dyDescent="0.3">
      <c r="A531" s="73" t="str">
        <f>"TOTAL SEM BDI - "&amp;B525</f>
        <v>TOTAL SEM BDI - COMPOS35</v>
      </c>
      <c r="B531" s="74"/>
      <c r="C531" s="74"/>
      <c r="D531" s="74"/>
      <c r="E531" s="74"/>
      <c r="F531" s="74"/>
      <c r="G531" s="74"/>
      <c r="H531" s="75"/>
      <c r="I531" s="76">
        <f>SUM(I525:I530)</f>
        <v>27.91</v>
      </c>
      <c r="J531" s="77"/>
    </row>
    <row r="532" spans="1:18" x14ac:dyDescent="0.3">
      <c r="A532" s="73" t="str">
        <f>"TAXA DE BDI ("&amp;TEXT(BDI,"00,00")&amp;" %)"</f>
        <v>TAXA DE BDI (22,33 %)</v>
      </c>
      <c r="B532" s="74"/>
      <c r="C532" s="74"/>
      <c r="D532" s="74"/>
      <c r="E532" s="74"/>
      <c r="F532" s="74"/>
      <c r="G532" s="74"/>
      <c r="H532" s="75"/>
      <c r="I532" s="76">
        <f>ROUND(I531*(BDI/100),2)</f>
        <v>6.23</v>
      </c>
      <c r="J532" s="77"/>
    </row>
    <row r="533" spans="1:18" x14ac:dyDescent="0.3">
      <c r="A533" s="73" t="str">
        <f>"TOTAL COM BDI - "&amp;B525</f>
        <v>TOTAL COM BDI - COMPOS35</v>
      </c>
      <c r="B533" s="74"/>
      <c r="C533" s="74"/>
      <c r="D533" s="74"/>
      <c r="E533" s="74"/>
      <c r="F533" s="74"/>
      <c r="G533" s="74"/>
      <c r="H533" s="75"/>
      <c r="I533" s="76">
        <f>SUM(I531:I532)</f>
        <v>34.14</v>
      </c>
      <c r="J533" s="77"/>
    </row>
    <row r="535" spans="1:18" x14ac:dyDescent="0.3">
      <c r="A535" s="4" t="s">
        <v>1000</v>
      </c>
      <c r="B535" s="4" t="s">
        <v>170</v>
      </c>
      <c r="C535" s="4" t="s">
        <v>171</v>
      </c>
      <c r="D535" s="4" t="s">
        <v>18</v>
      </c>
      <c r="E535" s="4" t="s">
        <v>172</v>
      </c>
      <c r="F535" s="4" t="s">
        <v>507</v>
      </c>
      <c r="G535" s="45" t="s">
        <v>1001</v>
      </c>
      <c r="H535" s="46"/>
      <c r="I535" s="45" t="s">
        <v>12</v>
      </c>
      <c r="J535" s="46"/>
    </row>
    <row r="536" spans="1:18" x14ac:dyDescent="0.3">
      <c r="A536" s="15" t="s">
        <v>517</v>
      </c>
      <c r="B536" s="15" t="s">
        <v>642</v>
      </c>
      <c r="C536" s="15" t="str">
        <f>VLOOKUP(B536,S!$A:$G,2,FALSE)</f>
        <v>PRÓPRIA</v>
      </c>
      <c r="D536" s="22" t="str">
        <f>VLOOKUP(B536,S!$A:$G,3,FALSE)</f>
        <v>LIGAÇÃO DOMICILIAR</v>
      </c>
      <c r="E536" s="15" t="str">
        <f>VLOOKUP(B536,S!$A:$G,4,FALSE)</f>
        <v>UND</v>
      </c>
      <c r="F536" s="15"/>
      <c r="G536" s="78">
        <f>I543</f>
        <v>206.11</v>
      </c>
      <c r="H536" s="79"/>
      <c r="I536" s="78"/>
      <c r="J536" s="79"/>
      <c r="K536" s="16">
        <f>VLOOKUP(B536,S!A:G,5,FALSE)</f>
        <v>0</v>
      </c>
      <c r="L536" s="15" t="s">
        <v>1003</v>
      </c>
    </row>
    <row r="537" spans="1:18" x14ac:dyDescent="0.3">
      <c r="A537" s="23" t="s">
        <v>1004</v>
      </c>
      <c r="B537" s="23">
        <v>88316</v>
      </c>
      <c r="C537" s="23" t="str">
        <f>VLOOKUP(B537,IF(A537="COMPOSICAO",S!$A:$E,I!$A:$E),2,FALSE)</f>
        <v>SINAPI</v>
      </c>
      <c r="D537" s="24" t="str">
        <f>VLOOKUP(B537,IF(A537="COMPOSICAO",S!$A:$E,I!$A:$E),3,FALSE)</f>
        <v>SERVENTE COM ENCARGOS COMPLEMENTARES</v>
      </c>
      <c r="E537" s="23" t="str">
        <f>VLOOKUP(B537,IF(A537="COMPOSICAO",S!$A:$E,I!$A:$E),4,FALSE)</f>
        <v>H</v>
      </c>
      <c r="F537" s="23">
        <f>3/pcf</f>
        <v>3</v>
      </c>
      <c r="G537" s="76">
        <f>IF(A537="COMPOSICAO",VLOOKUP("TOTAL SEM BDI - "&amp;B537,CPUAUX1!$A:$J,9,FALSE),VLOOKUP(B537,I!$A:$E,5,FALSE))</f>
        <v>21.71</v>
      </c>
      <c r="H537" s="77"/>
      <c r="I537" s="76">
        <f t="shared" ref="I537:I542" si="52">TRUNC(F537*G537,2)</f>
        <v>65.13</v>
      </c>
      <c r="J537" s="77"/>
      <c r="M537" s="23">
        <f t="shared" ref="M537:M542" si="53">B537</f>
        <v>88316</v>
      </c>
      <c r="N537" s="5">
        <f>SUMIF(ORCAMENTO!B:B,B536,ORCAMENTO!F:F)</f>
        <v>192</v>
      </c>
      <c r="O537" s="23">
        <f t="shared" ref="O537:O542" si="54">F537*N537</f>
        <v>576</v>
      </c>
      <c r="Q537" s="23">
        <f ca="1">IFERROR(SUMIF(CO!B:B,B536,OFFSET(CO!F:F,0,(4+MATCH(ETAPA,CO!$J$6:$V$6,0)))),0)</f>
        <v>28</v>
      </c>
      <c r="R537" s="23">
        <f t="shared" ref="R537:R542" ca="1" si="55">F537*Q537</f>
        <v>84</v>
      </c>
    </row>
    <row r="538" spans="1:18" ht="30" customHeight="1" x14ac:dyDescent="0.3">
      <c r="A538" s="23" t="s">
        <v>1004</v>
      </c>
      <c r="B538" s="23">
        <v>88267</v>
      </c>
      <c r="C538" s="23" t="str">
        <f>VLOOKUP(B538,IF(A538="COMPOSICAO",S!$A:$E,I!$A:$E),2,FALSE)</f>
        <v>SINAPI</v>
      </c>
      <c r="D538" s="24" t="str">
        <f>VLOOKUP(B538,IF(A538="COMPOSICAO",S!$A:$E,I!$A:$E),3,FALSE)</f>
        <v>ENCANADOR OU BOMBEIRO HIDRÁULICO COM ENCARGOS COMPLEMENTARES</v>
      </c>
      <c r="E538" s="23" t="str">
        <f>VLOOKUP(B538,IF(A538="COMPOSICAO",S!$A:$E,I!$A:$E),4,FALSE)</f>
        <v>H</v>
      </c>
      <c r="F538" s="23">
        <f>3/pcf</f>
        <v>3</v>
      </c>
      <c r="G538" s="76">
        <f>IF(A538="COMPOSICAO",VLOOKUP("TOTAL SEM BDI - "&amp;B538,CPUAUX1!$A:$J,9,FALSE),VLOOKUP(B538,I!$A:$E,5,FALSE))</f>
        <v>26.669999999999998</v>
      </c>
      <c r="H538" s="77"/>
      <c r="I538" s="76">
        <f t="shared" si="52"/>
        <v>80.010000000000005</v>
      </c>
      <c r="J538" s="77"/>
      <c r="M538" s="23">
        <f t="shared" si="53"/>
        <v>88267</v>
      </c>
      <c r="N538" s="5">
        <f>SUMIF(ORCAMENTO!B:B,B536,ORCAMENTO!F:F)</f>
        <v>192</v>
      </c>
      <c r="O538" s="23">
        <f t="shared" si="54"/>
        <v>576</v>
      </c>
      <c r="Q538" s="23">
        <f ca="1">IFERROR(SUMIF(CO!B:B,B536,OFFSET(CO!F:F,0,(4+MATCH(ETAPA,CO!$J$6:$V$6,0)))),0)</f>
        <v>28</v>
      </c>
      <c r="R538" s="23">
        <f t="shared" ca="1" si="55"/>
        <v>84</v>
      </c>
    </row>
    <row r="539" spans="1:18" ht="30" customHeight="1" x14ac:dyDescent="0.3">
      <c r="A539" s="23" t="s">
        <v>1005</v>
      </c>
      <c r="B539" s="23">
        <v>9867</v>
      </c>
      <c r="C539" s="23" t="str">
        <f>VLOOKUP(B539,IF(A539="COMPOSICAO",S!$A:$E,I!$A:$E),2,FALSE)</f>
        <v>SINAPI</v>
      </c>
      <c r="D539" s="24" t="str">
        <f>VLOOKUP(B539,IF(A539="COMPOSICAO",S!$A:$E,I!$A:$E),3,FALSE)</f>
        <v>TUBO PVC, SOLDAVEL, DE 20 MM, AGUA FRIA (NBR-5648)</v>
      </c>
      <c r="E539" s="23" t="str">
        <f>VLOOKUP(B539,IF(A539="COMPOSICAO",S!$A:$E,I!$A:$E),4,FALSE)</f>
        <v>M</v>
      </c>
      <c r="F539" s="23">
        <v>8.8000000000000007</v>
      </c>
      <c r="G539" s="76">
        <f>IF(A539="COMPOSICAO",VLOOKUP("TOTAL SEM BDI - "&amp;B539,CPUAUX1!$A:$J,9,FALSE),VLOOKUP(B539,I!$A:$E,5,FALSE))</f>
        <v>3.68</v>
      </c>
      <c r="H539" s="77"/>
      <c r="I539" s="76">
        <f t="shared" si="52"/>
        <v>32.380000000000003</v>
      </c>
      <c r="J539" s="77"/>
      <c r="M539" s="23">
        <f t="shared" si="53"/>
        <v>9867</v>
      </c>
      <c r="N539" s="5">
        <f>SUMIF(ORCAMENTO!B:B,B536,ORCAMENTO!F:F)</f>
        <v>192</v>
      </c>
      <c r="O539" s="23">
        <f t="shared" si="54"/>
        <v>1689.6000000000001</v>
      </c>
      <c r="Q539" s="23">
        <f ca="1">IFERROR(SUMIF(CO!B:B,B536,OFFSET(CO!F:F,0,(4+MATCH(ETAPA,CO!$J$6:$V$6,0)))),0)</f>
        <v>28</v>
      </c>
      <c r="R539" s="23">
        <f t="shared" ca="1" si="55"/>
        <v>246.40000000000003</v>
      </c>
    </row>
    <row r="540" spans="1:18" ht="30" customHeight="1" x14ac:dyDescent="0.3">
      <c r="A540" s="23" t="s">
        <v>1005</v>
      </c>
      <c r="B540" s="23" t="s">
        <v>1068</v>
      </c>
      <c r="C540" s="23" t="str">
        <f>VLOOKUP(B540,IF(A540="COMPOSICAO",S!$A:$E,I!$A:$E),2,FALSE)</f>
        <v>ORSE</v>
      </c>
      <c r="D540" s="24" t="str">
        <f>VLOOKUP(B540,IF(A540="COMPOSICAO",S!$A:$E,I!$A:$E),3,FALSE)</f>
        <v>COLAR DE TOMADA EM PVC COM TRAVAS E SAÍDA ROSCÁVEL DE = 60MM X 1/2"</v>
      </c>
      <c r="E540" s="23" t="str">
        <f>VLOOKUP(B540,IF(A540="COMPOSICAO",S!$A:$E,I!$A:$E),4,FALSE)</f>
        <v>UN</v>
      </c>
      <c r="F540" s="23">
        <v>1</v>
      </c>
      <c r="G540" s="76">
        <f>IF(A540="COMPOSICAO",VLOOKUP("TOTAL SEM BDI - "&amp;B540,CPUAUX1!$A:$J,9,FALSE),VLOOKUP(B540,I!$A:$E,5,FALSE))</f>
        <v>11.08</v>
      </c>
      <c r="H540" s="77"/>
      <c r="I540" s="76">
        <f t="shared" si="52"/>
        <v>11.08</v>
      </c>
      <c r="J540" s="77"/>
      <c r="M540" s="23" t="str">
        <f t="shared" si="53"/>
        <v>05240/ORSE</v>
      </c>
      <c r="N540" s="5">
        <f>SUMIF(ORCAMENTO!B:B,B536,ORCAMENTO!F:F)</f>
        <v>192</v>
      </c>
      <c r="O540" s="23">
        <f t="shared" si="54"/>
        <v>192</v>
      </c>
      <c r="Q540" s="23">
        <f ca="1">IFERROR(SUMIF(CO!B:B,B536,OFFSET(CO!F:F,0,(4+MATCH(ETAPA,CO!$J$6:$V$6,0)))),0)</f>
        <v>28</v>
      </c>
      <c r="R540" s="23">
        <f t="shared" ca="1" si="55"/>
        <v>28</v>
      </c>
    </row>
    <row r="541" spans="1:18" ht="30" customHeight="1" x14ac:dyDescent="0.3">
      <c r="A541" s="23" t="s">
        <v>1005</v>
      </c>
      <c r="B541" s="23">
        <v>3542</v>
      </c>
      <c r="C541" s="23" t="str">
        <f>VLOOKUP(B541,IF(A541="COMPOSICAO",S!$A:$E,I!$A:$E),2,FALSE)</f>
        <v>SINAPI</v>
      </c>
      <c r="D541" s="24" t="str">
        <f>VLOOKUP(B541,IF(A541="COMPOSICAO",S!$A:$E,I!$A:$E),3,FALSE)</f>
        <v>JOELHO PVC, SOLDAVEL, 90 GRAUS, 20 MM, COR MARROM, PARA AGUA FRIA PREDIAL</v>
      </c>
      <c r="E541" s="23" t="str">
        <f>VLOOKUP(B541,IF(A541="COMPOSICAO",S!$A:$E,I!$A:$E),4,FALSE)</f>
        <v>UN</v>
      </c>
      <c r="F541" s="23">
        <v>3</v>
      </c>
      <c r="G541" s="76">
        <f>IF(A541="COMPOSICAO",VLOOKUP("TOTAL SEM BDI - "&amp;B541,CPUAUX1!$A:$J,9,FALSE),VLOOKUP(B541,I!$A:$E,5,FALSE))</f>
        <v>0.59</v>
      </c>
      <c r="H541" s="77"/>
      <c r="I541" s="76">
        <f t="shared" si="52"/>
        <v>1.77</v>
      </c>
      <c r="J541" s="77"/>
      <c r="M541" s="23">
        <f t="shared" si="53"/>
        <v>3542</v>
      </c>
      <c r="N541" s="5">
        <f>SUMIF(ORCAMENTO!B:B,B536,ORCAMENTO!F:F)</f>
        <v>192</v>
      </c>
      <c r="O541" s="23">
        <f t="shared" si="54"/>
        <v>576</v>
      </c>
      <c r="Q541" s="23">
        <f ca="1">IFERROR(SUMIF(CO!B:B,B536,OFFSET(CO!F:F,0,(4+MATCH(ETAPA,CO!$J$6:$V$6,0)))),0)</f>
        <v>28</v>
      </c>
      <c r="R541" s="23">
        <f t="shared" ca="1" si="55"/>
        <v>84</v>
      </c>
    </row>
    <row r="542" spans="1:18" ht="30" customHeight="1" x14ac:dyDescent="0.3">
      <c r="A542" s="23" t="s">
        <v>1005</v>
      </c>
      <c r="B542" s="23">
        <v>11831</v>
      </c>
      <c r="C542" s="23" t="str">
        <f>VLOOKUP(B542,IF(A542="COMPOSICAO",S!$A:$E,I!$A:$E),2,FALSE)</f>
        <v>SINAPI</v>
      </c>
      <c r="D542" s="24" t="str">
        <f>VLOOKUP(B542,IF(A542="COMPOSICAO",S!$A:$E,I!$A:$E),3,FALSE)</f>
        <v>TORNEIRA PLASTICA PARA TANQUE 1/2" OU 3/4" COM BICO PARA MANGUEIRA</v>
      </c>
      <c r="E542" s="23" t="str">
        <f>VLOOKUP(B542,IF(A542="COMPOSICAO",S!$A:$E,I!$A:$E),4,FALSE)</f>
        <v>UN</v>
      </c>
      <c r="F542" s="23">
        <v>1</v>
      </c>
      <c r="G542" s="76">
        <f>IF(A542="COMPOSICAO",VLOOKUP("TOTAL SEM BDI - "&amp;B542,CPUAUX1!$A:$J,9,FALSE),VLOOKUP(B542,I!$A:$E,5,FALSE))</f>
        <v>15.74</v>
      </c>
      <c r="H542" s="77"/>
      <c r="I542" s="76">
        <f t="shared" si="52"/>
        <v>15.74</v>
      </c>
      <c r="J542" s="77"/>
      <c r="M542" s="23">
        <f t="shared" si="53"/>
        <v>11831</v>
      </c>
      <c r="N542" s="5">
        <f>SUMIF(ORCAMENTO!B:B,B536,ORCAMENTO!F:F)</f>
        <v>192</v>
      </c>
      <c r="O542" s="23">
        <f t="shared" si="54"/>
        <v>192</v>
      </c>
      <c r="Q542" s="23">
        <f ca="1">IFERROR(SUMIF(CO!B:B,B536,OFFSET(CO!F:F,0,(4+MATCH(ETAPA,CO!$J$6:$V$6,0)))),0)</f>
        <v>28</v>
      </c>
      <c r="R542" s="23">
        <f t="shared" ca="1" si="55"/>
        <v>28</v>
      </c>
    </row>
    <row r="543" spans="1:18" x14ac:dyDescent="0.3">
      <c r="A543" s="73" t="str">
        <f>"TOTAL SEM BDI - "&amp;B536</f>
        <v>TOTAL SEM BDI - COMPOS36</v>
      </c>
      <c r="B543" s="74"/>
      <c r="C543" s="74"/>
      <c r="D543" s="74"/>
      <c r="E543" s="74"/>
      <c r="F543" s="74"/>
      <c r="G543" s="74"/>
      <c r="H543" s="75"/>
      <c r="I543" s="76">
        <f>SUM(I536:I542)</f>
        <v>206.11</v>
      </c>
      <c r="J543" s="77"/>
    </row>
    <row r="544" spans="1:18" x14ac:dyDescent="0.3">
      <c r="A544" s="73" t="str">
        <f>"TAXA DE BDI ("&amp;TEXT(BDI,"00,00")&amp;" %)"</f>
        <v>TAXA DE BDI (22,33 %)</v>
      </c>
      <c r="B544" s="74"/>
      <c r="C544" s="74"/>
      <c r="D544" s="74"/>
      <c r="E544" s="74"/>
      <c r="F544" s="74"/>
      <c r="G544" s="74"/>
      <c r="H544" s="75"/>
      <c r="I544" s="76">
        <f>ROUND(I543*(BDI/100),2)</f>
        <v>46.02</v>
      </c>
      <c r="J544" s="77"/>
    </row>
    <row r="545" spans="1:18" x14ac:dyDescent="0.3">
      <c r="A545" s="73" t="str">
        <f>"TOTAL COM BDI - "&amp;B536</f>
        <v>TOTAL COM BDI - COMPOS36</v>
      </c>
      <c r="B545" s="74"/>
      <c r="C545" s="74"/>
      <c r="D545" s="74"/>
      <c r="E545" s="74"/>
      <c r="F545" s="74"/>
      <c r="G545" s="74"/>
      <c r="H545" s="75"/>
      <c r="I545" s="76">
        <f>SUM(I543:I544)</f>
        <v>252.13000000000002</v>
      </c>
      <c r="J545" s="77"/>
    </row>
    <row r="547" spans="1:18" x14ac:dyDescent="0.3">
      <c r="A547" s="4" t="s">
        <v>1000</v>
      </c>
      <c r="B547" s="4" t="s">
        <v>170</v>
      </c>
      <c r="C547" s="4" t="s">
        <v>171</v>
      </c>
      <c r="D547" s="4" t="s">
        <v>18</v>
      </c>
      <c r="E547" s="4" t="s">
        <v>172</v>
      </c>
      <c r="F547" s="4" t="s">
        <v>507</v>
      </c>
      <c r="G547" s="45" t="s">
        <v>1001</v>
      </c>
      <c r="H547" s="46"/>
      <c r="I547" s="45" t="s">
        <v>12</v>
      </c>
      <c r="J547" s="46"/>
    </row>
    <row r="548" spans="1:18" ht="105" customHeight="1" x14ac:dyDescent="0.3">
      <c r="A548" s="15" t="s">
        <v>1010</v>
      </c>
      <c r="B548" s="15" t="s">
        <v>847</v>
      </c>
      <c r="C548" s="15" t="str">
        <f>VLOOKUP(B548,S!$A:$G,2,FALSE)</f>
        <v>PRÓPRIA</v>
      </c>
      <c r="D548" s="22" t="str">
        <f>VLOOKUP(B548,S!$A:$G,3,FALSE)</f>
        <v>FORNECIMENTO E INSTALAÇÃO DE RESERVATÓRIO ELEVADO C/ CAIXA D'AGUA EM POLIESTER REFORCADO COM FIBRA DE VIDRO DE 5.000 LITROS APOIADO EM ESTRUTURA PRÉ-MOLDADA EM CONCRETO, COMPOSTA DE CAPITEL P/APOIO DA CAIXA E PILAR C/ALTURA ÚTIL = 8,00M, INCLUSO FRETE E MONTAGEM NO LOCAL, COM FUNDAÇÃO EM CONCRETO SIMPLES FCK=20MPA</v>
      </c>
      <c r="E548" s="15" t="str">
        <f>VLOOKUP(B548,S!$A:$G,4,FALSE)</f>
        <v>UND</v>
      </c>
      <c r="F548" s="15"/>
      <c r="G548" s="78">
        <f>I552</f>
        <v>16919.690000000002</v>
      </c>
      <c r="H548" s="79"/>
      <c r="I548" s="78"/>
      <c r="J548" s="79"/>
      <c r="K548" s="16">
        <f>VLOOKUP(B548,S!A:G,5,FALSE)</f>
        <v>0</v>
      </c>
      <c r="L548" s="15" t="s">
        <v>1003</v>
      </c>
    </row>
    <row r="549" spans="1:18" ht="58.2" customHeight="1" x14ac:dyDescent="0.3">
      <c r="A549" s="23" t="s">
        <v>1011</v>
      </c>
      <c r="B549" s="23" t="s">
        <v>1069</v>
      </c>
      <c r="C549" s="23" t="str">
        <f>VLOOKUP(B549,IF(A549="COMPOSICAO",S!$A:$E,I!$A:$E),2,FALSE)</f>
        <v>PRÓPRIA</v>
      </c>
      <c r="D549" s="24" t="str">
        <f>VLOOKUP(B549,IF(A549="COMPOSICAO",S!$A:$E,I!$A:$E),3,FALSE)</f>
        <v>FORNECIMENTO E INSTALAÇÃO DE BASE PARA RESERVATÓRIO EM CONCRETO PRÉ-MOLDADO COM H=8,00 M LIVRE, COM 03 PILARES E 01 LAJE, INCLUSO FRETE E FUNDAÇÃO EM CONCRETO SIMPLES FCK = 20 MPA</v>
      </c>
      <c r="E549" s="23" t="str">
        <f>VLOOKUP(B549,IF(A549="COMPOSICAO",S!$A:$E,I!$A:$E),4,FALSE)</f>
        <v>UN</v>
      </c>
      <c r="F549" s="23">
        <v>1</v>
      </c>
      <c r="G549" s="76">
        <f>IF(A549="COMPOSICAO",VLOOKUP("TOTAL SEM BDI - "&amp;B549,CPUAUX1!$A:$J,9,FALSE),VLOOKUP(B549,I!$A:$E,5,FALSE))</f>
        <v>13500</v>
      </c>
      <c r="H549" s="77"/>
      <c r="I549" s="76">
        <f>TRUNC(F549*G549,2)</f>
        <v>13500</v>
      </c>
      <c r="J549" s="77"/>
      <c r="M549" s="23" t="str">
        <f>B549</f>
        <v>COTA14</v>
      </c>
      <c r="N549" s="5">
        <f>SUMIF(ORCAMENTO!B:B,B548,ORCAMENTO!F:F)</f>
        <v>1</v>
      </c>
      <c r="O549" s="23">
        <f>F549*N549</f>
        <v>1</v>
      </c>
      <c r="Q549" s="23">
        <f ca="1">IFERROR(SUMIF(CO!B:B,B548,OFFSET(CO!F:F,0,(4+MATCH(ETAPA,CO!$J$6:$V$6,0)))),0)</f>
        <v>0</v>
      </c>
      <c r="R549" s="23">
        <f ca="1">F549*Q549</f>
        <v>0</v>
      </c>
    </row>
    <row r="550" spans="1:18" ht="30" customHeight="1" x14ac:dyDescent="0.3">
      <c r="A550" s="23" t="s">
        <v>1004</v>
      </c>
      <c r="B550" s="23" t="s">
        <v>1066</v>
      </c>
      <c r="C550" s="23" t="str">
        <f>VLOOKUP(B550,IF(A550="COMPOSICAO",S!$A:$E,I!$A:$E),2,FALSE)</f>
        <v>PRÓPRIA</v>
      </c>
      <c r="D550" s="24" t="str">
        <f>VLOOKUP(B550,IF(A550="COMPOSICAO",S!$A:$E,I!$A:$E),3,FALSE)</f>
        <v>PINTURA LOGOTIPO DA SECRETARIA EM RESERVATÓRIO DE FIBRA DE VIDRO</v>
      </c>
      <c r="E550" s="23" t="str">
        <f>VLOOKUP(B550,IF(A550="COMPOSICAO",S!$A:$E,I!$A:$E),4,FALSE)</f>
        <v>UND</v>
      </c>
      <c r="F550" s="23">
        <v>1</v>
      </c>
      <c r="G550" s="76">
        <f>IF(A550="COMPOSICAO",VLOOKUP("TOTAL SEM BDI - "&amp;B550,CPUAUX1!$A:$J,9,FALSE),VLOOKUP(B550,I!$A:$E,5,FALSE))</f>
        <v>84.94</v>
      </c>
      <c r="H550" s="77"/>
      <c r="I550" s="76">
        <f>TRUNC(F550*G550,2)</f>
        <v>84.94</v>
      </c>
      <c r="J550" s="77"/>
      <c r="M550" s="23" t="str">
        <f>B550</f>
        <v>COMPOS33</v>
      </c>
      <c r="N550" s="5">
        <f>SUMIF(ORCAMENTO!B:B,B548,ORCAMENTO!F:F)</f>
        <v>1</v>
      </c>
      <c r="O550" s="23">
        <f>F550*N550</f>
        <v>1</v>
      </c>
      <c r="Q550" s="23">
        <f ca="1">IFERROR(SUMIF(CO!B:B,B548,OFFSET(CO!F:F,0,(4+MATCH(ETAPA,CO!$J$6:$V$6,0)))),0)</f>
        <v>0</v>
      </c>
      <c r="R550" s="23">
        <f ca="1">F550*Q550</f>
        <v>0</v>
      </c>
    </row>
    <row r="551" spans="1:18" ht="45" customHeight="1" x14ac:dyDescent="0.3">
      <c r="A551" s="23" t="s">
        <v>1005</v>
      </c>
      <c r="B551" s="23">
        <v>37105</v>
      </c>
      <c r="C551" s="23" t="str">
        <f>VLOOKUP(B551,IF(A551="COMPOSICAO",S!$A:$E,I!$A:$E),2,FALSE)</f>
        <v>SINAPI</v>
      </c>
      <c r="D551" s="24" t="str">
        <f>VLOOKUP(B551,IF(A551="COMPOSICAO",S!$A:$E,I!$A:$E),3,FALSE)</f>
        <v>CAIXA D'AGUA / RESERVATORIO EM POLIESTER REFORCADO COM FIBRA DE VIDRO, 5000 LITROS, COM TAMPA</v>
      </c>
      <c r="E551" s="23" t="str">
        <f>VLOOKUP(B551,IF(A551="COMPOSICAO",S!$A:$E,I!$A:$E),4,FALSE)</f>
        <v>UN</v>
      </c>
      <c r="F551" s="23">
        <v>1</v>
      </c>
      <c r="G551" s="76">
        <f>IF(A551="COMPOSICAO",VLOOKUP("TOTAL SEM BDI - "&amp;B551,CPUAUX1!$A:$J,9,FALSE),VLOOKUP(B551,I!$A:$E,5,FALSE))</f>
        <v>3334.75</v>
      </c>
      <c r="H551" s="77"/>
      <c r="I551" s="76">
        <f>TRUNC(F551*G551,2)</f>
        <v>3334.75</v>
      </c>
      <c r="J551" s="77"/>
      <c r="M551" s="23">
        <f>B551</f>
        <v>37105</v>
      </c>
      <c r="N551" s="5">
        <f>SUMIF(ORCAMENTO!B:B,B548,ORCAMENTO!F:F)</f>
        <v>1</v>
      </c>
      <c r="O551" s="23">
        <f>F551*N551</f>
        <v>1</v>
      </c>
      <c r="Q551" s="23">
        <f ca="1">IFERROR(SUMIF(CO!B:B,B548,OFFSET(CO!F:F,0,(4+MATCH(ETAPA,CO!$J$6:$V$6,0)))),0)</f>
        <v>0</v>
      </c>
      <c r="R551" s="23">
        <f ca="1">F551*Q551</f>
        <v>0</v>
      </c>
    </row>
    <row r="552" spans="1:18" x14ac:dyDescent="0.3">
      <c r="A552" s="73" t="str">
        <f>"TOTAL SEM BDI - "&amp;B548</f>
        <v>TOTAL SEM BDI - COMPS35</v>
      </c>
      <c r="B552" s="74"/>
      <c r="C552" s="74"/>
      <c r="D552" s="74"/>
      <c r="E552" s="74"/>
      <c r="F552" s="74"/>
      <c r="G552" s="74"/>
      <c r="H552" s="75"/>
      <c r="I552" s="76">
        <f>SUM(I548:I551)</f>
        <v>16919.690000000002</v>
      </c>
      <c r="J552" s="77"/>
    </row>
    <row r="553" spans="1:18" x14ac:dyDescent="0.3">
      <c r="A553" s="73" t="str">
        <f>"TAXA DE BDI ("&amp;TEXT(BDI,"00,00")&amp;" %)"</f>
        <v>TAXA DE BDI (22,33 %)</v>
      </c>
      <c r="B553" s="74"/>
      <c r="C553" s="74"/>
      <c r="D553" s="74"/>
      <c r="E553" s="74"/>
      <c r="F553" s="74"/>
      <c r="G553" s="74"/>
      <c r="H553" s="75"/>
      <c r="I553" s="76">
        <f>ROUND(I552*(BDI/100),2)</f>
        <v>3778.17</v>
      </c>
      <c r="J553" s="77"/>
    </row>
    <row r="554" spans="1:18" x14ac:dyDescent="0.3">
      <c r="A554" s="73" t="str">
        <f>"TOTAL COM BDI - "&amp;B548</f>
        <v>TOTAL COM BDI - COMPS35</v>
      </c>
      <c r="B554" s="74"/>
      <c r="C554" s="74"/>
      <c r="D554" s="74"/>
      <c r="E554" s="74"/>
      <c r="F554" s="74"/>
      <c r="G554" s="74"/>
      <c r="H554" s="75"/>
      <c r="I554" s="76">
        <f>SUM(I552:I553)</f>
        <v>20697.86</v>
      </c>
      <c r="J554" s="77"/>
    </row>
  </sheetData>
  <mergeCells count="1001">
    <mergeCell ref="A1:J1"/>
    <mergeCell ref="A2:J2"/>
    <mergeCell ref="A3:J3"/>
    <mergeCell ref="N4:P4"/>
    <mergeCell ref="Q4:S4"/>
    <mergeCell ref="G6:H6"/>
    <mergeCell ref="I6:J6"/>
    <mergeCell ref="A13:H13"/>
    <mergeCell ref="I13:J13"/>
    <mergeCell ref="G15:H15"/>
    <mergeCell ref="I15:J15"/>
    <mergeCell ref="G16:H16"/>
    <mergeCell ref="I16:J16"/>
    <mergeCell ref="G10:H10"/>
    <mergeCell ref="I10:J10"/>
    <mergeCell ref="A11:H11"/>
    <mergeCell ref="I11:J11"/>
    <mergeCell ref="A12:H12"/>
    <mergeCell ref="I12:J12"/>
    <mergeCell ref="G7:H7"/>
    <mergeCell ref="I7:J7"/>
    <mergeCell ref="G8:H8"/>
    <mergeCell ref="I8:J8"/>
    <mergeCell ref="G9:H9"/>
    <mergeCell ref="I9:J9"/>
    <mergeCell ref="A23:H23"/>
    <mergeCell ref="I23:J23"/>
    <mergeCell ref="A24:H24"/>
    <mergeCell ref="I24:J24"/>
    <mergeCell ref="G26:H26"/>
    <mergeCell ref="I26:J26"/>
    <mergeCell ref="G20:H20"/>
    <mergeCell ref="I20:J20"/>
    <mergeCell ref="G21:H21"/>
    <mergeCell ref="I21:J21"/>
    <mergeCell ref="A22:H22"/>
    <mergeCell ref="I22:J22"/>
    <mergeCell ref="G17:H17"/>
    <mergeCell ref="I17:J17"/>
    <mergeCell ref="G18:H18"/>
    <mergeCell ref="I18:J18"/>
    <mergeCell ref="G19:H19"/>
    <mergeCell ref="I19:J19"/>
    <mergeCell ref="A33:H33"/>
    <mergeCell ref="I33:J33"/>
    <mergeCell ref="G35:H35"/>
    <mergeCell ref="I35:J35"/>
    <mergeCell ref="G36:H36"/>
    <mergeCell ref="I36:J36"/>
    <mergeCell ref="G30:H30"/>
    <mergeCell ref="I30:J30"/>
    <mergeCell ref="A31:H31"/>
    <mergeCell ref="I31:J31"/>
    <mergeCell ref="A32:H32"/>
    <mergeCell ref="I32:J32"/>
    <mergeCell ref="G27:H27"/>
    <mergeCell ref="I27:J27"/>
    <mergeCell ref="G28:H28"/>
    <mergeCell ref="I28:J28"/>
    <mergeCell ref="G29:H29"/>
    <mergeCell ref="I29:J29"/>
    <mergeCell ref="G44:H44"/>
    <mergeCell ref="I44:J44"/>
    <mergeCell ref="G45:H45"/>
    <mergeCell ref="I45:J45"/>
    <mergeCell ref="G46:H46"/>
    <mergeCell ref="I46:J46"/>
    <mergeCell ref="A40:H40"/>
    <mergeCell ref="I40:J40"/>
    <mergeCell ref="G42:H42"/>
    <mergeCell ref="I42:J42"/>
    <mergeCell ref="G43:H43"/>
    <mergeCell ref="I43:J43"/>
    <mergeCell ref="G37:H37"/>
    <mergeCell ref="I37:J37"/>
    <mergeCell ref="A38:H38"/>
    <mergeCell ref="I38:J38"/>
    <mergeCell ref="A39:H39"/>
    <mergeCell ref="I39:J39"/>
    <mergeCell ref="G54:H54"/>
    <mergeCell ref="I54:J54"/>
    <mergeCell ref="A55:H55"/>
    <mergeCell ref="I55:J55"/>
    <mergeCell ref="A56:H56"/>
    <mergeCell ref="I56:J56"/>
    <mergeCell ref="A50:H50"/>
    <mergeCell ref="I50:J50"/>
    <mergeCell ref="G52:H52"/>
    <mergeCell ref="I52:J52"/>
    <mergeCell ref="G53:H53"/>
    <mergeCell ref="I53:J53"/>
    <mergeCell ref="G47:H47"/>
    <mergeCell ref="I47:J47"/>
    <mergeCell ref="A48:H48"/>
    <mergeCell ref="I48:J48"/>
    <mergeCell ref="A49:H49"/>
    <mergeCell ref="I49:J49"/>
    <mergeCell ref="A64:H64"/>
    <mergeCell ref="I64:J64"/>
    <mergeCell ref="G66:H66"/>
    <mergeCell ref="I66:J66"/>
    <mergeCell ref="G67:H67"/>
    <mergeCell ref="I67:J67"/>
    <mergeCell ref="G61:H61"/>
    <mergeCell ref="I61:J61"/>
    <mergeCell ref="A62:H62"/>
    <mergeCell ref="I62:J62"/>
    <mergeCell ref="A63:H63"/>
    <mergeCell ref="I63:J63"/>
    <mergeCell ref="A57:H57"/>
    <mergeCell ref="I57:J57"/>
    <mergeCell ref="G59:H59"/>
    <mergeCell ref="I59:J59"/>
    <mergeCell ref="G60:H60"/>
    <mergeCell ref="I60:J60"/>
    <mergeCell ref="G75:H75"/>
    <mergeCell ref="I75:J75"/>
    <mergeCell ref="G76:H76"/>
    <mergeCell ref="I76:J76"/>
    <mergeCell ref="G77:H77"/>
    <mergeCell ref="I77:J77"/>
    <mergeCell ref="A71:H71"/>
    <mergeCell ref="I71:J71"/>
    <mergeCell ref="A72:H72"/>
    <mergeCell ref="I72:J72"/>
    <mergeCell ref="A73:H73"/>
    <mergeCell ref="I73:J73"/>
    <mergeCell ref="G68:H68"/>
    <mergeCell ref="I68:J68"/>
    <mergeCell ref="G69:H69"/>
    <mergeCell ref="I69:J69"/>
    <mergeCell ref="G70:H70"/>
    <mergeCell ref="I70:J70"/>
    <mergeCell ref="G85:H85"/>
    <mergeCell ref="I85:J85"/>
    <mergeCell ref="G86:H86"/>
    <mergeCell ref="I86:J86"/>
    <mergeCell ref="G87:H87"/>
    <mergeCell ref="I87:J87"/>
    <mergeCell ref="A81:H81"/>
    <mergeCell ref="I81:J81"/>
    <mergeCell ref="A82:H82"/>
    <mergeCell ref="I82:J82"/>
    <mergeCell ref="A83:H83"/>
    <mergeCell ref="I83:J83"/>
    <mergeCell ref="G78:H78"/>
    <mergeCell ref="I78:J78"/>
    <mergeCell ref="G79:H79"/>
    <mergeCell ref="I79:J79"/>
    <mergeCell ref="G80:H80"/>
    <mergeCell ref="I80:J80"/>
    <mergeCell ref="G95:H95"/>
    <mergeCell ref="I95:J95"/>
    <mergeCell ref="G96:H96"/>
    <mergeCell ref="I96:J96"/>
    <mergeCell ref="G97:H97"/>
    <mergeCell ref="I97:J97"/>
    <mergeCell ref="A91:H91"/>
    <mergeCell ref="I91:J91"/>
    <mergeCell ref="A92:H92"/>
    <mergeCell ref="I92:J92"/>
    <mergeCell ref="A93:H93"/>
    <mergeCell ref="I93:J93"/>
    <mergeCell ref="G88:H88"/>
    <mergeCell ref="I88:J88"/>
    <mergeCell ref="G89:H89"/>
    <mergeCell ref="I89:J89"/>
    <mergeCell ref="G90:H90"/>
    <mergeCell ref="I90:J90"/>
    <mergeCell ref="A104:H104"/>
    <mergeCell ref="I104:J104"/>
    <mergeCell ref="G106:H106"/>
    <mergeCell ref="I106:J106"/>
    <mergeCell ref="G107:H107"/>
    <mergeCell ref="I107:J107"/>
    <mergeCell ref="G101:H101"/>
    <mergeCell ref="I101:J101"/>
    <mergeCell ref="A102:H102"/>
    <mergeCell ref="I102:J102"/>
    <mergeCell ref="A103:H103"/>
    <mergeCell ref="I103:J103"/>
    <mergeCell ref="G98:H98"/>
    <mergeCell ref="I98:J98"/>
    <mergeCell ref="G99:H99"/>
    <mergeCell ref="I99:J99"/>
    <mergeCell ref="G100:H100"/>
    <mergeCell ref="I100:J100"/>
    <mergeCell ref="A114:H114"/>
    <mergeCell ref="I114:J114"/>
    <mergeCell ref="A115:H115"/>
    <mergeCell ref="I115:J115"/>
    <mergeCell ref="A116:H116"/>
    <mergeCell ref="I116:J116"/>
    <mergeCell ref="G111:H111"/>
    <mergeCell ref="I111:J111"/>
    <mergeCell ref="G112:H112"/>
    <mergeCell ref="I112:J112"/>
    <mergeCell ref="G113:H113"/>
    <mergeCell ref="I113:J113"/>
    <mergeCell ref="G108:H108"/>
    <mergeCell ref="I108:J108"/>
    <mergeCell ref="G109:H109"/>
    <mergeCell ref="I109:J109"/>
    <mergeCell ref="G110:H110"/>
    <mergeCell ref="I110:J110"/>
    <mergeCell ref="G125:H125"/>
    <mergeCell ref="I125:J125"/>
    <mergeCell ref="G126:H126"/>
    <mergeCell ref="I126:J126"/>
    <mergeCell ref="G127:H127"/>
    <mergeCell ref="I127:J127"/>
    <mergeCell ref="A121:H121"/>
    <mergeCell ref="I121:J121"/>
    <mergeCell ref="A122:H122"/>
    <mergeCell ref="I122:J122"/>
    <mergeCell ref="A123:H123"/>
    <mergeCell ref="I123:J123"/>
    <mergeCell ref="G118:H118"/>
    <mergeCell ref="I118:J118"/>
    <mergeCell ref="G119:H119"/>
    <mergeCell ref="I119:J119"/>
    <mergeCell ref="G120:H120"/>
    <mergeCell ref="I120:J120"/>
    <mergeCell ref="G135:H135"/>
    <mergeCell ref="I135:J135"/>
    <mergeCell ref="G136:H136"/>
    <mergeCell ref="I136:J136"/>
    <mergeCell ref="G137:H137"/>
    <mergeCell ref="I137:J137"/>
    <mergeCell ref="G132:H132"/>
    <mergeCell ref="I132:J132"/>
    <mergeCell ref="G133:H133"/>
    <mergeCell ref="I133:J133"/>
    <mergeCell ref="G134:H134"/>
    <mergeCell ref="I134:J134"/>
    <mergeCell ref="A128:H128"/>
    <mergeCell ref="I128:J128"/>
    <mergeCell ref="A129:H129"/>
    <mergeCell ref="I129:J129"/>
    <mergeCell ref="A130:H130"/>
    <mergeCell ref="I130:J130"/>
    <mergeCell ref="G145:H145"/>
    <mergeCell ref="I145:J145"/>
    <mergeCell ref="A146:H146"/>
    <mergeCell ref="I146:J146"/>
    <mergeCell ref="A147:H147"/>
    <mergeCell ref="I147:J147"/>
    <mergeCell ref="G142:H142"/>
    <mergeCell ref="I142:J142"/>
    <mergeCell ref="G143:H143"/>
    <mergeCell ref="I143:J143"/>
    <mergeCell ref="G144:H144"/>
    <mergeCell ref="I144:J144"/>
    <mergeCell ref="A138:H138"/>
    <mergeCell ref="I138:J138"/>
    <mergeCell ref="A139:H139"/>
    <mergeCell ref="I139:J139"/>
    <mergeCell ref="A140:H140"/>
    <mergeCell ref="I140:J140"/>
    <mergeCell ref="G155:H155"/>
    <mergeCell ref="I155:J155"/>
    <mergeCell ref="G156:H156"/>
    <mergeCell ref="I156:J156"/>
    <mergeCell ref="A157:H157"/>
    <mergeCell ref="I157:J157"/>
    <mergeCell ref="G152:H152"/>
    <mergeCell ref="I152:J152"/>
    <mergeCell ref="G153:H153"/>
    <mergeCell ref="I153:J153"/>
    <mergeCell ref="G154:H154"/>
    <mergeCell ref="I154:J154"/>
    <mergeCell ref="A148:H148"/>
    <mergeCell ref="I148:J148"/>
    <mergeCell ref="G150:H150"/>
    <mergeCell ref="I150:J150"/>
    <mergeCell ref="G151:H151"/>
    <mergeCell ref="I151:J151"/>
    <mergeCell ref="G165:H165"/>
    <mergeCell ref="I165:J165"/>
    <mergeCell ref="G166:H166"/>
    <mergeCell ref="I166:J166"/>
    <mergeCell ref="G167:H167"/>
    <mergeCell ref="I167:J167"/>
    <mergeCell ref="G162:H162"/>
    <mergeCell ref="I162:J162"/>
    <mergeCell ref="G163:H163"/>
    <mergeCell ref="I163:J163"/>
    <mergeCell ref="G164:H164"/>
    <mergeCell ref="I164:J164"/>
    <mergeCell ref="A158:H158"/>
    <mergeCell ref="I158:J158"/>
    <mergeCell ref="A159:H159"/>
    <mergeCell ref="I159:J159"/>
    <mergeCell ref="G161:H161"/>
    <mergeCell ref="I161:J161"/>
    <mergeCell ref="G174:H174"/>
    <mergeCell ref="I174:J174"/>
    <mergeCell ref="G175:H175"/>
    <mergeCell ref="I175:J175"/>
    <mergeCell ref="G176:H176"/>
    <mergeCell ref="I176:J176"/>
    <mergeCell ref="G171:H171"/>
    <mergeCell ref="I171:J171"/>
    <mergeCell ref="G172:H172"/>
    <mergeCell ref="I172:J172"/>
    <mergeCell ref="G173:H173"/>
    <mergeCell ref="I173:J173"/>
    <mergeCell ref="G168:H168"/>
    <mergeCell ref="I168:J168"/>
    <mergeCell ref="G169:H169"/>
    <mergeCell ref="I169:J169"/>
    <mergeCell ref="G170:H170"/>
    <mergeCell ref="I170:J170"/>
    <mergeCell ref="G184:H184"/>
    <mergeCell ref="I184:J184"/>
    <mergeCell ref="G185:H185"/>
    <mergeCell ref="I185:J185"/>
    <mergeCell ref="G186:H186"/>
    <mergeCell ref="I186:J186"/>
    <mergeCell ref="A180:H180"/>
    <mergeCell ref="I180:J180"/>
    <mergeCell ref="G182:H182"/>
    <mergeCell ref="I182:J182"/>
    <mergeCell ref="G183:H183"/>
    <mergeCell ref="I183:J183"/>
    <mergeCell ref="G177:H177"/>
    <mergeCell ref="I177:J177"/>
    <mergeCell ref="A178:H178"/>
    <mergeCell ref="I178:J178"/>
    <mergeCell ref="A179:H179"/>
    <mergeCell ref="I179:J179"/>
    <mergeCell ref="G193:H193"/>
    <mergeCell ref="I193:J193"/>
    <mergeCell ref="G194:H194"/>
    <mergeCell ref="I194:J194"/>
    <mergeCell ref="A195:H195"/>
    <mergeCell ref="I195:J195"/>
    <mergeCell ref="G190:H190"/>
    <mergeCell ref="I190:J190"/>
    <mergeCell ref="G191:H191"/>
    <mergeCell ref="I191:J191"/>
    <mergeCell ref="G192:H192"/>
    <mergeCell ref="I192:J192"/>
    <mergeCell ref="G187:H187"/>
    <mergeCell ref="I187:J187"/>
    <mergeCell ref="G188:H188"/>
    <mergeCell ref="I188:J188"/>
    <mergeCell ref="G189:H189"/>
    <mergeCell ref="I189:J189"/>
    <mergeCell ref="A203:H203"/>
    <mergeCell ref="I203:J203"/>
    <mergeCell ref="A204:H204"/>
    <mergeCell ref="I204:J204"/>
    <mergeCell ref="G206:H206"/>
    <mergeCell ref="I206:J206"/>
    <mergeCell ref="G200:H200"/>
    <mergeCell ref="I200:J200"/>
    <mergeCell ref="G201:H201"/>
    <mergeCell ref="I201:J201"/>
    <mergeCell ref="A202:H202"/>
    <mergeCell ref="I202:J202"/>
    <mergeCell ref="A196:H196"/>
    <mergeCell ref="I196:J196"/>
    <mergeCell ref="A197:H197"/>
    <mergeCell ref="I197:J197"/>
    <mergeCell ref="G199:H199"/>
    <mergeCell ref="I199:J199"/>
    <mergeCell ref="G213:H213"/>
    <mergeCell ref="I213:J213"/>
    <mergeCell ref="G214:H214"/>
    <mergeCell ref="I214:J214"/>
    <mergeCell ref="G215:H215"/>
    <mergeCell ref="I215:J215"/>
    <mergeCell ref="G210:H210"/>
    <mergeCell ref="I210:J210"/>
    <mergeCell ref="G211:H211"/>
    <mergeCell ref="I211:J211"/>
    <mergeCell ref="G212:H212"/>
    <mergeCell ref="I212:J212"/>
    <mergeCell ref="G207:H207"/>
    <mergeCell ref="I207:J207"/>
    <mergeCell ref="G208:H208"/>
    <mergeCell ref="I208:J208"/>
    <mergeCell ref="G209:H209"/>
    <mergeCell ref="I209:J209"/>
    <mergeCell ref="G223:H223"/>
    <mergeCell ref="I223:J223"/>
    <mergeCell ref="G224:H224"/>
    <mergeCell ref="I224:J224"/>
    <mergeCell ref="A225:H225"/>
    <mergeCell ref="I225:J225"/>
    <mergeCell ref="A219:H219"/>
    <mergeCell ref="I219:J219"/>
    <mergeCell ref="A220:H220"/>
    <mergeCell ref="I220:J220"/>
    <mergeCell ref="G222:H222"/>
    <mergeCell ref="I222:J222"/>
    <mergeCell ref="G216:H216"/>
    <mergeCell ref="I216:J216"/>
    <mergeCell ref="G217:H217"/>
    <mergeCell ref="I217:J217"/>
    <mergeCell ref="A218:H218"/>
    <mergeCell ref="I218:J218"/>
    <mergeCell ref="G233:H233"/>
    <mergeCell ref="I233:J233"/>
    <mergeCell ref="A234:H234"/>
    <mergeCell ref="I234:J234"/>
    <mergeCell ref="A235:H235"/>
    <mergeCell ref="I235:J235"/>
    <mergeCell ref="G230:H230"/>
    <mergeCell ref="I230:J230"/>
    <mergeCell ref="G231:H231"/>
    <mergeCell ref="I231:J231"/>
    <mergeCell ref="G232:H232"/>
    <mergeCell ref="I232:J232"/>
    <mergeCell ref="A226:H226"/>
    <mergeCell ref="I226:J226"/>
    <mergeCell ref="A227:H227"/>
    <mergeCell ref="I227:J227"/>
    <mergeCell ref="G229:H229"/>
    <mergeCell ref="I229:J229"/>
    <mergeCell ref="G243:H243"/>
    <mergeCell ref="I243:J243"/>
    <mergeCell ref="A244:H244"/>
    <mergeCell ref="I244:J244"/>
    <mergeCell ref="A245:H245"/>
    <mergeCell ref="I245:J245"/>
    <mergeCell ref="G240:H240"/>
    <mergeCell ref="I240:J240"/>
    <mergeCell ref="G241:H241"/>
    <mergeCell ref="I241:J241"/>
    <mergeCell ref="G242:H242"/>
    <mergeCell ref="I242:J242"/>
    <mergeCell ref="A236:H236"/>
    <mergeCell ref="I236:J236"/>
    <mergeCell ref="G238:H238"/>
    <mergeCell ref="I238:J238"/>
    <mergeCell ref="G239:H239"/>
    <mergeCell ref="I239:J239"/>
    <mergeCell ref="G253:H253"/>
    <mergeCell ref="I253:J253"/>
    <mergeCell ref="G254:H254"/>
    <mergeCell ref="I254:J254"/>
    <mergeCell ref="G255:H255"/>
    <mergeCell ref="I255:J255"/>
    <mergeCell ref="G250:H250"/>
    <mergeCell ref="I250:J250"/>
    <mergeCell ref="G251:H251"/>
    <mergeCell ref="I251:J251"/>
    <mergeCell ref="G252:H252"/>
    <mergeCell ref="I252:J252"/>
    <mergeCell ref="A246:H246"/>
    <mergeCell ref="I246:J246"/>
    <mergeCell ref="G248:H248"/>
    <mergeCell ref="I248:J248"/>
    <mergeCell ref="G249:H249"/>
    <mergeCell ref="I249:J249"/>
    <mergeCell ref="G263:H263"/>
    <mergeCell ref="I263:J263"/>
    <mergeCell ref="G264:H264"/>
    <mergeCell ref="I264:J264"/>
    <mergeCell ref="G265:H265"/>
    <mergeCell ref="I265:J265"/>
    <mergeCell ref="G260:H260"/>
    <mergeCell ref="I260:J260"/>
    <mergeCell ref="G261:H261"/>
    <mergeCell ref="I261:J261"/>
    <mergeCell ref="G262:H262"/>
    <mergeCell ref="I262:J262"/>
    <mergeCell ref="A256:H256"/>
    <mergeCell ref="I256:J256"/>
    <mergeCell ref="A257:H257"/>
    <mergeCell ref="I257:J257"/>
    <mergeCell ref="A258:H258"/>
    <mergeCell ref="I258:J258"/>
    <mergeCell ref="G273:H273"/>
    <mergeCell ref="I273:J273"/>
    <mergeCell ref="G274:H274"/>
    <mergeCell ref="I274:J274"/>
    <mergeCell ref="G275:H275"/>
    <mergeCell ref="I275:J275"/>
    <mergeCell ref="A269:H269"/>
    <mergeCell ref="I269:J269"/>
    <mergeCell ref="A270:H270"/>
    <mergeCell ref="I270:J270"/>
    <mergeCell ref="A271:H271"/>
    <mergeCell ref="I271:J271"/>
    <mergeCell ref="G266:H266"/>
    <mergeCell ref="I266:J266"/>
    <mergeCell ref="G267:H267"/>
    <mergeCell ref="I267:J267"/>
    <mergeCell ref="G268:H268"/>
    <mergeCell ref="I268:J268"/>
    <mergeCell ref="G282:H282"/>
    <mergeCell ref="I282:J282"/>
    <mergeCell ref="G283:H283"/>
    <mergeCell ref="I283:J283"/>
    <mergeCell ref="G284:H284"/>
    <mergeCell ref="I284:J284"/>
    <mergeCell ref="G279:H279"/>
    <mergeCell ref="I279:J279"/>
    <mergeCell ref="G280:H280"/>
    <mergeCell ref="I280:J280"/>
    <mergeCell ref="G281:H281"/>
    <mergeCell ref="I281:J281"/>
    <mergeCell ref="G276:H276"/>
    <mergeCell ref="I276:J276"/>
    <mergeCell ref="G277:H277"/>
    <mergeCell ref="I277:J277"/>
    <mergeCell ref="G278:H278"/>
    <mergeCell ref="I278:J278"/>
    <mergeCell ref="A291:H291"/>
    <mergeCell ref="I291:J291"/>
    <mergeCell ref="A292:H292"/>
    <mergeCell ref="I292:J292"/>
    <mergeCell ref="G294:H294"/>
    <mergeCell ref="I294:J294"/>
    <mergeCell ref="G288:H288"/>
    <mergeCell ref="I288:J288"/>
    <mergeCell ref="G289:H289"/>
    <mergeCell ref="I289:J289"/>
    <mergeCell ref="A290:H290"/>
    <mergeCell ref="I290:J290"/>
    <mergeCell ref="G285:H285"/>
    <mergeCell ref="I285:J285"/>
    <mergeCell ref="G286:H286"/>
    <mergeCell ref="I286:J286"/>
    <mergeCell ref="G287:H287"/>
    <mergeCell ref="I287:J287"/>
    <mergeCell ref="G301:H301"/>
    <mergeCell ref="I301:J301"/>
    <mergeCell ref="A302:H302"/>
    <mergeCell ref="I302:J302"/>
    <mergeCell ref="A303:H303"/>
    <mergeCell ref="I303:J303"/>
    <mergeCell ref="G298:H298"/>
    <mergeCell ref="I298:J298"/>
    <mergeCell ref="G299:H299"/>
    <mergeCell ref="I299:J299"/>
    <mergeCell ref="G300:H300"/>
    <mergeCell ref="I300:J300"/>
    <mergeCell ref="G295:H295"/>
    <mergeCell ref="I295:J295"/>
    <mergeCell ref="G296:H296"/>
    <mergeCell ref="I296:J296"/>
    <mergeCell ref="G297:H297"/>
    <mergeCell ref="I297:J297"/>
    <mergeCell ref="G311:H311"/>
    <mergeCell ref="I311:J311"/>
    <mergeCell ref="A312:H312"/>
    <mergeCell ref="I312:J312"/>
    <mergeCell ref="A313:H313"/>
    <mergeCell ref="I313:J313"/>
    <mergeCell ref="G308:H308"/>
    <mergeCell ref="I308:J308"/>
    <mergeCell ref="G309:H309"/>
    <mergeCell ref="I309:J309"/>
    <mergeCell ref="G310:H310"/>
    <mergeCell ref="I310:J310"/>
    <mergeCell ref="A304:H304"/>
    <mergeCell ref="I304:J304"/>
    <mergeCell ref="G306:H306"/>
    <mergeCell ref="I306:J306"/>
    <mergeCell ref="G307:H307"/>
    <mergeCell ref="I307:J307"/>
    <mergeCell ref="A321:H321"/>
    <mergeCell ref="I321:J321"/>
    <mergeCell ref="A322:H322"/>
    <mergeCell ref="I322:J322"/>
    <mergeCell ref="A323:H323"/>
    <mergeCell ref="I323:J323"/>
    <mergeCell ref="G318:H318"/>
    <mergeCell ref="I318:J318"/>
    <mergeCell ref="G319:H319"/>
    <mergeCell ref="I319:J319"/>
    <mergeCell ref="G320:H320"/>
    <mergeCell ref="I320:J320"/>
    <mergeCell ref="A314:H314"/>
    <mergeCell ref="I314:J314"/>
    <mergeCell ref="G316:H316"/>
    <mergeCell ref="I316:J316"/>
    <mergeCell ref="G317:H317"/>
    <mergeCell ref="I317:J317"/>
    <mergeCell ref="G331:H331"/>
    <mergeCell ref="I331:J331"/>
    <mergeCell ref="G332:H332"/>
    <mergeCell ref="I332:J332"/>
    <mergeCell ref="G333:H333"/>
    <mergeCell ref="I333:J333"/>
    <mergeCell ref="G328:H328"/>
    <mergeCell ref="I328:J328"/>
    <mergeCell ref="G329:H329"/>
    <mergeCell ref="I329:J329"/>
    <mergeCell ref="G330:H330"/>
    <mergeCell ref="I330:J330"/>
    <mergeCell ref="G325:H325"/>
    <mergeCell ref="I325:J325"/>
    <mergeCell ref="G326:H326"/>
    <mergeCell ref="I326:J326"/>
    <mergeCell ref="G327:H327"/>
    <mergeCell ref="I327:J327"/>
    <mergeCell ref="G341:H341"/>
    <mergeCell ref="I341:J341"/>
    <mergeCell ref="G342:H342"/>
    <mergeCell ref="I342:J342"/>
    <mergeCell ref="G343:H343"/>
    <mergeCell ref="I343:J343"/>
    <mergeCell ref="A337:H337"/>
    <mergeCell ref="I337:J337"/>
    <mergeCell ref="G339:H339"/>
    <mergeCell ref="I339:J339"/>
    <mergeCell ref="G340:H340"/>
    <mergeCell ref="I340:J340"/>
    <mergeCell ref="G334:H334"/>
    <mergeCell ref="I334:J334"/>
    <mergeCell ref="A335:H335"/>
    <mergeCell ref="I335:J335"/>
    <mergeCell ref="A336:H336"/>
    <mergeCell ref="I336:J336"/>
    <mergeCell ref="G351:H351"/>
    <mergeCell ref="I351:J351"/>
    <mergeCell ref="G352:H352"/>
    <mergeCell ref="I352:J352"/>
    <mergeCell ref="G353:H353"/>
    <mergeCell ref="I353:J353"/>
    <mergeCell ref="A347:H347"/>
    <mergeCell ref="I347:J347"/>
    <mergeCell ref="A348:H348"/>
    <mergeCell ref="I348:J348"/>
    <mergeCell ref="G350:H350"/>
    <mergeCell ref="I350:J350"/>
    <mergeCell ref="G344:H344"/>
    <mergeCell ref="I344:J344"/>
    <mergeCell ref="G345:H345"/>
    <mergeCell ref="I345:J345"/>
    <mergeCell ref="A346:H346"/>
    <mergeCell ref="I346:J346"/>
    <mergeCell ref="G360:H360"/>
    <mergeCell ref="I360:J360"/>
    <mergeCell ref="A361:H361"/>
    <mergeCell ref="I361:J361"/>
    <mergeCell ref="A362:H362"/>
    <mergeCell ref="I362:J362"/>
    <mergeCell ref="G357:H357"/>
    <mergeCell ref="I357:J357"/>
    <mergeCell ref="G358:H358"/>
    <mergeCell ref="I358:J358"/>
    <mergeCell ref="G359:H359"/>
    <mergeCell ref="I359:J359"/>
    <mergeCell ref="G354:H354"/>
    <mergeCell ref="I354:J354"/>
    <mergeCell ref="G355:H355"/>
    <mergeCell ref="I355:J355"/>
    <mergeCell ref="G356:H356"/>
    <mergeCell ref="I356:J356"/>
    <mergeCell ref="A370:H370"/>
    <mergeCell ref="I370:J370"/>
    <mergeCell ref="A371:H371"/>
    <mergeCell ref="I371:J371"/>
    <mergeCell ref="A372:H372"/>
    <mergeCell ref="I372:J372"/>
    <mergeCell ref="G367:H367"/>
    <mergeCell ref="I367:J367"/>
    <mergeCell ref="G368:H368"/>
    <mergeCell ref="I368:J368"/>
    <mergeCell ref="G369:H369"/>
    <mergeCell ref="I369:J369"/>
    <mergeCell ref="A363:H363"/>
    <mergeCell ref="I363:J363"/>
    <mergeCell ref="G365:H365"/>
    <mergeCell ref="I365:J365"/>
    <mergeCell ref="G366:H366"/>
    <mergeCell ref="I366:J366"/>
    <mergeCell ref="A380:H380"/>
    <mergeCell ref="I380:J380"/>
    <mergeCell ref="A381:H381"/>
    <mergeCell ref="I381:J381"/>
    <mergeCell ref="G383:H383"/>
    <mergeCell ref="I383:J383"/>
    <mergeCell ref="G377:H377"/>
    <mergeCell ref="I377:J377"/>
    <mergeCell ref="G378:H378"/>
    <mergeCell ref="I378:J378"/>
    <mergeCell ref="A379:H379"/>
    <mergeCell ref="I379:J379"/>
    <mergeCell ref="G374:H374"/>
    <mergeCell ref="I374:J374"/>
    <mergeCell ref="G375:H375"/>
    <mergeCell ref="I375:J375"/>
    <mergeCell ref="G376:H376"/>
    <mergeCell ref="I376:J376"/>
    <mergeCell ref="A390:H390"/>
    <mergeCell ref="I390:J390"/>
    <mergeCell ref="A391:H391"/>
    <mergeCell ref="I391:J391"/>
    <mergeCell ref="G393:H393"/>
    <mergeCell ref="I393:J393"/>
    <mergeCell ref="G387:H387"/>
    <mergeCell ref="I387:J387"/>
    <mergeCell ref="G388:H388"/>
    <mergeCell ref="I388:J388"/>
    <mergeCell ref="A389:H389"/>
    <mergeCell ref="I389:J389"/>
    <mergeCell ref="G384:H384"/>
    <mergeCell ref="I384:J384"/>
    <mergeCell ref="G385:H385"/>
    <mergeCell ref="I385:J385"/>
    <mergeCell ref="G386:H386"/>
    <mergeCell ref="I386:J386"/>
    <mergeCell ref="G400:H400"/>
    <mergeCell ref="I400:J400"/>
    <mergeCell ref="G401:H401"/>
    <mergeCell ref="I401:J401"/>
    <mergeCell ref="A402:H402"/>
    <mergeCell ref="I402:J402"/>
    <mergeCell ref="G397:H397"/>
    <mergeCell ref="I397:J397"/>
    <mergeCell ref="G398:H398"/>
    <mergeCell ref="I398:J398"/>
    <mergeCell ref="G399:H399"/>
    <mergeCell ref="I399:J399"/>
    <mergeCell ref="G394:H394"/>
    <mergeCell ref="I394:J394"/>
    <mergeCell ref="G395:H395"/>
    <mergeCell ref="I395:J395"/>
    <mergeCell ref="G396:H396"/>
    <mergeCell ref="I396:J396"/>
    <mergeCell ref="A410:H410"/>
    <mergeCell ref="I410:J410"/>
    <mergeCell ref="A411:H411"/>
    <mergeCell ref="I411:J411"/>
    <mergeCell ref="A412:H412"/>
    <mergeCell ref="I412:J412"/>
    <mergeCell ref="G407:H407"/>
    <mergeCell ref="I407:J407"/>
    <mergeCell ref="G408:H408"/>
    <mergeCell ref="I408:J408"/>
    <mergeCell ref="G409:H409"/>
    <mergeCell ref="I409:J409"/>
    <mergeCell ref="A403:H403"/>
    <mergeCell ref="I403:J403"/>
    <mergeCell ref="A404:H404"/>
    <mergeCell ref="I404:J404"/>
    <mergeCell ref="G406:H406"/>
    <mergeCell ref="I406:J406"/>
    <mergeCell ref="A420:H420"/>
    <mergeCell ref="I420:J420"/>
    <mergeCell ref="A421:H421"/>
    <mergeCell ref="I421:J421"/>
    <mergeCell ref="G423:H423"/>
    <mergeCell ref="I423:J423"/>
    <mergeCell ref="G417:H417"/>
    <mergeCell ref="I417:J417"/>
    <mergeCell ref="G418:H418"/>
    <mergeCell ref="I418:J418"/>
    <mergeCell ref="A419:H419"/>
    <mergeCell ref="I419:J419"/>
    <mergeCell ref="G414:H414"/>
    <mergeCell ref="I414:J414"/>
    <mergeCell ref="G415:H415"/>
    <mergeCell ref="I415:J415"/>
    <mergeCell ref="G416:H416"/>
    <mergeCell ref="I416:J416"/>
    <mergeCell ref="G430:H430"/>
    <mergeCell ref="I430:J430"/>
    <mergeCell ref="A431:H431"/>
    <mergeCell ref="I431:J431"/>
    <mergeCell ref="A432:H432"/>
    <mergeCell ref="I432:J432"/>
    <mergeCell ref="G427:H427"/>
    <mergeCell ref="I427:J427"/>
    <mergeCell ref="G428:H428"/>
    <mergeCell ref="I428:J428"/>
    <mergeCell ref="G429:H429"/>
    <mergeCell ref="I429:J429"/>
    <mergeCell ref="G424:H424"/>
    <mergeCell ref="I424:J424"/>
    <mergeCell ref="G425:H425"/>
    <mergeCell ref="I425:J425"/>
    <mergeCell ref="G426:H426"/>
    <mergeCell ref="I426:J426"/>
    <mergeCell ref="G440:H440"/>
    <mergeCell ref="I440:J440"/>
    <mergeCell ref="G441:H441"/>
    <mergeCell ref="I441:J441"/>
    <mergeCell ref="G442:H442"/>
    <mergeCell ref="I442:J442"/>
    <mergeCell ref="G437:H437"/>
    <mergeCell ref="I437:J437"/>
    <mergeCell ref="G438:H438"/>
    <mergeCell ref="I438:J438"/>
    <mergeCell ref="G439:H439"/>
    <mergeCell ref="I439:J439"/>
    <mergeCell ref="A433:H433"/>
    <mergeCell ref="I433:J433"/>
    <mergeCell ref="G435:H435"/>
    <mergeCell ref="I435:J435"/>
    <mergeCell ref="G436:H436"/>
    <mergeCell ref="I436:J436"/>
    <mergeCell ref="G449:H449"/>
    <mergeCell ref="I449:J449"/>
    <mergeCell ref="A450:H450"/>
    <mergeCell ref="I450:J450"/>
    <mergeCell ref="A451:H451"/>
    <mergeCell ref="I451:J451"/>
    <mergeCell ref="G446:H446"/>
    <mergeCell ref="I446:J446"/>
    <mergeCell ref="G447:H447"/>
    <mergeCell ref="I447:J447"/>
    <mergeCell ref="G448:H448"/>
    <mergeCell ref="I448:J448"/>
    <mergeCell ref="G443:H443"/>
    <mergeCell ref="I443:J443"/>
    <mergeCell ref="G444:H444"/>
    <mergeCell ref="I444:J444"/>
    <mergeCell ref="G445:H445"/>
    <mergeCell ref="I445:J445"/>
    <mergeCell ref="A459:H459"/>
    <mergeCell ref="I459:J459"/>
    <mergeCell ref="A460:H460"/>
    <mergeCell ref="I460:J460"/>
    <mergeCell ref="A461:H461"/>
    <mergeCell ref="I461:J461"/>
    <mergeCell ref="G456:H456"/>
    <mergeCell ref="I456:J456"/>
    <mergeCell ref="G457:H457"/>
    <mergeCell ref="I457:J457"/>
    <mergeCell ref="G458:H458"/>
    <mergeCell ref="I458:J458"/>
    <mergeCell ref="A452:H452"/>
    <mergeCell ref="I452:J452"/>
    <mergeCell ref="G454:H454"/>
    <mergeCell ref="I454:J454"/>
    <mergeCell ref="G455:H455"/>
    <mergeCell ref="I455:J455"/>
    <mergeCell ref="G470:H470"/>
    <mergeCell ref="I470:J470"/>
    <mergeCell ref="G471:H471"/>
    <mergeCell ref="I471:J471"/>
    <mergeCell ref="G472:H472"/>
    <mergeCell ref="I472:J472"/>
    <mergeCell ref="A466:H466"/>
    <mergeCell ref="I466:J466"/>
    <mergeCell ref="A467:H467"/>
    <mergeCell ref="I467:J467"/>
    <mergeCell ref="A468:H468"/>
    <mergeCell ref="I468:J468"/>
    <mergeCell ref="G463:H463"/>
    <mergeCell ref="I463:J463"/>
    <mergeCell ref="G464:H464"/>
    <mergeCell ref="I464:J464"/>
    <mergeCell ref="G465:H465"/>
    <mergeCell ref="I465:J465"/>
    <mergeCell ref="G480:H480"/>
    <mergeCell ref="I480:J480"/>
    <mergeCell ref="G481:H481"/>
    <mergeCell ref="I481:J481"/>
    <mergeCell ref="G482:H482"/>
    <mergeCell ref="I482:J482"/>
    <mergeCell ref="A476:H476"/>
    <mergeCell ref="I476:J476"/>
    <mergeCell ref="G478:H478"/>
    <mergeCell ref="I478:J478"/>
    <mergeCell ref="G479:H479"/>
    <mergeCell ref="I479:J479"/>
    <mergeCell ref="G473:H473"/>
    <mergeCell ref="I473:J473"/>
    <mergeCell ref="A474:H474"/>
    <mergeCell ref="I474:J474"/>
    <mergeCell ref="A475:H475"/>
    <mergeCell ref="I475:J475"/>
    <mergeCell ref="G490:H490"/>
    <mergeCell ref="I490:J490"/>
    <mergeCell ref="G491:H491"/>
    <mergeCell ref="I491:J491"/>
    <mergeCell ref="G492:H492"/>
    <mergeCell ref="I492:J492"/>
    <mergeCell ref="A486:H486"/>
    <mergeCell ref="I486:J486"/>
    <mergeCell ref="G488:H488"/>
    <mergeCell ref="I488:J488"/>
    <mergeCell ref="G489:H489"/>
    <mergeCell ref="I489:J489"/>
    <mergeCell ref="G483:H483"/>
    <mergeCell ref="I483:J483"/>
    <mergeCell ref="A484:H484"/>
    <mergeCell ref="I484:J484"/>
    <mergeCell ref="A485:H485"/>
    <mergeCell ref="I485:J485"/>
    <mergeCell ref="G500:H500"/>
    <mergeCell ref="I500:J500"/>
    <mergeCell ref="G501:H501"/>
    <mergeCell ref="I501:J501"/>
    <mergeCell ref="G502:H502"/>
    <mergeCell ref="I502:J502"/>
    <mergeCell ref="A496:H496"/>
    <mergeCell ref="I496:J496"/>
    <mergeCell ref="G498:H498"/>
    <mergeCell ref="I498:J498"/>
    <mergeCell ref="G499:H499"/>
    <mergeCell ref="I499:J499"/>
    <mergeCell ref="G493:H493"/>
    <mergeCell ref="I493:J493"/>
    <mergeCell ref="A494:H494"/>
    <mergeCell ref="I494:J494"/>
    <mergeCell ref="A495:H495"/>
    <mergeCell ref="I495:J495"/>
    <mergeCell ref="G510:H510"/>
    <mergeCell ref="I510:J510"/>
    <mergeCell ref="G511:H511"/>
    <mergeCell ref="I511:J511"/>
    <mergeCell ref="A512:H512"/>
    <mergeCell ref="I512:J512"/>
    <mergeCell ref="G507:H507"/>
    <mergeCell ref="I507:J507"/>
    <mergeCell ref="G508:H508"/>
    <mergeCell ref="I508:J508"/>
    <mergeCell ref="G509:H509"/>
    <mergeCell ref="I509:J509"/>
    <mergeCell ref="A503:H503"/>
    <mergeCell ref="I503:J503"/>
    <mergeCell ref="A504:H504"/>
    <mergeCell ref="I504:J504"/>
    <mergeCell ref="A505:H505"/>
    <mergeCell ref="I505:J505"/>
    <mergeCell ref="A520:H520"/>
    <mergeCell ref="I520:J520"/>
    <mergeCell ref="A521:H521"/>
    <mergeCell ref="I521:J521"/>
    <mergeCell ref="A522:H522"/>
    <mergeCell ref="I522:J522"/>
    <mergeCell ref="G517:H517"/>
    <mergeCell ref="I517:J517"/>
    <mergeCell ref="G518:H518"/>
    <mergeCell ref="I518:J518"/>
    <mergeCell ref="G519:H519"/>
    <mergeCell ref="I519:J519"/>
    <mergeCell ref="A513:H513"/>
    <mergeCell ref="I513:J513"/>
    <mergeCell ref="A514:H514"/>
    <mergeCell ref="I514:J514"/>
    <mergeCell ref="G516:H516"/>
    <mergeCell ref="I516:J516"/>
    <mergeCell ref="G530:H530"/>
    <mergeCell ref="I530:J530"/>
    <mergeCell ref="A531:H531"/>
    <mergeCell ref="I531:J531"/>
    <mergeCell ref="A532:H532"/>
    <mergeCell ref="I532:J532"/>
    <mergeCell ref="G527:H527"/>
    <mergeCell ref="I527:J527"/>
    <mergeCell ref="G528:H528"/>
    <mergeCell ref="I528:J528"/>
    <mergeCell ref="G529:H529"/>
    <mergeCell ref="I529:J529"/>
    <mergeCell ref="G524:H524"/>
    <mergeCell ref="I524:J524"/>
    <mergeCell ref="G525:H525"/>
    <mergeCell ref="I525:J525"/>
    <mergeCell ref="G526:H526"/>
    <mergeCell ref="I526:J526"/>
    <mergeCell ref="G540:H540"/>
    <mergeCell ref="I540:J540"/>
    <mergeCell ref="G541:H541"/>
    <mergeCell ref="I541:J541"/>
    <mergeCell ref="G542:H542"/>
    <mergeCell ref="I542:J542"/>
    <mergeCell ref="G537:H537"/>
    <mergeCell ref="I537:J537"/>
    <mergeCell ref="G538:H538"/>
    <mergeCell ref="I538:J538"/>
    <mergeCell ref="G539:H539"/>
    <mergeCell ref="I539:J539"/>
    <mergeCell ref="A533:H533"/>
    <mergeCell ref="I533:J533"/>
    <mergeCell ref="G535:H535"/>
    <mergeCell ref="I535:J535"/>
    <mergeCell ref="G536:H536"/>
    <mergeCell ref="I536:J536"/>
    <mergeCell ref="A553:H553"/>
    <mergeCell ref="I553:J553"/>
    <mergeCell ref="A554:H554"/>
    <mergeCell ref="I554:J554"/>
    <mergeCell ref="G550:H550"/>
    <mergeCell ref="I550:J550"/>
    <mergeCell ref="G551:H551"/>
    <mergeCell ref="I551:J551"/>
    <mergeCell ref="A552:H552"/>
    <mergeCell ref="I552:J552"/>
    <mergeCell ref="G547:H547"/>
    <mergeCell ref="I547:J547"/>
    <mergeCell ref="G548:H548"/>
    <mergeCell ref="I548:J548"/>
    <mergeCell ref="G549:H549"/>
    <mergeCell ref="I549:J549"/>
    <mergeCell ref="A543:H543"/>
    <mergeCell ref="I543:J543"/>
    <mergeCell ref="A544:H544"/>
    <mergeCell ref="I544:J544"/>
    <mergeCell ref="A545:H545"/>
    <mergeCell ref="I545:J545"/>
  </mergeCells>
  <pageMargins left="0.78740157480314965" right="0.39370078740157483" top="1.1811023622047245" bottom="0.78740157480314965" header="0.31496062992125984" footer="0.31496062992125984"/>
  <pageSetup paperSize="9" scale="44" fitToHeight="0" orientation="portrait" r:id="rId1"/>
  <headerFooter>
    <oddHeader>&amp;C&amp;G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2B6E6-CE5C-4C11-A99D-D73B6E511F61}">
  <sheetPr>
    <pageSetUpPr fitToPage="1"/>
  </sheetPr>
  <dimension ref="A1:S592"/>
  <sheetViews>
    <sheetView showGridLines="0" topLeftCell="A571" zoomScaleNormal="100" workbookViewId="0">
      <selection activeCell="D314" sqref="D314"/>
    </sheetView>
  </sheetViews>
  <sheetFormatPr defaultRowHeight="14.4" x14ac:dyDescent="0.3"/>
  <cols>
    <col min="1" max="1" width="13.88671875" bestFit="1" customWidth="1"/>
    <col min="2" max="2" width="13.88671875" customWidth="1"/>
    <col min="3" max="3" width="13.88671875" bestFit="1" customWidth="1"/>
    <col min="4" max="4" width="55.5546875" bestFit="1" customWidth="1"/>
    <col min="5" max="10" width="17.5546875" bestFit="1" customWidth="1"/>
    <col min="11" max="11" width="12" bestFit="1" customWidth="1"/>
    <col min="12" max="12" width="33.33203125" bestFit="1" customWidth="1"/>
    <col min="13" max="19" width="14.77734375" bestFit="1" customWidth="1"/>
  </cols>
  <sheetData>
    <row r="1" spans="1:19" x14ac:dyDescent="0.3">
      <c r="A1" s="44" t="str">
        <f>CIDADE</f>
        <v>MUNICÍPIOS DE PARNAGUÁ - PI E ANÍSIO DE ABREU-PI</v>
      </c>
      <c r="B1" s="44"/>
      <c r="C1" s="44"/>
      <c r="D1" s="44"/>
      <c r="E1" s="44"/>
      <c r="F1" s="44"/>
      <c r="G1" s="44"/>
      <c r="H1" s="44"/>
      <c r="I1" s="44"/>
      <c r="J1" s="44"/>
    </row>
    <row r="2" spans="1:19" x14ac:dyDescent="0.3">
      <c r="A2" s="44" t="str">
        <f>OBRA</f>
        <v>IMPLANTAÇÃO DE 6 (SEIS) SISTEMAS DE ABASTECIMENTO DE ÁGUA EM COMUNIDADES RURAIS NOS MUNICÍPIOS DE PARNAGUÁ-PI E ANÍSIO DE ABREU-PI (TC 967175/2024)</v>
      </c>
      <c r="B2" s="44"/>
      <c r="C2" s="44"/>
      <c r="D2" s="44"/>
      <c r="E2" s="44"/>
      <c r="F2" s="44"/>
      <c r="G2" s="44"/>
      <c r="H2" s="44"/>
      <c r="I2" s="44"/>
      <c r="J2" s="44"/>
    </row>
    <row r="3" spans="1:19" x14ac:dyDescent="0.3">
      <c r="A3" s="44" t="s">
        <v>1070</v>
      </c>
      <c r="B3" s="44"/>
      <c r="C3" s="44"/>
      <c r="D3" s="44"/>
      <c r="E3" s="44"/>
      <c r="F3" s="44"/>
      <c r="G3" s="44"/>
      <c r="H3" s="44"/>
      <c r="I3" s="44"/>
      <c r="J3" s="44"/>
    </row>
    <row r="4" spans="1:19" x14ac:dyDescent="0.3">
      <c r="N4" s="45" t="s">
        <v>996</v>
      </c>
      <c r="O4" s="47"/>
      <c r="P4" s="46"/>
      <c r="Q4" s="45" t="s">
        <v>997</v>
      </c>
      <c r="R4" s="47"/>
      <c r="S4" s="46"/>
    </row>
    <row r="5" spans="1:19" x14ac:dyDescent="0.3">
      <c r="A5" s="1" t="s">
        <v>1</v>
      </c>
      <c r="B5" s="7" t="str">
        <f>FONTE&amp;FOLHA</f>
        <v>SINAPI PI 07/2025, SEINFRA CE 28, ORSE SE 06/2025, CAESB 10/2024SEM DESONERAÇÃO</v>
      </c>
      <c r="C5" s="3"/>
      <c r="D5" s="3"/>
      <c r="E5" s="3"/>
      <c r="F5" s="3"/>
      <c r="G5" s="27" t="s">
        <v>7</v>
      </c>
      <c r="H5" s="8">
        <f>LEI</f>
        <v>113.33</v>
      </c>
      <c r="I5" s="1" t="s">
        <v>16</v>
      </c>
      <c r="J5" s="8">
        <f>BDI</f>
        <v>22.33</v>
      </c>
      <c r="M5" s="4" t="s">
        <v>170</v>
      </c>
      <c r="N5" s="4" t="s">
        <v>998</v>
      </c>
      <c r="O5" s="4" t="s">
        <v>158</v>
      </c>
      <c r="P5" s="4" t="s">
        <v>999</v>
      </c>
      <c r="Q5" s="4" t="s">
        <v>998</v>
      </c>
      <c r="R5" s="4" t="s">
        <v>158</v>
      </c>
      <c r="S5" s="4" t="s">
        <v>999</v>
      </c>
    </row>
    <row r="6" spans="1:19" x14ac:dyDescent="0.3">
      <c r="A6" s="4" t="s">
        <v>1000</v>
      </c>
      <c r="B6" s="4" t="s">
        <v>170</v>
      </c>
      <c r="C6" s="4" t="s">
        <v>171</v>
      </c>
      <c r="D6" s="4" t="s">
        <v>18</v>
      </c>
      <c r="E6" s="4" t="s">
        <v>172</v>
      </c>
      <c r="F6" s="4" t="s">
        <v>507</v>
      </c>
      <c r="G6" s="45" t="s">
        <v>1001</v>
      </c>
      <c r="H6" s="46"/>
      <c r="I6" s="45" t="s">
        <v>12</v>
      </c>
      <c r="J6" s="46"/>
    </row>
    <row r="7" spans="1:19" ht="30" customHeight="1" x14ac:dyDescent="0.3">
      <c r="A7" s="15" t="s">
        <v>1071</v>
      </c>
      <c r="B7" s="15">
        <v>90777</v>
      </c>
      <c r="C7" s="15" t="str">
        <f>VLOOKUP(B7,S!$A:$G,2,FALSE)</f>
        <v>SINAPI</v>
      </c>
      <c r="D7" s="22" t="str">
        <f>VLOOKUP(B7,S!$A:$G,3,FALSE)</f>
        <v>ENGENHEIRO CIVIL DE OBRA JUNIOR COM ENCARGOS COMPLEMENTARES</v>
      </c>
      <c r="E7" s="15" t="str">
        <f>VLOOKUP(B7,S!$A:$G,4,FALSE)</f>
        <v>H</v>
      </c>
      <c r="F7" s="15"/>
      <c r="G7" s="78">
        <f>I14</f>
        <v>129.24</v>
      </c>
      <c r="H7" s="79"/>
      <c r="I7" s="78"/>
      <c r="J7" s="79"/>
      <c r="K7" s="16">
        <f>VLOOKUP(B7,S!A:G,5,FALSE)</f>
        <v>129.24</v>
      </c>
      <c r="L7" s="15" t="str">
        <f>IF(K7=G7,"OK, CONFORME TABELA",IF(G7&gt;K7,"ACIMA DA TABELA: ","ABAIXO DA TABELA: ")&amp;TRUNC((G7*100)/K7,2)&amp;" %")</f>
        <v>OK, CONFORME TABELA</v>
      </c>
    </row>
    <row r="8" spans="1:19" ht="45" customHeight="1" x14ac:dyDescent="0.3">
      <c r="A8" s="23" t="s">
        <v>1004</v>
      </c>
      <c r="B8" s="23">
        <v>95402</v>
      </c>
      <c r="C8" s="23" t="str">
        <f>VLOOKUP(B8,IF(A8="COMPOSICAO",S!$A:$E,I!$A:$E),2,FALSE)</f>
        <v>SINAPI</v>
      </c>
      <c r="D8" s="24" t="str">
        <f>VLOOKUP(B8,IF(A8="COMPOSICAO",S!$A:$E,I!$A:$E),3,FALSE)</f>
        <v>CURSO DE CAPACITAÇÃO PARA ENGENHEIRO CIVIL DE OBRA JÚNIOR (ENCARGOS COMPLEMENTARES) - HORISTA</v>
      </c>
      <c r="E8" s="23" t="str">
        <f>VLOOKUP(B8,IF(A8="COMPOSICAO",S!$A:$E,I!$A:$E),4,FALSE)</f>
        <v>H</v>
      </c>
      <c r="F8" s="23">
        <v>1</v>
      </c>
      <c r="G8" s="76">
        <f>IF(A8="COMPOSICAO",VLOOKUP("TOTAL SEM BDI - "&amp;B8,CPUAUX2!$A:$J,9,FALSE),VLOOKUP(B8,I!$A:$E,5,FALSE))</f>
        <v>1.84</v>
      </c>
      <c r="H8" s="77"/>
      <c r="I8" s="76">
        <f t="shared" ref="I8:I13" si="0">TRUNC(F8*G8,2)</f>
        <v>1.84</v>
      </c>
      <c r="J8" s="77"/>
      <c r="M8" s="23">
        <f t="shared" ref="M8:M13" si="1">B8</f>
        <v>95402</v>
      </c>
      <c r="N8" s="23">
        <f>SUMIF(CPU!M:M,B7,CPU!O:O)</f>
        <v>300</v>
      </c>
      <c r="O8" s="23">
        <f t="shared" ref="O8:O13" si="2">F8*N8</f>
        <v>300</v>
      </c>
      <c r="Q8" s="23">
        <f ca="1">SUMIF(CPU!M:M,B7,CPU!R:R)</f>
        <v>95.4</v>
      </c>
      <c r="R8" s="23">
        <f t="shared" ref="R8:R13" ca="1" si="3">F8*Q8</f>
        <v>95.4</v>
      </c>
    </row>
    <row r="9" spans="1:19" ht="30" customHeight="1" x14ac:dyDescent="0.3">
      <c r="A9" s="23" t="s">
        <v>1005</v>
      </c>
      <c r="B9" s="23">
        <v>43486</v>
      </c>
      <c r="C9" s="23" t="str">
        <f>VLOOKUP(B9,IF(A9="COMPOSICAO",S!$A:$E,I!$A:$E),2,FALSE)</f>
        <v>SINAPI</v>
      </c>
      <c r="D9" s="24" t="str">
        <f>VLOOKUP(B9,IF(A9="COMPOSICAO",S!$A:$E,I!$A:$E),3,FALSE)</f>
        <v>EPI - FAMILIA ENGENHEIRO CIVIL - HORISTA (ENCARGOS COMPLEMENTARES - COLETADO CAIXA)</v>
      </c>
      <c r="E9" s="23" t="str">
        <f>VLOOKUP(B9,IF(A9="COMPOSICAO",S!$A:$E,I!$A:$E),4,FALSE)</f>
        <v>H</v>
      </c>
      <c r="F9" s="23">
        <v>1</v>
      </c>
      <c r="G9" s="76">
        <f>IF(A9="COMPOSICAO",VLOOKUP("TOTAL SEM BDI - "&amp;B9,CPUAUX2!$A:$J,9,FALSE),VLOOKUP(B9,I!$A:$E,5,FALSE))</f>
        <v>0.77</v>
      </c>
      <c r="H9" s="77"/>
      <c r="I9" s="76">
        <f t="shared" si="0"/>
        <v>0.77</v>
      </c>
      <c r="J9" s="77"/>
      <c r="M9" s="23">
        <f t="shared" si="1"/>
        <v>43486</v>
      </c>
      <c r="N9" s="23">
        <f>SUMIF(CPU!M:M,B7,CPU!O:O)</f>
        <v>300</v>
      </c>
      <c r="O9" s="23">
        <f t="shared" si="2"/>
        <v>300</v>
      </c>
      <c r="Q9" s="23">
        <f ca="1">SUMIF(CPU!M:M,B7,CPU!R:R)</f>
        <v>95.4</v>
      </c>
      <c r="R9" s="23">
        <f t="shared" ca="1" si="3"/>
        <v>95.4</v>
      </c>
    </row>
    <row r="10" spans="1:19" ht="45" customHeight="1" x14ac:dyDescent="0.3">
      <c r="A10" s="23" t="s">
        <v>1005</v>
      </c>
      <c r="B10" s="23">
        <v>43462</v>
      </c>
      <c r="C10" s="23" t="str">
        <f>VLOOKUP(B10,IF(A10="COMPOSICAO",S!$A:$E,I!$A:$E),2,FALSE)</f>
        <v>SINAPI</v>
      </c>
      <c r="D10" s="24" t="str">
        <f>VLOOKUP(B10,IF(A10="COMPOSICAO",S!$A:$E,I!$A:$E),3,FALSE)</f>
        <v>FERRAMENTAS - FAMILIA ENGENHEIRO CIVIL - HORISTA (ENCARGOS COMPLEMENTARES - COLETADO CAIXA)</v>
      </c>
      <c r="E10" s="23" t="str">
        <f>VLOOKUP(B10,IF(A10="COMPOSICAO",S!$A:$E,I!$A:$E),4,FALSE)</f>
        <v>H</v>
      </c>
      <c r="F10" s="23">
        <v>1</v>
      </c>
      <c r="G10" s="76">
        <f>IF(A10="COMPOSICAO",VLOOKUP("TOTAL SEM BDI - "&amp;B10,CPUAUX2!$A:$J,9,FALSE),VLOOKUP(B10,I!$A:$E,5,FALSE))</f>
        <v>0.01</v>
      </c>
      <c r="H10" s="77"/>
      <c r="I10" s="76">
        <f t="shared" si="0"/>
        <v>0.01</v>
      </c>
      <c r="J10" s="77"/>
      <c r="M10" s="23">
        <f t="shared" si="1"/>
        <v>43462</v>
      </c>
      <c r="N10" s="23">
        <f>SUMIF(CPU!M:M,B7,CPU!O:O)</f>
        <v>300</v>
      </c>
      <c r="O10" s="23">
        <f t="shared" si="2"/>
        <v>300</v>
      </c>
      <c r="Q10" s="23">
        <f ca="1">SUMIF(CPU!M:M,B7,CPU!R:R)</f>
        <v>95.4</v>
      </c>
      <c r="R10" s="23">
        <f t="shared" ca="1" si="3"/>
        <v>95.4</v>
      </c>
    </row>
    <row r="11" spans="1:19" ht="30" customHeight="1" x14ac:dyDescent="0.3">
      <c r="A11" s="23" t="s">
        <v>1005</v>
      </c>
      <c r="B11" s="23">
        <v>37373</v>
      </c>
      <c r="C11" s="23" t="str">
        <f>VLOOKUP(B11,IF(A11="COMPOSICAO",S!$A:$E,I!$A:$E),2,FALSE)</f>
        <v>SINAPI</v>
      </c>
      <c r="D11" s="24" t="str">
        <f>VLOOKUP(B11,IF(A11="COMPOSICAO",S!$A:$E,I!$A:$E),3,FALSE)</f>
        <v>SEGURO - HORISTA (COLETADO CAIXA - ENCARGOS COMPLEMENTARES)</v>
      </c>
      <c r="E11" s="23" t="str">
        <f>VLOOKUP(B11,IF(A11="COMPOSICAO",S!$A:$E,I!$A:$E),4,FALSE)</f>
        <v>H</v>
      </c>
      <c r="F11" s="23">
        <v>1</v>
      </c>
      <c r="G11" s="76">
        <f>IF(A11="COMPOSICAO",VLOOKUP("TOTAL SEM BDI - "&amp;B11,CPUAUX2!$A:$J,9,FALSE),VLOOKUP(B11,I!$A:$E,5,FALSE))</f>
        <v>0.08</v>
      </c>
      <c r="H11" s="77"/>
      <c r="I11" s="76">
        <f t="shared" si="0"/>
        <v>0.08</v>
      </c>
      <c r="J11" s="77"/>
      <c r="M11" s="23">
        <f t="shared" si="1"/>
        <v>37373</v>
      </c>
      <c r="N11" s="23">
        <f>SUMIF(CPU!M:M,B7,CPU!O:O)</f>
        <v>300</v>
      </c>
      <c r="O11" s="23">
        <f t="shared" si="2"/>
        <v>300</v>
      </c>
      <c r="Q11" s="23">
        <f ca="1">SUMIF(CPU!M:M,B7,CPU!R:R)</f>
        <v>95.4</v>
      </c>
      <c r="R11" s="23">
        <f t="shared" ca="1" si="3"/>
        <v>95.4</v>
      </c>
    </row>
    <row r="12" spans="1:19" ht="30" customHeight="1" x14ac:dyDescent="0.3">
      <c r="A12" s="23" t="s">
        <v>1005</v>
      </c>
      <c r="B12" s="23">
        <v>37372</v>
      </c>
      <c r="C12" s="23" t="str">
        <f>VLOOKUP(B12,IF(A12="COMPOSICAO",S!$A:$E,I!$A:$E),2,FALSE)</f>
        <v>SINAPI</v>
      </c>
      <c r="D12" s="24" t="str">
        <f>VLOOKUP(B12,IF(A12="COMPOSICAO",S!$A:$E,I!$A:$E),3,FALSE)</f>
        <v>EXAMES - HORISTA (COLETADO CAIXA - ENCARGOS COMPLEMENTARES)</v>
      </c>
      <c r="E12" s="23" t="str">
        <f>VLOOKUP(B12,IF(A12="COMPOSICAO",S!$A:$E,I!$A:$E),4,FALSE)</f>
        <v>H</v>
      </c>
      <c r="F12" s="23">
        <v>1</v>
      </c>
      <c r="G12" s="76">
        <f>IF(A12="COMPOSICAO",VLOOKUP("TOTAL SEM BDI - "&amp;B12,CPUAUX2!$A:$J,9,FALSE),VLOOKUP(B12,I!$A:$E,5,FALSE))</f>
        <v>1.43</v>
      </c>
      <c r="H12" s="77"/>
      <c r="I12" s="76">
        <f t="shared" si="0"/>
        <v>1.43</v>
      </c>
      <c r="J12" s="77"/>
      <c r="M12" s="23">
        <f t="shared" si="1"/>
        <v>37372</v>
      </c>
      <c r="N12" s="23">
        <f>SUMIF(CPU!M:M,B7,CPU!O:O)</f>
        <v>300</v>
      </c>
      <c r="O12" s="23">
        <f t="shared" si="2"/>
        <v>300</v>
      </c>
      <c r="Q12" s="23">
        <f ca="1">SUMIF(CPU!M:M,B7,CPU!R:R)</f>
        <v>95.4</v>
      </c>
      <c r="R12" s="23">
        <f t="shared" ca="1" si="3"/>
        <v>95.4</v>
      </c>
    </row>
    <row r="13" spans="1:19" x14ac:dyDescent="0.3">
      <c r="A13" s="23" t="s">
        <v>1005</v>
      </c>
      <c r="B13" s="23">
        <v>2706</v>
      </c>
      <c r="C13" s="23" t="str">
        <f>VLOOKUP(B13,IF(A13="COMPOSICAO",S!$A:$E,I!$A:$E),2,FALSE)</f>
        <v>SINAPI</v>
      </c>
      <c r="D13" s="24" t="str">
        <f>VLOOKUP(B13,IF(A13="COMPOSICAO",S!$A:$E,I!$A:$E),3,FALSE)</f>
        <v>ENGENHEIRO CIVIL DE OBRA JUNIOR (HORISTA)</v>
      </c>
      <c r="E13" s="23" t="str">
        <f>VLOOKUP(B13,IF(A13="COMPOSICAO",S!$A:$E,I!$A:$E),4,FALSE)</f>
        <v>H</v>
      </c>
      <c r="F13" s="23">
        <v>1</v>
      </c>
      <c r="G13" s="76">
        <f>IF(A13="COMPOSICAO",VLOOKUP("TOTAL SEM BDI - "&amp;B13,CPUAUX2!$A:$J,9,FALSE),VLOOKUP(B13,I!$A:$E,5,FALSE))</f>
        <v>125.11</v>
      </c>
      <c r="H13" s="77"/>
      <c r="I13" s="76">
        <f t="shared" si="0"/>
        <v>125.11</v>
      </c>
      <c r="J13" s="77"/>
      <c r="M13" s="23">
        <f t="shared" si="1"/>
        <v>2706</v>
      </c>
      <c r="N13" s="23">
        <f>SUMIF(CPU!M:M,B7,CPU!O:O)</f>
        <v>300</v>
      </c>
      <c r="O13" s="23">
        <f t="shared" si="2"/>
        <v>300</v>
      </c>
      <c r="Q13" s="23">
        <f ca="1">SUMIF(CPU!M:M,B7,CPU!R:R)</f>
        <v>95.4</v>
      </c>
      <c r="R13" s="23">
        <f t="shared" ca="1" si="3"/>
        <v>95.4</v>
      </c>
    </row>
    <row r="14" spans="1:19" x14ac:dyDescent="0.3">
      <c r="A14" s="73" t="str">
        <f>"TOTAL SEM BDI - "&amp;B7</f>
        <v>TOTAL SEM BDI - 90777</v>
      </c>
      <c r="B14" s="74"/>
      <c r="C14" s="74"/>
      <c r="D14" s="74"/>
      <c r="E14" s="74"/>
      <c r="F14" s="74"/>
      <c r="G14" s="74"/>
      <c r="H14" s="75"/>
      <c r="I14" s="76">
        <f>SUM(I7:I13)</f>
        <v>129.24</v>
      </c>
      <c r="J14" s="77"/>
    </row>
    <row r="16" spans="1:19" x14ac:dyDescent="0.3">
      <c r="A16" s="4" t="s">
        <v>1000</v>
      </c>
      <c r="B16" s="4" t="s">
        <v>170</v>
      </c>
      <c r="C16" s="4" t="s">
        <v>171</v>
      </c>
      <c r="D16" s="4" t="s">
        <v>18</v>
      </c>
      <c r="E16" s="4" t="s">
        <v>172</v>
      </c>
      <c r="F16" s="4" t="s">
        <v>507</v>
      </c>
      <c r="G16" s="45" t="s">
        <v>1001</v>
      </c>
      <c r="H16" s="46"/>
      <c r="I16" s="45" t="s">
        <v>12</v>
      </c>
      <c r="J16" s="46"/>
    </row>
    <row r="17" spans="1:18" ht="15" customHeight="1" x14ac:dyDescent="0.3">
      <c r="A17" s="15" t="s">
        <v>1071</v>
      </c>
      <c r="B17" s="15">
        <v>90776</v>
      </c>
      <c r="C17" s="15" t="str">
        <f>VLOOKUP(B17,S!$A:$G,2,FALSE)</f>
        <v>SINAPI</v>
      </c>
      <c r="D17" s="22" t="str">
        <f>VLOOKUP(B17,S!$A:$G,3,FALSE)</f>
        <v>ENCARREGADO GERAL COM ENCARGOS COMPLEMENTARES</v>
      </c>
      <c r="E17" s="15" t="str">
        <f>VLOOKUP(B17,S!$A:$G,4,FALSE)</f>
        <v>H</v>
      </c>
      <c r="F17" s="15"/>
      <c r="G17" s="78">
        <f>I24</f>
        <v>35.39</v>
      </c>
      <c r="H17" s="79"/>
      <c r="I17" s="78"/>
      <c r="J17" s="79"/>
      <c r="K17" s="16">
        <f>VLOOKUP(B17,S!A:G,5,FALSE)</f>
        <v>35.39</v>
      </c>
      <c r="L17" s="15" t="str">
        <f>IF(K17=G17,"OK, CONFORME TABELA",IF(G17&gt;K17,"ACIMA DA TABELA: ","ABAIXO DA TABELA: ")&amp;TRUNC((G17*100)/K17,2)&amp;" %")</f>
        <v>OK, CONFORME TABELA</v>
      </c>
    </row>
    <row r="18" spans="1:18" ht="30" customHeight="1" x14ac:dyDescent="0.3">
      <c r="A18" s="23" t="s">
        <v>1004</v>
      </c>
      <c r="B18" s="23">
        <v>95401</v>
      </c>
      <c r="C18" s="23" t="str">
        <f>VLOOKUP(B18,IF(A18="COMPOSICAO",S!$A:$E,I!$A:$E),2,FALSE)</f>
        <v>SINAPI</v>
      </c>
      <c r="D18" s="24" t="str">
        <f>VLOOKUP(B18,IF(A18="COMPOSICAO",S!$A:$E,I!$A:$E),3,FALSE)</f>
        <v>CURSO DE CAPACITAÇÃO PARA ENCARREGADO GERAL (ENCARGOS COMPLEMENTARES) - HORISTA</v>
      </c>
      <c r="E18" s="23" t="str">
        <f>VLOOKUP(B18,IF(A18="COMPOSICAO",S!$A:$E,I!$A:$E),4,FALSE)</f>
        <v>H</v>
      </c>
      <c r="F18" s="23">
        <v>1</v>
      </c>
      <c r="G18" s="76">
        <f>IF(A18="COMPOSICAO",VLOOKUP("TOTAL SEM BDI - "&amp;B18,CPUAUX2!$A:$J,9,FALSE),VLOOKUP(B18,I!$A:$E,5,FALSE))</f>
        <v>0.67</v>
      </c>
      <c r="H18" s="77"/>
      <c r="I18" s="76">
        <f t="shared" ref="I18:I23" si="4">TRUNC(F18*G18,2)</f>
        <v>0.67</v>
      </c>
      <c r="J18" s="77"/>
      <c r="M18" s="23">
        <f t="shared" ref="M18:M23" si="5">B18</f>
        <v>95401</v>
      </c>
      <c r="N18" s="23">
        <f>SUMIF(CPU!M:M,B17,CPU!O:O)</f>
        <v>500</v>
      </c>
      <c r="O18" s="23">
        <f t="shared" ref="O18:O23" si="6">F18*N18</f>
        <v>500</v>
      </c>
      <c r="Q18" s="23">
        <f ca="1">SUMIF(CPU!M:M,B17,CPU!R:R)</f>
        <v>159</v>
      </c>
      <c r="R18" s="23">
        <f t="shared" ref="R18:R23" ca="1" si="7">F18*Q18</f>
        <v>159</v>
      </c>
    </row>
    <row r="19" spans="1:18" ht="30" customHeight="1" x14ac:dyDescent="0.3">
      <c r="A19" s="23" t="s">
        <v>1005</v>
      </c>
      <c r="B19" s="23">
        <v>43487</v>
      </c>
      <c r="C19" s="23" t="str">
        <f>VLOOKUP(B19,IF(A19="COMPOSICAO",S!$A:$E,I!$A:$E),2,FALSE)</f>
        <v>SINAPI</v>
      </c>
      <c r="D19" s="24" t="str">
        <f>VLOOKUP(B19,IF(A19="COMPOSICAO",S!$A:$E,I!$A:$E),3,FALSE)</f>
        <v>EPI - FAMILIA ENCARREGADO GERAL - HORISTA (ENCARGOS COMPLEMENTARES - COLETADO CAIXA)</v>
      </c>
      <c r="E19" s="23" t="str">
        <f>VLOOKUP(B19,IF(A19="COMPOSICAO",S!$A:$E,I!$A:$E),4,FALSE)</f>
        <v>H</v>
      </c>
      <c r="F19" s="23">
        <v>1</v>
      </c>
      <c r="G19" s="76">
        <f>IF(A19="COMPOSICAO",VLOOKUP("TOTAL SEM BDI - "&amp;B19,CPUAUX2!$A:$J,9,FALSE),VLOOKUP(B19,I!$A:$E,5,FALSE))</f>
        <v>1.28</v>
      </c>
      <c r="H19" s="77"/>
      <c r="I19" s="76">
        <f t="shared" si="4"/>
        <v>1.28</v>
      </c>
      <c r="J19" s="77"/>
      <c r="M19" s="23">
        <f t="shared" si="5"/>
        <v>43487</v>
      </c>
      <c r="N19" s="23">
        <f>SUMIF(CPU!M:M,B17,CPU!O:O)</f>
        <v>500</v>
      </c>
      <c r="O19" s="23">
        <f t="shared" si="6"/>
        <v>500</v>
      </c>
      <c r="Q19" s="23">
        <f ca="1">SUMIF(CPU!M:M,B17,CPU!R:R)</f>
        <v>159</v>
      </c>
      <c r="R19" s="23">
        <f t="shared" ca="1" si="7"/>
        <v>159</v>
      </c>
    </row>
    <row r="20" spans="1:18" ht="45" customHeight="1" x14ac:dyDescent="0.3">
      <c r="A20" s="23" t="s">
        <v>1005</v>
      </c>
      <c r="B20" s="23">
        <v>43463</v>
      </c>
      <c r="C20" s="23" t="str">
        <f>VLOOKUP(B20,IF(A20="COMPOSICAO",S!$A:$E,I!$A:$E),2,FALSE)</f>
        <v>SINAPI</v>
      </c>
      <c r="D20" s="24" t="str">
        <f>VLOOKUP(B20,IF(A20="COMPOSICAO",S!$A:$E,I!$A:$E),3,FALSE)</f>
        <v>FERRAMENTAS - FAMILIA ENCARREGADO GERAL - HORISTA (ENCARGOS COMPLEMENTARES - COLETADO CAIXA)</v>
      </c>
      <c r="E20" s="23" t="str">
        <f>VLOOKUP(B20,IF(A20="COMPOSICAO",S!$A:$E,I!$A:$E),4,FALSE)</f>
        <v>H</v>
      </c>
      <c r="F20" s="23">
        <v>1</v>
      </c>
      <c r="G20" s="76">
        <f>IF(A20="COMPOSICAO",VLOOKUP("TOTAL SEM BDI - "&amp;B20,CPUAUX2!$A:$J,9,FALSE),VLOOKUP(B20,I!$A:$E,5,FALSE))</f>
        <v>0.08</v>
      </c>
      <c r="H20" s="77"/>
      <c r="I20" s="76">
        <f t="shared" si="4"/>
        <v>0.08</v>
      </c>
      <c r="J20" s="77"/>
      <c r="M20" s="23">
        <f t="shared" si="5"/>
        <v>43463</v>
      </c>
      <c r="N20" s="23">
        <f>SUMIF(CPU!M:M,B17,CPU!O:O)</f>
        <v>500</v>
      </c>
      <c r="O20" s="23">
        <f t="shared" si="6"/>
        <v>500</v>
      </c>
      <c r="Q20" s="23">
        <f ca="1">SUMIF(CPU!M:M,B17,CPU!R:R)</f>
        <v>159</v>
      </c>
      <c r="R20" s="23">
        <f t="shared" ca="1" si="7"/>
        <v>159</v>
      </c>
    </row>
    <row r="21" spans="1:18" ht="30" customHeight="1" x14ac:dyDescent="0.3">
      <c r="A21" s="23" t="s">
        <v>1005</v>
      </c>
      <c r="B21" s="23">
        <v>37373</v>
      </c>
      <c r="C21" s="23" t="str">
        <f>VLOOKUP(B21,IF(A21="COMPOSICAO",S!$A:$E,I!$A:$E),2,FALSE)</f>
        <v>SINAPI</v>
      </c>
      <c r="D21" s="24" t="str">
        <f>VLOOKUP(B21,IF(A21="COMPOSICAO",S!$A:$E,I!$A:$E),3,FALSE)</f>
        <v>SEGURO - HORISTA (COLETADO CAIXA - ENCARGOS COMPLEMENTARES)</v>
      </c>
      <c r="E21" s="23" t="str">
        <f>VLOOKUP(B21,IF(A21="COMPOSICAO",S!$A:$E,I!$A:$E),4,FALSE)</f>
        <v>H</v>
      </c>
      <c r="F21" s="23">
        <v>1</v>
      </c>
      <c r="G21" s="76">
        <f>IF(A21="COMPOSICAO",VLOOKUP("TOTAL SEM BDI - "&amp;B21,CPUAUX2!$A:$J,9,FALSE),VLOOKUP(B21,I!$A:$E,5,FALSE))</f>
        <v>0.08</v>
      </c>
      <c r="H21" s="77"/>
      <c r="I21" s="76">
        <f t="shared" si="4"/>
        <v>0.08</v>
      </c>
      <c r="J21" s="77"/>
      <c r="M21" s="23">
        <f t="shared" si="5"/>
        <v>37373</v>
      </c>
      <c r="N21" s="23">
        <f>SUMIF(CPU!M:M,B17,CPU!O:O)</f>
        <v>500</v>
      </c>
      <c r="O21" s="23">
        <f t="shared" si="6"/>
        <v>500</v>
      </c>
      <c r="Q21" s="23">
        <f ca="1">SUMIF(CPU!M:M,B17,CPU!R:R)</f>
        <v>159</v>
      </c>
      <c r="R21" s="23">
        <f t="shared" ca="1" si="7"/>
        <v>159</v>
      </c>
    </row>
    <row r="22" spans="1:18" ht="30" customHeight="1" x14ac:dyDescent="0.3">
      <c r="A22" s="23" t="s">
        <v>1005</v>
      </c>
      <c r="B22" s="23">
        <v>37372</v>
      </c>
      <c r="C22" s="23" t="str">
        <f>VLOOKUP(B22,IF(A22="COMPOSICAO",S!$A:$E,I!$A:$E),2,FALSE)</f>
        <v>SINAPI</v>
      </c>
      <c r="D22" s="24" t="str">
        <f>VLOOKUP(B22,IF(A22="COMPOSICAO",S!$A:$E,I!$A:$E),3,FALSE)</f>
        <v>EXAMES - HORISTA (COLETADO CAIXA - ENCARGOS COMPLEMENTARES)</v>
      </c>
      <c r="E22" s="23" t="str">
        <f>VLOOKUP(B22,IF(A22="COMPOSICAO",S!$A:$E,I!$A:$E),4,FALSE)</f>
        <v>H</v>
      </c>
      <c r="F22" s="23">
        <v>1</v>
      </c>
      <c r="G22" s="76">
        <f>IF(A22="COMPOSICAO",VLOOKUP("TOTAL SEM BDI - "&amp;B22,CPUAUX2!$A:$J,9,FALSE),VLOOKUP(B22,I!$A:$E,5,FALSE))</f>
        <v>1.43</v>
      </c>
      <c r="H22" s="77"/>
      <c r="I22" s="76">
        <f t="shared" si="4"/>
        <v>1.43</v>
      </c>
      <c r="J22" s="77"/>
      <c r="M22" s="23">
        <f t="shared" si="5"/>
        <v>37372</v>
      </c>
      <c r="N22" s="23">
        <f>SUMIF(CPU!M:M,B17,CPU!O:O)</f>
        <v>500</v>
      </c>
      <c r="O22" s="23">
        <f t="shared" si="6"/>
        <v>500</v>
      </c>
      <c r="Q22" s="23">
        <f ca="1">SUMIF(CPU!M:M,B17,CPU!R:R)</f>
        <v>159</v>
      </c>
      <c r="R22" s="23">
        <f t="shared" ca="1" si="7"/>
        <v>159</v>
      </c>
    </row>
    <row r="23" spans="1:18" x14ac:dyDescent="0.3">
      <c r="A23" s="23" t="s">
        <v>1005</v>
      </c>
      <c r="B23" s="23">
        <v>4083</v>
      </c>
      <c r="C23" s="23" t="str">
        <f>VLOOKUP(B23,IF(A23="COMPOSICAO",S!$A:$E,I!$A:$E),2,FALSE)</f>
        <v>SINAPI</v>
      </c>
      <c r="D23" s="24" t="str">
        <f>VLOOKUP(B23,IF(A23="COMPOSICAO",S!$A:$E,I!$A:$E),3,FALSE)</f>
        <v>ENCARREGADO GERAL DE OBRAS (HORISTA)</v>
      </c>
      <c r="E23" s="23" t="str">
        <f>VLOOKUP(B23,IF(A23="COMPOSICAO",S!$A:$E,I!$A:$E),4,FALSE)</f>
        <v>H</v>
      </c>
      <c r="F23" s="23">
        <v>1</v>
      </c>
      <c r="G23" s="76">
        <f>IF(A23="COMPOSICAO",VLOOKUP("TOTAL SEM BDI - "&amp;B23,CPUAUX2!$A:$J,9,FALSE),VLOOKUP(B23,I!$A:$E,5,FALSE))</f>
        <v>31.85</v>
      </c>
      <c r="H23" s="77"/>
      <c r="I23" s="76">
        <f t="shared" si="4"/>
        <v>31.85</v>
      </c>
      <c r="J23" s="77"/>
      <c r="M23" s="23">
        <f t="shared" si="5"/>
        <v>4083</v>
      </c>
      <c r="N23" s="23">
        <f>SUMIF(CPU!M:M,B17,CPU!O:O)</f>
        <v>500</v>
      </c>
      <c r="O23" s="23">
        <f t="shared" si="6"/>
        <v>500</v>
      </c>
      <c r="Q23" s="23">
        <f ca="1">SUMIF(CPU!M:M,B17,CPU!R:R)</f>
        <v>159</v>
      </c>
      <c r="R23" s="23">
        <f t="shared" ca="1" si="7"/>
        <v>159</v>
      </c>
    </row>
    <row r="24" spans="1:18" x14ac:dyDescent="0.3">
      <c r="A24" s="73" t="str">
        <f>"TOTAL SEM BDI - "&amp;B17</f>
        <v>TOTAL SEM BDI - 90776</v>
      </c>
      <c r="B24" s="74"/>
      <c r="C24" s="74"/>
      <c r="D24" s="74"/>
      <c r="E24" s="74"/>
      <c r="F24" s="74"/>
      <c r="G24" s="74"/>
      <c r="H24" s="75"/>
      <c r="I24" s="76">
        <f>SUM(I17:I23)</f>
        <v>35.39</v>
      </c>
      <c r="J24" s="77"/>
    </row>
    <row r="26" spans="1:18" x14ac:dyDescent="0.3">
      <c r="A26" s="4" t="s">
        <v>1000</v>
      </c>
      <c r="B26" s="4" t="s">
        <v>170</v>
      </c>
      <c r="C26" s="4" t="s">
        <v>171</v>
      </c>
      <c r="D26" s="4" t="s">
        <v>18</v>
      </c>
      <c r="E26" s="4" t="s">
        <v>172</v>
      </c>
      <c r="F26" s="4" t="s">
        <v>507</v>
      </c>
      <c r="G26" s="45" t="s">
        <v>1001</v>
      </c>
      <c r="H26" s="46"/>
      <c r="I26" s="45" t="s">
        <v>12</v>
      </c>
      <c r="J26" s="46"/>
    </row>
    <row r="27" spans="1:18" ht="30" customHeight="1" x14ac:dyDescent="0.3">
      <c r="A27" s="15" t="s">
        <v>1071</v>
      </c>
      <c r="B27" s="15">
        <v>90772</v>
      </c>
      <c r="C27" s="15" t="str">
        <f>VLOOKUP(B27,S!$A:$G,2,FALSE)</f>
        <v>SINAPI</v>
      </c>
      <c r="D27" s="22" t="str">
        <f>VLOOKUP(B27,S!$A:$G,3,FALSE)</f>
        <v>AUXILIAR DE ESCRITORIO COM ENCARGOS COMPLEMENTARES</v>
      </c>
      <c r="E27" s="15" t="str">
        <f>VLOOKUP(B27,S!$A:$G,4,FALSE)</f>
        <v>H</v>
      </c>
      <c r="F27" s="15"/>
      <c r="G27" s="78">
        <f>I34</f>
        <v>21.54</v>
      </c>
      <c r="H27" s="79"/>
      <c r="I27" s="78"/>
      <c r="J27" s="79"/>
      <c r="K27" s="16">
        <f>VLOOKUP(B27,S!A:G,5,FALSE)</f>
        <v>21.54</v>
      </c>
      <c r="L27" s="15" t="str">
        <f>IF(K27=G27,"OK, CONFORME TABELA",IF(G27&gt;K27,"ACIMA DA TABELA: ","ABAIXO DA TABELA: ")&amp;TRUNC((G27*100)/K27,2)&amp;" %")</f>
        <v>OK, CONFORME TABELA</v>
      </c>
    </row>
    <row r="28" spans="1:18" ht="30" customHeight="1" x14ac:dyDescent="0.3">
      <c r="A28" s="23" t="s">
        <v>1004</v>
      </c>
      <c r="B28" s="23">
        <v>95398</v>
      </c>
      <c r="C28" s="23" t="str">
        <f>VLOOKUP(B28,IF(A28="COMPOSICAO",S!$A:$E,I!$A:$E),2,FALSE)</f>
        <v>SINAPI</v>
      </c>
      <c r="D28" s="24" t="str">
        <f>VLOOKUP(B28,IF(A28="COMPOSICAO",S!$A:$E,I!$A:$E),3,FALSE)</f>
        <v>CURSO DE CAPACITAÇÃO PARA AUXILIAR DE ESCRITÓRIO (ENCARGOS COMPLEMENTARES) - HORISTA</v>
      </c>
      <c r="E28" s="23" t="str">
        <f>VLOOKUP(B28,IF(A28="COMPOSICAO",S!$A:$E,I!$A:$E),4,FALSE)</f>
        <v>H</v>
      </c>
      <c r="F28" s="23">
        <v>1</v>
      </c>
      <c r="G28" s="76">
        <f>IF(A28="COMPOSICAO",VLOOKUP("TOTAL SEM BDI - "&amp;B28,CPUAUX2!$A:$J,9,FALSE),VLOOKUP(B28,I!$A:$E,5,FALSE))</f>
        <v>0.09</v>
      </c>
      <c r="H28" s="77"/>
      <c r="I28" s="76">
        <f t="shared" ref="I28:I33" si="8">TRUNC(F28*G28,2)</f>
        <v>0.09</v>
      </c>
      <c r="J28" s="77"/>
      <c r="M28" s="23">
        <f t="shared" ref="M28:M33" si="9">B28</f>
        <v>95398</v>
      </c>
      <c r="N28" s="23">
        <f>SUMIF(CPU!M:M,B27,CPU!O:O)</f>
        <v>500</v>
      </c>
      <c r="O28" s="23">
        <f t="shared" ref="O28:O33" si="10">F28*N28</f>
        <v>500</v>
      </c>
      <c r="Q28" s="23">
        <f ca="1">SUMIF(CPU!M:M,B27,CPU!R:R)</f>
        <v>159</v>
      </c>
      <c r="R28" s="23">
        <f t="shared" ref="R28:R33" ca="1" si="11">F28*Q28</f>
        <v>159</v>
      </c>
    </row>
    <row r="29" spans="1:18" ht="30" customHeight="1" x14ac:dyDescent="0.3">
      <c r="A29" s="23" t="s">
        <v>1005</v>
      </c>
      <c r="B29" s="23">
        <v>43482</v>
      </c>
      <c r="C29" s="23" t="str">
        <f>VLOOKUP(B29,IF(A29="COMPOSICAO",S!$A:$E,I!$A:$E),2,FALSE)</f>
        <v>SINAPI</v>
      </c>
      <c r="D29" s="24" t="str">
        <f>VLOOKUP(B29,IF(A29="COMPOSICAO",S!$A:$E,I!$A:$E),3,FALSE)</f>
        <v>EPI - FAMILIA ALMOXARIFE - HORISTA (ENCARGOS COMPLEMENTARES - COLETADO CAIXA)</v>
      </c>
      <c r="E29" s="23" t="str">
        <f>VLOOKUP(B29,IF(A29="COMPOSICAO",S!$A:$E,I!$A:$E),4,FALSE)</f>
        <v>H</v>
      </c>
      <c r="F29" s="23">
        <v>1</v>
      </c>
      <c r="G29" s="76">
        <f>IF(A29="COMPOSICAO",VLOOKUP("TOTAL SEM BDI - "&amp;B29,CPUAUX2!$A:$J,9,FALSE),VLOOKUP(B29,I!$A:$E,5,FALSE))</f>
        <v>0.81</v>
      </c>
      <c r="H29" s="77"/>
      <c r="I29" s="76">
        <f t="shared" si="8"/>
        <v>0.81</v>
      </c>
      <c r="J29" s="77"/>
      <c r="M29" s="23">
        <f t="shared" si="9"/>
        <v>43482</v>
      </c>
      <c r="N29" s="23">
        <f>SUMIF(CPU!M:M,B27,CPU!O:O)</f>
        <v>500</v>
      </c>
      <c r="O29" s="23">
        <f t="shared" si="10"/>
        <v>500</v>
      </c>
      <c r="Q29" s="23">
        <f ca="1">SUMIF(CPU!M:M,B27,CPU!R:R)</f>
        <v>159</v>
      </c>
      <c r="R29" s="23">
        <f t="shared" ca="1" si="11"/>
        <v>159</v>
      </c>
    </row>
    <row r="30" spans="1:18" ht="30" customHeight="1" x14ac:dyDescent="0.3">
      <c r="A30" s="23" t="s">
        <v>1005</v>
      </c>
      <c r="B30" s="23">
        <v>43458</v>
      </c>
      <c r="C30" s="23" t="str">
        <f>VLOOKUP(B30,IF(A30="COMPOSICAO",S!$A:$E,I!$A:$E),2,FALSE)</f>
        <v>SINAPI</v>
      </c>
      <c r="D30" s="24" t="str">
        <f>VLOOKUP(B30,IF(A30="COMPOSICAO",S!$A:$E,I!$A:$E),3,FALSE)</f>
        <v>FERRAMENTAS - FAMILIA ALMOXARIFE - HORISTA (ENCARGOS COMPLEMENTARES - COLETADO CAIXA)</v>
      </c>
      <c r="E30" s="23" t="str">
        <f>VLOOKUP(B30,IF(A30="COMPOSICAO",S!$A:$E,I!$A:$E),4,FALSE)</f>
        <v>H</v>
      </c>
      <c r="F30" s="23">
        <v>1</v>
      </c>
      <c r="G30" s="76">
        <f>IF(A30="COMPOSICAO",VLOOKUP("TOTAL SEM BDI - "&amp;B30,CPUAUX2!$A:$J,9,FALSE),VLOOKUP(B30,I!$A:$E,5,FALSE))</f>
        <v>0.06</v>
      </c>
      <c r="H30" s="77"/>
      <c r="I30" s="76">
        <f t="shared" si="8"/>
        <v>0.06</v>
      </c>
      <c r="J30" s="77"/>
      <c r="M30" s="23">
        <f t="shared" si="9"/>
        <v>43458</v>
      </c>
      <c r="N30" s="23">
        <f>SUMIF(CPU!M:M,B27,CPU!O:O)</f>
        <v>500</v>
      </c>
      <c r="O30" s="23">
        <f t="shared" si="10"/>
        <v>500</v>
      </c>
      <c r="Q30" s="23">
        <f ca="1">SUMIF(CPU!M:M,B27,CPU!R:R)</f>
        <v>159</v>
      </c>
      <c r="R30" s="23">
        <f t="shared" ca="1" si="11"/>
        <v>159</v>
      </c>
    </row>
    <row r="31" spans="1:18" ht="30" customHeight="1" x14ac:dyDescent="0.3">
      <c r="A31" s="23" t="s">
        <v>1005</v>
      </c>
      <c r="B31" s="23">
        <v>37373</v>
      </c>
      <c r="C31" s="23" t="str">
        <f>VLOOKUP(B31,IF(A31="COMPOSICAO",S!$A:$E,I!$A:$E),2,FALSE)</f>
        <v>SINAPI</v>
      </c>
      <c r="D31" s="24" t="str">
        <f>VLOOKUP(B31,IF(A31="COMPOSICAO",S!$A:$E,I!$A:$E),3,FALSE)</f>
        <v>SEGURO - HORISTA (COLETADO CAIXA - ENCARGOS COMPLEMENTARES)</v>
      </c>
      <c r="E31" s="23" t="str">
        <f>VLOOKUP(B31,IF(A31="COMPOSICAO",S!$A:$E,I!$A:$E),4,FALSE)</f>
        <v>H</v>
      </c>
      <c r="F31" s="23">
        <v>1</v>
      </c>
      <c r="G31" s="76">
        <f>IF(A31="COMPOSICAO",VLOOKUP("TOTAL SEM BDI - "&amp;B31,CPUAUX2!$A:$J,9,FALSE),VLOOKUP(B31,I!$A:$E,5,FALSE))</f>
        <v>0.08</v>
      </c>
      <c r="H31" s="77"/>
      <c r="I31" s="76">
        <f t="shared" si="8"/>
        <v>0.08</v>
      </c>
      <c r="J31" s="77"/>
      <c r="M31" s="23">
        <f t="shared" si="9"/>
        <v>37373</v>
      </c>
      <c r="N31" s="23">
        <f>SUMIF(CPU!M:M,B27,CPU!O:O)</f>
        <v>500</v>
      </c>
      <c r="O31" s="23">
        <f t="shared" si="10"/>
        <v>500</v>
      </c>
      <c r="Q31" s="23">
        <f ca="1">SUMIF(CPU!M:M,B27,CPU!R:R)</f>
        <v>159</v>
      </c>
      <c r="R31" s="23">
        <f t="shared" ca="1" si="11"/>
        <v>159</v>
      </c>
    </row>
    <row r="32" spans="1:18" ht="30" customHeight="1" x14ac:dyDescent="0.3">
      <c r="A32" s="23" t="s">
        <v>1005</v>
      </c>
      <c r="B32" s="23">
        <v>37372</v>
      </c>
      <c r="C32" s="23" t="str">
        <f>VLOOKUP(B32,IF(A32="COMPOSICAO",S!$A:$E,I!$A:$E),2,FALSE)</f>
        <v>SINAPI</v>
      </c>
      <c r="D32" s="24" t="str">
        <f>VLOOKUP(B32,IF(A32="COMPOSICAO",S!$A:$E,I!$A:$E),3,FALSE)</f>
        <v>EXAMES - HORISTA (COLETADO CAIXA - ENCARGOS COMPLEMENTARES)</v>
      </c>
      <c r="E32" s="23" t="str">
        <f>VLOOKUP(B32,IF(A32="COMPOSICAO",S!$A:$E,I!$A:$E),4,FALSE)</f>
        <v>H</v>
      </c>
      <c r="F32" s="23">
        <v>1</v>
      </c>
      <c r="G32" s="76">
        <f>IF(A32="COMPOSICAO",VLOOKUP("TOTAL SEM BDI - "&amp;B32,CPUAUX2!$A:$J,9,FALSE),VLOOKUP(B32,I!$A:$E,5,FALSE))</f>
        <v>1.43</v>
      </c>
      <c r="H32" s="77"/>
      <c r="I32" s="76">
        <f t="shared" si="8"/>
        <v>1.43</v>
      </c>
      <c r="J32" s="77"/>
      <c r="M32" s="23">
        <f t="shared" si="9"/>
        <v>37372</v>
      </c>
      <c r="N32" s="23">
        <f>SUMIF(CPU!M:M,B27,CPU!O:O)</f>
        <v>500</v>
      </c>
      <c r="O32" s="23">
        <f t="shared" si="10"/>
        <v>500</v>
      </c>
      <c r="Q32" s="23">
        <f ca="1">SUMIF(CPU!M:M,B27,CPU!R:R)</f>
        <v>159</v>
      </c>
      <c r="R32" s="23">
        <f t="shared" ca="1" si="11"/>
        <v>159</v>
      </c>
    </row>
    <row r="33" spans="1:18" x14ac:dyDescent="0.3">
      <c r="A33" s="23" t="s">
        <v>1005</v>
      </c>
      <c r="B33" s="23">
        <v>2350</v>
      </c>
      <c r="C33" s="23" t="str">
        <f>VLOOKUP(B33,IF(A33="COMPOSICAO",S!$A:$E,I!$A:$E),2,FALSE)</f>
        <v>SINAPI</v>
      </c>
      <c r="D33" s="24" t="str">
        <f>VLOOKUP(B33,IF(A33="COMPOSICAO",S!$A:$E,I!$A:$E),3,FALSE)</f>
        <v>AUXILIAR DE ESCRITORIO (HORISTA)</v>
      </c>
      <c r="E33" s="23" t="str">
        <f>VLOOKUP(B33,IF(A33="COMPOSICAO",S!$A:$E,I!$A:$E),4,FALSE)</f>
        <v>H</v>
      </c>
      <c r="F33" s="23">
        <v>1</v>
      </c>
      <c r="G33" s="76">
        <f>IF(A33="COMPOSICAO",VLOOKUP("TOTAL SEM BDI - "&amp;B33,CPUAUX2!$A:$J,9,FALSE),VLOOKUP(B33,I!$A:$E,5,FALSE))</f>
        <v>19.07</v>
      </c>
      <c r="H33" s="77"/>
      <c r="I33" s="76">
        <f t="shared" si="8"/>
        <v>19.07</v>
      </c>
      <c r="J33" s="77"/>
      <c r="M33" s="23">
        <f t="shared" si="9"/>
        <v>2350</v>
      </c>
      <c r="N33" s="23">
        <f>SUMIF(CPU!M:M,B27,CPU!O:O)</f>
        <v>500</v>
      </c>
      <c r="O33" s="23">
        <f t="shared" si="10"/>
        <v>500</v>
      </c>
      <c r="Q33" s="23">
        <f ca="1">SUMIF(CPU!M:M,B27,CPU!R:R)</f>
        <v>159</v>
      </c>
      <c r="R33" s="23">
        <f t="shared" ca="1" si="11"/>
        <v>159</v>
      </c>
    </row>
    <row r="34" spans="1:18" x14ac:dyDescent="0.3">
      <c r="A34" s="73" t="str">
        <f>"TOTAL SEM BDI - "&amp;B27</f>
        <v>TOTAL SEM BDI - 90772</v>
      </c>
      <c r="B34" s="74"/>
      <c r="C34" s="74"/>
      <c r="D34" s="74"/>
      <c r="E34" s="74"/>
      <c r="F34" s="74"/>
      <c r="G34" s="74"/>
      <c r="H34" s="75"/>
      <c r="I34" s="76">
        <f>SUM(I27:I33)</f>
        <v>21.54</v>
      </c>
      <c r="J34" s="77"/>
    </row>
    <row r="36" spans="1:18" x14ac:dyDescent="0.3">
      <c r="A36" s="4" t="s">
        <v>1000</v>
      </c>
      <c r="B36" s="4" t="s">
        <v>170</v>
      </c>
      <c r="C36" s="4" t="s">
        <v>171</v>
      </c>
      <c r="D36" s="4" t="s">
        <v>18</v>
      </c>
      <c r="E36" s="4" t="s">
        <v>172</v>
      </c>
      <c r="F36" s="4" t="s">
        <v>507</v>
      </c>
      <c r="G36" s="45" t="s">
        <v>1001</v>
      </c>
      <c r="H36" s="46"/>
      <c r="I36" s="45" t="s">
        <v>12</v>
      </c>
      <c r="J36" s="46"/>
    </row>
    <row r="37" spans="1:18" x14ac:dyDescent="0.3">
      <c r="A37" s="15" t="s">
        <v>1071</v>
      </c>
      <c r="B37" s="15">
        <v>88316</v>
      </c>
      <c r="C37" s="15" t="str">
        <f>VLOOKUP(B37,S!$A:$G,2,FALSE)</f>
        <v>SINAPI</v>
      </c>
      <c r="D37" s="22" t="str">
        <f>VLOOKUP(B37,S!$A:$G,3,FALSE)</f>
        <v>SERVENTE COM ENCARGOS COMPLEMENTARES</v>
      </c>
      <c r="E37" s="15" t="str">
        <f>VLOOKUP(B37,S!$A:$G,4,FALSE)</f>
        <v>H</v>
      </c>
      <c r="F37" s="15"/>
      <c r="G37" s="78">
        <f>I46</f>
        <v>21.71</v>
      </c>
      <c r="H37" s="79"/>
      <c r="I37" s="78"/>
      <c r="J37" s="79"/>
      <c r="K37" s="16">
        <f>VLOOKUP(B37,S!A:G,5,FALSE)</f>
        <v>21.71</v>
      </c>
      <c r="L37" s="15" t="str">
        <f>IF(K37=G37,"OK, CONFORME TABELA",IF(G37&gt;K37,"ACIMA DA TABELA: ","ABAIXO DA TABELA: ")&amp;TRUNC((G37*100)/K37,2)&amp;" %")</f>
        <v>OK, CONFORME TABELA</v>
      </c>
    </row>
    <row r="38" spans="1:18" ht="30" customHeight="1" x14ac:dyDescent="0.3">
      <c r="A38" s="23" t="s">
        <v>1004</v>
      </c>
      <c r="B38" s="23">
        <v>95378</v>
      </c>
      <c r="C38" s="23" t="str">
        <f>VLOOKUP(B38,IF(A38="COMPOSICAO",S!$A:$E,I!$A:$E),2,FALSE)</f>
        <v>SINAPI</v>
      </c>
      <c r="D38" s="24" t="str">
        <f>VLOOKUP(B38,IF(A38="COMPOSICAO",S!$A:$E,I!$A:$E),3,FALSE)</f>
        <v>CURSO DE CAPACITAÇÃO PARA SERVENTE (ENCARGOS COMPLEMENTARES) - HORISTA</v>
      </c>
      <c r="E38" s="23" t="str">
        <f>VLOOKUP(B38,IF(A38="COMPOSICAO",S!$A:$E,I!$A:$E),4,FALSE)</f>
        <v>H</v>
      </c>
      <c r="F38" s="23">
        <v>1</v>
      </c>
      <c r="G38" s="76">
        <f>IF(A38="COMPOSICAO",VLOOKUP("TOTAL SEM BDI - "&amp;B38,CPUAUX2!$A:$J,9,FALSE),VLOOKUP(B38,I!$A:$E,5,FALSE))</f>
        <v>0.31</v>
      </c>
      <c r="H38" s="77"/>
      <c r="I38" s="76">
        <f t="shared" ref="I38:I45" si="12">TRUNC(F38*G38,2)</f>
        <v>0.31</v>
      </c>
      <c r="J38" s="77"/>
      <c r="M38" s="23">
        <f t="shared" ref="M38:M45" si="13">B38</f>
        <v>95378</v>
      </c>
      <c r="N38" s="23">
        <f>SUMIF(CPU!M:M,B37,CPU!O:O)</f>
        <v>2730.9883429460001</v>
      </c>
      <c r="O38" s="23">
        <f t="shared" ref="O38:O45" si="14">F38*N38</f>
        <v>2730.9883429460001</v>
      </c>
      <c r="Q38" s="23">
        <f ca="1">SUMIF(CPU!M:M,B37,CPU!R:R)</f>
        <v>725.91505969400009</v>
      </c>
      <c r="R38" s="23">
        <f t="shared" ref="R38:R45" ca="1" si="15">F38*Q38</f>
        <v>725.91505969400009</v>
      </c>
    </row>
    <row r="39" spans="1:18" ht="30" customHeight="1" x14ac:dyDescent="0.3">
      <c r="A39" s="23" t="s">
        <v>1005</v>
      </c>
      <c r="B39" s="23">
        <v>43491</v>
      </c>
      <c r="C39" s="23" t="str">
        <f>VLOOKUP(B39,IF(A39="COMPOSICAO",S!$A:$E,I!$A:$E),2,FALSE)</f>
        <v>SINAPI</v>
      </c>
      <c r="D39" s="24" t="str">
        <f>VLOOKUP(B39,IF(A39="COMPOSICAO",S!$A:$E,I!$A:$E),3,FALSE)</f>
        <v>EPI - FAMILIA SERVENTE - HORISTA (ENCARGOS COMPLEMENTARES - COLETADO CAIXA)</v>
      </c>
      <c r="E39" s="23" t="str">
        <f>VLOOKUP(B39,IF(A39="COMPOSICAO",S!$A:$E,I!$A:$E),4,FALSE)</f>
        <v>H</v>
      </c>
      <c r="F39" s="23">
        <v>1</v>
      </c>
      <c r="G39" s="76">
        <f>IF(A39="COMPOSICAO",VLOOKUP("TOTAL SEM BDI - "&amp;B39,CPUAUX2!$A:$J,9,FALSE),VLOOKUP(B39,I!$A:$E,5,FALSE))</f>
        <v>1.39</v>
      </c>
      <c r="H39" s="77"/>
      <c r="I39" s="76">
        <f t="shared" si="12"/>
        <v>1.39</v>
      </c>
      <c r="J39" s="77"/>
      <c r="M39" s="23">
        <f t="shared" si="13"/>
        <v>43491</v>
      </c>
      <c r="N39" s="23">
        <f>SUMIF(CPU!M:M,B37,CPU!O:O)</f>
        <v>2730.9883429460001</v>
      </c>
      <c r="O39" s="23">
        <f t="shared" si="14"/>
        <v>2730.9883429460001</v>
      </c>
      <c r="Q39" s="23">
        <f ca="1">SUMIF(CPU!M:M,B37,CPU!R:R)</f>
        <v>725.91505969400009</v>
      </c>
      <c r="R39" s="23">
        <f t="shared" ca="1" si="15"/>
        <v>725.91505969400009</v>
      </c>
    </row>
    <row r="40" spans="1:18" ht="30" customHeight="1" x14ac:dyDescent="0.3">
      <c r="A40" s="23" t="s">
        <v>1005</v>
      </c>
      <c r="B40" s="23">
        <v>43467</v>
      </c>
      <c r="C40" s="23" t="str">
        <f>VLOOKUP(B40,IF(A40="COMPOSICAO",S!$A:$E,I!$A:$E),2,FALSE)</f>
        <v>SINAPI</v>
      </c>
      <c r="D40" s="24" t="str">
        <f>VLOOKUP(B40,IF(A40="COMPOSICAO",S!$A:$E,I!$A:$E),3,FALSE)</f>
        <v>FERRAMENTAS - FAMILIA SERVENTE - HORISTA (ENCARGOS COMPLEMENTARES - COLETADO CAIXA)</v>
      </c>
      <c r="E40" s="23" t="str">
        <f>VLOOKUP(B40,IF(A40="COMPOSICAO",S!$A:$E,I!$A:$E),4,FALSE)</f>
        <v>H</v>
      </c>
      <c r="F40" s="23">
        <v>1</v>
      </c>
      <c r="G40" s="76">
        <f>IF(A40="COMPOSICAO",VLOOKUP("TOTAL SEM BDI - "&amp;B40,CPUAUX2!$A:$J,9,FALSE),VLOOKUP(B40,I!$A:$E,5,FALSE))</f>
        <v>0.61</v>
      </c>
      <c r="H40" s="77"/>
      <c r="I40" s="76">
        <f t="shared" si="12"/>
        <v>0.61</v>
      </c>
      <c r="J40" s="77"/>
      <c r="M40" s="23">
        <f t="shared" si="13"/>
        <v>43467</v>
      </c>
      <c r="N40" s="23">
        <f>SUMIF(CPU!M:M,B37,CPU!O:O)</f>
        <v>2730.9883429460001</v>
      </c>
      <c r="O40" s="23">
        <f t="shared" si="14"/>
        <v>2730.9883429460001</v>
      </c>
      <c r="Q40" s="23">
        <f ca="1">SUMIF(CPU!M:M,B37,CPU!R:R)</f>
        <v>725.91505969400009</v>
      </c>
      <c r="R40" s="23">
        <f t="shared" ca="1" si="15"/>
        <v>725.91505969400009</v>
      </c>
    </row>
    <row r="41" spans="1:18" ht="30" customHeight="1" x14ac:dyDescent="0.3">
      <c r="A41" s="23" t="s">
        <v>1005</v>
      </c>
      <c r="B41" s="23">
        <v>37373</v>
      </c>
      <c r="C41" s="23" t="str">
        <f>VLOOKUP(B41,IF(A41="COMPOSICAO",S!$A:$E,I!$A:$E),2,FALSE)</f>
        <v>SINAPI</v>
      </c>
      <c r="D41" s="24" t="str">
        <f>VLOOKUP(B41,IF(A41="COMPOSICAO",S!$A:$E,I!$A:$E),3,FALSE)</f>
        <v>SEGURO - HORISTA (COLETADO CAIXA - ENCARGOS COMPLEMENTARES)</v>
      </c>
      <c r="E41" s="23" t="str">
        <f>VLOOKUP(B41,IF(A41="COMPOSICAO",S!$A:$E,I!$A:$E),4,FALSE)</f>
        <v>H</v>
      </c>
      <c r="F41" s="23">
        <v>1</v>
      </c>
      <c r="G41" s="76">
        <f>IF(A41="COMPOSICAO",VLOOKUP("TOTAL SEM BDI - "&amp;B41,CPUAUX2!$A:$J,9,FALSE),VLOOKUP(B41,I!$A:$E,5,FALSE))</f>
        <v>0.08</v>
      </c>
      <c r="H41" s="77"/>
      <c r="I41" s="76">
        <f t="shared" si="12"/>
        <v>0.08</v>
      </c>
      <c r="J41" s="77"/>
      <c r="M41" s="23">
        <f t="shared" si="13"/>
        <v>37373</v>
      </c>
      <c r="N41" s="23">
        <f>SUMIF(CPU!M:M,B37,CPU!O:O)</f>
        <v>2730.9883429460001</v>
      </c>
      <c r="O41" s="23">
        <f t="shared" si="14"/>
        <v>2730.9883429460001</v>
      </c>
      <c r="Q41" s="23">
        <f ca="1">SUMIF(CPU!M:M,B37,CPU!R:R)</f>
        <v>725.91505969400009</v>
      </c>
      <c r="R41" s="23">
        <f t="shared" ca="1" si="15"/>
        <v>725.91505969400009</v>
      </c>
    </row>
    <row r="42" spans="1:18" ht="30" customHeight="1" x14ac:dyDescent="0.3">
      <c r="A42" s="23" t="s">
        <v>1005</v>
      </c>
      <c r="B42" s="23">
        <v>37372</v>
      </c>
      <c r="C42" s="23" t="str">
        <f>VLOOKUP(B42,IF(A42="COMPOSICAO",S!$A:$E,I!$A:$E),2,FALSE)</f>
        <v>SINAPI</v>
      </c>
      <c r="D42" s="24" t="str">
        <f>VLOOKUP(B42,IF(A42="COMPOSICAO",S!$A:$E,I!$A:$E),3,FALSE)</f>
        <v>EXAMES - HORISTA (COLETADO CAIXA - ENCARGOS COMPLEMENTARES)</v>
      </c>
      <c r="E42" s="23" t="str">
        <f>VLOOKUP(B42,IF(A42="COMPOSICAO",S!$A:$E,I!$A:$E),4,FALSE)</f>
        <v>H</v>
      </c>
      <c r="F42" s="23">
        <v>1</v>
      </c>
      <c r="G42" s="76">
        <f>IF(A42="COMPOSICAO",VLOOKUP("TOTAL SEM BDI - "&amp;B42,CPUAUX2!$A:$J,9,FALSE),VLOOKUP(B42,I!$A:$E,5,FALSE))</f>
        <v>1.43</v>
      </c>
      <c r="H42" s="77"/>
      <c r="I42" s="76">
        <f t="shared" si="12"/>
        <v>1.43</v>
      </c>
      <c r="J42" s="77"/>
      <c r="M42" s="23">
        <f t="shared" si="13"/>
        <v>37372</v>
      </c>
      <c r="N42" s="23">
        <f>SUMIF(CPU!M:M,B37,CPU!O:O)</f>
        <v>2730.9883429460001</v>
      </c>
      <c r="O42" s="23">
        <f t="shared" si="14"/>
        <v>2730.9883429460001</v>
      </c>
      <c r="Q42" s="23">
        <f ca="1">SUMIF(CPU!M:M,B37,CPU!R:R)</f>
        <v>725.91505969400009</v>
      </c>
      <c r="R42" s="23">
        <f t="shared" ca="1" si="15"/>
        <v>725.91505969400009</v>
      </c>
    </row>
    <row r="43" spans="1:18" ht="30" customHeight="1" x14ac:dyDescent="0.3">
      <c r="A43" s="23" t="s">
        <v>1005</v>
      </c>
      <c r="B43" s="23">
        <v>37371</v>
      </c>
      <c r="C43" s="23" t="str">
        <f>VLOOKUP(B43,IF(A43="COMPOSICAO",S!$A:$E,I!$A:$E),2,FALSE)</f>
        <v>SINAPI</v>
      </c>
      <c r="D43" s="24" t="str">
        <f>VLOOKUP(B43,IF(A43="COMPOSICAO",S!$A:$E,I!$A:$E),3,FALSE)</f>
        <v>TRANSPORTE - HORISTA (COLETADO CAIXA - ENCARGOS COMPLEMENTARES)</v>
      </c>
      <c r="E43" s="23" t="str">
        <f>VLOOKUP(B43,IF(A43="COMPOSICAO",S!$A:$E,I!$A:$E),4,FALSE)</f>
        <v>H</v>
      </c>
      <c r="F43" s="23">
        <v>1</v>
      </c>
      <c r="G43" s="76">
        <f>IF(A43="COMPOSICAO",VLOOKUP("TOTAL SEM BDI - "&amp;B43,CPUAUX2!$A:$J,9,FALSE),VLOOKUP(B43,I!$A:$E,5,FALSE))</f>
        <v>0.56999999999999995</v>
      </c>
      <c r="H43" s="77"/>
      <c r="I43" s="76">
        <f t="shared" si="12"/>
        <v>0.56999999999999995</v>
      </c>
      <c r="J43" s="77"/>
      <c r="M43" s="23">
        <f t="shared" si="13"/>
        <v>37371</v>
      </c>
      <c r="N43" s="23">
        <f>SUMIF(CPU!M:M,B37,CPU!O:O)</f>
        <v>2730.9883429460001</v>
      </c>
      <c r="O43" s="23">
        <f t="shared" si="14"/>
        <v>2730.9883429460001</v>
      </c>
      <c r="Q43" s="23">
        <f ca="1">SUMIF(CPU!M:M,B37,CPU!R:R)</f>
        <v>725.91505969400009</v>
      </c>
      <c r="R43" s="23">
        <f t="shared" ca="1" si="15"/>
        <v>725.91505969400009</v>
      </c>
    </row>
    <row r="44" spans="1:18" ht="30" customHeight="1" x14ac:dyDescent="0.3">
      <c r="A44" s="23" t="s">
        <v>1005</v>
      </c>
      <c r="B44" s="23">
        <v>37370</v>
      </c>
      <c r="C44" s="23" t="str">
        <f>VLOOKUP(B44,IF(A44="COMPOSICAO",S!$A:$E,I!$A:$E),2,FALSE)</f>
        <v>SINAPI</v>
      </c>
      <c r="D44" s="24" t="str">
        <f>VLOOKUP(B44,IF(A44="COMPOSICAO",S!$A:$E,I!$A:$E),3,FALSE)</f>
        <v>ALIMENTACAO - HORISTA (COLETADO CAIXA - ENCARGOS COMPLEMENTARES)</v>
      </c>
      <c r="E44" s="23" t="str">
        <f>VLOOKUP(B44,IF(A44="COMPOSICAO",S!$A:$E,I!$A:$E),4,FALSE)</f>
        <v>H</v>
      </c>
      <c r="F44" s="23">
        <v>1</v>
      </c>
      <c r="G44" s="76">
        <f>IF(A44="COMPOSICAO",VLOOKUP("TOTAL SEM BDI - "&amp;B44,CPUAUX2!$A:$J,9,FALSE),VLOOKUP(B44,I!$A:$E,5,FALSE))</f>
        <v>2.46</v>
      </c>
      <c r="H44" s="77"/>
      <c r="I44" s="76">
        <f t="shared" si="12"/>
        <v>2.46</v>
      </c>
      <c r="J44" s="77"/>
      <c r="M44" s="23">
        <f t="shared" si="13"/>
        <v>37370</v>
      </c>
      <c r="N44" s="23">
        <f>SUMIF(CPU!M:M,B37,CPU!O:O)</f>
        <v>2730.9883429460001</v>
      </c>
      <c r="O44" s="23">
        <f t="shared" si="14"/>
        <v>2730.9883429460001</v>
      </c>
      <c r="Q44" s="23">
        <f ca="1">SUMIF(CPU!M:M,B37,CPU!R:R)</f>
        <v>725.91505969400009</v>
      </c>
      <c r="R44" s="23">
        <f t="shared" ca="1" si="15"/>
        <v>725.91505969400009</v>
      </c>
    </row>
    <row r="45" spans="1:18" x14ac:dyDescent="0.3">
      <c r="A45" s="23" t="s">
        <v>1005</v>
      </c>
      <c r="B45" s="23">
        <v>6111</v>
      </c>
      <c r="C45" s="23" t="str">
        <f>VLOOKUP(B45,IF(A45="COMPOSICAO",S!$A:$E,I!$A:$E),2,FALSE)</f>
        <v>SINAPI</v>
      </c>
      <c r="D45" s="24" t="str">
        <f>VLOOKUP(B45,IF(A45="COMPOSICAO",S!$A:$E,I!$A:$E),3,FALSE)</f>
        <v>SERVENTE DE OBRAS (HORISTA)</v>
      </c>
      <c r="E45" s="23" t="str">
        <f>VLOOKUP(B45,IF(A45="COMPOSICAO",S!$A:$E,I!$A:$E),4,FALSE)</f>
        <v>H</v>
      </c>
      <c r="F45" s="23">
        <v>1</v>
      </c>
      <c r="G45" s="76">
        <f>IF(A45="COMPOSICAO",VLOOKUP("TOTAL SEM BDI - "&amp;B45,CPUAUX2!$A:$J,9,FALSE),VLOOKUP(B45,I!$A:$E,5,FALSE))</f>
        <v>14.86</v>
      </c>
      <c r="H45" s="77"/>
      <c r="I45" s="76">
        <f t="shared" si="12"/>
        <v>14.86</v>
      </c>
      <c r="J45" s="77"/>
      <c r="M45" s="23">
        <f t="shared" si="13"/>
        <v>6111</v>
      </c>
      <c r="N45" s="23">
        <f>SUMIF(CPU!M:M,B37,CPU!O:O)</f>
        <v>2730.9883429460001</v>
      </c>
      <c r="O45" s="23">
        <f t="shared" si="14"/>
        <v>2730.9883429460001</v>
      </c>
      <c r="Q45" s="23">
        <f ca="1">SUMIF(CPU!M:M,B37,CPU!R:R)</f>
        <v>725.91505969400009</v>
      </c>
      <c r="R45" s="23">
        <f t="shared" ca="1" si="15"/>
        <v>725.91505969400009</v>
      </c>
    </row>
    <row r="46" spans="1:18" x14ac:dyDescent="0.3">
      <c r="A46" s="73" t="str">
        <f>"TOTAL SEM BDI - "&amp;B37</f>
        <v>TOTAL SEM BDI - 88316</v>
      </c>
      <c r="B46" s="74"/>
      <c r="C46" s="74"/>
      <c r="D46" s="74"/>
      <c r="E46" s="74"/>
      <c r="F46" s="74"/>
      <c r="G46" s="74"/>
      <c r="H46" s="75"/>
      <c r="I46" s="76">
        <f>SUM(I37:I45)</f>
        <v>21.71</v>
      </c>
      <c r="J46" s="77"/>
    </row>
    <row r="48" spans="1:18" x14ac:dyDescent="0.3">
      <c r="A48" s="4" t="s">
        <v>1000</v>
      </c>
      <c r="B48" s="4" t="s">
        <v>170</v>
      </c>
      <c r="C48" s="4" t="s">
        <v>171</v>
      </c>
      <c r="D48" s="4" t="s">
        <v>18</v>
      </c>
      <c r="E48" s="4" t="s">
        <v>172</v>
      </c>
      <c r="F48" s="4" t="s">
        <v>507</v>
      </c>
      <c r="G48" s="45" t="s">
        <v>1001</v>
      </c>
      <c r="H48" s="46"/>
      <c r="I48" s="45" t="s">
        <v>12</v>
      </c>
      <c r="J48" s="46"/>
    </row>
    <row r="49" spans="1:18" ht="30" customHeight="1" x14ac:dyDescent="0.3">
      <c r="A49" s="15" t="s">
        <v>1071</v>
      </c>
      <c r="B49" s="15">
        <v>88255</v>
      </c>
      <c r="C49" s="15" t="str">
        <f>VLOOKUP(B49,S!$A:$G,2,FALSE)</f>
        <v>SINAPI</v>
      </c>
      <c r="D49" s="22" t="str">
        <f>VLOOKUP(B49,S!$A:$G,3,FALSE)</f>
        <v>AUXILIAR TÉCNICO DE ENGENHARIA COM ENCARGOS COMPLEMENTARES</v>
      </c>
      <c r="E49" s="15" t="str">
        <f>VLOOKUP(B49,S!$A:$G,4,FALSE)</f>
        <v>H</v>
      </c>
      <c r="F49" s="15"/>
      <c r="G49" s="78">
        <f>I56</f>
        <v>26.54</v>
      </c>
      <c r="H49" s="79"/>
      <c r="I49" s="78"/>
      <c r="J49" s="79"/>
      <c r="K49" s="16">
        <f>VLOOKUP(B49,S!A:G,5,FALSE)</f>
        <v>26.54</v>
      </c>
      <c r="L49" s="15" t="str">
        <f>IF(K49=G49,"OK, CONFORME TABELA",IF(G49&gt;K49,"ACIMA DA TABELA: ","ABAIXO DA TABELA: ")&amp;TRUNC((G49*100)/K49,2)&amp;" %")</f>
        <v>OK, CONFORME TABELA</v>
      </c>
    </row>
    <row r="50" spans="1:18" ht="45" customHeight="1" x14ac:dyDescent="0.3">
      <c r="A50" s="23" t="s">
        <v>1004</v>
      </c>
      <c r="B50" s="23">
        <v>95323</v>
      </c>
      <c r="C50" s="23" t="str">
        <f>VLOOKUP(B50,IF(A50="COMPOSICAO",S!$A:$E,I!$A:$E),2,FALSE)</f>
        <v>SINAPI</v>
      </c>
      <c r="D50" s="24" t="str">
        <f>VLOOKUP(B50,IF(A50="COMPOSICAO",S!$A:$E,I!$A:$E),3,FALSE)</f>
        <v>CURSO DE CAPACITAÇÃO PARA AUXILIAR TÉCNICO DE ENGENHARIA (ENCARGOS COMPLEMENTARES) - HORISTA</v>
      </c>
      <c r="E50" s="23" t="str">
        <f>VLOOKUP(B50,IF(A50="COMPOSICAO",S!$A:$E,I!$A:$E),4,FALSE)</f>
        <v>H</v>
      </c>
      <c r="F50" s="23">
        <v>1</v>
      </c>
      <c r="G50" s="76">
        <f>IF(A50="COMPOSICAO",VLOOKUP("TOTAL SEM BDI - "&amp;B50,CPUAUX2!$A:$J,9,FALSE),VLOOKUP(B50,I!$A:$E,5,FALSE))</f>
        <v>0.19</v>
      </c>
      <c r="H50" s="77"/>
      <c r="I50" s="76">
        <f t="shared" ref="I50:I55" si="16">TRUNC(F50*G50,2)</f>
        <v>0.19</v>
      </c>
      <c r="J50" s="77"/>
      <c r="M50" s="23">
        <f t="shared" ref="M50:M55" si="17">B50</f>
        <v>95323</v>
      </c>
      <c r="N50" s="23">
        <f>SUMIF(CPU!M:M,B49,CPU!O:O)</f>
        <v>120</v>
      </c>
      <c r="O50" s="23">
        <f t="shared" ref="O50:O55" si="18">F50*N50</f>
        <v>120</v>
      </c>
      <c r="Q50" s="23">
        <f ca="1">SUMIF(CPU!M:M,B49,CPU!R:R)</f>
        <v>40</v>
      </c>
      <c r="R50" s="23">
        <f t="shared" ref="R50:R55" ca="1" si="19">F50*Q50</f>
        <v>40</v>
      </c>
    </row>
    <row r="51" spans="1:18" ht="30" customHeight="1" x14ac:dyDescent="0.3">
      <c r="A51" s="23" t="s">
        <v>1005</v>
      </c>
      <c r="B51" s="23">
        <v>43486</v>
      </c>
      <c r="C51" s="23" t="str">
        <f>VLOOKUP(B51,IF(A51="COMPOSICAO",S!$A:$E,I!$A:$E),2,FALSE)</f>
        <v>SINAPI</v>
      </c>
      <c r="D51" s="24" t="str">
        <f>VLOOKUP(B51,IF(A51="COMPOSICAO",S!$A:$E,I!$A:$E),3,FALSE)</f>
        <v>EPI - FAMILIA ENGENHEIRO CIVIL - HORISTA (ENCARGOS COMPLEMENTARES - COLETADO CAIXA)</v>
      </c>
      <c r="E51" s="23" t="str">
        <f>VLOOKUP(B51,IF(A51="COMPOSICAO",S!$A:$E,I!$A:$E),4,FALSE)</f>
        <v>H</v>
      </c>
      <c r="F51" s="23">
        <v>1</v>
      </c>
      <c r="G51" s="76">
        <f>IF(A51="COMPOSICAO",VLOOKUP("TOTAL SEM BDI - "&amp;B51,CPUAUX2!$A:$J,9,FALSE),VLOOKUP(B51,I!$A:$E,5,FALSE))</f>
        <v>0.77</v>
      </c>
      <c r="H51" s="77"/>
      <c r="I51" s="76">
        <f t="shared" si="16"/>
        <v>0.77</v>
      </c>
      <c r="J51" s="77"/>
      <c r="M51" s="23">
        <f t="shared" si="17"/>
        <v>43486</v>
      </c>
      <c r="N51" s="23">
        <f>SUMIF(CPU!M:M,B49,CPU!O:O)</f>
        <v>120</v>
      </c>
      <c r="O51" s="23">
        <f t="shared" si="18"/>
        <v>120</v>
      </c>
      <c r="Q51" s="23">
        <f ca="1">SUMIF(CPU!M:M,B49,CPU!R:R)</f>
        <v>40</v>
      </c>
      <c r="R51" s="23">
        <f t="shared" ca="1" si="19"/>
        <v>40</v>
      </c>
    </row>
    <row r="52" spans="1:18" ht="45" customHeight="1" x14ac:dyDescent="0.3">
      <c r="A52" s="23" t="s">
        <v>1005</v>
      </c>
      <c r="B52" s="23">
        <v>43462</v>
      </c>
      <c r="C52" s="23" t="str">
        <f>VLOOKUP(B52,IF(A52="COMPOSICAO",S!$A:$E,I!$A:$E),2,FALSE)</f>
        <v>SINAPI</v>
      </c>
      <c r="D52" s="24" t="str">
        <f>VLOOKUP(B52,IF(A52="COMPOSICAO",S!$A:$E,I!$A:$E),3,FALSE)</f>
        <v>FERRAMENTAS - FAMILIA ENGENHEIRO CIVIL - HORISTA (ENCARGOS COMPLEMENTARES - COLETADO CAIXA)</v>
      </c>
      <c r="E52" s="23" t="str">
        <f>VLOOKUP(B52,IF(A52="COMPOSICAO",S!$A:$E,I!$A:$E),4,FALSE)</f>
        <v>H</v>
      </c>
      <c r="F52" s="23">
        <v>1</v>
      </c>
      <c r="G52" s="76">
        <f>IF(A52="COMPOSICAO",VLOOKUP("TOTAL SEM BDI - "&amp;B52,CPUAUX2!$A:$J,9,FALSE),VLOOKUP(B52,I!$A:$E,5,FALSE))</f>
        <v>0.01</v>
      </c>
      <c r="H52" s="77"/>
      <c r="I52" s="76">
        <f t="shared" si="16"/>
        <v>0.01</v>
      </c>
      <c r="J52" s="77"/>
      <c r="M52" s="23">
        <f t="shared" si="17"/>
        <v>43462</v>
      </c>
      <c r="N52" s="23">
        <f>SUMIF(CPU!M:M,B49,CPU!O:O)</f>
        <v>120</v>
      </c>
      <c r="O52" s="23">
        <f t="shared" si="18"/>
        <v>120</v>
      </c>
      <c r="Q52" s="23">
        <f ca="1">SUMIF(CPU!M:M,B49,CPU!R:R)</f>
        <v>40</v>
      </c>
      <c r="R52" s="23">
        <f t="shared" ca="1" si="19"/>
        <v>40</v>
      </c>
    </row>
    <row r="53" spans="1:18" ht="30" customHeight="1" x14ac:dyDescent="0.3">
      <c r="A53" s="23" t="s">
        <v>1005</v>
      </c>
      <c r="B53" s="23">
        <v>37373</v>
      </c>
      <c r="C53" s="23" t="str">
        <f>VLOOKUP(B53,IF(A53="COMPOSICAO",S!$A:$E,I!$A:$E),2,FALSE)</f>
        <v>SINAPI</v>
      </c>
      <c r="D53" s="24" t="str">
        <f>VLOOKUP(B53,IF(A53="COMPOSICAO",S!$A:$E,I!$A:$E),3,FALSE)</f>
        <v>SEGURO - HORISTA (COLETADO CAIXA - ENCARGOS COMPLEMENTARES)</v>
      </c>
      <c r="E53" s="23" t="str">
        <f>VLOOKUP(B53,IF(A53="COMPOSICAO",S!$A:$E,I!$A:$E),4,FALSE)</f>
        <v>H</v>
      </c>
      <c r="F53" s="23">
        <v>1</v>
      </c>
      <c r="G53" s="76">
        <f>IF(A53="COMPOSICAO",VLOOKUP("TOTAL SEM BDI - "&amp;B53,CPUAUX2!$A:$J,9,FALSE),VLOOKUP(B53,I!$A:$E,5,FALSE))</f>
        <v>0.08</v>
      </c>
      <c r="H53" s="77"/>
      <c r="I53" s="76">
        <f t="shared" si="16"/>
        <v>0.08</v>
      </c>
      <c r="J53" s="77"/>
      <c r="M53" s="23">
        <f t="shared" si="17"/>
        <v>37373</v>
      </c>
      <c r="N53" s="23">
        <f>SUMIF(CPU!M:M,B49,CPU!O:O)</f>
        <v>120</v>
      </c>
      <c r="O53" s="23">
        <f t="shared" si="18"/>
        <v>120</v>
      </c>
      <c r="Q53" s="23">
        <f ca="1">SUMIF(CPU!M:M,B49,CPU!R:R)</f>
        <v>40</v>
      </c>
      <c r="R53" s="23">
        <f t="shared" ca="1" si="19"/>
        <v>40</v>
      </c>
    </row>
    <row r="54" spans="1:18" ht="30" customHeight="1" x14ac:dyDescent="0.3">
      <c r="A54" s="23" t="s">
        <v>1005</v>
      </c>
      <c r="B54" s="23">
        <v>37372</v>
      </c>
      <c r="C54" s="23" t="str">
        <f>VLOOKUP(B54,IF(A54="COMPOSICAO",S!$A:$E,I!$A:$E),2,FALSE)</f>
        <v>SINAPI</v>
      </c>
      <c r="D54" s="24" t="str">
        <f>VLOOKUP(B54,IF(A54="COMPOSICAO",S!$A:$E,I!$A:$E),3,FALSE)</f>
        <v>EXAMES - HORISTA (COLETADO CAIXA - ENCARGOS COMPLEMENTARES)</v>
      </c>
      <c r="E54" s="23" t="str">
        <f>VLOOKUP(B54,IF(A54="COMPOSICAO",S!$A:$E,I!$A:$E),4,FALSE)</f>
        <v>H</v>
      </c>
      <c r="F54" s="23">
        <v>1</v>
      </c>
      <c r="G54" s="76">
        <f>IF(A54="COMPOSICAO",VLOOKUP("TOTAL SEM BDI - "&amp;B54,CPUAUX2!$A:$J,9,FALSE),VLOOKUP(B54,I!$A:$E,5,FALSE))</f>
        <v>1.43</v>
      </c>
      <c r="H54" s="77"/>
      <c r="I54" s="76">
        <f t="shared" si="16"/>
        <v>1.43</v>
      </c>
      <c r="J54" s="77"/>
      <c r="M54" s="23">
        <f t="shared" si="17"/>
        <v>37372</v>
      </c>
      <c r="N54" s="23">
        <f>SUMIF(CPU!M:M,B49,CPU!O:O)</f>
        <v>120</v>
      </c>
      <c r="O54" s="23">
        <f t="shared" si="18"/>
        <v>120</v>
      </c>
      <c r="Q54" s="23">
        <f ca="1">SUMIF(CPU!M:M,B49,CPU!R:R)</f>
        <v>40</v>
      </c>
      <c r="R54" s="23">
        <f t="shared" ca="1" si="19"/>
        <v>40</v>
      </c>
    </row>
    <row r="55" spans="1:18" ht="30" customHeight="1" x14ac:dyDescent="0.3">
      <c r="A55" s="23" t="s">
        <v>1005</v>
      </c>
      <c r="B55" s="23">
        <v>532</v>
      </c>
      <c r="C55" s="23" t="str">
        <f>VLOOKUP(B55,IF(A55="COMPOSICAO",S!$A:$E,I!$A:$E),2,FALSE)</f>
        <v>SINAPI</v>
      </c>
      <c r="D55" s="24" t="str">
        <f>VLOOKUP(B55,IF(A55="COMPOSICAO",S!$A:$E,I!$A:$E),3,FALSE)</f>
        <v>AUXILIAR TECNICO / ASSISTENTE DE ENGENHARIA (HORISTA)</v>
      </c>
      <c r="E55" s="23" t="str">
        <f>VLOOKUP(B55,IF(A55="COMPOSICAO",S!$A:$E,I!$A:$E),4,FALSE)</f>
        <v>H</v>
      </c>
      <c r="F55" s="23">
        <v>1</v>
      </c>
      <c r="G55" s="76">
        <f>IF(A55="COMPOSICAO",VLOOKUP("TOTAL SEM BDI - "&amp;B55,CPUAUX2!$A:$J,9,FALSE),VLOOKUP(B55,I!$A:$E,5,FALSE))</f>
        <v>24.06</v>
      </c>
      <c r="H55" s="77"/>
      <c r="I55" s="76">
        <f t="shared" si="16"/>
        <v>24.06</v>
      </c>
      <c r="J55" s="77"/>
      <c r="M55" s="23">
        <f t="shared" si="17"/>
        <v>532</v>
      </c>
      <c r="N55" s="23">
        <f>SUMIF(CPU!M:M,B49,CPU!O:O)</f>
        <v>120</v>
      </c>
      <c r="O55" s="23">
        <f t="shared" si="18"/>
        <v>120</v>
      </c>
      <c r="Q55" s="23">
        <f ca="1">SUMIF(CPU!M:M,B49,CPU!R:R)</f>
        <v>40</v>
      </c>
      <c r="R55" s="23">
        <f t="shared" ca="1" si="19"/>
        <v>40</v>
      </c>
    </row>
    <row r="56" spans="1:18" x14ac:dyDescent="0.3">
      <c r="A56" s="73" t="str">
        <f>"TOTAL SEM BDI - "&amp;B49</f>
        <v>TOTAL SEM BDI - 88255</v>
      </c>
      <c r="B56" s="74"/>
      <c r="C56" s="74"/>
      <c r="D56" s="74"/>
      <c r="E56" s="74"/>
      <c r="F56" s="74"/>
      <c r="G56" s="74"/>
      <c r="H56" s="75"/>
      <c r="I56" s="76">
        <f>SUM(I49:I55)</f>
        <v>26.54</v>
      </c>
      <c r="J56" s="77"/>
    </row>
    <row r="58" spans="1:18" x14ac:dyDescent="0.3">
      <c r="A58" s="4" t="s">
        <v>1000</v>
      </c>
      <c r="B58" s="4" t="s">
        <v>170</v>
      </c>
      <c r="C58" s="4" t="s">
        <v>171</v>
      </c>
      <c r="D58" s="4" t="s">
        <v>18</v>
      </c>
      <c r="E58" s="4" t="s">
        <v>172</v>
      </c>
      <c r="F58" s="4" t="s">
        <v>507</v>
      </c>
      <c r="G58" s="45" t="s">
        <v>1001</v>
      </c>
      <c r="H58" s="46"/>
      <c r="I58" s="45" t="s">
        <v>12</v>
      </c>
      <c r="J58" s="46"/>
    </row>
    <row r="59" spans="1:18" ht="30" customHeight="1" x14ac:dyDescent="0.3">
      <c r="A59" s="15" t="s">
        <v>1071</v>
      </c>
      <c r="B59" s="15">
        <v>90779</v>
      </c>
      <c r="C59" s="15" t="str">
        <f>VLOOKUP(B59,S!$A:$G,2,FALSE)</f>
        <v>SINAPI</v>
      </c>
      <c r="D59" s="22" t="str">
        <f>VLOOKUP(B59,S!$A:$G,3,FALSE)</f>
        <v>ENGENHEIRO CIVIL DE OBRA SENIOR COM ENCARGOS COMPLEMENTARES</v>
      </c>
      <c r="E59" s="15" t="str">
        <f>VLOOKUP(B59,S!$A:$G,4,FALSE)</f>
        <v>H</v>
      </c>
      <c r="F59" s="15"/>
      <c r="G59" s="78">
        <f>I66</f>
        <v>152.06</v>
      </c>
      <c r="H59" s="79"/>
      <c r="I59" s="78"/>
      <c r="J59" s="79"/>
      <c r="K59" s="16">
        <f>VLOOKUP(B59,S!A:G,5,FALSE)</f>
        <v>152.06</v>
      </c>
      <c r="L59" s="15" t="str">
        <f>IF(K59=G59,"OK, CONFORME TABELA",IF(G59&gt;K59,"ACIMA DA TABELA: ","ABAIXO DA TABELA: ")&amp;TRUNC((G59*100)/K59,2)&amp;" %")</f>
        <v>OK, CONFORME TABELA</v>
      </c>
    </row>
    <row r="60" spans="1:18" ht="45" customHeight="1" x14ac:dyDescent="0.3">
      <c r="A60" s="23" t="s">
        <v>1004</v>
      </c>
      <c r="B60" s="23">
        <v>95404</v>
      </c>
      <c r="C60" s="23" t="str">
        <f>VLOOKUP(B60,IF(A60="COMPOSICAO",S!$A:$E,I!$A:$E),2,FALSE)</f>
        <v>SINAPI</v>
      </c>
      <c r="D60" s="24" t="str">
        <f>VLOOKUP(B60,IF(A60="COMPOSICAO",S!$A:$E,I!$A:$E),3,FALSE)</f>
        <v>CURSO DE CAPACITAÇÃO PARA ENGENHEIRO CIVIL DE OBRA SÊNIOR (ENCARGOS COMPLEMENTARES) - HORISTA</v>
      </c>
      <c r="E60" s="23" t="str">
        <f>VLOOKUP(B60,IF(A60="COMPOSICAO",S!$A:$E,I!$A:$E),4,FALSE)</f>
        <v>H</v>
      </c>
      <c r="F60" s="23">
        <v>1</v>
      </c>
      <c r="G60" s="76">
        <f>IF(A60="COMPOSICAO",VLOOKUP("TOTAL SEM BDI - "&amp;B60,CPUAUX2!$A:$J,9,FALSE),VLOOKUP(B60,I!$A:$E,5,FALSE))</f>
        <v>2.17</v>
      </c>
      <c r="H60" s="77"/>
      <c r="I60" s="76">
        <f t="shared" ref="I60:I65" si="20">TRUNC(F60*G60,2)</f>
        <v>2.17</v>
      </c>
      <c r="J60" s="77"/>
      <c r="M60" s="23">
        <f t="shared" ref="M60:M65" si="21">B60</f>
        <v>95404</v>
      </c>
      <c r="N60" s="23">
        <f>SUMIF(CPU!M:M,B59,CPU!O:O)</f>
        <v>48</v>
      </c>
      <c r="O60" s="23">
        <f t="shared" ref="O60:O65" si="22">F60*N60</f>
        <v>48</v>
      </c>
      <c r="Q60" s="23">
        <f ca="1">SUMIF(CPU!M:M,B59,CPU!R:R)</f>
        <v>16</v>
      </c>
      <c r="R60" s="23">
        <f t="shared" ref="R60:R65" ca="1" si="23">F60*Q60</f>
        <v>16</v>
      </c>
    </row>
    <row r="61" spans="1:18" ht="30" customHeight="1" x14ac:dyDescent="0.3">
      <c r="A61" s="23" t="s">
        <v>1005</v>
      </c>
      <c r="B61" s="23">
        <v>43486</v>
      </c>
      <c r="C61" s="23" t="str">
        <f>VLOOKUP(B61,IF(A61="COMPOSICAO",S!$A:$E,I!$A:$E),2,FALSE)</f>
        <v>SINAPI</v>
      </c>
      <c r="D61" s="24" t="str">
        <f>VLOOKUP(B61,IF(A61="COMPOSICAO",S!$A:$E,I!$A:$E),3,FALSE)</f>
        <v>EPI - FAMILIA ENGENHEIRO CIVIL - HORISTA (ENCARGOS COMPLEMENTARES - COLETADO CAIXA)</v>
      </c>
      <c r="E61" s="23" t="str">
        <f>VLOOKUP(B61,IF(A61="COMPOSICAO",S!$A:$E,I!$A:$E),4,FALSE)</f>
        <v>H</v>
      </c>
      <c r="F61" s="23">
        <v>1</v>
      </c>
      <c r="G61" s="76">
        <f>IF(A61="COMPOSICAO",VLOOKUP("TOTAL SEM BDI - "&amp;B61,CPUAUX2!$A:$J,9,FALSE),VLOOKUP(B61,I!$A:$E,5,FALSE))</f>
        <v>0.77</v>
      </c>
      <c r="H61" s="77"/>
      <c r="I61" s="76">
        <f t="shared" si="20"/>
        <v>0.77</v>
      </c>
      <c r="J61" s="77"/>
      <c r="M61" s="23">
        <f t="shared" si="21"/>
        <v>43486</v>
      </c>
      <c r="N61" s="23">
        <f>SUMIF(CPU!M:M,B59,CPU!O:O)</f>
        <v>48</v>
      </c>
      <c r="O61" s="23">
        <f t="shared" si="22"/>
        <v>48</v>
      </c>
      <c r="Q61" s="23">
        <f ca="1">SUMIF(CPU!M:M,B59,CPU!R:R)</f>
        <v>16</v>
      </c>
      <c r="R61" s="23">
        <f t="shared" ca="1" si="23"/>
        <v>16</v>
      </c>
    </row>
    <row r="62" spans="1:18" ht="45" customHeight="1" x14ac:dyDescent="0.3">
      <c r="A62" s="23" t="s">
        <v>1005</v>
      </c>
      <c r="B62" s="23">
        <v>43462</v>
      </c>
      <c r="C62" s="23" t="str">
        <f>VLOOKUP(B62,IF(A62="COMPOSICAO",S!$A:$E,I!$A:$E),2,FALSE)</f>
        <v>SINAPI</v>
      </c>
      <c r="D62" s="24" t="str">
        <f>VLOOKUP(B62,IF(A62="COMPOSICAO",S!$A:$E,I!$A:$E),3,FALSE)</f>
        <v>FERRAMENTAS - FAMILIA ENGENHEIRO CIVIL - HORISTA (ENCARGOS COMPLEMENTARES - COLETADO CAIXA)</v>
      </c>
      <c r="E62" s="23" t="str">
        <f>VLOOKUP(B62,IF(A62="COMPOSICAO",S!$A:$E,I!$A:$E),4,FALSE)</f>
        <v>H</v>
      </c>
      <c r="F62" s="23">
        <v>1</v>
      </c>
      <c r="G62" s="76">
        <f>IF(A62="COMPOSICAO",VLOOKUP("TOTAL SEM BDI - "&amp;B62,CPUAUX2!$A:$J,9,FALSE),VLOOKUP(B62,I!$A:$E,5,FALSE))</f>
        <v>0.01</v>
      </c>
      <c r="H62" s="77"/>
      <c r="I62" s="76">
        <f t="shared" si="20"/>
        <v>0.01</v>
      </c>
      <c r="J62" s="77"/>
      <c r="M62" s="23">
        <f t="shared" si="21"/>
        <v>43462</v>
      </c>
      <c r="N62" s="23">
        <f>SUMIF(CPU!M:M,B59,CPU!O:O)</f>
        <v>48</v>
      </c>
      <c r="O62" s="23">
        <f t="shared" si="22"/>
        <v>48</v>
      </c>
      <c r="Q62" s="23">
        <f ca="1">SUMIF(CPU!M:M,B59,CPU!R:R)</f>
        <v>16</v>
      </c>
      <c r="R62" s="23">
        <f t="shared" ca="1" si="23"/>
        <v>16</v>
      </c>
    </row>
    <row r="63" spans="1:18" ht="30" customHeight="1" x14ac:dyDescent="0.3">
      <c r="A63" s="23" t="s">
        <v>1005</v>
      </c>
      <c r="B63" s="23">
        <v>37373</v>
      </c>
      <c r="C63" s="23" t="str">
        <f>VLOOKUP(B63,IF(A63="COMPOSICAO",S!$A:$E,I!$A:$E),2,FALSE)</f>
        <v>SINAPI</v>
      </c>
      <c r="D63" s="24" t="str">
        <f>VLOOKUP(B63,IF(A63="COMPOSICAO",S!$A:$E,I!$A:$E),3,FALSE)</f>
        <v>SEGURO - HORISTA (COLETADO CAIXA - ENCARGOS COMPLEMENTARES)</v>
      </c>
      <c r="E63" s="23" t="str">
        <f>VLOOKUP(B63,IF(A63="COMPOSICAO",S!$A:$E,I!$A:$E),4,FALSE)</f>
        <v>H</v>
      </c>
      <c r="F63" s="23">
        <v>1</v>
      </c>
      <c r="G63" s="76">
        <f>IF(A63="COMPOSICAO",VLOOKUP("TOTAL SEM BDI - "&amp;B63,CPUAUX2!$A:$J,9,FALSE),VLOOKUP(B63,I!$A:$E,5,FALSE))</f>
        <v>0.08</v>
      </c>
      <c r="H63" s="77"/>
      <c r="I63" s="76">
        <f t="shared" si="20"/>
        <v>0.08</v>
      </c>
      <c r="J63" s="77"/>
      <c r="M63" s="23">
        <f t="shared" si="21"/>
        <v>37373</v>
      </c>
      <c r="N63" s="23">
        <f>SUMIF(CPU!M:M,B59,CPU!O:O)</f>
        <v>48</v>
      </c>
      <c r="O63" s="23">
        <f t="shared" si="22"/>
        <v>48</v>
      </c>
      <c r="Q63" s="23">
        <f ca="1">SUMIF(CPU!M:M,B59,CPU!R:R)</f>
        <v>16</v>
      </c>
      <c r="R63" s="23">
        <f t="shared" ca="1" si="23"/>
        <v>16</v>
      </c>
    </row>
    <row r="64" spans="1:18" ht="30" customHeight="1" x14ac:dyDescent="0.3">
      <c r="A64" s="23" t="s">
        <v>1005</v>
      </c>
      <c r="B64" s="23">
        <v>37372</v>
      </c>
      <c r="C64" s="23" t="str">
        <f>VLOOKUP(B64,IF(A64="COMPOSICAO",S!$A:$E,I!$A:$E),2,FALSE)</f>
        <v>SINAPI</v>
      </c>
      <c r="D64" s="24" t="str">
        <f>VLOOKUP(B64,IF(A64="COMPOSICAO",S!$A:$E,I!$A:$E),3,FALSE)</f>
        <v>EXAMES - HORISTA (COLETADO CAIXA - ENCARGOS COMPLEMENTARES)</v>
      </c>
      <c r="E64" s="23" t="str">
        <f>VLOOKUP(B64,IF(A64="COMPOSICAO",S!$A:$E,I!$A:$E),4,FALSE)</f>
        <v>H</v>
      </c>
      <c r="F64" s="23">
        <v>1</v>
      </c>
      <c r="G64" s="76">
        <f>IF(A64="COMPOSICAO",VLOOKUP("TOTAL SEM BDI - "&amp;B64,CPUAUX2!$A:$J,9,FALSE),VLOOKUP(B64,I!$A:$E,5,FALSE))</f>
        <v>1.43</v>
      </c>
      <c r="H64" s="77"/>
      <c r="I64" s="76">
        <f t="shared" si="20"/>
        <v>1.43</v>
      </c>
      <c r="J64" s="77"/>
      <c r="M64" s="23">
        <f t="shared" si="21"/>
        <v>37372</v>
      </c>
      <c r="N64" s="23">
        <f>SUMIF(CPU!M:M,B59,CPU!O:O)</f>
        <v>48</v>
      </c>
      <c r="O64" s="23">
        <f t="shared" si="22"/>
        <v>48</v>
      </c>
      <c r="Q64" s="23">
        <f ca="1">SUMIF(CPU!M:M,B59,CPU!R:R)</f>
        <v>16</v>
      </c>
      <c r="R64" s="23">
        <f t="shared" ca="1" si="23"/>
        <v>16</v>
      </c>
    </row>
    <row r="65" spans="1:18" x14ac:dyDescent="0.3">
      <c r="A65" s="23" t="s">
        <v>1005</v>
      </c>
      <c r="B65" s="23">
        <v>2708</v>
      </c>
      <c r="C65" s="23" t="str">
        <f>VLOOKUP(B65,IF(A65="COMPOSICAO",S!$A:$E,I!$A:$E),2,FALSE)</f>
        <v>SINAPI</v>
      </c>
      <c r="D65" s="24" t="str">
        <f>VLOOKUP(B65,IF(A65="COMPOSICAO",S!$A:$E,I!$A:$E),3,FALSE)</f>
        <v>ENGENHEIRO CIVIL DE OBRA SENIOR (HORISTA)</v>
      </c>
      <c r="E65" s="23" t="str">
        <f>VLOOKUP(B65,IF(A65="COMPOSICAO",S!$A:$E,I!$A:$E),4,FALSE)</f>
        <v>H</v>
      </c>
      <c r="F65" s="23">
        <v>1</v>
      </c>
      <c r="G65" s="76">
        <f>IF(A65="COMPOSICAO",VLOOKUP("TOTAL SEM BDI - "&amp;B65,CPUAUX2!$A:$J,9,FALSE),VLOOKUP(B65,I!$A:$E,5,FALSE))</f>
        <v>147.6</v>
      </c>
      <c r="H65" s="77"/>
      <c r="I65" s="76">
        <f t="shared" si="20"/>
        <v>147.6</v>
      </c>
      <c r="J65" s="77"/>
      <c r="M65" s="23">
        <f t="shared" si="21"/>
        <v>2708</v>
      </c>
      <c r="N65" s="23">
        <f>SUMIF(CPU!M:M,B59,CPU!O:O)</f>
        <v>48</v>
      </c>
      <c r="O65" s="23">
        <f t="shared" si="22"/>
        <v>48</v>
      </c>
      <c r="Q65" s="23">
        <f ca="1">SUMIF(CPU!M:M,B59,CPU!R:R)</f>
        <v>16</v>
      </c>
      <c r="R65" s="23">
        <f t="shared" ca="1" si="23"/>
        <v>16</v>
      </c>
    </row>
    <row r="66" spans="1:18" x14ac:dyDescent="0.3">
      <c r="A66" s="73" t="str">
        <f>"TOTAL SEM BDI - "&amp;B59</f>
        <v>TOTAL SEM BDI - 90779</v>
      </c>
      <c r="B66" s="74"/>
      <c r="C66" s="74"/>
      <c r="D66" s="74"/>
      <c r="E66" s="74"/>
      <c r="F66" s="74"/>
      <c r="G66" s="74"/>
      <c r="H66" s="75"/>
      <c r="I66" s="76">
        <f>SUM(I59:I65)</f>
        <v>152.06</v>
      </c>
      <c r="J66" s="77"/>
    </row>
    <row r="68" spans="1:18" x14ac:dyDescent="0.3">
      <c r="A68" s="4" t="s">
        <v>1000</v>
      </c>
      <c r="B68" s="4" t="s">
        <v>170</v>
      </c>
      <c r="C68" s="4" t="s">
        <v>171</v>
      </c>
      <c r="D68" s="4" t="s">
        <v>18</v>
      </c>
      <c r="E68" s="4" t="s">
        <v>172</v>
      </c>
      <c r="F68" s="4" t="s">
        <v>507</v>
      </c>
      <c r="G68" s="45" t="s">
        <v>1001</v>
      </c>
      <c r="H68" s="46"/>
      <c r="I68" s="45" t="s">
        <v>12</v>
      </c>
      <c r="J68" s="46"/>
    </row>
    <row r="69" spans="1:18" x14ac:dyDescent="0.3">
      <c r="A69" s="15" t="s">
        <v>1071</v>
      </c>
      <c r="B69" s="15">
        <v>88309</v>
      </c>
      <c r="C69" s="15" t="str">
        <f>VLOOKUP(B69,S!$A:$G,2,FALSE)</f>
        <v>SINAPI</v>
      </c>
      <c r="D69" s="22" t="str">
        <f>VLOOKUP(B69,S!$A:$G,3,FALSE)</f>
        <v>PEDREIRO COM ENCARGOS COMPLEMENTARES</v>
      </c>
      <c r="E69" s="15" t="str">
        <f>VLOOKUP(B69,S!$A:$G,4,FALSE)</f>
        <v>H</v>
      </c>
      <c r="F69" s="15"/>
      <c r="G69" s="78">
        <f>I78</f>
        <v>27.39</v>
      </c>
      <c r="H69" s="79"/>
      <c r="I69" s="78"/>
      <c r="J69" s="79"/>
      <c r="K69" s="16">
        <f>VLOOKUP(B69,S!A:G,5,FALSE)</f>
        <v>27.39</v>
      </c>
      <c r="L69" s="15" t="str">
        <f>IF(K69=G69,"OK, CONFORME TABELA",IF(G69&gt;K69,"ACIMA DA TABELA: ","ABAIXO DA TABELA: ")&amp;TRUNC((G69*100)/K69,2)&amp;" %")</f>
        <v>OK, CONFORME TABELA</v>
      </c>
    </row>
    <row r="70" spans="1:18" ht="30" customHeight="1" x14ac:dyDescent="0.3">
      <c r="A70" s="23" t="s">
        <v>1004</v>
      </c>
      <c r="B70" s="23">
        <v>95371</v>
      </c>
      <c r="C70" s="23" t="str">
        <f>VLOOKUP(B70,IF(A70="COMPOSICAO",S!$A:$E,I!$A:$E),2,FALSE)</f>
        <v>SINAPI</v>
      </c>
      <c r="D70" s="24" t="str">
        <f>VLOOKUP(B70,IF(A70="COMPOSICAO",S!$A:$E,I!$A:$E),3,FALSE)</f>
        <v>CURSO DE CAPACITAÇÃO PARA PEDREIRO (ENCARGOS COMPLEMENTARES) - HORISTA</v>
      </c>
      <c r="E70" s="23" t="str">
        <f>VLOOKUP(B70,IF(A70="COMPOSICAO",S!$A:$E,I!$A:$E),4,FALSE)</f>
        <v>H</v>
      </c>
      <c r="F70" s="23">
        <v>1</v>
      </c>
      <c r="G70" s="76">
        <f>IF(A70="COMPOSICAO",VLOOKUP("TOTAL SEM BDI - "&amp;B70,CPUAUX2!$A:$J,9,FALSE),VLOOKUP(B70,I!$A:$E,5,FALSE))</f>
        <v>0.43</v>
      </c>
      <c r="H70" s="77"/>
      <c r="I70" s="76">
        <f t="shared" ref="I70:I77" si="24">TRUNC(F70*G70,2)</f>
        <v>0.43</v>
      </c>
      <c r="J70" s="77"/>
      <c r="M70" s="23">
        <f t="shared" ref="M70:M77" si="25">B70</f>
        <v>95371</v>
      </c>
      <c r="N70" s="23">
        <f>SUMIF(CPU!M:M,B69,CPU!O:O)</f>
        <v>656.87065200000006</v>
      </c>
      <c r="O70" s="23">
        <f t="shared" ref="O70:O77" si="26">F70*N70</f>
        <v>656.87065200000006</v>
      </c>
      <c r="Q70" s="23">
        <f ca="1">SUMIF(CPU!M:M,B69,CPU!R:R)</f>
        <v>218.956884</v>
      </c>
      <c r="R70" s="23">
        <f t="shared" ref="R70:R77" ca="1" si="27">F70*Q70</f>
        <v>218.956884</v>
      </c>
    </row>
    <row r="71" spans="1:18" ht="30" customHeight="1" x14ac:dyDescent="0.3">
      <c r="A71" s="23" t="s">
        <v>1005</v>
      </c>
      <c r="B71" s="23">
        <v>43489</v>
      </c>
      <c r="C71" s="23" t="str">
        <f>VLOOKUP(B71,IF(A71="COMPOSICAO",S!$A:$E,I!$A:$E),2,FALSE)</f>
        <v>SINAPI</v>
      </c>
      <c r="D71" s="24" t="str">
        <f>VLOOKUP(B71,IF(A71="COMPOSICAO",S!$A:$E,I!$A:$E),3,FALSE)</f>
        <v>EPI - FAMILIA PEDREIRO - HORISTA (ENCARGOS COMPLEMENTARES - COLETADO CAIXA)</v>
      </c>
      <c r="E71" s="23" t="str">
        <f>VLOOKUP(B71,IF(A71="COMPOSICAO",S!$A:$E,I!$A:$E),4,FALSE)</f>
        <v>H</v>
      </c>
      <c r="F71" s="23">
        <v>1</v>
      </c>
      <c r="G71" s="76">
        <f>IF(A71="COMPOSICAO",VLOOKUP("TOTAL SEM BDI - "&amp;B71,CPUAUX2!$A:$J,9,FALSE),VLOOKUP(B71,I!$A:$E,5,FALSE))</f>
        <v>1.31</v>
      </c>
      <c r="H71" s="77"/>
      <c r="I71" s="76">
        <f t="shared" si="24"/>
        <v>1.31</v>
      </c>
      <c r="J71" s="77"/>
      <c r="M71" s="23">
        <f t="shared" si="25"/>
        <v>43489</v>
      </c>
      <c r="N71" s="23">
        <f>SUMIF(CPU!M:M,B69,CPU!O:O)</f>
        <v>656.87065200000006</v>
      </c>
      <c r="O71" s="23">
        <f t="shared" si="26"/>
        <v>656.87065200000006</v>
      </c>
      <c r="Q71" s="23">
        <f ca="1">SUMIF(CPU!M:M,B69,CPU!R:R)</f>
        <v>218.956884</v>
      </c>
      <c r="R71" s="23">
        <f t="shared" ca="1" si="27"/>
        <v>218.956884</v>
      </c>
    </row>
    <row r="72" spans="1:18" ht="30" customHeight="1" x14ac:dyDescent="0.3">
      <c r="A72" s="23" t="s">
        <v>1005</v>
      </c>
      <c r="B72" s="23">
        <v>43465</v>
      </c>
      <c r="C72" s="23" t="str">
        <f>VLOOKUP(B72,IF(A72="COMPOSICAO",S!$A:$E,I!$A:$E),2,FALSE)</f>
        <v>SINAPI</v>
      </c>
      <c r="D72" s="24" t="str">
        <f>VLOOKUP(B72,IF(A72="COMPOSICAO",S!$A:$E,I!$A:$E),3,FALSE)</f>
        <v>FERRAMENTAS - FAMILIA PEDREIRO - HORISTA (ENCARGOS COMPLEMENTARES - COLETADO CAIXA)</v>
      </c>
      <c r="E72" s="23" t="str">
        <f>VLOOKUP(B72,IF(A72="COMPOSICAO",S!$A:$E,I!$A:$E),4,FALSE)</f>
        <v>H</v>
      </c>
      <c r="F72" s="23">
        <v>1</v>
      </c>
      <c r="G72" s="76">
        <f>IF(A72="COMPOSICAO",VLOOKUP("TOTAL SEM BDI - "&amp;B72,CPUAUX2!$A:$J,9,FALSE),VLOOKUP(B72,I!$A:$E,5,FALSE))</f>
        <v>0.78</v>
      </c>
      <c r="H72" s="77"/>
      <c r="I72" s="76">
        <f t="shared" si="24"/>
        <v>0.78</v>
      </c>
      <c r="J72" s="77"/>
      <c r="M72" s="23">
        <f t="shared" si="25"/>
        <v>43465</v>
      </c>
      <c r="N72" s="23">
        <f>SUMIF(CPU!M:M,B69,CPU!O:O)</f>
        <v>656.87065200000006</v>
      </c>
      <c r="O72" s="23">
        <f t="shared" si="26"/>
        <v>656.87065200000006</v>
      </c>
      <c r="Q72" s="23">
        <f ca="1">SUMIF(CPU!M:M,B69,CPU!R:R)</f>
        <v>218.956884</v>
      </c>
      <c r="R72" s="23">
        <f t="shared" ca="1" si="27"/>
        <v>218.956884</v>
      </c>
    </row>
    <row r="73" spans="1:18" ht="30" customHeight="1" x14ac:dyDescent="0.3">
      <c r="A73" s="23" t="s">
        <v>1005</v>
      </c>
      <c r="B73" s="23">
        <v>37373</v>
      </c>
      <c r="C73" s="23" t="str">
        <f>VLOOKUP(B73,IF(A73="COMPOSICAO",S!$A:$E,I!$A:$E),2,FALSE)</f>
        <v>SINAPI</v>
      </c>
      <c r="D73" s="24" t="str">
        <f>VLOOKUP(B73,IF(A73="COMPOSICAO",S!$A:$E,I!$A:$E),3,FALSE)</f>
        <v>SEGURO - HORISTA (COLETADO CAIXA - ENCARGOS COMPLEMENTARES)</v>
      </c>
      <c r="E73" s="23" t="str">
        <f>VLOOKUP(B73,IF(A73="COMPOSICAO",S!$A:$E,I!$A:$E),4,FALSE)</f>
        <v>H</v>
      </c>
      <c r="F73" s="23">
        <v>1</v>
      </c>
      <c r="G73" s="76">
        <f>IF(A73="COMPOSICAO",VLOOKUP("TOTAL SEM BDI - "&amp;B73,CPUAUX2!$A:$J,9,FALSE),VLOOKUP(B73,I!$A:$E,5,FALSE))</f>
        <v>0.08</v>
      </c>
      <c r="H73" s="77"/>
      <c r="I73" s="76">
        <f t="shared" si="24"/>
        <v>0.08</v>
      </c>
      <c r="J73" s="77"/>
      <c r="M73" s="23">
        <f t="shared" si="25"/>
        <v>37373</v>
      </c>
      <c r="N73" s="23">
        <f>SUMIF(CPU!M:M,B69,CPU!O:O)</f>
        <v>656.87065200000006</v>
      </c>
      <c r="O73" s="23">
        <f t="shared" si="26"/>
        <v>656.87065200000006</v>
      </c>
      <c r="Q73" s="23">
        <f ca="1">SUMIF(CPU!M:M,B69,CPU!R:R)</f>
        <v>218.956884</v>
      </c>
      <c r="R73" s="23">
        <f t="shared" ca="1" si="27"/>
        <v>218.956884</v>
      </c>
    </row>
    <row r="74" spans="1:18" ht="30" customHeight="1" x14ac:dyDescent="0.3">
      <c r="A74" s="23" t="s">
        <v>1005</v>
      </c>
      <c r="B74" s="23">
        <v>37372</v>
      </c>
      <c r="C74" s="23" t="str">
        <f>VLOOKUP(B74,IF(A74="COMPOSICAO",S!$A:$E,I!$A:$E),2,FALSE)</f>
        <v>SINAPI</v>
      </c>
      <c r="D74" s="24" t="str">
        <f>VLOOKUP(B74,IF(A74="COMPOSICAO",S!$A:$E,I!$A:$E),3,FALSE)</f>
        <v>EXAMES - HORISTA (COLETADO CAIXA - ENCARGOS COMPLEMENTARES)</v>
      </c>
      <c r="E74" s="23" t="str">
        <f>VLOOKUP(B74,IF(A74="COMPOSICAO",S!$A:$E,I!$A:$E),4,FALSE)</f>
        <v>H</v>
      </c>
      <c r="F74" s="23">
        <v>1</v>
      </c>
      <c r="G74" s="76">
        <f>IF(A74="COMPOSICAO",VLOOKUP("TOTAL SEM BDI - "&amp;B74,CPUAUX2!$A:$J,9,FALSE),VLOOKUP(B74,I!$A:$E,5,FALSE))</f>
        <v>1.43</v>
      </c>
      <c r="H74" s="77"/>
      <c r="I74" s="76">
        <f t="shared" si="24"/>
        <v>1.43</v>
      </c>
      <c r="J74" s="77"/>
      <c r="M74" s="23">
        <f t="shared" si="25"/>
        <v>37372</v>
      </c>
      <c r="N74" s="23">
        <f>SUMIF(CPU!M:M,B69,CPU!O:O)</f>
        <v>656.87065200000006</v>
      </c>
      <c r="O74" s="23">
        <f t="shared" si="26"/>
        <v>656.87065200000006</v>
      </c>
      <c r="Q74" s="23">
        <f ca="1">SUMIF(CPU!M:M,B69,CPU!R:R)</f>
        <v>218.956884</v>
      </c>
      <c r="R74" s="23">
        <f t="shared" ca="1" si="27"/>
        <v>218.956884</v>
      </c>
    </row>
    <row r="75" spans="1:18" ht="30" customHeight="1" x14ac:dyDescent="0.3">
      <c r="A75" s="23" t="s">
        <v>1005</v>
      </c>
      <c r="B75" s="23">
        <v>37371</v>
      </c>
      <c r="C75" s="23" t="str">
        <f>VLOOKUP(B75,IF(A75="COMPOSICAO",S!$A:$E,I!$A:$E),2,FALSE)</f>
        <v>SINAPI</v>
      </c>
      <c r="D75" s="24" t="str">
        <f>VLOOKUP(B75,IF(A75="COMPOSICAO",S!$A:$E,I!$A:$E),3,FALSE)</f>
        <v>TRANSPORTE - HORISTA (COLETADO CAIXA - ENCARGOS COMPLEMENTARES)</v>
      </c>
      <c r="E75" s="23" t="str">
        <f>VLOOKUP(B75,IF(A75="COMPOSICAO",S!$A:$E,I!$A:$E),4,FALSE)</f>
        <v>H</v>
      </c>
      <c r="F75" s="23">
        <v>1</v>
      </c>
      <c r="G75" s="76">
        <f>IF(A75="COMPOSICAO",VLOOKUP("TOTAL SEM BDI - "&amp;B75,CPUAUX2!$A:$J,9,FALSE),VLOOKUP(B75,I!$A:$E,5,FALSE))</f>
        <v>0.56999999999999995</v>
      </c>
      <c r="H75" s="77"/>
      <c r="I75" s="76">
        <f t="shared" si="24"/>
        <v>0.56999999999999995</v>
      </c>
      <c r="J75" s="77"/>
      <c r="M75" s="23">
        <f t="shared" si="25"/>
        <v>37371</v>
      </c>
      <c r="N75" s="23">
        <f>SUMIF(CPU!M:M,B69,CPU!O:O)</f>
        <v>656.87065200000006</v>
      </c>
      <c r="O75" s="23">
        <f t="shared" si="26"/>
        <v>656.87065200000006</v>
      </c>
      <c r="Q75" s="23">
        <f ca="1">SUMIF(CPU!M:M,B69,CPU!R:R)</f>
        <v>218.956884</v>
      </c>
      <c r="R75" s="23">
        <f t="shared" ca="1" si="27"/>
        <v>218.956884</v>
      </c>
    </row>
    <row r="76" spans="1:18" ht="30" customHeight="1" x14ac:dyDescent="0.3">
      <c r="A76" s="23" t="s">
        <v>1005</v>
      </c>
      <c r="B76" s="23">
        <v>37370</v>
      </c>
      <c r="C76" s="23" t="str">
        <f>VLOOKUP(B76,IF(A76="COMPOSICAO",S!$A:$E,I!$A:$E),2,FALSE)</f>
        <v>SINAPI</v>
      </c>
      <c r="D76" s="24" t="str">
        <f>VLOOKUP(B76,IF(A76="COMPOSICAO",S!$A:$E,I!$A:$E),3,FALSE)</f>
        <v>ALIMENTACAO - HORISTA (COLETADO CAIXA - ENCARGOS COMPLEMENTARES)</v>
      </c>
      <c r="E76" s="23" t="str">
        <f>VLOOKUP(B76,IF(A76="COMPOSICAO",S!$A:$E,I!$A:$E),4,FALSE)</f>
        <v>H</v>
      </c>
      <c r="F76" s="23">
        <v>1</v>
      </c>
      <c r="G76" s="76">
        <f>IF(A76="COMPOSICAO",VLOOKUP("TOTAL SEM BDI - "&amp;B76,CPUAUX2!$A:$J,9,FALSE),VLOOKUP(B76,I!$A:$E,5,FALSE))</f>
        <v>2.46</v>
      </c>
      <c r="H76" s="77"/>
      <c r="I76" s="76">
        <f t="shared" si="24"/>
        <v>2.46</v>
      </c>
      <c r="J76" s="77"/>
      <c r="M76" s="23">
        <f t="shared" si="25"/>
        <v>37370</v>
      </c>
      <c r="N76" s="23">
        <f>SUMIF(CPU!M:M,B69,CPU!O:O)</f>
        <v>656.87065200000006</v>
      </c>
      <c r="O76" s="23">
        <f t="shared" si="26"/>
        <v>656.87065200000006</v>
      </c>
      <c r="Q76" s="23">
        <f ca="1">SUMIF(CPU!M:M,B69,CPU!R:R)</f>
        <v>218.956884</v>
      </c>
      <c r="R76" s="23">
        <f t="shared" ca="1" si="27"/>
        <v>218.956884</v>
      </c>
    </row>
    <row r="77" spans="1:18" x14ac:dyDescent="0.3">
      <c r="A77" s="23" t="s">
        <v>1005</v>
      </c>
      <c r="B77" s="23">
        <v>4750</v>
      </c>
      <c r="C77" s="23" t="str">
        <f>VLOOKUP(B77,IF(A77="COMPOSICAO",S!$A:$E,I!$A:$E),2,FALSE)</f>
        <v>SINAPI</v>
      </c>
      <c r="D77" s="24" t="str">
        <f>VLOOKUP(B77,IF(A77="COMPOSICAO",S!$A:$E,I!$A:$E),3,FALSE)</f>
        <v>PEDREIRO (HORISTA)</v>
      </c>
      <c r="E77" s="23" t="str">
        <f>VLOOKUP(B77,IF(A77="COMPOSICAO",S!$A:$E,I!$A:$E),4,FALSE)</f>
        <v>H</v>
      </c>
      <c r="F77" s="23">
        <v>1</v>
      </c>
      <c r="G77" s="76">
        <f>IF(A77="COMPOSICAO",VLOOKUP("TOTAL SEM BDI - "&amp;B77,CPUAUX2!$A:$J,9,FALSE),VLOOKUP(B77,I!$A:$E,5,FALSE))</f>
        <v>20.329999999999998</v>
      </c>
      <c r="H77" s="77"/>
      <c r="I77" s="76">
        <f t="shared" si="24"/>
        <v>20.329999999999998</v>
      </c>
      <c r="J77" s="77"/>
      <c r="M77" s="23">
        <f t="shared" si="25"/>
        <v>4750</v>
      </c>
      <c r="N77" s="23">
        <f>SUMIF(CPU!M:M,B69,CPU!O:O)</f>
        <v>656.87065200000006</v>
      </c>
      <c r="O77" s="23">
        <f t="shared" si="26"/>
        <v>656.87065200000006</v>
      </c>
      <c r="Q77" s="23">
        <f ca="1">SUMIF(CPU!M:M,B69,CPU!R:R)</f>
        <v>218.956884</v>
      </c>
      <c r="R77" s="23">
        <f t="shared" ca="1" si="27"/>
        <v>218.956884</v>
      </c>
    </row>
    <row r="78" spans="1:18" x14ac:dyDescent="0.3">
      <c r="A78" s="73" t="str">
        <f>"TOTAL SEM BDI - "&amp;B69</f>
        <v>TOTAL SEM BDI - 88309</v>
      </c>
      <c r="B78" s="74"/>
      <c r="C78" s="74"/>
      <c r="D78" s="74"/>
      <c r="E78" s="74"/>
      <c r="F78" s="74"/>
      <c r="G78" s="74"/>
      <c r="H78" s="75"/>
      <c r="I78" s="76">
        <f>SUM(I69:I77)</f>
        <v>27.39</v>
      </c>
      <c r="J78" s="77"/>
    </row>
    <row r="80" spans="1:18" x14ac:dyDescent="0.3">
      <c r="A80" s="4" t="s">
        <v>1000</v>
      </c>
      <c r="B80" s="4" t="s">
        <v>170</v>
      </c>
      <c r="C80" s="4" t="s">
        <v>171</v>
      </c>
      <c r="D80" s="4" t="s">
        <v>18</v>
      </c>
      <c r="E80" s="4" t="s">
        <v>172</v>
      </c>
      <c r="F80" s="4" t="s">
        <v>507</v>
      </c>
      <c r="G80" s="45" t="s">
        <v>1001</v>
      </c>
      <c r="H80" s="46"/>
      <c r="I80" s="45" t="s">
        <v>12</v>
      </c>
      <c r="J80" s="46"/>
    </row>
    <row r="81" spans="1:18" ht="30" customHeight="1" x14ac:dyDescent="0.3">
      <c r="A81" s="15" t="s">
        <v>1071</v>
      </c>
      <c r="B81" s="15">
        <v>88242</v>
      </c>
      <c r="C81" s="15" t="str">
        <f>VLOOKUP(B81,S!$A:$G,2,FALSE)</f>
        <v>SINAPI</v>
      </c>
      <c r="D81" s="22" t="str">
        <f>VLOOKUP(B81,S!$A:$G,3,FALSE)</f>
        <v>AJUDANTE DE PEDREIRO COM ENCARGOS COMPLEMENTARES</v>
      </c>
      <c r="E81" s="15" t="str">
        <f>VLOOKUP(B81,S!$A:$G,4,FALSE)</f>
        <v>H</v>
      </c>
      <c r="F81" s="15"/>
      <c r="G81" s="78">
        <f>I90</f>
        <v>22.42</v>
      </c>
      <c r="H81" s="79"/>
      <c r="I81" s="78"/>
      <c r="J81" s="79"/>
      <c r="K81" s="16">
        <f>VLOOKUP(B81,S!A:G,5,FALSE)</f>
        <v>22.42</v>
      </c>
      <c r="L81" s="15" t="str">
        <f>IF(K81=G81,"OK, CONFORME TABELA",IF(G81&gt;K81,"ACIMA DA TABELA: ","ABAIXO DA TABELA: ")&amp;TRUNC((G81*100)/K81,2)&amp;" %")</f>
        <v>OK, CONFORME TABELA</v>
      </c>
    </row>
    <row r="82" spans="1:18" ht="30" customHeight="1" x14ac:dyDescent="0.3">
      <c r="A82" s="23" t="s">
        <v>1004</v>
      </c>
      <c r="B82" s="23">
        <v>95312</v>
      </c>
      <c r="C82" s="23" t="str">
        <f>VLOOKUP(B82,IF(A82="COMPOSICAO",S!$A:$E,I!$A:$E),2,FALSE)</f>
        <v>SINAPI</v>
      </c>
      <c r="D82" s="24" t="str">
        <f>VLOOKUP(B82,IF(A82="COMPOSICAO",S!$A:$E,I!$A:$E),3,FALSE)</f>
        <v>CURSO DE CAPACITAÇÃO PARA AJUDANTE DE PEDREIRO (ENCARGOS COMPLEMENTARES) - HORISTA</v>
      </c>
      <c r="E82" s="23" t="str">
        <f>VLOOKUP(B82,IF(A82="COMPOSICAO",S!$A:$E,I!$A:$E),4,FALSE)</f>
        <v>H</v>
      </c>
      <c r="F82" s="23">
        <v>1</v>
      </c>
      <c r="G82" s="76">
        <f>IF(A82="COMPOSICAO",VLOOKUP("TOTAL SEM BDI - "&amp;B82,CPUAUX2!$A:$J,9,FALSE),VLOOKUP(B82,I!$A:$E,5,FALSE))</f>
        <v>0.22</v>
      </c>
      <c r="H82" s="77"/>
      <c r="I82" s="76">
        <f t="shared" ref="I82:I89" si="28">TRUNC(F82*G82,2)</f>
        <v>0.22</v>
      </c>
      <c r="J82" s="77"/>
      <c r="M82" s="23">
        <f t="shared" ref="M82:M89" si="29">B82</f>
        <v>95312</v>
      </c>
      <c r="N82" s="23">
        <f>SUMIF(CPU!M:M,B81,CPU!O:O)</f>
        <v>14.850239999999999</v>
      </c>
      <c r="O82" s="23">
        <f t="shared" ref="O82:O89" si="30">F82*N82</f>
        <v>14.850239999999999</v>
      </c>
      <c r="Q82" s="23">
        <f ca="1">SUMIF(CPU!M:M,B81,CPU!R:R)</f>
        <v>4.9500799999999998</v>
      </c>
      <c r="R82" s="23">
        <f t="shared" ref="R82:R89" ca="1" si="31">F82*Q82</f>
        <v>4.9500799999999998</v>
      </c>
    </row>
    <row r="83" spans="1:18" ht="30" customHeight="1" x14ac:dyDescent="0.3">
      <c r="A83" s="23" t="s">
        <v>1005</v>
      </c>
      <c r="B83" s="23">
        <v>43489</v>
      </c>
      <c r="C83" s="23" t="str">
        <f>VLOOKUP(B83,IF(A83="COMPOSICAO",S!$A:$E,I!$A:$E),2,FALSE)</f>
        <v>SINAPI</v>
      </c>
      <c r="D83" s="24" t="str">
        <f>VLOOKUP(B83,IF(A83="COMPOSICAO",S!$A:$E,I!$A:$E),3,FALSE)</f>
        <v>EPI - FAMILIA PEDREIRO - HORISTA (ENCARGOS COMPLEMENTARES - COLETADO CAIXA)</v>
      </c>
      <c r="E83" s="23" t="str">
        <f>VLOOKUP(B83,IF(A83="COMPOSICAO",S!$A:$E,I!$A:$E),4,FALSE)</f>
        <v>H</v>
      </c>
      <c r="F83" s="23">
        <v>1</v>
      </c>
      <c r="G83" s="76">
        <f>IF(A83="COMPOSICAO",VLOOKUP("TOTAL SEM BDI - "&amp;B83,CPUAUX2!$A:$J,9,FALSE),VLOOKUP(B83,I!$A:$E,5,FALSE))</f>
        <v>1.31</v>
      </c>
      <c r="H83" s="77"/>
      <c r="I83" s="76">
        <f t="shared" si="28"/>
        <v>1.31</v>
      </c>
      <c r="J83" s="77"/>
      <c r="M83" s="23">
        <f t="shared" si="29"/>
        <v>43489</v>
      </c>
      <c r="N83" s="23">
        <f>SUMIF(CPU!M:M,B81,CPU!O:O)</f>
        <v>14.850239999999999</v>
      </c>
      <c r="O83" s="23">
        <f t="shared" si="30"/>
        <v>14.850239999999999</v>
      </c>
      <c r="Q83" s="23">
        <f ca="1">SUMIF(CPU!M:M,B81,CPU!R:R)</f>
        <v>4.9500799999999998</v>
      </c>
      <c r="R83" s="23">
        <f t="shared" ca="1" si="31"/>
        <v>4.9500799999999998</v>
      </c>
    </row>
    <row r="84" spans="1:18" ht="30" customHeight="1" x14ac:dyDescent="0.3">
      <c r="A84" s="23" t="s">
        <v>1005</v>
      </c>
      <c r="B84" s="23">
        <v>43465</v>
      </c>
      <c r="C84" s="23" t="str">
        <f>VLOOKUP(B84,IF(A84="COMPOSICAO",S!$A:$E,I!$A:$E),2,FALSE)</f>
        <v>SINAPI</v>
      </c>
      <c r="D84" s="24" t="str">
        <f>VLOOKUP(B84,IF(A84="COMPOSICAO",S!$A:$E,I!$A:$E),3,FALSE)</f>
        <v>FERRAMENTAS - FAMILIA PEDREIRO - HORISTA (ENCARGOS COMPLEMENTARES - COLETADO CAIXA)</v>
      </c>
      <c r="E84" s="23" t="str">
        <f>VLOOKUP(B84,IF(A84="COMPOSICAO",S!$A:$E,I!$A:$E),4,FALSE)</f>
        <v>H</v>
      </c>
      <c r="F84" s="23">
        <v>1</v>
      </c>
      <c r="G84" s="76">
        <f>IF(A84="COMPOSICAO",VLOOKUP("TOTAL SEM BDI - "&amp;B84,CPUAUX2!$A:$J,9,FALSE),VLOOKUP(B84,I!$A:$E,5,FALSE))</f>
        <v>0.78</v>
      </c>
      <c r="H84" s="77"/>
      <c r="I84" s="76">
        <f t="shared" si="28"/>
        <v>0.78</v>
      </c>
      <c r="J84" s="77"/>
      <c r="M84" s="23">
        <f t="shared" si="29"/>
        <v>43465</v>
      </c>
      <c r="N84" s="23">
        <f>SUMIF(CPU!M:M,B81,CPU!O:O)</f>
        <v>14.850239999999999</v>
      </c>
      <c r="O84" s="23">
        <f t="shared" si="30"/>
        <v>14.850239999999999</v>
      </c>
      <c r="Q84" s="23">
        <f ca="1">SUMIF(CPU!M:M,B81,CPU!R:R)</f>
        <v>4.9500799999999998</v>
      </c>
      <c r="R84" s="23">
        <f t="shared" ca="1" si="31"/>
        <v>4.9500799999999998</v>
      </c>
    </row>
    <row r="85" spans="1:18" ht="30" customHeight="1" x14ac:dyDescent="0.3">
      <c r="A85" s="23" t="s">
        <v>1005</v>
      </c>
      <c r="B85" s="23">
        <v>37373</v>
      </c>
      <c r="C85" s="23" t="str">
        <f>VLOOKUP(B85,IF(A85="COMPOSICAO",S!$A:$E,I!$A:$E),2,FALSE)</f>
        <v>SINAPI</v>
      </c>
      <c r="D85" s="24" t="str">
        <f>VLOOKUP(B85,IF(A85="COMPOSICAO",S!$A:$E,I!$A:$E),3,FALSE)</f>
        <v>SEGURO - HORISTA (COLETADO CAIXA - ENCARGOS COMPLEMENTARES)</v>
      </c>
      <c r="E85" s="23" t="str">
        <f>VLOOKUP(B85,IF(A85="COMPOSICAO",S!$A:$E,I!$A:$E),4,FALSE)</f>
        <v>H</v>
      </c>
      <c r="F85" s="23">
        <v>1</v>
      </c>
      <c r="G85" s="76">
        <f>IF(A85="COMPOSICAO",VLOOKUP("TOTAL SEM BDI - "&amp;B85,CPUAUX2!$A:$J,9,FALSE),VLOOKUP(B85,I!$A:$E,5,FALSE))</f>
        <v>0.08</v>
      </c>
      <c r="H85" s="77"/>
      <c r="I85" s="76">
        <f t="shared" si="28"/>
        <v>0.08</v>
      </c>
      <c r="J85" s="77"/>
      <c r="M85" s="23">
        <f t="shared" si="29"/>
        <v>37373</v>
      </c>
      <c r="N85" s="23">
        <f>SUMIF(CPU!M:M,B81,CPU!O:O)</f>
        <v>14.850239999999999</v>
      </c>
      <c r="O85" s="23">
        <f t="shared" si="30"/>
        <v>14.850239999999999</v>
      </c>
      <c r="Q85" s="23">
        <f ca="1">SUMIF(CPU!M:M,B81,CPU!R:R)</f>
        <v>4.9500799999999998</v>
      </c>
      <c r="R85" s="23">
        <f t="shared" ca="1" si="31"/>
        <v>4.9500799999999998</v>
      </c>
    </row>
    <row r="86" spans="1:18" ht="30" customHeight="1" x14ac:dyDescent="0.3">
      <c r="A86" s="23" t="s">
        <v>1005</v>
      </c>
      <c r="B86" s="23">
        <v>37372</v>
      </c>
      <c r="C86" s="23" t="str">
        <f>VLOOKUP(B86,IF(A86="COMPOSICAO",S!$A:$E,I!$A:$E),2,FALSE)</f>
        <v>SINAPI</v>
      </c>
      <c r="D86" s="24" t="str">
        <f>VLOOKUP(B86,IF(A86="COMPOSICAO",S!$A:$E,I!$A:$E),3,FALSE)</f>
        <v>EXAMES - HORISTA (COLETADO CAIXA - ENCARGOS COMPLEMENTARES)</v>
      </c>
      <c r="E86" s="23" t="str">
        <f>VLOOKUP(B86,IF(A86="COMPOSICAO",S!$A:$E,I!$A:$E),4,FALSE)</f>
        <v>H</v>
      </c>
      <c r="F86" s="23">
        <v>1</v>
      </c>
      <c r="G86" s="76">
        <f>IF(A86="COMPOSICAO",VLOOKUP("TOTAL SEM BDI - "&amp;B86,CPUAUX2!$A:$J,9,FALSE),VLOOKUP(B86,I!$A:$E,5,FALSE))</f>
        <v>1.43</v>
      </c>
      <c r="H86" s="77"/>
      <c r="I86" s="76">
        <f t="shared" si="28"/>
        <v>1.43</v>
      </c>
      <c r="J86" s="77"/>
      <c r="M86" s="23">
        <f t="shared" si="29"/>
        <v>37372</v>
      </c>
      <c r="N86" s="23">
        <f>SUMIF(CPU!M:M,B81,CPU!O:O)</f>
        <v>14.850239999999999</v>
      </c>
      <c r="O86" s="23">
        <f t="shared" si="30"/>
        <v>14.850239999999999</v>
      </c>
      <c r="Q86" s="23">
        <f ca="1">SUMIF(CPU!M:M,B81,CPU!R:R)</f>
        <v>4.9500799999999998</v>
      </c>
      <c r="R86" s="23">
        <f t="shared" ca="1" si="31"/>
        <v>4.9500799999999998</v>
      </c>
    </row>
    <row r="87" spans="1:18" ht="30" customHeight="1" x14ac:dyDescent="0.3">
      <c r="A87" s="23" t="s">
        <v>1005</v>
      </c>
      <c r="B87" s="23">
        <v>37371</v>
      </c>
      <c r="C87" s="23" t="str">
        <f>VLOOKUP(B87,IF(A87="COMPOSICAO",S!$A:$E,I!$A:$E),2,FALSE)</f>
        <v>SINAPI</v>
      </c>
      <c r="D87" s="24" t="str">
        <f>VLOOKUP(B87,IF(A87="COMPOSICAO",S!$A:$E,I!$A:$E),3,FALSE)</f>
        <v>TRANSPORTE - HORISTA (COLETADO CAIXA - ENCARGOS COMPLEMENTARES)</v>
      </c>
      <c r="E87" s="23" t="str">
        <f>VLOOKUP(B87,IF(A87="COMPOSICAO",S!$A:$E,I!$A:$E),4,FALSE)</f>
        <v>H</v>
      </c>
      <c r="F87" s="23">
        <v>1</v>
      </c>
      <c r="G87" s="76">
        <f>IF(A87="COMPOSICAO",VLOOKUP("TOTAL SEM BDI - "&amp;B87,CPUAUX2!$A:$J,9,FALSE),VLOOKUP(B87,I!$A:$E,5,FALSE))</f>
        <v>0.56999999999999995</v>
      </c>
      <c r="H87" s="77"/>
      <c r="I87" s="76">
        <f t="shared" si="28"/>
        <v>0.56999999999999995</v>
      </c>
      <c r="J87" s="77"/>
      <c r="M87" s="23">
        <f t="shared" si="29"/>
        <v>37371</v>
      </c>
      <c r="N87" s="23">
        <f>SUMIF(CPU!M:M,B81,CPU!O:O)</f>
        <v>14.850239999999999</v>
      </c>
      <c r="O87" s="23">
        <f t="shared" si="30"/>
        <v>14.850239999999999</v>
      </c>
      <c r="Q87" s="23">
        <f ca="1">SUMIF(CPU!M:M,B81,CPU!R:R)</f>
        <v>4.9500799999999998</v>
      </c>
      <c r="R87" s="23">
        <f t="shared" ca="1" si="31"/>
        <v>4.9500799999999998</v>
      </c>
    </row>
    <row r="88" spans="1:18" ht="30" customHeight="1" x14ac:dyDescent="0.3">
      <c r="A88" s="23" t="s">
        <v>1005</v>
      </c>
      <c r="B88" s="23">
        <v>37370</v>
      </c>
      <c r="C88" s="23" t="str">
        <f>VLOOKUP(B88,IF(A88="COMPOSICAO",S!$A:$E,I!$A:$E),2,FALSE)</f>
        <v>SINAPI</v>
      </c>
      <c r="D88" s="24" t="str">
        <f>VLOOKUP(B88,IF(A88="COMPOSICAO",S!$A:$E,I!$A:$E),3,FALSE)</f>
        <v>ALIMENTACAO - HORISTA (COLETADO CAIXA - ENCARGOS COMPLEMENTARES)</v>
      </c>
      <c r="E88" s="23" t="str">
        <f>VLOOKUP(B88,IF(A88="COMPOSICAO",S!$A:$E,I!$A:$E),4,FALSE)</f>
        <v>H</v>
      </c>
      <c r="F88" s="23">
        <v>1</v>
      </c>
      <c r="G88" s="76">
        <f>IF(A88="COMPOSICAO",VLOOKUP("TOTAL SEM BDI - "&amp;B88,CPUAUX2!$A:$J,9,FALSE),VLOOKUP(B88,I!$A:$E,5,FALSE))</f>
        <v>2.46</v>
      </c>
      <c r="H88" s="77"/>
      <c r="I88" s="76">
        <f t="shared" si="28"/>
        <v>2.46</v>
      </c>
      <c r="J88" s="77"/>
      <c r="M88" s="23">
        <f t="shared" si="29"/>
        <v>37370</v>
      </c>
      <c r="N88" s="23">
        <f>SUMIF(CPU!M:M,B81,CPU!O:O)</f>
        <v>14.850239999999999</v>
      </c>
      <c r="O88" s="23">
        <f t="shared" si="30"/>
        <v>14.850239999999999</v>
      </c>
      <c r="Q88" s="23">
        <f ca="1">SUMIF(CPU!M:M,B81,CPU!R:R)</f>
        <v>4.9500799999999998</v>
      </c>
      <c r="R88" s="23">
        <f t="shared" ca="1" si="31"/>
        <v>4.9500799999999998</v>
      </c>
    </row>
    <row r="89" spans="1:18" x14ac:dyDescent="0.3">
      <c r="A89" s="23" t="s">
        <v>1005</v>
      </c>
      <c r="B89" s="23">
        <v>6127</v>
      </c>
      <c r="C89" s="23" t="str">
        <f>VLOOKUP(B89,IF(A89="COMPOSICAO",S!$A:$E,I!$A:$E),2,FALSE)</f>
        <v>SINAPI</v>
      </c>
      <c r="D89" s="24" t="str">
        <f>VLOOKUP(B89,IF(A89="COMPOSICAO",S!$A:$E,I!$A:$E),3,FALSE)</f>
        <v>AUXILIAR DE PEDREIRO (HORISTA)</v>
      </c>
      <c r="E89" s="23" t="str">
        <f>VLOOKUP(B89,IF(A89="COMPOSICAO",S!$A:$E,I!$A:$E),4,FALSE)</f>
        <v>H</v>
      </c>
      <c r="F89" s="23">
        <v>1</v>
      </c>
      <c r="G89" s="76">
        <f>IF(A89="COMPOSICAO",VLOOKUP("TOTAL SEM BDI - "&amp;B89,CPUAUX2!$A:$J,9,FALSE),VLOOKUP(B89,I!$A:$E,5,FALSE))</f>
        <v>15.57</v>
      </c>
      <c r="H89" s="77"/>
      <c r="I89" s="76">
        <f t="shared" si="28"/>
        <v>15.57</v>
      </c>
      <c r="J89" s="77"/>
      <c r="M89" s="23">
        <f t="shared" si="29"/>
        <v>6127</v>
      </c>
      <c r="N89" s="23">
        <f>SUMIF(CPU!M:M,B81,CPU!O:O)</f>
        <v>14.850239999999999</v>
      </c>
      <c r="O89" s="23">
        <f t="shared" si="30"/>
        <v>14.850239999999999</v>
      </c>
      <c r="Q89" s="23">
        <f ca="1">SUMIF(CPU!M:M,B81,CPU!R:R)</f>
        <v>4.9500799999999998</v>
      </c>
      <c r="R89" s="23">
        <f t="shared" ca="1" si="31"/>
        <v>4.9500799999999998</v>
      </c>
    </row>
    <row r="90" spans="1:18" x14ac:dyDescent="0.3">
      <c r="A90" s="73" t="str">
        <f>"TOTAL SEM BDI - "&amp;B81</f>
        <v>TOTAL SEM BDI - 88242</v>
      </c>
      <c r="B90" s="74"/>
      <c r="C90" s="74"/>
      <c r="D90" s="74"/>
      <c r="E90" s="74"/>
      <c r="F90" s="74"/>
      <c r="G90" s="74"/>
      <c r="H90" s="75"/>
      <c r="I90" s="76">
        <f>SUM(I81:I89)</f>
        <v>22.42</v>
      </c>
      <c r="J90" s="77"/>
    </row>
    <row r="92" spans="1:18" x14ac:dyDescent="0.3">
      <c r="A92" s="4" t="s">
        <v>1000</v>
      </c>
      <c r="B92" s="4" t="s">
        <v>170</v>
      </c>
      <c r="C92" s="4" t="s">
        <v>171</v>
      </c>
      <c r="D92" s="4" t="s">
        <v>18</v>
      </c>
      <c r="E92" s="4" t="s">
        <v>172</v>
      </c>
      <c r="F92" s="4" t="s">
        <v>507</v>
      </c>
      <c r="G92" s="45" t="s">
        <v>1001</v>
      </c>
      <c r="H92" s="46"/>
      <c r="I92" s="45" t="s">
        <v>12</v>
      </c>
      <c r="J92" s="46"/>
    </row>
    <row r="93" spans="1:18" ht="45" customHeight="1" x14ac:dyDescent="0.3">
      <c r="A93" s="15" t="s">
        <v>1072</v>
      </c>
      <c r="B93" s="15">
        <v>88628</v>
      </c>
      <c r="C93" s="15" t="str">
        <f>VLOOKUP(B93,S!$A:$G,2,FALSE)</f>
        <v>SINAPI</v>
      </c>
      <c r="D93" s="22" t="str">
        <f>VLOOKUP(B93,S!$A:$G,3,FALSE)</f>
        <v>ARGAMASSA TRAÇO 1:3 (EM VOLUME DE CIMENTO E AREIA MÉDIA ÚMIDA), PREPARO MECÂNICO COM BETONEIRA 400 L. AF_08/2019</v>
      </c>
      <c r="E93" s="15" t="str">
        <f>VLOOKUP(B93,S!$A:$G,4,FALSE)</f>
        <v>M3</v>
      </c>
      <c r="F93" s="15"/>
      <c r="G93" s="78">
        <f>I99</f>
        <v>675.76</v>
      </c>
      <c r="H93" s="79"/>
      <c r="I93" s="78"/>
      <c r="J93" s="79"/>
      <c r="K93" s="16">
        <f>VLOOKUP(B93,S!A:G,5,FALSE)</f>
        <v>675.76</v>
      </c>
      <c r="L93" s="15" t="str">
        <f>IF(K93=G93,"OK, CONFORME TABELA",IF(G93&gt;K93,"ACIMA DA TABELA: ","ABAIXO DA TABELA: ")&amp;TRUNC((G93*100)/K93,2)&amp;" %")</f>
        <v>OK, CONFORME TABELA</v>
      </c>
    </row>
    <row r="94" spans="1:18" ht="60" customHeight="1" x14ac:dyDescent="0.3">
      <c r="A94" s="23" t="s">
        <v>1004</v>
      </c>
      <c r="B94" s="23">
        <v>88831</v>
      </c>
      <c r="C94" s="23" t="str">
        <f>VLOOKUP(B94,IF(A94="COMPOSICAO",S!$A:$E,I!$A:$E),2,FALSE)</f>
        <v>SINAPI</v>
      </c>
      <c r="D94" s="24" t="str">
        <f>VLOOKUP(B94,IF(A94="COMPOSICAO",S!$A:$E,I!$A:$E),3,FALSE)</f>
        <v>BETONEIRA CAPACIDADE NOMINAL DE 400 L, CAPACIDADE DE MISTURA 280 L, MOTOR ELÉTRICO TRIFÁSICO POTÊNCIA DE 2 CV, SEM CARREGADOR - CHI DIURNO. AF_05/2023</v>
      </c>
      <c r="E94" s="23" t="str">
        <f>VLOOKUP(B94,IF(A94="COMPOSICAO",S!$A:$E,I!$A:$E),4,FALSE)</f>
        <v>CHI</v>
      </c>
      <c r="F94" s="23">
        <v>2.62</v>
      </c>
      <c r="G94" s="76">
        <f>IF(A94="COMPOSICAO",VLOOKUP("TOTAL SEM BDI - "&amp;B94,CPUAUX2!$A:$J,9,FALSE),VLOOKUP(B94,I!$A:$E,5,FALSE))</f>
        <v>0.49</v>
      </c>
      <c r="H94" s="77"/>
      <c r="I94" s="76">
        <f>TRUNC(F94*G94,2)</f>
        <v>1.28</v>
      </c>
      <c r="J94" s="77"/>
      <c r="M94" s="23">
        <f>B94</f>
        <v>88831</v>
      </c>
      <c r="N94" s="23">
        <f>SUMIF(CPU!M:M,B93,CPU!O:O)</f>
        <v>7.8000000000000007</v>
      </c>
      <c r="O94" s="23">
        <f>F94*N94</f>
        <v>20.436000000000003</v>
      </c>
      <c r="Q94" s="23">
        <f ca="1">SUMIF(CPU!M:M,B93,CPU!R:R)</f>
        <v>2.6</v>
      </c>
      <c r="R94" s="23">
        <f ca="1">F94*Q94</f>
        <v>6.8120000000000003</v>
      </c>
    </row>
    <row r="95" spans="1:18" ht="60" customHeight="1" x14ac:dyDescent="0.3">
      <c r="A95" s="23" t="s">
        <v>1004</v>
      </c>
      <c r="B95" s="23">
        <v>88830</v>
      </c>
      <c r="C95" s="23" t="str">
        <f>VLOOKUP(B95,IF(A95="COMPOSICAO",S!$A:$E,I!$A:$E),2,FALSE)</f>
        <v>SINAPI</v>
      </c>
      <c r="D95" s="24" t="str">
        <f>VLOOKUP(B95,IF(A95="COMPOSICAO",S!$A:$E,I!$A:$E),3,FALSE)</f>
        <v>BETONEIRA CAPACIDADE NOMINAL DE 400 L, CAPACIDADE DE MISTURA 280 L, MOTOR ELÉTRICO TRIFÁSICO POTÊNCIA DE 2 CV, SEM CARREGADOR - CHP DIURNO. AF_05/2023</v>
      </c>
      <c r="E95" s="23" t="str">
        <f>VLOOKUP(B95,IF(A95="COMPOSICAO",S!$A:$E,I!$A:$E),4,FALSE)</f>
        <v>CHP</v>
      </c>
      <c r="F95" s="23">
        <v>0.8</v>
      </c>
      <c r="G95" s="76">
        <f>IF(A95="COMPOSICAO",VLOOKUP("TOTAL SEM BDI - "&amp;B95,CPUAUX2!$A:$J,9,FALSE),VLOOKUP(B95,I!$A:$E,5,FALSE))</f>
        <v>2.3000000000000003</v>
      </c>
      <c r="H95" s="77"/>
      <c r="I95" s="76">
        <f>TRUNC(F95*G95,2)</f>
        <v>1.84</v>
      </c>
      <c r="J95" s="77"/>
      <c r="M95" s="23">
        <f>B95</f>
        <v>88830</v>
      </c>
      <c r="N95" s="23">
        <f>SUMIF(CPU!M:M,B93,CPU!O:O)</f>
        <v>7.8000000000000007</v>
      </c>
      <c r="O95" s="23">
        <f>F95*N95</f>
        <v>6.2400000000000011</v>
      </c>
      <c r="Q95" s="23">
        <f ca="1">SUMIF(CPU!M:M,B93,CPU!R:R)</f>
        <v>2.6</v>
      </c>
      <c r="R95" s="23">
        <f ca="1">F95*Q95</f>
        <v>2.08</v>
      </c>
    </row>
    <row r="96" spans="1:18" ht="30" customHeight="1" x14ac:dyDescent="0.3">
      <c r="A96" s="23" t="s">
        <v>1004</v>
      </c>
      <c r="B96" s="23">
        <v>88377</v>
      </c>
      <c r="C96" s="23" t="str">
        <f>VLOOKUP(B96,IF(A96="COMPOSICAO",S!$A:$E,I!$A:$E),2,FALSE)</f>
        <v>SINAPI</v>
      </c>
      <c r="D96" s="24" t="str">
        <f>VLOOKUP(B96,IF(A96="COMPOSICAO",S!$A:$E,I!$A:$E),3,FALSE)</f>
        <v>OPERADOR DE BETONEIRA ESTACIONÁRIA/MISTURADOR COM ENCARGOS COMPLEMENTARES</v>
      </c>
      <c r="E96" s="23" t="str">
        <f>VLOOKUP(B96,IF(A96="COMPOSICAO",S!$A:$E,I!$A:$E),4,FALSE)</f>
        <v>H</v>
      </c>
      <c r="F96" s="23">
        <f>3.42/pcf</f>
        <v>3.42</v>
      </c>
      <c r="G96" s="76">
        <f>IF(A96="COMPOSICAO",VLOOKUP("TOTAL SEM BDI - "&amp;B96,CPUAUX2!$A:$J,9,FALSE),VLOOKUP(B96,I!$A:$E,5,FALSE))</f>
        <v>27.09</v>
      </c>
      <c r="H96" s="77"/>
      <c r="I96" s="76">
        <f>TRUNC(F96*G96,2)</f>
        <v>92.64</v>
      </c>
      <c r="J96" s="77"/>
      <c r="M96" s="23">
        <f>B96</f>
        <v>88377</v>
      </c>
      <c r="N96" s="23">
        <f>SUMIF(CPU!M:M,B93,CPU!O:O)</f>
        <v>7.8000000000000007</v>
      </c>
      <c r="O96" s="23">
        <f>F96*N96</f>
        <v>26.676000000000002</v>
      </c>
      <c r="Q96" s="23">
        <f ca="1">SUMIF(CPU!M:M,B93,CPU!R:R)</f>
        <v>2.6</v>
      </c>
      <c r="R96" s="23">
        <f ca="1">F96*Q96</f>
        <v>8.8919999999999995</v>
      </c>
    </row>
    <row r="97" spans="1:18" x14ac:dyDescent="0.3">
      <c r="A97" s="23" t="s">
        <v>1005</v>
      </c>
      <c r="B97" s="23">
        <v>1379</v>
      </c>
      <c r="C97" s="23" t="str">
        <f>VLOOKUP(B97,IF(A97="COMPOSICAO",S!$A:$E,I!$A:$E),2,FALSE)</f>
        <v>SINAPI</v>
      </c>
      <c r="D97" s="24" t="str">
        <f>VLOOKUP(B97,IF(A97="COMPOSICAO",S!$A:$E,I!$A:$E),3,FALSE)</f>
        <v>CIMENTO PORTLAND COMPOSTO CP II-32</v>
      </c>
      <c r="E97" s="23" t="str">
        <f>VLOOKUP(B97,IF(A97="COMPOSICAO",S!$A:$E,I!$A:$E),4,FALSE)</f>
        <v>KG</v>
      </c>
      <c r="F97" s="23">
        <v>483.7</v>
      </c>
      <c r="G97" s="76">
        <f>IF(A97="COMPOSICAO",VLOOKUP("TOTAL SEM BDI - "&amp;B97,CPUAUX2!$A:$J,9,FALSE),VLOOKUP(B97,I!$A:$E,5,FALSE))</f>
        <v>1</v>
      </c>
      <c r="H97" s="77"/>
      <c r="I97" s="76">
        <f>TRUNC(F97*G97,2)</f>
        <v>483.7</v>
      </c>
      <c r="J97" s="77"/>
      <c r="M97" s="23">
        <f>B97</f>
        <v>1379</v>
      </c>
      <c r="N97" s="23">
        <f>SUMIF(CPU!M:M,B93,CPU!O:O)</f>
        <v>7.8000000000000007</v>
      </c>
      <c r="O97" s="23">
        <f>F97*N97</f>
        <v>3772.86</v>
      </c>
      <c r="Q97" s="23">
        <f ca="1">SUMIF(CPU!M:M,B93,CPU!R:R)</f>
        <v>2.6</v>
      </c>
      <c r="R97" s="23">
        <f ca="1">F97*Q97</f>
        <v>1257.6200000000001</v>
      </c>
    </row>
    <row r="98" spans="1:18" ht="30" customHeight="1" x14ac:dyDescent="0.3">
      <c r="A98" s="23" t="s">
        <v>1005</v>
      </c>
      <c r="B98" s="23">
        <v>370</v>
      </c>
      <c r="C98" s="23" t="str">
        <f>VLOOKUP(B98,IF(A98="COMPOSICAO",S!$A:$E,I!$A:$E),2,FALSE)</f>
        <v>SINAPI</v>
      </c>
      <c r="D98" s="24" t="str">
        <f>VLOOKUP(B98,IF(A98="COMPOSICAO",S!$A:$E,I!$A:$E),3,FALSE)</f>
        <v>AREIA MEDIA - POSTO JAZIDA/FORNECEDOR (RETIRADO NA JAZIDA, SEM TRANSPORTE)</v>
      </c>
      <c r="E98" s="23" t="str">
        <f>VLOOKUP(B98,IF(A98="COMPOSICAO",S!$A:$E,I!$A:$E),4,FALSE)</f>
        <v>M3</v>
      </c>
      <c r="F98" s="23">
        <v>1.07</v>
      </c>
      <c r="G98" s="76">
        <f>IF(A98="COMPOSICAO",VLOOKUP("TOTAL SEM BDI - "&amp;B98,CPUAUX2!$A:$J,9,FALSE),VLOOKUP(B98,I!$A:$E,5,FALSE))</f>
        <v>90</v>
      </c>
      <c r="H98" s="77"/>
      <c r="I98" s="76">
        <f>TRUNC(F98*G98,2)</f>
        <v>96.3</v>
      </c>
      <c r="J98" s="77"/>
      <c r="M98" s="23">
        <f>B98</f>
        <v>370</v>
      </c>
      <c r="N98" s="23">
        <f>SUMIF(CPU!M:M,B93,CPU!O:O)</f>
        <v>7.8000000000000007</v>
      </c>
      <c r="O98" s="23">
        <f>F98*N98</f>
        <v>8.3460000000000019</v>
      </c>
      <c r="Q98" s="23">
        <f ca="1">SUMIF(CPU!M:M,B93,CPU!R:R)</f>
        <v>2.6</v>
      </c>
      <c r="R98" s="23">
        <f ca="1">F98*Q98</f>
        <v>2.7820000000000005</v>
      </c>
    </row>
    <row r="99" spans="1:18" x14ac:dyDescent="0.3">
      <c r="A99" s="73" t="str">
        <f>"TOTAL SEM BDI - "&amp;B93</f>
        <v>TOTAL SEM BDI - 88628</v>
      </c>
      <c r="B99" s="74"/>
      <c r="C99" s="74"/>
      <c r="D99" s="74"/>
      <c r="E99" s="74"/>
      <c r="F99" s="74"/>
      <c r="G99" s="74"/>
      <c r="H99" s="75"/>
      <c r="I99" s="76">
        <f>SUM(I93:I98)</f>
        <v>675.76</v>
      </c>
      <c r="J99" s="77"/>
    </row>
    <row r="101" spans="1:18" x14ac:dyDescent="0.3">
      <c r="A101" s="4" t="s">
        <v>1000</v>
      </c>
      <c r="B101" s="4" t="s">
        <v>170</v>
      </c>
      <c r="C101" s="4" t="s">
        <v>171</v>
      </c>
      <c r="D101" s="4" t="s">
        <v>18</v>
      </c>
      <c r="E101" s="4" t="s">
        <v>172</v>
      </c>
      <c r="F101" s="4" t="s">
        <v>507</v>
      </c>
      <c r="G101" s="45" t="s">
        <v>1001</v>
      </c>
      <c r="H101" s="46"/>
      <c r="I101" s="45" t="s">
        <v>12</v>
      </c>
      <c r="J101" s="46"/>
    </row>
    <row r="102" spans="1:18" ht="60" customHeight="1" x14ac:dyDescent="0.3">
      <c r="A102" s="15" t="s">
        <v>1073</v>
      </c>
      <c r="B102" s="15">
        <v>94964</v>
      </c>
      <c r="C102" s="15" t="str">
        <f>VLOOKUP(B102,S!$A:$G,2,FALSE)</f>
        <v>SINAPI</v>
      </c>
      <c r="D102" s="22" t="str">
        <f>VLOOKUP(B102,S!$A:$G,3,FALSE)</f>
        <v>CONCRETO FCK = 20MPA, TRAÇO 1:2,7:3 (EM MASSA SECA DE CIMENTO/ AREIA MÉDIA/ BRITA 1) - PREPARO MECÂNICO COM BETONEIRA 400 L. AF_05/2021</v>
      </c>
      <c r="E102" s="15" t="str">
        <f>VLOOKUP(B102,S!$A:$G,4,FALSE)</f>
        <v>M3</v>
      </c>
      <c r="F102" s="15"/>
      <c r="G102" s="78">
        <f>I110</f>
        <v>629.44000000000005</v>
      </c>
      <c r="H102" s="79"/>
      <c r="I102" s="78"/>
      <c r="J102" s="79"/>
      <c r="K102" s="16">
        <f>VLOOKUP(B102,S!A:G,5,FALSE)</f>
        <v>629.44000000000005</v>
      </c>
      <c r="L102" s="15" t="str">
        <f>IF(K102=G102,"OK, CONFORME TABELA",IF(G102&gt;K102,"ACIMA DA TABELA: ","ABAIXO DA TABELA: ")&amp;TRUNC((G102*100)/K102,2)&amp;" %")</f>
        <v>OK, CONFORME TABELA</v>
      </c>
    </row>
    <row r="103" spans="1:18" ht="60" customHeight="1" x14ac:dyDescent="0.3">
      <c r="A103" s="23" t="s">
        <v>1004</v>
      </c>
      <c r="B103" s="23">
        <v>88831</v>
      </c>
      <c r="C103" s="23" t="str">
        <f>VLOOKUP(B103,IF(A103="COMPOSICAO",S!$A:$E,I!$A:$E),2,FALSE)</f>
        <v>SINAPI</v>
      </c>
      <c r="D103" s="24" t="str">
        <f>VLOOKUP(B103,IF(A103="COMPOSICAO",S!$A:$E,I!$A:$E),3,FALSE)</f>
        <v>BETONEIRA CAPACIDADE NOMINAL DE 400 L, CAPACIDADE DE MISTURA 280 L, MOTOR ELÉTRICO TRIFÁSICO POTÊNCIA DE 2 CV, SEM CARREGADOR - CHI DIURNO. AF_05/2023</v>
      </c>
      <c r="E103" s="23" t="str">
        <f>VLOOKUP(B103,IF(A103="COMPOSICAO",S!$A:$E,I!$A:$E),4,FALSE)</f>
        <v>CHI</v>
      </c>
      <c r="F103" s="23">
        <v>0.77869999999999995</v>
      </c>
      <c r="G103" s="76">
        <f>IF(A103="COMPOSICAO",VLOOKUP("TOTAL SEM BDI - "&amp;B103,CPUAUX2!$A:$J,9,FALSE),VLOOKUP(B103,I!$A:$E,5,FALSE))</f>
        <v>0.49</v>
      </c>
      <c r="H103" s="77"/>
      <c r="I103" s="76">
        <f t="shared" ref="I103:I109" si="32">TRUNC(F103*G103,2)</f>
        <v>0.38</v>
      </c>
      <c r="J103" s="77"/>
      <c r="M103" s="23">
        <f t="shared" ref="M103:M109" si="33">B103</f>
        <v>88831</v>
      </c>
      <c r="N103" s="23">
        <f>SUMIF(CPU!M:M,B102,CPU!O:O)</f>
        <v>4.2096</v>
      </c>
      <c r="O103" s="23">
        <f t="shared" ref="O103:O109" si="34">F103*N103</f>
        <v>3.2780155199999998</v>
      </c>
      <c r="Q103" s="23">
        <f ca="1">SUMIF(CPU!M:M,B102,CPU!R:R)</f>
        <v>1.4032</v>
      </c>
      <c r="R103" s="23">
        <f t="shared" ref="R103:R109" ca="1" si="35">F103*Q103</f>
        <v>1.0926718399999999</v>
      </c>
    </row>
    <row r="104" spans="1:18" ht="60" customHeight="1" x14ac:dyDescent="0.3">
      <c r="A104" s="23" t="s">
        <v>1004</v>
      </c>
      <c r="B104" s="23">
        <v>88830</v>
      </c>
      <c r="C104" s="23" t="str">
        <f>VLOOKUP(B104,IF(A104="COMPOSICAO",S!$A:$E,I!$A:$E),2,FALSE)</f>
        <v>SINAPI</v>
      </c>
      <c r="D104" s="24" t="str">
        <f>VLOOKUP(B104,IF(A104="COMPOSICAO",S!$A:$E,I!$A:$E),3,FALSE)</f>
        <v>BETONEIRA CAPACIDADE NOMINAL DE 400 L, CAPACIDADE DE MISTURA 280 L, MOTOR ELÉTRICO TRIFÁSICO POTÊNCIA DE 2 CV, SEM CARREGADOR - CHP DIURNO. AF_05/2023</v>
      </c>
      <c r="E104" s="23" t="str">
        <f>VLOOKUP(B104,IF(A104="COMPOSICAO",S!$A:$E,I!$A:$E),4,FALSE)</f>
        <v>CHP</v>
      </c>
      <c r="F104" s="23">
        <v>0.82589999999999997</v>
      </c>
      <c r="G104" s="76">
        <f>IF(A104="COMPOSICAO",VLOOKUP("TOTAL SEM BDI - "&amp;B104,CPUAUX2!$A:$J,9,FALSE),VLOOKUP(B104,I!$A:$E,5,FALSE))</f>
        <v>2.3000000000000003</v>
      </c>
      <c r="H104" s="77"/>
      <c r="I104" s="76">
        <f t="shared" si="32"/>
        <v>1.89</v>
      </c>
      <c r="J104" s="77"/>
      <c r="M104" s="23">
        <f t="shared" si="33"/>
        <v>88830</v>
      </c>
      <c r="N104" s="23">
        <f>SUMIF(CPU!M:M,B102,CPU!O:O)</f>
        <v>4.2096</v>
      </c>
      <c r="O104" s="23">
        <f t="shared" si="34"/>
        <v>3.47670864</v>
      </c>
      <c r="Q104" s="23">
        <f ca="1">SUMIF(CPU!M:M,B102,CPU!R:R)</f>
        <v>1.4032</v>
      </c>
      <c r="R104" s="23">
        <f t="shared" ca="1" si="35"/>
        <v>1.1589028799999999</v>
      </c>
    </row>
    <row r="105" spans="1:18" ht="30" customHeight="1" x14ac:dyDescent="0.3">
      <c r="A105" s="23" t="s">
        <v>1004</v>
      </c>
      <c r="B105" s="23">
        <v>88377</v>
      </c>
      <c r="C105" s="23" t="str">
        <f>VLOOKUP(B105,IF(A105="COMPOSICAO",S!$A:$E,I!$A:$E),2,FALSE)</f>
        <v>SINAPI</v>
      </c>
      <c r="D105" s="24" t="str">
        <f>VLOOKUP(B105,IF(A105="COMPOSICAO",S!$A:$E,I!$A:$E),3,FALSE)</f>
        <v>OPERADOR DE BETONEIRA ESTACIONÁRIA/MISTURADOR COM ENCARGOS COMPLEMENTARES</v>
      </c>
      <c r="E105" s="23" t="str">
        <f>VLOOKUP(B105,IF(A105="COMPOSICAO",S!$A:$E,I!$A:$E),4,FALSE)</f>
        <v>H</v>
      </c>
      <c r="F105" s="23">
        <f>1.6046/pcf</f>
        <v>1.6046</v>
      </c>
      <c r="G105" s="76">
        <f>IF(A105="COMPOSICAO",VLOOKUP("TOTAL SEM BDI - "&amp;B105,CPUAUX2!$A:$J,9,FALSE),VLOOKUP(B105,I!$A:$E,5,FALSE))</f>
        <v>27.09</v>
      </c>
      <c r="H105" s="77"/>
      <c r="I105" s="76">
        <f t="shared" si="32"/>
        <v>43.46</v>
      </c>
      <c r="J105" s="77"/>
      <c r="M105" s="23">
        <f t="shared" si="33"/>
        <v>88377</v>
      </c>
      <c r="N105" s="23">
        <f>SUMIF(CPU!M:M,B102,CPU!O:O)</f>
        <v>4.2096</v>
      </c>
      <c r="O105" s="23">
        <f t="shared" si="34"/>
        <v>6.7547241600000003</v>
      </c>
      <c r="Q105" s="23">
        <f ca="1">SUMIF(CPU!M:M,B102,CPU!R:R)</f>
        <v>1.4032</v>
      </c>
      <c r="R105" s="23">
        <f t="shared" ca="1" si="35"/>
        <v>2.2515747200000003</v>
      </c>
    </row>
    <row r="106" spans="1:18" x14ac:dyDescent="0.3">
      <c r="A106" s="23" t="s">
        <v>1004</v>
      </c>
      <c r="B106" s="23">
        <v>88316</v>
      </c>
      <c r="C106" s="23" t="str">
        <f>VLOOKUP(B106,IF(A106="COMPOSICAO",S!$A:$E,I!$A:$E),2,FALSE)</f>
        <v>SINAPI</v>
      </c>
      <c r="D106" s="24" t="str">
        <f>VLOOKUP(B106,IF(A106="COMPOSICAO",S!$A:$E,I!$A:$E),3,FALSE)</f>
        <v>SERVENTE COM ENCARGOS COMPLEMENTARES</v>
      </c>
      <c r="E106" s="23" t="str">
        <f>VLOOKUP(B106,IF(A106="COMPOSICAO",S!$A:$E,I!$A:$E),4,FALSE)</f>
        <v>H</v>
      </c>
      <c r="F106" s="23">
        <f>2.5333/pcf</f>
        <v>2.5333000000000001</v>
      </c>
      <c r="G106" s="76">
        <f>IF(A106="COMPOSICAO",VLOOKUP("TOTAL SEM BDI - "&amp;B106,CPUAUX2!$A:$J,9,FALSE),VLOOKUP(B106,I!$A:$E,5,FALSE))</f>
        <v>21.71</v>
      </c>
      <c r="H106" s="77"/>
      <c r="I106" s="76">
        <f t="shared" si="32"/>
        <v>54.99</v>
      </c>
      <c r="J106" s="77"/>
      <c r="M106" s="23">
        <f t="shared" si="33"/>
        <v>88316</v>
      </c>
      <c r="N106" s="23">
        <f>SUMIF(CPU!M:M,B102,CPU!O:O)</f>
        <v>4.2096</v>
      </c>
      <c r="O106" s="23">
        <f t="shared" si="34"/>
        <v>10.66417968</v>
      </c>
      <c r="Q106" s="23">
        <f ca="1">SUMIF(CPU!M:M,B102,CPU!R:R)</f>
        <v>1.4032</v>
      </c>
      <c r="R106" s="23">
        <f t="shared" ca="1" si="35"/>
        <v>3.5547265600000002</v>
      </c>
    </row>
    <row r="107" spans="1:18" ht="30" customHeight="1" x14ac:dyDescent="0.3">
      <c r="A107" s="23" t="s">
        <v>1005</v>
      </c>
      <c r="B107" s="23">
        <v>4721</v>
      </c>
      <c r="C107" s="23" t="str">
        <f>VLOOKUP(B107,IF(A107="COMPOSICAO",S!$A:$E,I!$A:$E),2,FALSE)</f>
        <v>SINAPI</v>
      </c>
      <c r="D107" s="24" t="str">
        <f>VLOOKUP(B107,IF(A107="COMPOSICAO",S!$A:$E,I!$A:$E),3,FALSE)</f>
        <v>PEDRA BRITADA N. 1 (9,5 A 19 MM) POSTO PEDREIRA/FORNECEDOR, SEM FRETE</v>
      </c>
      <c r="E107" s="23" t="str">
        <f>VLOOKUP(B107,IF(A107="COMPOSICAO",S!$A:$E,I!$A:$E),4,FALSE)</f>
        <v>M3</v>
      </c>
      <c r="F107" s="23">
        <v>0.58720000000000006</v>
      </c>
      <c r="G107" s="76">
        <f>IF(A107="COMPOSICAO",VLOOKUP("TOTAL SEM BDI - "&amp;B107,CPUAUX2!$A:$J,9,FALSE),VLOOKUP(B107,I!$A:$E,5,FALSE))</f>
        <v>234.56</v>
      </c>
      <c r="H107" s="77"/>
      <c r="I107" s="76">
        <f t="shared" si="32"/>
        <v>137.72999999999999</v>
      </c>
      <c r="J107" s="77"/>
      <c r="M107" s="23">
        <f t="shared" si="33"/>
        <v>4721</v>
      </c>
      <c r="N107" s="23">
        <f>SUMIF(CPU!M:M,B102,CPU!O:O)</f>
        <v>4.2096</v>
      </c>
      <c r="O107" s="23">
        <f t="shared" si="34"/>
        <v>2.4718771200000003</v>
      </c>
      <c r="Q107" s="23">
        <f ca="1">SUMIF(CPU!M:M,B102,CPU!R:R)</f>
        <v>1.4032</v>
      </c>
      <c r="R107" s="23">
        <f t="shared" ca="1" si="35"/>
        <v>0.82395904000000009</v>
      </c>
    </row>
    <row r="108" spans="1:18" x14ac:dyDescent="0.3">
      <c r="A108" s="23" t="s">
        <v>1005</v>
      </c>
      <c r="B108" s="23">
        <v>1379</v>
      </c>
      <c r="C108" s="23" t="str">
        <f>VLOOKUP(B108,IF(A108="COMPOSICAO",S!$A:$E,I!$A:$E),2,FALSE)</f>
        <v>SINAPI</v>
      </c>
      <c r="D108" s="24" t="str">
        <f>VLOOKUP(B108,IF(A108="COMPOSICAO",S!$A:$E,I!$A:$E),3,FALSE)</f>
        <v>CIMENTO PORTLAND COMPOSTO CP II-32</v>
      </c>
      <c r="E108" s="23" t="str">
        <f>VLOOKUP(B108,IF(A108="COMPOSICAO",S!$A:$E,I!$A:$E),4,FALSE)</f>
        <v>KG</v>
      </c>
      <c r="F108" s="23">
        <v>322.97770000000003</v>
      </c>
      <c r="G108" s="76">
        <f>IF(A108="COMPOSICAO",VLOOKUP("TOTAL SEM BDI - "&amp;B108,CPUAUX2!$A:$J,9,FALSE),VLOOKUP(B108,I!$A:$E,5,FALSE))</f>
        <v>1</v>
      </c>
      <c r="H108" s="77"/>
      <c r="I108" s="76">
        <f t="shared" si="32"/>
        <v>322.97000000000003</v>
      </c>
      <c r="J108" s="77"/>
      <c r="M108" s="23">
        <f t="shared" si="33"/>
        <v>1379</v>
      </c>
      <c r="N108" s="23">
        <f>SUMIF(CPU!M:M,B102,CPU!O:O)</f>
        <v>4.2096</v>
      </c>
      <c r="O108" s="23">
        <f t="shared" si="34"/>
        <v>1359.6069259200001</v>
      </c>
      <c r="Q108" s="23">
        <f ca="1">SUMIF(CPU!M:M,B102,CPU!R:R)</f>
        <v>1.4032</v>
      </c>
      <c r="R108" s="23">
        <f t="shared" ca="1" si="35"/>
        <v>453.20230864000001</v>
      </c>
    </row>
    <row r="109" spans="1:18" ht="30" customHeight="1" x14ac:dyDescent="0.3">
      <c r="A109" s="23" t="s">
        <v>1005</v>
      </c>
      <c r="B109" s="23">
        <v>370</v>
      </c>
      <c r="C109" s="23" t="str">
        <f>VLOOKUP(B109,IF(A109="COMPOSICAO",S!$A:$E,I!$A:$E),2,FALSE)</f>
        <v>SINAPI</v>
      </c>
      <c r="D109" s="24" t="str">
        <f>VLOOKUP(B109,IF(A109="COMPOSICAO",S!$A:$E,I!$A:$E),3,FALSE)</f>
        <v>AREIA MEDIA - POSTO JAZIDA/FORNECEDOR (RETIRADO NA JAZIDA, SEM TRANSPORTE)</v>
      </c>
      <c r="E109" s="23" t="str">
        <f>VLOOKUP(B109,IF(A109="COMPOSICAO",S!$A:$E,I!$A:$E),4,FALSE)</f>
        <v>M3</v>
      </c>
      <c r="F109" s="23">
        <v>0.75580000000000003</v>
      </c>
      <c r="G109" s="76">
        <f>IF(A109="COMPOSICAO",VLOOKUP("TOTAL SEM BDI - "&amp;B109,CPUAUX2!$A:$J,9,FALSE),VLOOKUP(B109,I!$A:$E,5,FALSE))</f>
        <v>90</v>
      </c>
      <c r="H109" s="77"/>
      <c r="I109" s="76">
        <f t="shared" si="32"/>
        <v>68.02</v>
      </c>
      <c r="J109" s="77"/>
      <c r="M109" s="23">
        <f t="shared" si="33"/>
        <v>370</v>
      </c>
      <c r="N109" s="23">
        <f>SUMIF(CPU!M:M,B102,CPU!O:O)</f>
        <v>4.2096</v>
      </c>
      <c r="O109" s="23">
        <f t="shared" si="34"/>
        <v>3.1816156800000002</v>
      </c>
      <c r="Q109" s="23">
        <f ca="1">SUMIF(CPU!M:M,B102,CPU!R:R)</f>
        <v>1.4032</v>
      </c>
      <c r="R109" s="23">
        <f t="shared" ca="1" si="35"/>
        <v>1.0605385600000001</v>
      </c>
    </row>
    <row r="110" spans="1:18" x14ac:dyDescent="0.3">
      <c r="A110" s="73" t="str">
        <f>"TOTAL SEM BDI - "&amp;B102</f>
        <v>TOTAL SEM BDI - 94964</v>
      </c>
      <c r="B110" s="74"/>
      <c r="C110" s="74"/>
      <c r="D110" s="74"/>
      <c r="E110" s="74"/>
      <c r="F110" s="74"/>
      <c r="G110" s="74"/>
      <c r="H110" s="75"/>
      <c r="I110" s="76">
        <f>SUM(I102:I109)</f>
        <v>629.44000000000005</v>
      </c>
      <c r="J110" s="77"/>
    </row>
    <row r="112" spans="1:18" x14ac:dyDescent="0.3">
      <c r="A112" s="4" t="s">
        <v>1000</v>
      </c>
      <c r="B112" s="4" t="s">
        <v>170</v>
      </c>
      <c r="C112" s="4" t="s">
        <v>171</v>
      </c>
      <c r="D112" s="4" t="s">
        <v>18</v>
      </c>
      <c r="E112" s="4" t="s">
        <v>172</v>
      </c>
      <c r="F112" s="4" t="s">
        <v>507</v>
      </c>
      <c r="G112" s="45" t="s">
        <v>1001</v>
      </c>
      <c r="H112" s="46"/>
      <c r="I112" s="45" t="s">
        <v>12</v>
      </c>
      <c r="J112" s="46"/>
    </row>
    <row r="113" spans="1:18" ht="60" customHeight="1" x14ac:dyDescent="0.3">
      <c r="A113" s="15" t="s">
        <v>1074</v>
      </c>
      <c r="B113" s="15">
        <v>97086</v>
      </c>
      <c r="C113" s="15" t="str">
        <f>VLOOKUP(B113,S!$A:$G,2,FALSE)</f>
        <v>SINAPI</v>
      </c>
      <c r="D113" s="22" t="str">
        <f>VLOOKUP(B113,S!$A:$G,3,FALSE)</f>
        <v>FABRICAÇÃO, MONTAGEM E DESMONTAGEM DE FORMA PARA RADIER, PISO DE CONCRETO OU LAJE SOBRE SOLO, EM MADEIRA SERRADA, 4 UTILIZAÇÕES. AF_09/2021</v>
      </c>
      <c r="E113" s="15" t="str">
        <f>VLOOKUP(B113,S!$A:$G,4,FALSE)</f>
        <v>M2</v>
      </c>
      <c r="F113" s="15"/>
      <c r="G113" s="78">
        <f>I121</f>
        <v>122.43</v>
      </c>
      <c r="H113" s="79"/>
      <c r="I113" s="78"/>
      <c r="J113" s="79"/>
      <c r="K113" s="16">
        <f>VLOOKUP(B113,S!A:G,5,FALSE)</f>
        <v>122.43</v>
      </c>
      <c r="L113" s="15" t="str">
        <f>IF(K113=G113,"OK, CONFORME TABELA",IF(G113&gt;K113,"ACIMA DA TABELA: ","ABAIXO DA TABELA: ")&amp;TRUNC((G113*100)/K113,2)&amp;" %")</f>
        <v>OK, CONFORME TABELA</v>
      </c>
    </row>
    <row r="114" spans="1:18" ht="30" customHeight="1" x14ac:dyDescent="0.3">
      <c r="A114" s="23" t="s">
        <v>1004</v>
      </c>
      <c r="B114" s="23">
        <v>88262</v>
      </c>
      <c r="C114" s="23" t="str">
        <f>VLOOKUP(B114,IF(A114="COMPOSICAO",S!$A:$E,I!$A:$E),2,FALSE)</f>
        <v>SINAPI</v>
      </c>
      <c r="D114" s="24" t="str">
        <f>VLOOKUP(B114,IF(A114="COMPOSICAO",S!$A:$E,I!$A:$E),3,FALSE)</f>
        <v>CARPINTEIRO DE FORMAS COM ENCARGOS COMPLEMENTARES</v>
      </c>
      <c r="E114" s="23" t="str">
        <f>VLOOKUP(B114,IF(A114="COMPOSICAO",S!$A:$E,I!$A:$E),4,FALSE)</f>
        <v>H</v>
      </c>
      <c r="F114" s="23">
        <f>2.357/pcf</f>
        <v>2.3570000000000002</v>
      </c>
      <c r="G114" s="76">
        <f>IF(A114="COMPOSICAO",VLOOKUP("TOTAL SEM BDI - "&amp;B114,CPUAUX2!$A:$J,9,FALSE),VLOOKUP(B114,I!$A:$E,5,FALSE))</f>
        <v>26.97</v>
      </c>
      <c r="H114" s="77"/>
      <c r="I114" s="76">
        <f t="shared" ref="I114:I120" si="36">TRUNC(F114*G114,2)</f>
        <v>63.56</v>
      </c>
      <c r="J114" s="77"/>
      <c r="M114" s="23">
        <f t="shared" ref="M114:M120" si="37">B114</f>
        <v>88262</v>
      </c>
      <c r="N114" s="23">
        <f>SUMIF(CPU!M:M,B113,CPU!O:O)</f>
        <v>3.6</v>
      </c>
      <c r="O114" s="23">
        <f t="shared" ref="O114:O120" si="38">F114*N114</f>
        <v>8.4852000000000007</v>
      </c>
      <c r="Q114" s="23">
        <f ca="1">SUMIF(CPU!M:M,B113,CPU!R:R)</f>
        <v>1.2</v>
      </c>
      <c r="R114" s="23">
        <f t="shared" ref="R114:R120" ca="1" si="39">F114*Q114</f>
        <v>2.8284000000000002</v>
      </c>
    </row>
    <row r="115" spans="1:18" ht="30" customHeight="1" x14ac:dyDescent="0.3">
      <c r="A115" s="23" t="s">
        <v>1004</v>
      </c>
      <c r="B115" s="23">
        <v>88239</v>
      </c>
      <c r="C115" s="23" t="str">
        <f>VLOOKUP(B115,IF(A115="COMPOSICAO",S!$A:$E,I!$A:$E),2,FALSE)</f>
        <v>SINAPI</v>
      </c>
      <c r="D115" s="24" t="str">
        <f>VLOOKUP(B115,IF(A115="COMPOSICAO",S!$A:$E,I!$A:$E),3,FALSE)</f>
        <v>AJUDANTE DE CARPINTEIRO COM ENCARGOS COMPLEMENTARES</v>
      </c>
      <c r="E115" s="23" t="str">
        <f>VLOOKUP(B115,IF(A115="COMPOSICAO",S!$A:$E,I!$A:$E),4,FALSE)</f>
        <v>H</v>
      </c>
      <c r="F115" s="23">
        <f>1.444/pcf</f>
        <v>1.444</v>
      </c>
      <c r="G115" s="76">
        <f>IF(A115="COMPOSICAO",VLOOKUP("TOTAL SEM BDI - "&amp;B115,CPUAUX2!$A:$J,9,FALSE),VLOOKUP(B115,I!$A:$E,5,FALSE))</f>
        <v>22.2</v>
      </c>
      <c r="H115" s="77"/>
      <c r="I115" s="76">
        <f t="shared" si="36"/>
        <v>32.049999999999997</v>
      </c>
      <c r="J115" s="77"/>
      <c r="M115" s="23">
        <f t="shared" si="37"/>
        <v>88239</v>
      </c>
      <c r="N115" s="23">
        <f>SUMIF(CPU!M:M,B113,CPU!O:O)</f>
        <v>3.6</v>
      </c>
      <c r="O115" s="23">
        <f t="shared" si="38"/>
        <v>5.1984000000000004</v>
      </c>
      <c r="Q115" s="23">
        <f ca="1">SUMIF(CPU!M:M,B113,CPU!R:R)</f>
        <v>1.2</v>
      </c>
      <c r="R115" s="23">
        <f t="shared" ca="1" si="39"/>
        <v>1.7327999999999999</v>
      </c>
    </row>
    <row r="116" spans="1:18" ht="45" customHeight="1" x14ac:dyDescent="0.3">
      <c r="A116" s="23" t="s">
        <v>1005</v>
      </c>
      <c r="B116" s="23">
        <v>6193</v>
      </c>
      <c r="C116" s="23" t="str">
        <f>VLOOKUP(B116,IF(A116="COMPOSICAO",S!$A:$E,I!$A:$E),2,FALSE)</f>
        <v>SINAPI</v>
      </c>
      <c r="D116" s="24" t="str">
        <f>VLOOKUP(B116,IF(A116="COMPOSICAO",S!$A:$E,I!$A:$E),3,FALSE)</f>
        <v>TABUA NAO APARELHADA *2,5 X 20* CM, EM MACARANDUBA/MASSARANDUBA, ANGELIM OU EQUIVALENTE DA REGIAO - BRUTA</v>
      </c>
      <c r="E116" s="23" t="str">
        <f>VLOOKUP(B116,IF(A116="COMPOSICAO",S!$A:$E,I!$A:$E),4,FALSE)</f>
        <v>M</v>
      </c>
      <c r="F116" s="23">
        <v>1.38</v>
      </c>
      <c r="G116" s="76">
        <f>IF(A116="COMPOSICAO",VLOOKUP("TOTAL SEM BDI - "&amp;B116,CPUAUX2!$A:$J,9,FALSE),VLOOKUP(B116,I!$A:$E,5,FALSE))</f>
        <v>14.13</v>
      </c>
      <c r="H116" s="77"/>
      <c r="I116" s="76">
        <f t="shared" si="36"/>
        <v>19.489999999999998</v>
      </c>
      <c r="J116" s="77"/>
      <c r="M116" s="23">
        <f t="shared" si="37"/>
        <v>6193</v>
      </c>
      <c r="N116" s="23">
        <f>SUMIF(CPU!M:M,B113,CPU!O:O)</f>
        <v>3.6</v>
      </c>
      <c r="O116" s="23">
        <f t="shared" si="38"/>
        <v>4.968</v>
      </c>
      <c r="Q116" s="23">
        <f ca="1">SUMIF(CPU!M:M,B113,CPU!R:R)</f>
        <v>1.2</v>
      </c>
      <c r="R116" s="23">
        <f t="shared" ca="1" si="39"/>
        <v>1.6559999999999999</v>
      </c>
    </row>
    <row r="117" spans="1:18" ht="30" customHeight="1" x14ac:dyDescent="0.3">
      <c r="A117" s="23" t="s">
        <v>1005</v>
      </c>
      <c r="B117" s="23">
        <v>5068</v>
      </c>
      <c r="C117" s="23" t="str">
        <f>VLOOKUP(B117,IF(A117="COMPOSICAO",S!$A:$E,I!$A:$E),2,FALSE)</f>
        <v>SINAPI</v>
      </c>
      <c r="D117" s="24" t="str">
        <f>VLOOKUP(B117,IF(A117="COMPOSICAO",S!$A:$E,I!$A:$E),3,FALSE)</f>
        <v>PREGO DE ACO POLIDO COM CABECA 17 X 21 (2 X 11)</v>
      </c>
      <c r="E117" s="23" t="str">
        <f>VLOOKUP(B117,IF(A117="COMPOSICAO",S!$A:$E,I!$A:$E),4,FALSE)</f>
        <v>KG</v>
      </c>
      <c r="F117" s="23">
        <v>9.5000000000000001E-2</v>
      </c>
      <c r="G117" s="76">
        <f>IF(A117="COMPOSICAO",VLOOKUP("TOTAL SEM BDI - "&amp;B117,CPUAUX2!$A:$J,9,FALSE),VLOOKUP(B117,I!$A:$E,5,FALSE))</f>
        <v>20.34</v>
      </c>
      <c r="H117" s="77"/>
      <c r="I117" s="76">
        <f t="shared" si="36"/>
        <v>1.93</v>
      </c>
      <c r="J117" s="77"/>
      <c r="M117" s="23">
        <f t="shared" si="37"/>
        <v>5068</v>
      </c>
      <c r="N117" s="23">
        <f>SUMIF(CPU!M:M,B113,CPU!O:O)</f>
        <v>3.6</v>
      </c>
      <c r="O117" s="23">
        <f t="shared" si="38"/>
        <v>0.34200000000000003</v>
      </c>
      <c r="Q117" s="23">
        <f ca="1">SUMIF(CPU!M:M,B113,CPU!R:R)</f>
        <v>1.2</v>
      </c>
      <c r="R117" s="23">
        <f t="shared" ca="1" si="39"/>
        <v>0.11399999999999999</v>
      </c>
    </row>
    <row r="118" spans="1:18" ht="30" customHeight="1" x14ac:dyDescent="0.3">
      <c r="A118" s="23" t="s">
        <v>1005</v>
      </c>
      <c r="B118" s="23">
        <v>4517</v>
      </c>
      <c r="C118" s="23" t="str">
        <f>VLOOKUP(B118,IF(A118="COMPOSICAO",S!$A:$E,I!$A:$E),2,FALSE)</f>
        <v>SINAPI</v>
      </c>
      <c r="D118" s="24" t="str">
        <f>VLOOKUP(B118,IF(A118="COMPOSICAO",S!$A:$E,I!$A:$E),3,FALSE)</f>
        <v>SARRAFO *2,5 X 7,5* CM EM PINUS, MISTA OU EQUIVALENTE DA REGIAO - BRUTA</v>
      </c>
      <c r="E118" s="23" t="str">
        <f>VLOOKUP(B118,IF(A118="COMPOSICAO",S!$A:$E,I!$A:$E),4,FALSE)</f>
        <v>M</v>
      </c>
      <c r="F118" s="23">
        <v>0.44</v>
      </c>
      <c r="G118" s="76">
        <f>IF(A118="COMPOSICAO",VLOOKUP("TOTAL SEM BDI - "&amp;B118,CPUAUX2!$A:$J,9,FALSE),VLOOKUP(B118,I!$A:$E,5,FALSE))</f>
        <v>3.49</v>
      </c>
      <c r="H118" s="77"/>
      <c r="I118" s="76">
        <f t="shared" si="36"/>
        <v>1.53</v>
      </c>
      <c r="J118" s="77"/>
      <c r="M118" s="23">
        <f t="shared" si="37"/>
        <v>4517</v>
      </c>
      <c r="N118" s="23">
        <f>SUMIF(CPU!M:M,B113,CPU!O:O)</f>
        <v>3.6</v>
      </c>
      <c r="O118" s="23">
        <f t="shared" si="38"/>
        <v>1.5840000000000001</v>
      </c>
      <c r="Q118" s="23">
        <f ca="1">SUMIF(CPU!M:M,B113,CPU!R:R)</f>
        <v>1.2</v>
      </c>
      <c r="R118" s="23">
        <f t="shared" ca="1" si="39"/>
        <v>0.52800000000000002</v>
      </c>
    </row>
    <row r="119" spans="1:18" ht="30" customHeight="1" x14ac:dyDescent="0.3">
      <c r="A119" s="23" t="s">
        <v>1005</v>
      </c>
      <c r="B119" s="23">
        <v>4491</v>
      </c>
      <c r="C119" s="23" t="str">
        <f>VLOOKUP(B119,IF(A119="COMPOSICAO",S!$A:$E,I!$A:$E),2,FALSE)</f>
        <v>SINAPI</v>
      </c>
      <c r="D119" s="24" t="str">
        <f>VLOOKUP(B119,IF(A119="COMPOSICAO",S!$A:$E,I!$A:$E),3,FALSE)</f>
        <v>PONTALETE *7,5 X 7,5* CM EM PINUS, MISTA OU EQUIVALENTE DA REGIAO - BRUTA</v>
      </c>
      <c r="E119" s="23" t="str">
        <f>VLOOKUP(B119,IF(A119="COMPOSICAO",S!$A:$E,I!$A:$E),4,FALSE)</f>
        <v>M</v>
      </c>
      <c r="F119" s="23">
        <v>0.37</v>
      </c>
      <c r="G119" s="76">
        <f>IF(A119="COMPOSICAO",VLOOKUP("TOTAL SEM BDI - "&amp;B119,CPUAUX2!$A:$J,9,FALSE),VLOOKUP(B119,I!$A:$E,5,FALSE))</f>
        <v>9.98</v>
      </c>
      <c r="H119" s="77"/>
      <c r="I119" s="76">
        <f t="shared" si="36"/>
        <v>3.69</v>
      </c>
      <c r="J119" s="77"/>
      <c r="M119" s="23">
        <f t="shared" si="37"/>
        <v>4491</v>
      </c>
      <c r="N119" s="23">
        <f>SUMIF(CPU!M:M,B113,CPU!O:O)</f>
        <v>3.6</v>
      </c>
      <c r="O119" s="23">
        <f t="shared" si="38"/>
        <v>1.3320000000000001</v>
      </c>
      <c r="Q119" s="23">
        <f ca="1">SUMIF(CPU!M:M,B113,CPU!R:R)</f>
        <v>1.2</v>
      </c>
      <c r="R119" s="23">
        <f t="shared" ca="1" si="39"/>
        <v>0.44400000000000001</v>
      </c>
    </row>
    <row r="120" spans="1:18" ht="30" customHeight="1" x14ac:dyDescent="0.3">
      <c r="A120" s="23" t="s">
        <v>1005</v>
      </c>
      <c r="B120" s="23">
        <v>2692</v>
      </c>
      <c r="C120" s="23" t="str">
        <f>VLOOKUP(B120,IF(A120="COMPOSICAO",S!$A:$E,I!$A:$E),2,FALSE)</f>
        <v>SINAPI</v>
      </c>
      <c r="D120" s="24" t="str">
        <f>VLOOKUP(B120,IF(A120="COMPOSICAO",S!$A:$E,I!$A:$E),3,FALSE)</f>
        <v>DESMOLDANTE PROTETOR PARA FORMAS DE MADEIRA, DE BASE OLEOSA EMULSIONADA EM AGUA</v>
      </c>
      <c r="E120" s="23" t="str">
        <f>VLOOKUP(B120,IF(A120="COMPOSICAO",S!$A:$E,I!$A:$E),4,FALSE)</f>
        <v>L</v>
      </c>
      <c r="F120" s="23">
        <v>1.7000000000000001E-2</v>
      </c>
      <c r="G120" s="76">
        <f>IF(A120="COMPOSICAO",VLOOKUP("TOTAL SEM BDI - "&amp;B120,CPUAUX2!$A:$J,9,FALSE),VLOOKUP(B120,I!$A:$E,5,FALSE))</f>
        <v>10.72</v>
      </c>
      <c r="H120" s="77"/>
      <c r="I120" s="76">
        <f t="shared" si="36"/>
        <v>0.18</v>
      </c>
      <c r="J120" s="77"/>
      <c r="M120" s="23">
        <f t="shared" si="37"/>
        <v>2692</v>
      </c>
      <c r="N120" s="23">
        <f>SUMIF(CPU!M:M,B113,CPU!O:O)</f>
        <v>3.6</v>
      </c>
      <c r="O120" s="23">
        <f t="shared" si="38"/>
        <v>6.1200000000000004E-2</v>
      </c>
      <c r="Q120" s="23">
        <f ca="1">SUMIF(CPU!M:M,B113,CPU!R:R)</f>
        <v>1.2</v>
      </c>
      <c r="R120" s="23">
        <f t="shared" ca="1" si="39"/>
        <v>2.0400000000000001E-2</v>
      </c>
    </row>
    <row r="121" spans="1:18" x14ac:dyDescent="0.3">
      <c r="A121" s="73" t="str">
        <f>"TOTAL SEM BDI - "&amp;B113</f>
        <v>TOTAL SEM BDI - 97086</v>
      </c>
      <c r="B121" s="74"/>
      <c r="C121" s="74"/>
      <c r="D121" s="74"/>
      <c r="E121" s="74"/>
      <c r="F121" s="74"/>
      <c r="G121" s="74"/>
      <c r="H121" s="75"/>
      <c r="I121" s="76">
        <f>SUM(I113:I120)</f>
        <v>122.43</v>
      </c>
      <c r="J121" s="77"/>
    </row>
    <row r="123" spans="1:18" x14ac:dyDescent="0.3">
      <c r="A123" s="4" t="s">
        <v>1000</v>
      </c>
      <c r="B123" s="4" t="s">
        <v>170</v>
      </c>
      <c r="C123" s="4" t="s">
        <v>171</v>
      </c>
      <c r="D123" s="4" t="s">
        <v>18</v>
      </c>
      <c r="E123" s="4" t="s">
        <v>172</v>
      </c>
      <c r="F123" s="4" t="s">
        <v>507</v>
      </c>
      <c r="G123" s="45" t="s">
        <v>1001</v>
      </c>
      <c r="H123" s="46"/>
      <c r="I123" s="45" t="s">
        <v>12</v>
      </c>
      <c r="J123" s="46"/>
    </row>
    <row r="124" spans="1:18" ht="30" customHeight="1" x14ac:dyDescent="0.3">
      <c r="A124" s="15" t="s">
        <v>1071</v>
      </c>
      <c r="B124" s="15">
        <v>88297</v>
      </c>
      <c r="C124" s="15" t="str">
        <f>VLOOKUP(B124,S!$A:$G,2,FALSE)</f>
        <v>SINAPI</v>
      </c>
      <c r="D124" s="22" t="str">
        <f>VLOOKUP(B124,S!$A:$G,3,FALSE)</f>
        <v>OPERADOR DE MÁQUINAS E EQUIPAMENTOS COM ENCARGOS COMPLEMENTARES</v>
      </c>
      <c r="E124" s="15" t="str">
        <f>VLOOKUP(B124,S!$A:$G,4,FALSE)</f>
        <v>H</v>
      </c>
      <c r="F124" s="15"/>
      <c r="G124" s="78">
        <f>I133</f>
        <v>27.16</v>
      </c>
      <c r="H124" s="79"/>
      <c r="I124" s="78"/>
      <c r="J124" s="79"/>
      <c r="K124" s="16">
        <f>VLOOKUP(B124,S!A:G,5,FALSE)</f>
        <v>27.16</v>
      </c>
      <c r="L124" s="15" t="str">
        <f>IF(K124=G124,"OK, CONFORME TABELA",IF(G124&gt;K124,"ACIMA DA TABELA: ","ABAIXO DA TABELA: ")&amp;TRUNC((G124*100)/K124,2)&amp;" %")</f>
        <v>OK, CONFORME TABELA</v>
      </c>
    </row>
    <row r="125" spans="1:18" ht="45" customHeight="1" x14ac:dyDescent="0.3">
      <c r="A125" s="23" t="s">
        <v>1004</v>
      </c>
      <c r="B125" s="23">
        <v>95360</v>
      </c>
      <c r="C125" s="23" t="str">
        <f>VLOOKUP(B125,IF(A125="COMPOSICAO",S!$A:$E,I!$A:$E),2,FALSE)</f>
        <v>SINAPI</v>
      </c>
      <c r="D125" s="24" t="str">
        <f>VLOOKUP(B125,IF(A125="COMPOSICAO",S!$A:$E,I!$A:$E),3,FALSE)</f>
        <v>CURSO DE CAPACITAÇÃO PARA OPERADOR DE MÁQUINAS E EQUIPAMENTOS (ENCARGOS COMPLEMENTARES) - HORISTA</v>
      </c>
      <c r="E125" s="23" t="str">
        <f>VLOOKUP(B125,IF(A125="COMPOSICAO",S!$A:$E,I!$A:$E),4,FALSE)</f>
        <v>H</v>
      </c>
      <c r="F125" s="23">
        <v>1</v>
      </c>
      <c r="G125" s="76">
        <f>IF(A125="COMPOSICAO",VLOOKUP("TOTAL SEM BDI - "&amp;B125,CPUAUX2!$A:$J,9,FALSE),VLOOKUP(B125,I!$A:$E,5,FALSE))</f>
        <v>0.24</v>
      </c>
      <c r="H125" s="77"/>
      <c r="I125" s="76">
        <f t="shared" ref="I125:I132" si="40">TRUNC(F125*G125,2)</f>
        <v>0.24</v>
      </c>
      <c r="J125" s="77"/>
      <c r="M125" s="23">
        <f t="shared" ref="M125:M132" si="41">B125</f>
        <v>95360</v>
      </c>
      <c r="N125" s="23">
        <f>SUMIF(CPU!M:M,B124,CPU!O:O)</f>
        <v>217.3938</v>
      </c>
      <c r="O125" s="23">
        <f t="shared" ref="O125:O132" si="42">F125*N125</f>
        <v>217.3938</v>
      </c>
      <c r="Q125" s="23">
        <f ca="1">SUMIF(CPU!M:M,B124,CPU!R:R)</f>
        <v>72.464600000000004</v>
      </c>
      <c r="R125" s="23">
        <f t="shared" ref="R125:R132" ca="1" si="43">F125*Q125</f>
        <v>72.464600000000004</v>
      </c>
    </row>
    <row r="126" spans="1:18" ht="30" customHeight="1" x14ac:dyDescent="0.3">
      <c r="A126" s="23" t="s">
        <v>1005</v>
      </c>
      <c r="B126" s="23">
        <v>43488</v>
      </c>
      <c r="C126" s="23" t="str">
        <f>VLOOKUP(B126,IF(A126="COMPOSICAO",S!$A:$E,I!$A:$E),2,FALSE)</f>
        <v>SINAPI</v>
      </c>
      <c r="D126" s="24" t="str">
        <f>VLOOKUP(B126,IF(A126="COMPOSICAO",S!$A:$E,I!$A:$E),3,FALSE)</f>
        <v>EPI - FAMILIA OPERADOR ESCAVADEIRA - HORISTA (ENCARGOS COMPLEMENTARES - COLETADO CAIXA)</v>
      </c>
      <c r="E126" s="23" t="str">
        <f>VLOOKUP(B126,IF(A126="COMPOSICAO",S!$A:$E,I!$A:$E),4,FALSE)</f>
        <v>H</v>
      </c>
      <c r="F126" s="23">
        <v>1</v>
      </c>
      <c r="G126" s="76">
        <f>IF(A126="COMPOSICAO",VLOOKUP("TOTAL SEM BDI - "&amp;B126,CPUAUX2!$A:$J,9,FALSE),VLOOKUP(B126,I!$A:$E,5,FALSE))</f>
        <v>0.89</v>
      </c>
      <c r="H126" s="77"/>
      <c r="I126" s="76">
        <f t="shared" si="40"/>
        <v>0.89</v>
      </c>
      <c r="J126" s="77"/>
      <c r="M126" s="23">
        <f t="shared" si="41"/>
        <v>43488</v>
      </c>
      <c r="N126" s="23">
        <f>SUMIF(CPU!M:M,B124,CPU!O:O)</f>
        <v>217.3938</v>
      </c>
      <c r="O126" s="23">
        <f t="shared" si="42"/>
        <v>217.3938</v>
      </c>
      <c r="Q126" s="23">
        <f ca="1">SUMIF(CPU!M:M,B124,CPU!R:R)</f>
        <v>72.464600000000004</v>
      </c>
      <c r="R126" s="23">
        <f t="shared" ca="1" si="43"/>
        <v>72.464600000000004</v>
      </c>
    </row>
    <row r="127" spans="1:18" ht="45" customHeight="1" x14ac:dyDescent="0.3">
      <c r="A127" s="23" t="s">
        <v>1005</v>
      </c>
      <c r="B127" s="23">
        <v>43464</v>
      </c>
      <c r="C127" s="23" t="str">
        <f>VLOOKUP(B127,IF(A127="COMPOSICAO",S!$A:$E,I!$A:$E),2,FALSE)</f>
        <v>SINAPI</v>
      </c>
      <c r="D127" s="24" t="str">
        <f>VLOOKUP(B127,IF(A127="COMPOSICAO",S!$A:$E,I!$A:$E),3,FALSE)</f>
        <v>FERRAMENTAS - FAMILIA OPERADOR ESCAVADEIRA - HORISTA (ENCARGOS COMPLEMENTARES - COLETADO CAIXA)</v>
      </c>
      <c r="E127" s="23" t="str">
        <f>VLOOKUP(B127,IF(A127="COMPOSICAO",S!$A:$E,I!$A:$E),4,FALSE)</f>
        <v>H</v>
      </c>
      <c r="F127" s="23">
        <v>1</v>
      </c>
      <c r="G127" s="76">
        <f>IF(A127="COMPOSICAO",VLOOKUP("TOTAL SEM BDI - "&amp;B127,CPUAUX2!$A:$J,9,FALSE),VLOOKUP(B127,I!$A:$E,5,FALSE))</f>
        <v>0.01</v>
      </c>
      <c r="H127" s="77"/>
      <c r="I127" s="76">
        <f t="shared" si="40"/>
        <v>0.01</v>
      </c>
      <c r="J127" s="77"/>
      <c r="M127" s="23">
        <f t="shared" si="41"/>
        <v>43464</v>
      </c>
      <c r="N127" s="23">
        <f>SUMIF(CPU!M:M,B124,CPU!O:O)</f>
        <v>217.3938</v>
      </c>
      <c r="O127" s="23">
        <f t="shared" si="42"/>
        <v>217.3938</v>
      </c>
      <c r="Q127" s="23">
        <f ca="1">SUMIF(CPU!M:M,B124,CPU!R:R)</f>
        <v>72.464600000000004</v>
      </c>
      <c r="R127" s="23">
        <f t="shared" ca="1" si="43"/>
        <v>72.464600000000004</v>
      </c>
    </row>
    <row r="128" spans="1:18" ht="30" customHeight="1" x14ac:dyDescent="0.3">
      <c r="A128" s="23" t="s">
        <v>1005</v>
      </c>
      <c r="B128" s="23">
        <v>37373</v>
      </c>
      <c r="C128" s="23" t="str">
        <f>VLOOKUP(B128,IF(A128="COMPOSICAO",S!$A:$E,I!$A:$E),2,FALSE)</f>
        <v>SINAPI</v>
      </c>
      <c r="D128" s="24" t="str">
        <f>VLOOKUP(B128,IF(A128="COMPOSICAO",S!$A:$E,I!$A:$E),3,FALSE)</f>
        <v>SEGURO - HORISTA (COLETADO CAIXA - ENCARGOS COMPLEMENTARES)</v>
      </c>
      <c r="E128" s="23" t="str">
        <f>VLOOKUP(B128,IF(A128="COMPOSICAO",S!$A:$E,I!$A:$E),4,FALSE)</f>
        <v>H</v>
      </c>
      <c r="F128" s="23">
        <v>1</v>
      </c>
      <c r="G128" s="76">
        <f>IF(A128="COMPOSICAO",VLOOKUP("TOTAL SEM BDI - "&amp;B128,CPUAUX2!$A:$J,9,FALSE),VLOOKUP(B128,I!$A:$E,5,FALSE))</f>
        <v>0.08</v>
      </c>
      <c r="H128" s="77"/>
      <c r="I128" s="76">
        <f t="shared" si="40"/>
        <v>0.08</v>
      </c>
      <c r="J128" s="77"/>
      <c r="M128" s="23">
        <f t="shared" si="41"/>
        <v>37373</v>
      </c>
      <c r="N128" s="23">
        <f>SUMIF(CPU!M:M,B124,CPU!O:O)</f>
        <v>217.3938</v>
      </c>
      <c r="O128" s="23">
        <f t="shared" si="42"/>
        <v>217.3938</v>
      </c>
      <c r="Q128" s="23">
        <f ca="1">SUMIF(CPU!M:M,B124,CPU!R:R)</f>
        <v>72.464600000000004</v>
      </c>
      <c r="R128" s="23">
        <f t="shared" ca="1" si="43"/>
        <v>72.464600000000004</v>
      </c>
    </row>
    <row r="129" spans="1:18" ht="30" customHeight="1" x14ac:dyDescent="0.3">
      <c r="A129" s="23" t="s">
        <v>1005</v>
      </c>
      <c r="B129" s="23">
        <v>37372</v>
      </c>
      <c r="C129" s="23" t="str">
        <f>VLOOKUP(B129,IF(A129="COMPOSICAO",S!$A:$E,I!$A:$E),2,FALSE)</f>
        <v>SINAPI</v>
      </c>
      <c r="D129" s="24" t="str">
        <f>VLOOKUP(B129,IF(A129="COMPOSICAO",S!$A:$E,I!$A:$E),3,FALSE)</f>
        <v>EXAMES - HORISTA (COLETADO CAIXA - ENCARGOS COMPLEMENTARES)</v>
      </c>
      <c r="E129" s="23" t="str">
        <f>VLOOKUP(B129,IF(A129="COMPOSICAO",S!$A:$E,I!$A:$E),4,FALSE)</f>
        <v>H</v>
      </c>
      <c r="F129" s="23">
        <v>1</v>
      </c>
      <c r="G129" s="76">
        <f>IF(A129="COMPOSICAO",VLOOKUP("TOTAL SEM BDI - "&amp;B129,CPUAUX2!$A:$J,9,FALSE),VLOOKUP(B129,I!$A:$E,5,FALSE))</f>
        <v>1.43</v>
      </c>
      <c r="H129" s="77"/>
      <c r="I129" s="76">
        <f t="shared" si="40"/>
        <v>1.43</v>
      </c>
      <c r="J129" s="77"/>
      <c r="M129" s="23">
        <f t="shared" si="41"/>
        <v>37372</v>
      </c>
      <c r="N129" s="23">
        <f>SUMIF(CPU!M:M,B124,CPU!O:O)</f>
        <v>217.3938</v>
      </c>
      <c r="O129" s="23">
        <f t="shared" si="42"/>
        <v>217.3938</v>
      </c>
      <c r="Q129" s="23">
        <f ca="1">SUMIF(CPU!M:M,B124,CPU!R:R)</f>
        <v>72.464600000000004</v>
      </c>
      <c r="R129" s="23">
        <f t="shared" ca="1" si="43"/>
        <v>72.464600000000004</v>
      </c>
    </row>
    <row r="130" spans="1:18" ht="30" customHeight="1" x14ac:dyDescent="0.3">
      <c r="A130" s="23" t="s">
        <v>1005</v>
      </c>
      <c r="B130" s="23">
        <v>37371</v>
      </c>
      <c r="C130" s="23" t="str">
        <f>VLOOKUP(B130,IF(A130="COMPOSICAO",S!$A:$E,I!$A:$E),2,FALSE)</f>
        <v>SINAPI</v>
      </c>
      <c r="D130" s="24" t="str">
        <f>VLOOKUP(B130,IF(A130="COMPOSICAO",S!$A:$E,I!$A:$E),3,FALSE)</f>
        <v>TRANSPORTE - HORISTA (COLETADO CAIXA - ENCARGOS COMPLEMENTARES)</v>
      </c>
      <c r="E130" s="23" t="str">
        <f>VLOOKUP(B130,IF(A130="COMPOSICAO",S!$A:$E,I!$A:$E),4,FALSE)</f>
        <v>H</v>
      </c>
      <c r="F130" s="23">
        <v>1</v>
      </c>
      <c r="G130" s="76">
        <f>IF(A130="COMPOSICAO",VLOOKUP("TOTAL SEM BDI - "&amp;B130,CPUAUX2!$A:$J,9,FALSE),VLOOKUP(B130,I!$A:$E,5,FALSE))</f>
        <v>0.56999999999999995</v>
      </c>
      <c r="H130" s="77"/>
      <c r="I130" s="76">
        <f t="shared" si="40"/>
        <v>0.56999999999999995</v>
      </c>
      <c r="J130" s="77"/>
      <c r="M130" s="23">
        <f t="shared" si="41"/>
        <v>37371</v>
      </c>
      <c r="N130" s="23">
        <f>SUMIF(CPU!M:M,B124,CPU!O:O)</f>
        <v>217.3938</v>
      </c>
      <c r="O130" s="23">
        <f t="shared" si="42"/>
        <v>217.3938</v>
      </c>
      <c r="Q130" s="23">
        <f ca="1">SUMIF(CPU!M:M,B124,CPU!R:R)</f>
        <v>72.464600000000004</v>
      </c>
      <c r="R130" s="23">
        <f t="shared" ca="1" si="43"/>
        <v>72.464600000000004</v>
      </c>
    </row>
    <row r="131" spans="1:18" ht="30" customHeight="1" x14ac:dyDescent="0.3">
      <c r="A131" s="23" t="s">
        <v>1005</v>
      </c>
      <c r="B131" s="23">
        <v>37370</v>
      </c>
      <c r="C131" s="23" t="str">
        <f>VLOOKUP(B131,IF(A131="COMPOSICAO",S!$A:$E,I!$A:$E),2,FALSE)</f>
        <v>SINAPI</v>
      </c>
      <c r="D131" s="24" t="str">
        <f>VLOOKUP(B131,IF(A131="COMPOSICAO",S!$A:$E,I!$A:$E),3,FALSE)</f>
        <v>ALIMENTACAO - HORISTA (COLETADO CAIXA - ENCARGOS COMPLEMENTARES)</v>
      </c>
      <c r="E131" s="23" t="str">
        <f>VLOOKUP(B131,IF(A131="COMPOSICAO",S!$A:$E,I!$A:$E),4,FALSE)</f>
        <v>H</v>
      </c>
      <c r="F131" s="23">
        <v>1</v>
      </c>
      <c r="G131" s="76">
        <f>IF(A131="COMPOSICAO",VLOOKUP("TOTAL SEM BDI - "&amp;B131,CPUAUX2!$A:$J,9,FALSE),VLOOKUP(B131,I!$A:$E,5,FALSE))</f>
        <v>2.46</v>
      </c>
      <c r="H131" s="77"/>
      <c r="I131" s="76">
        <f t="shared" si="40"/>
        <v>2.46</v>
      </c>
      <c r="J131" s="77"/>
      <c r="M131" s="23">
        <f t="shared" si="41"/>
        <v>37370</v>
      </c>
      <c r="N131" s="23">
        <f>SUMIF(CPU!M:M,B124,CPU!O:O)</f>
        <v>217.3938</v>
      </c>
      <c r="O131" s="23">
        <f t="shared" si="42"/>
        <v>217.3938</v>
      </c>
      <c r="Q131" s="23">
        <f ca="1">SUMIF(CPU!M:M,B124,CPU!R:R)</f>
        <v>72.464600000000004</v>
      </c>
      <c r="R131" s="23">
        <f t="shared" ca="1" si="43"/>
        <v>72.464600000000004</v>
      </c>
    </row>
    <row r="132" spans="1:18" ht="30" customHeight="1" x14ac:dyDescent="0.3">
      <c r="A132" s="23" t="s">
        <v>1005</v>
      </c>
      <c r="B132" s="23">
        <v>4230</v>
      </c>
      <c r="C132" s="23" t="str">
        <f>VLOOKUP(B132,IF(A132="COMPOSICAO",S!$A:$E,I!$A:$E),2,FALSE)</f>
        <v>SINAPI</v>
      </c>
      <c r="D132" s="24" t="str">
        <f>VLOOKUP(B132,IF(A132="COMPOSICAO",S!$A:$E,I!$A:$E),3,FALSE)</f>
        <v>OPERADOR DE MAQUINAS E TRATORES DIVERSOS - TERRAPLANAGEM (HORISTA)</v>
      </c>
      <c r="E132" s="23" t="str">
        <f>VLOOKUP(B132,IF(A132="COMPOSICAO",S!$A:$E,I!$A:$E),4,FALSE)</f>
        <v>H</v>
      </c>
      <c r="F132" s="23">
        <v>1</v>
      </c>
      <c r="G132" s="76">
        <f>IF(A132="COMPOSICAO",VLOOKUP("TOTAL SEM BDI - "&amp;B132,CPUAUX2!$A:$J,9,FALSE),VLOOKUP(B132,I!$A:$E,5,FALSE))</f>
        <v>21.48</v>
      </c>
      <c r="H132" s="77"/>
      <c r="I132" s="76">
        <f t="shared" si="40"/>
        <v>21.48</v>
      </c>
      <c r="J132" s="77"/>
      <c r="M132" s="23">
        <f t="shared" si="41"/>
        <v>4230</v>
      </c>
      <c r="N132" s="23">
        <f>SUMIF(CPU!M:M,B124,CPU!O:O)</f>
        <v>217.3938</v>
      </c>
      <c r="O132" s="23">
        <f t="shared" si="42"/>
        <v>217.3938</v>
      </c>
      <c r="Q132" s="23">
        <f ca="1">SUMIF(CPU!M:M,B124,CPU!R:R)</f>
        <v>72.464600000000004</v>
      </c>
      <c r="R132" s="23">
        <f t="shared" ca="1" si="43"/>
        <v>72.464600000000004</v>
      </c>
    </row>
    <row r="133" spans="1:18" x14ac:dyDescent="0.3">
      <c r="A133" s="73" t="str">
        <f>"TOTAL SEM BDI - "&amp;B124</f>
        <v>TOTAL SEM BDI - 88297</v>
      </c>
      <c r="B133" s="74"/>
      <c r="C133" s="74"/>
      <c r="D133" s="74"/>
      <c r="E133" s="74"/>
      <c r="F133" s="74"/>
      <c r="G133" s="74"/>
      <c r="H133" s="75"/>
      <c r="I133" s="76">
        <f>SUM(I124:I132)</f>
        <v>27.16</v>
      </c>
      <c r="J133" s="77"/>
    </row>
    <row r="135" spans="1:18" x14ac:dyDescent="0.3">
      <c r="A135" s="4" t="s">
        <v>1000</v>
      </c>
      <c r="B135" s="4" t="s">
        <v>170</v>
      </c>
      <c r="C135" s="4" t="s">
        <v>171</v>
      </c>
      <c r="D135" s="4" t="s">
        <v>18</v>
      </c>
      <c r="E135" s="4" t="s">
        <v>172</v>
      </c>
      <c r="F135" s="4" t="s">
        <v>507</v>
      </c>
      <c r="G135" s="45" t="s">
        <v>1001</v>
      </c>
      <c r="H135" s="46"/>
      <c r="I135" s="45" t="s">
        <v>12</v>
      </c>
      <c r="J135" s="46"/>
    </row>
    <row r="136" spans="1:18" ht="30" customHeight="1" x14ac:dyDescent="0.3">
      <c r="A136" s="15" t="s">
        <v>1071</v>
      </c>
      <c r="B136" s="15">
        <v>88250</v>
      </c>
      <c r="C136" s="15" t="str">
        <f>VLOOKUP(B136,S!$A:$G,2,FALSE)</f>
        <v>SINAPI</v>
      </c>
      <c r="D136" s="22" t="str">
        <f>VLOOKUP(B136,S!$A:$G,3,FALSE)</f>
        <v>AUXILIAR DE MECÂNICO COM ENCARGOS COMPLEMENTARES</v>
      </c>
      <c r="E136" s="15" t="str">
        <f>VLOOKUP(B136,S!$A:$G,4,FALSE)</f>
        <v>H</v>
      </c>
      <c r="F136" s="15"/>
      <c r="G136" s="78">
        <f>I145</f>
        <v>21.18</v>
      </c>
      <c r="H136" s="79"/>
      <c r="I136" s="78"/>
      <c r="J136" s="79"/>
      <c r="K136" s="16">
        <f>VLOOKUP(B136,S!A:G,5,FALSE)</f>
        <v>21.18</v>
      </c>
      <c r="L136" s="15" t="str">
        <f>IF(K136=G136,"OK, CONFORME TABELA",IF(G136&gt;K136,"ACIMA DA TABELA: ","ABAIXO DA TABELA: ")&amp;TRUNC((G136*100)/K136,2)&amp;" %")</f>
        <v>OK, CONFORME TABELA</v>
      </c>
    </row>
    <row r="137" spans="1:18" ht="30" customHeight="1" x14ac:dyDescent="0.3">
      <c r="A137" s="23" t="s">
        <v>1004</v>
      </c>
      <c r="B137" s="23">
        <v>95319</v>
      </c>
      <c r="C137" s="23" t="str">
        <f>VLOOKUP(B137,IF(A137="COMPOSICAO",S!$A:$E,I!$A:$E),2,FALSE)</f>
        <v>SINAPI</v>
      </c>
      <c r="D137" s="24" t="str">
        <f>VLOOKUP(B137,IF(A137="COMPOSICAO",S!$A:$E,I!$A:$E),3,FALSE)</f>
        <v>CURSO DE CAPACITAÇÃO PARA AUXILIAR DE MECÂNICO (ENCARGOS COMPLEMENTARES) - HORISTA</v>
      </c>
      <c r="E137" s="23" t="str">
        <f>VLOOKUP(B137,IF(A137="COMPOSICAO",S!$A:$E,I!$A:$E),4,FALSE)</f>
        <v>H</v>
      </c>
      <c r="F137" s="23">
        <v>1</v>
      </c>
      <c r="G137" s="76">
        <f>IF(A137="COMPOSICAO",VLOOKUP("TOTAL SEM BDI - "&amp;B137,CPUAUX2!$A:$J,9,FALSE),VLOOKUP(B137,I!$A:$E,5,FALSE))</f>
        <v>0.17</v>
      </c>
      <c r="H137" s="77"/>
      <c r="I137" s="76">
        <f t="shared" ref="I137:I144" si="44">TRUNC(F137*G137,2)</f>
        <v>0.17</v>
      </c>
      <c r="J137" s="77"/>
      <c r="M137" s="23">
        <f t="shared" ref="M137:M144" si="45">B137</f>
        <v>95319</v>
      </c>
      <c r="N137" s="23">
        <f>SUMIF(CPU!M:M,B136,CPU!O:O)</f>
        <v>384</v>
      </c>
      <c r="O137" s="23">
        <f t="shared" ref="O137:O144" si="46">F137*N137</f>
        <v>384</v>
      </c>
      <c r="Q137" s="23">
        <f ca="1">SUMIF(CPU!M:M,B136,CPU!R:R)</f>
        <v>128</v>
      </c>
      <c r="R137" s="23">
        <f t="shared" ref="R137:R144" ca="1" si="47">F137*Q137</f>
        <v>128</v>
      </c>
    </row>
    <row r="138" spans="1:18" ht="30" customHeight="1" x14ac:dyDescent="0.3">
      <c r="A138" s="23" t="s">
        <v>1005</v>
      </c>
      <c r="B138" s="23">
        <v>43488</v>
      </c>
      <c r="C138" s="23" t="str">
        <f>VLOOKUP(B138,IF(A138="COMPOSICAO",S!$A:$E,I!$A:$E),2,FALSE)</f>
        <v>SINAPI</v>
      </c>
      <c r="D138" s="24" t="str">
        <f>VLOOKUP(B138,IF(A138="COMPOSICAO",S!$A:$E,I!$A:$E),3,FALSE)</f>
        <v>EPI - FAMILIA OPERADOR ESCAVADEIRA - HORISTA (ENCARGOS COMPLEMENTARES - COLETADO CAIXA)</v>
      </c>
      <c r="E138" s="23" t="str">
        <f>VLOOKUP(B138,IF(A138="COMPOSICAO",S!$A:$E,I!$A:$E),4,FALSE)</f>
        <v>H</v>
      </c>
      <c r="F138" s="23">
        <v>1</v>
      </c>
      <c r="G138" s="76">
        <f>IF(A138="COMPOSICAO",VLOOKUP("TOTAL SEM BDI - "&amp;B138,CPUAUX2!$A:$J,9,FALSE),VLOOKUP(B138,I!$A:$E,5,FALSE))</f>
        <v>0.89</v>
      </c>
      <c r="H138" s="77"/>
      <c r="I138" s="76">
        <f t="shared" si="44"/>
        <v>0.89</v>
      </c>
      <c r="J138" s="77"/>
      <c r="M138" s="23">
        <f t="shared" si="45"/>
        <v>43488</v>
      </c>
      <c r="N138" s="23">
        <f>SUMIF(CPU!M:M,B136,CPU!O:O)</f>
        <v>384</v>
      </c>
      <c r="O138" s="23">
        <f t="shared" si="46"/>
        <v>384</v>
      </c>
      <c r="Q138" s="23">
        <f ca="1">SUMIF(CPU!M:M,B136,CPU!R:R)</f>
        <v>128</v>
      </c>
      <c r="R138" s="23">
        <f t="shared" ca="1" si="47"/>
        <v>128</v>
      </c>
    </row>
    <row r="139" spans="1:18" ht="45" customHeight="1" x14ac:dyDescent="0.3">
      <c r="A139" s="23" t="s">
        <v>1005</v>
      </c>
      <c r="B139" s="23">
        <v>43464</v>
      </c>
      <c r="C139" s="23" t="str">
        <f>VLOOKUP(B139,IF(A139="COMPOSICAO",S!$A:$E,I!$A:$E),2,FALSE)</f>
        <v>SINAPI</v>
      </c>
      <c r="D139" s="24" t="str">
        <f>VLOOKUP(B139,IF(A139="COMPOSICAO",S!$A:$E,I!$A:$E),3,FALSE)</f>
        <v>FERRAMENTAS - FAMILIA OPERADOR ESCAVADEIRA - HORISTA (ENCARGOS COMPLEMENTARES - COLETADO CAIXA)</v>
      </c>
      <c r="E139" s="23" t="str">
        <f>VLOOKUP(B139,IF(A139="COMPOSICAO",S!$A:$E,I!$A:$E),4,FALSE)</f>
        <v>H</v>
      </c>
      <c r="F139" s="23">
        <v>1</v>
      </c>
      <c r="G139" s="76">
        <f>IF(A139="COMPOSICAO",VLOOKUP("TOTAL SEM BDI - "&amp;B139,CPUAUX2!$A:$J,9,FALSE),VLOOKUP(B139,I!$A:$E,5,FALSE))</f>
        <v>0.01</v>
      </c>
      <c r="H139" s="77"/>
      <c r="I139" s="76">
        <f t="shared" si="44"/>
        <v>0.01</v>
      </c>
      <c r="J139" s="77"/>
      <c r="M139" s="23">
        <f t="shared" si="45"/>
        <v>43464</v>
      </c>
      <c r="N139" s="23">
        <f>SUMIF(CPU!M:M,B136,CPU!O:O)</f>
        <v>384</v>
      </c>
      <c r="O139" s="23">
        <f t="shared" si="46"/>
        <v>384</v>
      </c>
      <c r="Q139" s="23">
        <f ca="1">SUMIF(CPU!M:M,B136,CPU!R:R)</f>
        <v>128</v>
      </c>
      <c r="R139" s="23">
        <f t="shared" ca="1" si="47"/>
        <v>128</v>
      </c>
    </row>
    <row r="140" spans="1:18" ht="30" customHeight="1" x14ac:dyDescent="0.3">
      <c r="A140" s="23" t="s">
        <v>1005</v>
      </c>
      <c r="B140" s="23">
        <v>37373</v>
      </c>
      <c r="C140" s="23" t="str">
        <f>VLOOKUP(B140,IF(A140="COMPOSICAO",S!$A:$E,I!$A:$E),2,FALSE)</f>
        <v>SINAPI</v>
      </c>
      <c r="D140" s="24" t="str">
        <f>VLOOKUP(B140,IF(A140="COMPOSICAO",S!$A:$E,I!$A:$E),3,FALSE)</f>
        <v>SEGURO - HORISTA (COLETADO CAIXA - ENCARGOS COMPLEMENTARES)</v>
      </c>
      <c r="E140" s="23" t="str">
        <f>VLOOKUP(B140,IF(A140="COMPOSICAO",S!$A:$E,I!$A:$E),4,FALSE)</f>
        <v>H</v>
      </c>
      <c r="F140" s="23">
        <v>1</v>
      </c>
      <c r="G140" s="76">
        <f>IF(A140="COMPOSICAO",VLOOKUP("TOTAL SEM BDI - "&amp;B140,CPUAUX2!$A:$J,9,FALSE),VLOOKUP(B140,I!$A:$E,5,FALSE))</f>
        <v>0.08</v>
      </c>
      <c r="H140" s="77"/>
      <c r="I140" s="76">
        <f t="shared" si="44"/>
        <v>0.08</v>
      </c>
      <c r="J140" s="77"/>
      <c r="M140" s="23">
        <f t="shared" si="45"/>
        <v>37373</v>
      </c>
      <c r="N140" s="23">
        <f>SUMIF(CPU!M:M,B136,CPU!O:O)</f>
        <v>384</v>
      </c>
      <c r="O140" s="23">
        <f t="shared" si="46"/>
        <v>384</v>
      </c>
      <c r="Q140" s="23">
        <f ca="1">SUMIF(CPU!M:M,B136,CPU!R:R)</f>
        <v>128</v>
      </c>
      <c r="R140" s="23">
        <f t="shared" ca="1" si="47"/>
        <v>128</v>
      </c>
    </row>
    <row r="141" spans="1:18" ht="30" customHeight="1" x14ac:dyDescent="0.3">
      <c r="A141" s="23" t="s">
        <v>1005</v>
      </c>
      <c r="B141" s="23">
        <v>37372</v>
      </c>
      <c r="C141" s="23" t="str">
        <f>VLOOKUP(B141,IF(A141="COMPOSICAO",S!$A:$E,I!$A:$E),2,FALSE)</f>
        <v>SINAPI</v>
      </c>
      <c r="D141" s="24" t="str">
        <f>VLOOKUP(B141,IF(A141="COMPOSICAO",S!$A:$E,I!$A:$E),3,FALSE)</f>
        <v>EXAMES - HORISTA (COLETADO CAIXA - ENCARGOS COMPLEMENTARES)</v>
      </c>
      <c r="E141" s="23" t="str">
        <f>VLOOKUP(B141,IF(A141="COMPOSICAO",S!$A:$E,I!$A:$E),4,FALSE)</f>
        <v>H</v>
      </c>
      <c r="F141" s="23">
        <v>1</v>
      </c>
      <c r="G141" s="76">
        <f>IF(A141="COMPOSICAO",VLOOKUP("TOTAL SEM BDI - "&amp;B141,CPUAUX2!$A:$J,9,FALSE),VLOOKUP(B141,I!$A:$E,5,FALSE))</f>
        <v>1.43</v>
      </c>
      <c r="H141" s="77"/>
      <c r="I141" s="76">
        <f t="shared" si="44"/>
        <v>1.43</v>
      </c>
      <c r="J141" s="77"/>
      <c r="M141" s="23">
        <f t="shared" si="45"/>
        <v>37372</v>
      </c>
      <c r="N141" s="23">
        <f>SUMIF(CPU!M:M,B136,CPU!O:O)</f>
        <v>384</v>
      </c>
      <c r="O141" s="23">
        <f t="shared" si="46"/>
        <v>384</v>
      </c>
      <c r="Q141" s="23">
        <f ca="1">SUMIF(CPU!M:M,B136,CPU!R:R)</f>
        <v>128</v>
      </c>
      <c r="R141" s="23">
        <f t="shared" ca="1" si="47"/>
        <v>128</v>
      </c>
    </row>
    <row r="142" spans="1:18" ht="30" customHeight="1" x14ac:dyDescent="0.3">
      <c r="A142" s="23" t="s">
        <v>1005</v>
      </c>
      <c r="B142" s="23">
        <v>37371</v>
      </c>
      <c r="C142" s="23" t="str">
        <f>VLOOKUP(B142,IF(A142="COMPOSICAO",S!$A:$E,I!$A:$E),2,FALSE)</f>
        <v>SINAPI</v>
      </c>
      <c r="D142" s="24" t="str">
        <f>VLOOKUP(B142,IF(A142="COMPOSICAO",S!$A:$E,I!$A:$E),3,FALSE)</f>
        <v>TRANSPORTE - HORISTA (COLETADO CAIXA - ENCARGOS COMPLEMENTARES)</v>
      </c>
      <c r="E142" s="23" t="str">
        <f>VLOOKUP(B142,IF(A142="COMPOSICAO",S!$A:$E,I!$A:$E),4,FALSE)</f>
        <v>H</v>
      </c>
      <c r="F142" s="23">
        <v>1</v>
      </c>
      <c r="G142" s="76">
        <f>IF(A142="COMPOSICAO",VLOOKUP("TOTAL SEM BDI - "&amp;B142,CPUAUX2!$A:$J,9,FALSE),VLOOKUP(B142,I!$A:$E,5,FALSE))</f>
        <v>0.56999999999999995</v>
      </c>
      <c r="H142" s="77"/>
      <c r="I142" s="76">
        <f t="shared" si="44"/>
        <v>0.56999999999999995</v>
      </c>
      <c r="J142" s="77"/>
      <c r="M142" s="23">
        <f t="shared" si="45"/>
        <v>37371</v>
      </c>
      <c r="N142" s="23">
        <f>SUMIF(CPU!M:M,B136,CPU!O:O)</f>
        <v>384</v>
      </c>
      <c r="O142" s="23">
        <f t="shared" si="46"/>
        <v>384</v>
      </c>
      <c r="Q142" s="23">
        <f ca="1">SUMIF(CPU!M:M,B136,CPU!R:R)</f>
        <v>128</v>
      </c>
      <c r="R142" s="23">
        <f t="shared" ca="1" si="47"/>
        <v>128</v>
      </c>
    </row>
    <row r="143" spans="1:18" ht="30" customHeight="1" x14ac:dyDescent="0.3">
      <c r="A143" s="23" t="s">
        <v>1005</v>
      </c>
      <c r="B143" s="23">
        <v>37370</v>
      </c>
      <c r="C143" s="23" t="str">
        <f>VLOOKUP(B143,IF(A143="COMPOSICAO",S!$A:$E,I!$A:$E),2,FALSE)</f>
        <v>SINAPI</v>
      </c>
      <c r="D143" s="24" t="str">
        <f>VLOOKUP(B143,IF(A143="COMPOSICAO",S!$A:$E,I!$A:$E),3,FALSE)</f>
        <v>ALIMENTACAO - HORISTA (COLETADO CAIXA - ENCARGOS COMPLEMENTARES)</v>
      </c>
      <c r="E143" s="23" t="str">
        <f>VLOOKUP(B143,IF(A143="COMPOSICAO",S!$A:$E,I!$A:$E),4,FALSE)</f>
        <v>H</v>
      </c>
      <c r="F143" s="23">
        <v>1</v>
      </c>
      <c r="G143" s="76">
        <f>IF(A143="COMPOSICAO",VLOOKUP("TOTAL SEM BDI - "&amp;B143,CPUAUX2!$A:$J,9,FALSE),VLOOKUP(B143,I!$A:$E,5,FALSE))</f>
        <v>2.46</v>
      </c>
      <c r="H143" s="77"/>
      <c r="I143" s="76">
        <f t="shared" si="44"/>
        <v>2.46</v>
      </c>
      <c r="J143" s="77"/>
      <c r="M143" s="23">
        <f t="shared" si="45"/>
        <v>37370</v>
      </c>
      <c r="N143" s="23">
        <f>SUMIF(CPU!M:M,B136,CPU!O:O)</f>
        <v>384</v>
      </c>
      <c r="O143" s="23">
        <f t="shared" si="46"/>
        <v>384</v>
      </c>
      <c r="Q143" s="23">
        <f ca="1">SUMIF(CPU!M:M,B136,CPU!R:R)</f>
        <v>128</v>
      </c>
      <c r="R143" s="23">
        <f t="shared" ca="1" si="47"/>
        <v>128</v>
      </c>
    </row>
    <row r="144" spans="1:18" x14ac:dyDescent="0.3">
      <c r="A144" s="23" t="s">
        <v>1005</v>
      </c>
      <c r="B144" s="23">
        <v>251</v>
      </c>
      <c r="C144" s="23" t="str">
        <f>VLOOKUP(B144,IF(A144="COMPOSICAO",S!$A:$E,I!$A:$E),2,FALSE)</f>
        <v>SINAPI</v>
      </c>
      <c r="D144" s="24" t="str">
        <f>VLOOKUP(B144,IF(A144="COMPOSICAO",S!$A:$E,I!$A:$E),3,FALSE)</f>
        <v>AUXILIAR DE MECANICO (HORISTA)</v>
      </c>
      <c r="E144" s="23" t="str">
        <f>VLOOKUP(B144,IF(A144="COMPOSICAO",S!$A:$E,I!$A:$E),4,FALSE)</f>
        <v>H</v>
      </c>
      <c r="F144" s="23">
        <v>1</v>
      </c>
      <c r="G144" s="76">
        <f>IF(A144="COMPOSICAO",VLOOKUP("TOTAL SEM BDI - "&amp;B144,CPUAUX2!$A:$J,9,FALSE),VLOOKUP(B144,I!$A:$E,5,FALSE))</f>
        <v>15.57</v>
      </c>
      <c r="H144" s="77"/>
      <c r="I144" s="76">
        <f t="shared" si="44"/>
        <v>15.57</v>
      </c>
      <c r="J144" s="77"/>
      <c r="M144" s="23">
        <f t="shared" si="45"/>
        <v>251</v>
      </c>
      <c r="N144" s="23">
        <f>SUMIF(CPU!M:M,B136,CPU!O:O)</f>
        <v>384</v>
      </c>
      <c r="O144" s="23">
        <f t="shared" si="46"/>
        <v>384</v>
      </c>
      <c r="Q144" s="23">
        <f ca="1">SUMIF(CPU!M:M,B136,CPU!R:R)</f>
        <v>128</v>
      </c>
      <c r="R144" s="23">
        <f t="shared" ca="1" si="47"/>
        <v>128</v>
      </c>
    </row>
    <row r="145" spans="1:18" x14ac:dyDescent="0.3">
      <c r="A145" s="73" t="str">
        <f>"TOTAL SEM BDI - "&amp;B136</f>
        <v>TOTAL SEM BDI - 88250</v>
      </c>
      <c r="B145" s="74"/>
      <c r="C145" s="74"/>
      <c r="D145" s="74"/>
      <c r="E145" s="74"/>
      <c r="F145" s="74"/>
      <c r="G145" s="74"/>
      <c r="H145" s="75"/>
      <c r="I145" s="76">
        <f>SUM(I136:I144)</f>
        <v>21.18</v>
      </c>
      <c r="J145" s="77"/>
    </row>
    <row r="147" spans="1:18" x14ac:dyDescent="0.3">
      <c r="A147" s="4" t="s">
        <v>1000</v>
      </c>
      <c r="B147" s="4" t="s">
        <v>170</v>
      </c>
      <c r="C147" s="4" t="s">
        <v>171</v>
      </c>
      <c r="D147" s="4" t="s">
        <v>18</v>
      </c>
      <c r="E147" s="4" t="s">
        <v>172</v>
      </c>
      <c r="F147" s="4" t="s">
        <v>507</v>
      </c>
      <c r="G147" s="45" t="s">
        <v>1001</v>
      </c>
      <c r="H147" s="46"/>
      <c r="I147" s="45" t="s">
        <v>12</v>
      </c>
      <c r="J147" s="46"/>
    </row>
    <row r="148" spans="1:18" x14ac:dyDescent="0.3">
      <c r="A148" s="15" t="s">
        <v>517</v>
      </c>
      <c r="B148" s="15" t="s">
        <v>1022</v>
      </c>
      <c r="C148" s="15" t="str">
        <f>VLOOKUP(B148,S!$A:$G,2,FALSE)</f>
        <v>ORSE</v>
      </c>
      <c r="D148" s="22" t="str">
        <f>VLOOKUP(B148,S!$A:$G,3,FALSE)</f>
        <v>ANÁLISE FÍSICO-QUÍMICA DA ÁGUA</v>
      </c>
      <c r="E148" s="15" t="str">
        <f>VLOOKUP(B148,S!$A:$G,4,FALSE)</f>
        <v>UN</v>
      </c>
      <c r="F148" s="15"/>
      <c r="G148" s="78">
        <f>I150</f>
        <v>565.21</v>
      </c>
      <c r="H148" s="79"/>
      <c r="I148" s="78"/>
      <c r="J148" s="79"/>
      <c r="K148" s="16">
        <f>VLOOKUP(B148,S!A:G,5,FALSE)</f>
        <v>565.21</v>
      </c>
      <c r="L148" s="15" t="str">
        <f>IF(K148=G148,"OK, CONFORME TABELA",IF(G148&gt;K148,"ACIMA DA TABELA: ","ABAIXO DA TABELA: ")&amp;TRUNC((G148*100)/K148,2)&amp;" %")</f>
        <v>OK, CONFORME TABELA</v>
      </c>
    </row>
    <row r="149" spans="1:18" x14ac:dyDescent="0.3">
      <c r="A149" s="23" t="s">
        <v>1005</v>
      </c>
      <c r="B149" s="23" t="s">
        <v>1075</v>
      </c>
      <c r="C149" s="23" t="str">
        <f>VLOOKUP(B149,IF(A149="COMPOSICAO",S!$A:$E,I!$A:$E),2,FALSE)</f>
        <v>ORSE</v>
      </c>
      <c r="D149" s="24" t="str">
        <f>VLOOKUP(B149,IF(A149="COMPOSICAO",S!$A:$E,I!$A:$E),3,FALSE)</f>
        <v>ANÁLISE FÍSICO-QUÍMICA DE ÁGUA</v>
      </c>
      <c r="E149" s="23" t="str">
        <f>VLOOKUP(B149,IF(A149="COMPOSICAO",S!$A:$E,I!$A:$E),4,FALSE)</f>
        <v>UN</v>
      </c>
      <c r="F149" s="23">
        <v>1</v>
      </c>
      <c r="G149" s="76">
        <f>IF(A149="COMPOSICAO",VLOOKUP("TOTAL SEM BDI - "&amp;B149,CPUAUX2!$A:$J,9,FALSE),VLOOKUP(B149,I!$A:$E,5,FALSE))</f>
        <v>565.21</v>
      </c>
      <c r="H149" s="77"/>
      <c r="I149" s="76">
        <f>TRUNC(F149*G149,2)</f>
        <v>565.21</v>
      </c>
      <c r="J149" s="77"/>
      <c r="M149" s="23" t="str">
        <f>B149</f>
        <v>05022/ORSE</v>
      </c>
      <c r="N149" s="23">
        <f>SUMIF(CPU!M:M,B148,CPU!O:O)</f>
        <v>6</v>
      </c>
      <c r="O149" s="23">
        <f>F149*N149</f>
        <v>6</v>
      </c>
      <c r="Q149" s="23">
        <f ca="1">SUMIF(CPU!M:M,B148,CPU!R:R)</f>
        <v>2</v>
      </c>
      <c r="R149" s="23">
        <f ca="1">F149*Q149</f>
        <v>2</v>
      </c>
    </row>
    <row r="150" spans="1:18" x14ac:dyDescent="0.3">
      <c r="A150" s="73" t="str">
        <f>"TOTAL SEM BDI - "&amp;B148</f>
        <v>TOTAL SEM BDI - 06312/ORSE</v>
      </c>
      <c r="B150" s="74"/>
      <c r="C150" s="74"/>
      <c r="D150" s="74"/>
      <c r="E150" s="74"/>
      <c r="F150" s="74"/>
      <c r="G150" s="74"/>
      <c r="H150" s="75"/>
      <c r="I150" s="76">
        <f>SUM(I148:I149)</f>
        <v>565.21</v>
      </c>
      <c r="J150" s="77"/>
    </row>
    <row r="152" spans="1:18" x14ac:dyDescent="0.3">
      <c r="A152" s="4" t="s">
        <v>1000</v>
      </c>
      <c r="B152" s="4" t="s">
        <v>170</v>
      </c>
      <c r="C152" s="4" t="s">
        <v>171</v>
      </c>
      <c r="D152" s="4" t="s">
        <v>18</v>
      </c>
      <c r="E152" s="4" t="s">
        <v>172</v>
      </c>
      <c r="F152" s="4" t="s">
        <v>507</v>
      </c>
      <c r="G152" s="45" t="s">
        <v>1001</v>
      </c>
      <c r="H152" s="46"/>
      <c r="I152" s="45" t="s">
        <v>12</v>
      </c>
      <c r="J152" s="46"/>
    </row>
    <row r="153" spans="1:18" ht="30" customHeight="1" x14ac:dyDescent="0.3">
      <c r="A153" s="15" t="s">
        <v>1071</v>
      </c>
      <c r="B153" s="15">
        <v>88267</v>
      </c>
      <c r="C153" s="15" t="str">
        <f>VLOOKUP(B153,S!$A:$G,2,FALSE)</f>
        <v>SINAPI</v>
      </c>
      <c r="D153" s="22" t="str">
        <f>VLOOKUP(B153,S!$A:$G,3,FALSE)</f>
        <v>ENCANADOR OU BOMBEIRO HIDRÁULICO COM ENCARGOS COMPLEMENTARES</v>
      </c>
      <c r="E153" s="15" t="str">
        <f>VLOOKUP(B153,S!$A:$G,4,FALSE)</f>
        <v>H</v>
      </c>
      <c r="F153" s="15"/>
      <c r="G153" s="78">
        <f>I162</f>
        <v>26.669999999999998</v>
      </c>
      <c r="H153" s="79"/>
      <c r="I153" s="78"/>
      <c r="J153" s="79"/>
      <c r="K153" s="16">
        <f>VLOOKUP(B153,S!A:G,5,FALSE)</f>
        <v>26.67</v>
      </c>
      <c r="L153" s="15" t="str">
        <f>IF(K153=G153,"OK, CONFORME TABELA",IF(G153&gt;K153,"ACIMA DA TABELA: ","ABAIXO DA TABELA: ")&amp;TRUNC((G153*100)/K153,2)&amp;" %")</f>
        <v>OK, CONFORME TABELA</v>
      </c>
    </row>
    <row r="154" spans="1:18" ht="45" customHeight="1" x14ac:dyDescent="0.3">
      <c r="A154" s="23" t="s">
        <v>1004</v>
      </c>
      <c r="B154" s="23">
        <v>95335</v>
      </c>
      <c r="C154" s="23" t="str">
        <f>VLOOKUP(B154,IF(A154="COMPOSICAO",S!$A:$E,I!$A:$E),2,FALSE)</f>
        <v>SINAPI</v>
      </c>
      <c r="D154" s="24" t="str">
        <f>VLOOKUP(B154,IF(A154="COMPOSICAO",S!$A:$E,I!$A:$E),3,FALSE)</f>
        <v>CURSO DE CAPACITAÇÃO PARA ENCANADOR OU BOMBEIRO HIDRÁULICO (ENCARGOS COMPLEMENTARES) - HORISTA</v>
      </c>
      <c r="E154" s="23" t="str">
        <f>VLOOKUP(B154,IF(A154="COMPOSICAO",S!$A:$E,I!$A:$E),4,FALSE)</f>
        <v>H</v>
      </c>
      <c r="F154" s="23">
        <v>1</v>
      </c>
      <c r="G154" s="76">
        <f>IF(A154="COMPOSICAO",VLOOKUP("TOTAL SEM BDI - "&amp;B154,CPUAUX2!$A:$J,9,FALSE),VLOOKUP(B154,I!$A:$E,5,FALSE))</f>
        <v>0.36</v>
      </c>
      <c r="H154" s="77"/>
      <c r="I154" s="76">
        <f t="shared" ref="I154:I161" si="48">TRUNC(F154*G154,2)</f>
        <v>0.36</v>
      </c>
      <c r="J154" s="77"/>
      <c r="M154" s="23">
        <f t="shared" ref="M154:M161" si="49">B154</f>
        <v>95335</v>
      </c>
      <c r="N154" s="23">
        <f>SUMIF(CPU!M:M,B153,CPU!O:O)</f>
        <v>658.67619999999999</v>
      </c>
      <c r="O154" s="23">
        <f t="shared" ref="O154:O161" si="50">F154*N154</f>
        <v>658.67619999999999</v>
      </c>
      <c r="Q154" s="23">
        <f ca="1">SUMIF(CPU!M:M,B153,CPU!R:R)</f>
        <v>114.15859999999999</v>
      </c>
      <c r="R154" s="23">
        <f t="shared" ref="R154:R161" ca="1" si="51">F154*Q154</f>
        <v>114.15859999999999</v>
      </c>
    </row>
    <row r="155" spans="1:18" ht="30" customHeight="1" x14ac:dyDescent="0.3">
      <c r="A155" s="23" t="s">
        <v>1005</v>
      </c>
      <c r="B155" s="23">
        <v>43485</v>
      </c>
      <c r="C155" s="23" t="str">
        <f>VLOOKUP(B155,IF(A155="COMPOSICAO",S!$A:$E,I!$A:$E),2,FALSE)</f>
        <v>SINAPI</v>
      </c>
      <c r="D155" s="24" t="str">
        <f>VLOOKUP(B155,IF(A155="COMPOSICAO",S!$A:$E,I!$A:$E),3,FALSE)</f>
        <v>EPI - FAMILIA ENCANADOR - HORISTA (ENCARGOS COMPLEMENTARES - COLETADO CAIXA)</v>
      </c>
      <c r="E155" s="23" t="str">
        <f>VLOOKUP(B155,IF(A155="COMPOSICAO",S!$A:$E,I!$A:$E),4,FALSE)</f>
        <v>H</v>
      </c>
      <c r="F155" s="23">
        <v>1</v>
      </c>
      <c r="G155" s="76">
        <f>IF(A155="COMPOSICAO",VLOOKUP("TOTAL SEM BDI - "&amp;B155,CPUAUX2!$A:$J,9,FALSE),VLOOKUP(B155,I!$A:$E,5,FALSE))</f>
        <v>1.1299999999999999</v>
      </c>
      <c r="H155" s="77"/>
      <c r="I155" s="76">
        <f t="shared" si="48"/>
        <v>1.1299999999999999</v>
      </c>
      <c r="J155" s="77"/>
      <c r="M155" s="23">
        <f t="shared" si="49"/>
        <v>43485</v>
      </c>
      <c r="N155" s="23">
        <f>SUMIF(CPU!M:M,B153,CPU!O:O)</f>
        <v>658.67619999999999</v>
      </c>
      <c r="O155" s="23">
        <f t="shared" si="50"/>
        <v>658.67619999999999</v>
      </c>
      <c r="Q155" s="23">
        <f ca="1">SUMIF(CPU!M:M,B153,CPU!R:R)</f>
        <v>114.15859999999999</v>
      </c>
      <c r="R155" s="23">
        <f t="shared" ca="1" si="51"/>
        <v>114.15859999999999</v>
      </c>
    </row>
    <row r="156" spans="1:18" ht="30" customHeight="1" x14ac:dyDescent="0.3">
      <c r="A156" s="23" t="s">
        <v>1005</v>
      </c>
      <c r="B156" s="23">
        <v>43461</v>
      </c>
      <c r="C156" s="23" t="str">
        <f>VLOOKUP(B156,IF(A156="COMPOSICAO",S!$A:$E,I!$A:$E),2,FALSE)</f>
        <v>SINAPI</v>
      </c>
      <c r="D156" s="24" t="str">
        <f>VLOOKUP(B156,IF(A156="COMPOSICAO",S!$A:$E,I!$A:$E),3,FALSE)</f>
        <v>FERRAMENTAS - FAMILIA ENCANADOR - HORISTA (ENCARGOS COMPLEMENTARES - COLETADO CAIXA)</v>
      </c>
      <c r="E156" s="23" t="str">
        <f>VLOOKUP(B156,IF(A156="COMPOSICAO",S!$A:$E,I!$A:$E),4,FALSE)</f>
        <v>H</v>
      </c>
      <c r="F156" s="23">
        <v>1</v>
      </c>
      <c r="G156" s="76">
        <f>IF(A156="COMPOSICAO",VLOOKUP("TOTAL SEM BDI - "&amp;B156,CPUAUX2!$A:$J,9,FALSE),VLOOKUP(B156,I!$A:$E,5,FALSE))</f>
        <v>0.31</v>
      </c>
      <c r="H156" s="77"/>
      <c r="I156" s="76">
        <f t="shared" si="48"/>
        <v>0.31</v>
      </c>
      <c r="J156" s="77"/>
      <c r="M156" s="23">
        <f t="shared" si="49"/>
        <v>43461</v>
      </c>
      <c r="N156" s="23">
        <f>SUMIF(CPU!M:M,B153,CPU!O:O)</f>
        <v>658.67619999999999</v>
      </c>
      <c r="O156" s="23">
        <f t="shared" si="50"/>
        <v>658.67619999999999</v>
      </c>
      <c r="Q156" s="23">
        <f ca="1">SUMIF(CPU!M:M,B153,CPU!R:R)</f>
        <v>114.15859999999999</v>
      </c>
      <c r="R156" s="23">
        <f t="shared" ca="1" si="51"/>
        <v>114.15859999999999</v>
      </c>
    </row>
    <row r="157" spans="1:18" ht="30" customHeight="1" x14ac:dyDescent="0.3">
      <c r="A157" s="23" t="s">
        <v>1005</v>
      </c>
      <c r="B157" s="23">
        <v>37373</v>
      </c>
      <c r="C157" s="23" t="str">
        <f>VLOOKUP(B157,IF(A157="COMPOSICAO",S!$A:$E,I!$A:$E),2,FALSE)</f>
        <v>SINAPI</v>
      </c>
      <c r="D157" s="24" t="str">
        <f>VLOOKUP(B157,IF(A157="COMPOSICAO",S!$A:$E,I!$A:$E),3,FALSE)</f>
        <v>SEGURO - HORISTA (COLETADO CAIXA - ENCARGOS COMPLEMENTARES)</v>
      </c>
      <c r="E157" s="23" t="str">
        <f>VLOOKUP(B157,IF(A157="COMPOSICAO",S!$A:$E,I!$A:$E),4,FALSE)</f>
        <v>H</v>
      </c>
      <c r="F157" s="23">
        <v>1</v>
      </c>
      <c r="G157" s="76">
        <f>IF(A157="COMPOSICAO",VLOOKUP("TOTAL SEM BDI - "&amp;B157,CPUAUX2!$A:$J,9,FALSE),VLOOKUP(B157,I!$A:$E,5,FALSE))</f>
        <v>0.08</v>
      </c>
      <c r="H157" s="77"/>
      <c r="I157" s="76">
        <f t="shared" si="48"/>
        <v>0.08</v>
      </c>
      <c r="J157" s="77"/>
      <c r="M157" s="23">
        <f t="shared" si="49"/>
        <v>37373</v>
      </c>
      <c r="N157" s="23">
        <f>SUMIF(CPU!M:M,B153,CPU!O:O)</f>
        <v>658.67619999999999</v>
      </c>
      <c r="O157" s="23">
        <f t="shared" si="50"/>
        <v>658.67619999999999</v>
      </c>
      <c r="Q157" s="23">
        <f ca="1">SUMIF(CPU!M:M,B153,CPU!R:R)</f>
        <v>114.15859999999999</v>
      </c>
      <c r="R157" s="23">
        <f t="shared" ca="1" si="51"/>
        <v>114.15859999999999</v>
      </c>
    </row>
    <row r="158" spans="1:18" ht="30" customHeight="1" x14ac:dyDescent="0.3">
      <c r="A158" s="23" t="s">
        <v>1005</v>
      </c>
      <c r="B158" s="23">
        <v>37372</v>
      </c>
      <c r="C158" s="23" t="str">
        <f>VLOOKUP(B158,IF(A158="COMPOSICAO",S!$A:$E,I!$A:$E),2,FALSE)</f>
        <v>SINAPI</v>
      </c>
      <c r="D158" s="24" t="str">
        <f>VLOOKUP(B158,IF(A158="COMPOSICAO",S!$A:$E,I!$A:$E),3,FALSE)</f>
        <v>EXAMES - HORISTA (COLETADO CAIXA - ENCARGOS COMPLEMENTARES)</v>
      </c>
      <c r="E158" s="23" t="str">
        <f>VLOOKUP(B158,IF(A158="COMPOSICAO",S!$A:$E,I!$A:$E),4,FALSE)</f>
        <v>H</v>
      </c>
      <c r="F158" s="23">
        <v>1</v>
      </c>
      <c r="G158" s="76">
        <f>IF(A158="COMPOSICAO",VLOOKUP("TOTAL SEM BDI - "&amp;B158,CPUAUX2!$A:$J,9,FALSE),VLOOKUP(B158,I!$A:$E,5,FALSE))</f>
        <v>1.43</v>
      </c>
      <c r="H158" s="77"/>
      <c r="I158" s="76">
        <f t="shared" si="48"/>
        <v>1.43</v>
      </c>
      <c r="J158" s="77"/>
      <c r="M158" s="23">
        <f t="shared" si="49"/>
        <v>37372</v>
      </c>
      <c r="N158" s="23">
        <f>SUMIF(CPU!M:M,B153,CPU!O:O)</f>
        <v>658.67619999999999</v>
      </c>
      <c r="O158" s="23">
        <f t="shared" si="50"/>
        <v>658.67619999999999</v>
      </c>
      <c r="Q158" s="23">
        <f ca="1">SUMIF(CPU!M:M,B153,CPU!R:R)</f>
        <v>114.15859999999999</v>
      </c>
      <c r="R158" s="23">
        <f t="shared" ca="1" si="51"/>
        <v>114.15859999999999</v>
      </c>
    </row>
    <row r="159" spans="1:18" ht="30" customHeight="1" x14ac:dyDescent="0.3">
      <c r="A159" s="23" t="s">
        <v>1005</v>
      </c>
      <c r="B159" s="23">
        <v>37371</v>
      </c>
      <c r="C159" s="23" t="str">
        <f>VLOOKUP(B159,IF(A159="COMPOSICAO",S!$A:$E,I!$A:$E),2,FALSE)</f>
        <v>SINAPI</v>
      </c>
      <c r="D159" s="24" t="str">
        <f>VLOOKUP(B159,IF(A159="COMPOSICAO",S!$A:$E,I!$A:$E),3,FALSE)</f>
        <v>TRANSPORTE - HORISTA (COLETADO CAIXA - ENCARGOS COMPLEMENTARES)</v>
      </c>
      <c r="E159" s="23" t="str">
        <f>VLOOKUP(B159,IF(A159="COMPOSICAO",S!$A:$E,I!$A:$E),4,FALSE)</f>
        <v>H</v>
      </c>
      <c r="F159" s="23">
        <v>1</v>
      </c>
      <c r="G159" s="76">
        <f>IF(A159="COMPOSICAO",VLOOKUP("TOTAL SEM BDI - "&amp;B159,CPUAUX2!$A:$J,9,FALSE),VLOOKUP(B159,I!$A:$E,5,FALSE))</f>
        <v>0.56999999999999995</v>
      </c>
      <c r="H159" s="77"/>
      <c r="I159" s="76">
        <f t="shared" si="48"/>
        <v>0.56999999999999995</v>
      </c>
      <c r="J159" s="77"/>
      <c r="M159" s="23">
        <f t="shared" si="49"/>
        <v>37371</v>
      </c>
      <c r="N159" s="23">
        <f>SUMIF(CPU!M:M,B153,CPU!O:O)</f>
        <v>658.67619999999999</v>
      </c>
      <c r="O159" s="23">
        <f t="shared" si="50"/>
        <v>658.67619999999999</v>
      </c>
      <c r="Q159" s="23">
        <f ca="1">SUMIF(CPU!M:M,B153,CPU!R:R)</f>
        <v>114.15859999999999</v>
      </c>
      <c r="R159" s="23">
        <f t="shared" ca="1" si="51"/>
        <v>114.15859999999999</v>
      </c>
    </row>
    <row r="160" spans="1:18" ht="30" customHeight="1" x14ac:dyDescent="0.3">
      <c r="A160" s="23" t="s">
        <v>1005</v>
      </c>
      <c r="B160" s="23">
        <v>37370</v>
      </c>
      <c r="C160" s="23" t="str">
        <f>VLOOKUP(B160,IF(A160="COMPOSICAO",S!$A:$E,I!$A:$E),2,FALSE)</f>
        <v>SINAPI</v>
      </c>
      <c r="D160" s="24" t="str">
        <f>VLOOKUP(B160,IF(A160="COMPOSICAO",S!$A:$E,I!$A:$E),3,FALSE)</f>
        <v>ALIMENTACAO - HORISTA (COLETADO CAIXA - ENCARGOS COMPLEMENTARES)</v>
      </c>
      <c r="E160" s="23" t="str">
        <f>VLOOKUP(B160,IF(A160="COMPOSICAO",S!$A:$E,I!$A:$E),4,FALSE)</f>
        <v>H</v>
      </c>
      <c r="F160" s="23">
        <v>1</v>
      </c>
      <c r="G160" s="76">
        <f>IF(A160="COMPOSICAO",VLOOKUP("TOTAL SEM BDI - "&amp;B160,CPUAUX2!$A:$J,9,FALSE),VLOOKUP(B160,I!$A:$E,5,FALSE))</f>
        <v>2.46</v>
      </c>
      <c r="H160" s="77"/>
      <c r="I160" s="76">
        <f t="shared" si="48"/>
        <v>2.46</v>
      </c>
      <c r="J160" s="77"/>
      <c r="M160" s="23">
        <f t="shared" si="49"/>
        <v>37370</v>
      </c>
      <c r="N160" s="23">
        <f>SUMIF(CPU!M:M,B153,CPU!O:O)</f>
        <v>658.67619999999999</v>
      </c>
      <c r="O160" s="23">
        <f t="shared" si="50"/>
        <v>658.67619999999999</v>
      </c>
      <c r="Q160" s="23">
        <f ca="1">SUMIF(CPU!M:M,B153,CPU!R:R)</f>
        <v>114.15859999999999</v>
      </c>
      <c r="R160" s="23">
        <f t="shared" ca="1" si="51"/>
        <v>114.15859999999999</v>
      </c>
    </row>
    <row r="161" spans="1:18" x14ac:dyDescent="0.3">
      <c r="A161" s="23" t="s">
        <v>1005</v>
      </c>
      <c r="B161" s="23">
        <v>2696</v>
      </c>
      <c r="C161" s="23" t="str">
        <f>VLOOKUP(B161,IF(A161="COMPOSICAO",S!$A:$E,I!$A:$E),2,FALSE)</f>
        <v>SINAPI</v>
      </c>
      <c r="D161" s="24" t="str">
        <f>VLOOKUP(B161,IF(A161="COMPOSICAO",S!$A:$E,I!$A:$E),3,FALSE)</f>
        <v>ENCANADOR OU BOMBEIRO HIDRAULICO (HORISTA)</v>
      </c>
      <c r="E161" s="23" t="str">
        <f>VLOOKUP(B161,IF(A161="COMPOSICAO",S!$A:$E,I!$A:$E),4,FALSE)</f>
        <v>H</v>
      </c>
      <c r="F161" s="23">
        <v>1</v>
      </c>
      <c r="G161" s="76">
        <f>IF(A161="COMPOSICAO",VLOOKUP("TOTAL SEM BDI - "&amp;B161,CPUAUX2!$A:$J,9,FALSE),VLOOKUP(B161,I!$A:$E,5,FALSE))</f>
        <v>20.329999999999998</v>
      </c>
      <c r="H161" s="77"/>
      <c r="I161" s="76">
        <f t="shared" si="48"/>
        <v>20.329999999999998</v>
      </c>
      <c r="J161" s="77"/>
      <c r="M161" s="23">
        <f t="shared" si="49"/>
        <v>2696</v>
      </c>
      <c r="N161" s="23">
        <f>SUMIF(CPU!M:M,B153,CPU!O:O)</f>
        <v>658.67619999999999</v>
      </c>
      <c r="O161" s="23">
        <f t="shared" si="50"/>
        <v>658.67619999999999</v>
      </c>
      <c r="Q161" s="23">
        <f ca="1">SUMIF(CPU!M:M,B153,CPU!R:R)</f>
        <v>114.15859999999999</v>
      </c>
      <c r="R161" s="23">
        <f t="shared" ca="1" si="51"/>
        <v>114.15859999999999</v>
      </c>
    </row>
    <row r="162" spans="1:18" x14ac:dyDescent="0.3">
      <c r="A162" s="73" t="str">
        <f>"TOTAL SEM BDI - "&amp;B153</f>
        <v>TOTAL SEM BDI - 88267</v>
      </c>
      <c r="B162" s="74"/>
      <c r="C162" s="74"/>
      <c r="D162" s="74"/>
      <c r="E162" s="74"/>
      <c r="F162" s="74"/>
      <c r="G162" s="74"/>
      <c r="H162" s="75"/>
      <c r="I162" s="76">
        <f>SUM(I153:I161)</f>
        <v>26.669999999999998</v>
      </c>
      <c r="J162" s="77"/>
    </row>
    <row r="164" spans="1:18" x14ac:dyDescent="0.3">
      <c r="A164" s="4" t="s">
        <v>1000</v>
      </c>
      <c r="B164" s="4" t="s">
        <v>170</v>
      </c>
      <c r="C164" s="4" t="s">
        <v>171</v>
      </c>
      <c r="D164" s="4" t="s">
        <v>18</v>
      </c>
      <c r="E164" s="4" t="s">
        <v>172</v>
      </c>
      <c r="F164" s="4" t="s">
        <v>507</v>
      </c>
      <c r="G164" s="45" t="s">
        <v>1001</v>
      </c>
      <c r="H164" s="46"/>
      <c r="I164" s="45" t="s">
        <v>12</v>
      </c>
      <c r="J164" s="46"/>
    </row>
    <row r="165" spans="1:18" ht="30" customHeight="1" x14ac:dyDescent="0.3">
      <c r="A165" s="15" t="s">
        <v>1071</v>
      </c>
      <c r="B165" s="15">
        <v>88248</v>
      </c>
      <c r="C165" s="15" t="str">
        <f>VLOOKUP(B165,S!$A:$G,2,FALSE)</f>
        <v>SINAPI</v>
      </c>
      <c r="D165" s="22" t="str">
        <f>VLOOKUP(B165,S!$A:$G,3,FALSE)</f>
        <v>AUXILIAR DE ENCANADOR OU BOMBEIRO HIDRÁULICO COM ENCARGOS COMPLEMENTARES</v>
      </c>
      <c r="E165" s="15" t="str">
        <f>VLOOKUP(B165,S!$A:$G,4,FALSE)</f>
        <v>H</v>
      </c>
      <c r="F165" s="15"/>
      <c r="G165" s="78">
        <f>I174</f>
        <v>21.82</v>
      </c>
      <c r="H165" s="79"/>
      <c r="I165" s="78"/>
      <c r="J165" s="79"/>
      <c r="K165" s="16">
        <f>VLOOKUP(B165,S!A:G,5,FALSE)</f>
        <v>21.82</v>
      </c>
      <c r="L165" s="15" t="str">
        <f>IF(K165=G165,"OK, CONFORME TABELA",IF(G165&gt;K165,"ACIMA DA TABELA: ","ABAIXO DA TABELA: ")&amp;TRUNC((G165*100)/K165,2)&amp;" %")</f>
        <v>OK, CONFORME TABELA</v>
      </c>
    </row>
    <row r="166" spans="1:18" ht="45" customHeight="1" x14ac:dyDescent="0.3">
      <c r="A166" s="23" t="s">
        <v>1004</v>
      </c>
      <c r="B166" s="23">
        <v>95317</v>
      </c>
      <c r="C166" s="23" t="str">
        <f>VLOOKUP(B166,IF(A166="COMPOSICAO",S!$A:$E,I!$A:$E),2,FALSE)</f>
        <v>SINAPI</v>
      </c>
      <c r="D166" s="24" t="str">
        <f>VLOOKUP(B166,IF(A166="COMPOSICAO",S!$A:$E,I!$A:$E),3,FALSE)</f>
        <v>CURSO DE CAPACITAÇÃO PARA AUXILIAR DE ENCANADOR OU BOMBEIRO HIDRÁULICO (ENCARGOS COMPLEMENTARES) - HORISTA</v>
      </c>
      <c r="E166" s="23" t="str">
        <f>VLOOKUP(B166,IF(A166="COMPOSICAO",S!$A:$E,I!$A:$E),4,FALSE)</f>
        <v>H</v>
      </c>
      <c r="F166" s="23">
        <v>1</v>
      </c>
      <c r="G166" s="76">
        <f>IF(A166="COMPOSICAO",VLOOKUP("TOTAL SEM BDI - "&amp;B166,CPUAUX2!$A:$J,9,FALSE),VLOOKUP(B166,I!$A:$E,5,FALSE))</f>
        <v>0.27</v>
      </c>
      <c r="H166" s="77"/>
      <c r="I166" s="76">
        <f t="shared" ref="I166:I173" si="52">TRUNC(F166*G166,2)</f>
        <v>0.27</v>
      </c>
      <c r="J166" s="77"/>
      <c r="M166" s="23">
        <f t="shared" ref="M166:M173" si="53">B166</f>
        <v>95317</v>
      </c>
      <c r="N166" s="23">
        <f>SUMIF(CPU!M:M,B165,CPU!O:O)</f>
        <v>206.77619999999999</v>
      </c>
      <c r="O166" s="23">
        <f t="shared" ref="O166:O173" si="54">F166*N166</f>
        <v>206.77619999999999</v>
      </c>
      <c r="Q166" s="23">
        <f ca="1">SUMIF(CPU!M:M,B165,CPU!R:R)</f>
        <v>77.258600000000001</v>
      </c>
      <c r="R166" s="23">
        <f t="shared" ref="R166:R173" ca="1" si="55">F166*Q166</f>
        <v>77.258600000000001</v>
      </c>
    </row>
    <row r="167" spans="1:18" ht="30" customHeight="1" x14ac:dyDescent="0.3">
      <c r="A167" s="23" t="s">
        <v>1005</v>
      </c>
      <c r="B167" s="23">
        <v>43485</v>
      </c>
      <c r="C167" s="23" t="str">
        <f>VLOOKUP(B167,IF(A167="COMPOSICAO",S!$A:$E,I!$A:$E),2,FALSE)</f>
        <v>SINAPI</v>
      </c>
      <c r="D167" s="24" t="str">
        <f>VLOOKUP(B167,IF(A167="COMPOSICAO",S!$A:$E,I!$A:$E),3,FALSE)</f>
        <v>EPI - FAMILIA ENCANADOR - HORISTA (ENCARGOS COMPLEMENTARES - COLETADO CAIXA)</v>
      </c>
      <c r="E167" s="23" t="str">
        <f>VLOOKUP(B167,IF(A167="COMPOSICAO",S!$A:$E,I!$A:$E),4,FALSE)</f>
        <v>H</v>
      </c>
      <c r="F167" s="23">
        <v>1</v>
      </c>
      <c r="G167" s="76">
        <f>IF(A167="COMPOSICAO",VLOOKUP("TOTAL SEM BDI - "&amp;B167,CPUAUX2!$A:$J,9,FALSE),VLOOKUP(B167,I!$A:$E,5,FALSE))</f>
        <v>1.1299999999999999</v>
      </c>
      <c r="H167" s="77"/>
      <c r="I167" s="76">
        <f t="shared" si="52"/>
        <v>1.1299999999999999</v>
      </c>
      <c r="J167" s="77"/>
      <c r="M167" s="23">
        <f t="shared" si="53"/>
        <v>43485</v>
      </c>
      <c r="N167" s="23">
        <f>SUMIF(CPU!M:M,B165,CPU!O:O)</f>
        <v>206.77619999999999</v>
      </c>
      <c r="O167" s="23">
        <f t="shared" si="54"/>
        <v>206.77619999999999</v>
      </c>
      <c r="Q167" s="23">
        <f ca="1">SUMIF(CPU!M:M,B165,CPU!R:R)</f>
        <v>77.258600000000001</v>
      </c>
      <c r="R167" s="23">
        <f t="shared" ca="1" si="55"/>
        <v>77.258600000000001</v>
      </c>
    </row>
    <row r="168" spans="1:18" ht="30" customHeight="1" x14ac:dyDescent="0.3">
      <c r="A168" s="23" t="s">
        <v>1005</v>
      </c>
      <c r="B168" s="23">
        <v>43461</v>
      </c>
      <c r="C168" s="23" t="str">
        <f>VLOOKUP(B168,IF(A168="COMPOSICAO",S!$A:$E,I!$A:$E),2,FALSE)</f>
        <v>SINAPI</v>
      </c>
      <c r="D168" s="24" t="str">
        <f>VLOOKUP(B168,IF(A168="COMPOSICAO",S!$A:$E,I!$A:$E),3,FALSE)</f>
        <v>FERRAMENTAS - FAMILIA ENCANADOR - HORISTA (ENCARGOS COMPLEMENTARES - COLETADO CAIXA)</v>
      </c>
      <c r="E168" s="23" t="str">
        <f>VLOOKUP(B168,IF(A168="COMPOSICAO",S!$A:$E,I!$A:$E),4,FALSE)</f>
        <v>H</v>
      </c>
      <c r="F168" s="23">
        <v>1</v>
      </c>
      <c r="G168" s="76">
        <f>IF(A168="COMPOSICAO",VLOOKUP("TOTAL SEM BDI - "&amp;B168,CPUAUX2!$A:$J,9,FALSE),VLOOKUP(B168,I!$A:$E,5,FALSE))</f>
        <v>0.31</v>
      </c>
      <c r="H168" s="77"/>
      <c r="I168" s="76">
        <f t="shared" si="52"/>
        <v>0.31</v>
      </c>
      <c r="J168" s="77"/>
      <c r="M168" s="23">
        <f t="shared" si="53"/>
        <v>43461</v>
      </c>
      <c r="N168" s="23">
        <f>SUMIF(CPU!M:M,B165,CPU!O:O)</f>
        <v>206.77619999999999</v>
      </c>
      <c r="O168" s="23">
        <f t="shared" si="54"/>
        <v>206.77619999999999</v>
      </c>
      <c r="Q168" s="23">
        <f ca="1">SUMIF(CPU!M:M,B165,CPU!R:R)</f>
        <v>77.258600000000001</v>
      </c>
      <c r="R168" s="23">
        <f t="shared" ca="1" si="55"/>
        <v>77.258600000000001</v>
      </c>
    </row>
    <row r="169" spans="1:18" ht="30" customHeight="1" x14ac:dyDescent="0.3">
      <c r="A169" s="23" t="s">
        <v>1005</v>
      </c>
      <c r="B169" s="23">
        <v>37373</v>
      </c>
      <c r="C169" s="23" t="str">
        <f>VLOOKUP(B169,IF(A169="COMPOSICAO",S!$A:$E,I!$A:$E),2,FALSE)</f>
        <v>SINAPI</v>
      </c>
      <c r="D169" s="24" t="str">
        <f>VLOOKUP(B169,IF(A169="COMPOSICAO",S!$A:$E,I!$A:$E),3,FALSE)</f>
        <v>SEGURO - HORISTA (COLETADO CAIXA - ENCARGOS COMPLEMENTARES)</v>
      </c>
      <c r="E169" s="23" t="str">
        <f>VLOOKUP(B169,IF(A169="COMPOSICAO",S!$A:$E,I!$A:$E),4,FALSE)</f>
        <v>H</v>
      </c>
      <c r="F169" s="23">
        <v>1</v>
      </c>
      <c r="G169" s="76">
        <f>IF(A169="COMPOSICAO",VLOOKUP("TOTAL SEM BDI - "&amp;B169,CPUAUX2!$A:$J,9,FALSE),VLOOKUP(B169,I!$A:$E,5,FALSE))</f>
        <v>0.08</v>
      </c>
      <c r="H169" s="77"/>
      <c r="I169" s="76">
        <f t="shared" si="52"/>
        <v>0.08</v>
      </c>
      <c r="J169" s="77"/>
      <c r="M169" s="23">
        <f t="shared" si="53"/>
        <v>37373</v>
      </c>
      <c r="N169" s="23">
        <f>SUMIF(CPU!M:M,B165,CPU!O:O)</f>
        <v>206.77619999999999</v>
      </c>
      <c r="O169" s="23">
        <f t="shared" si="54"/>
        <v>206.77619999999999</v>
      </c>
      <c r="Q169" s="23">
        <f ca="1">SUMIF(CPU!M:M,B165,CPU!R:R)</f>
        <v>77.258600000000001</v>
      </c>
      <c r="R169" s="23">
        <f t="shared" ca="1" si="55"/>
        <v>77.258600000000001</v>
      </c>
    </row>
    <row r="170" spans="1:18" ht="30" customHeight="1" x14ac:dyDescent="0.3">
      <c r="A170" s="23" t="s">
        <v>1005</v>
      </c>
      <c r="B170" s="23">
        <v>37372</v>
      </c>
      <c r="C170" s="23" t="str">
        <f>VLOOKUP(B170,IF(A170="COMPOSICAO",S!$A:$E,I!$A:$E),2,FALSE)</f>
        <v>SINAPI</v>
      </c>
      <c r="D170" s="24" t="str">
        <f>VLOOKUP(B170,IF(A170="COMPOSICAO",S!$A:$E,I!$A:$E),3,FALSE)</f>
        <v>EXAMES - HORISTA (COLETADO CAIXA - ENCARGOS COMPLEMENTARES)</v>
      </c>
      <c r="E170" s="23" t="str">
        <f>VLOOKUP(B170,IF(A170="COMPOSICAO",S!$A:$E,I!$A:$E),4,FALSE)</f>
        <v>H</v>
      </c>
      <c r="F170" s="23">
        <v>1</v>
      </c>
      <c r="G170" s="76">
        <f>IF(A170="COMPOSICAO",VLOOKUP("TOTAL SEM BDI - "&amp;B170,CPUAUX2!$A:$J,9,FALSE),VLOOKUP(B170,I!$A:$E,5,FALSE))</f>
        <v>1.43</v>
      </c>
      <c r="H170" s="77"/>
      <c r="I170" s="76">
        <f t="shared" si="52"/>
        <v>1.43</v>
      </c>
      <c r="J170" s="77"/>
      <c r="M170" s="23">
        <f t="shared" si="53"/>
        <v>37372</v>
      </c>
      <c r="N170" s="23">
        <f>SUMIF(CPU!M:M,B165,CPU!O:O)</f>
        <v>206.77619999999999</v>
      </c>
      <c r="O170" s="23">
        <f t="shared" si="54"/>
        <v>206.77619999999999</v>
      </c>
      <c r="Q170" s="23">
        <f ca="1">SUMIF(CPU!M:M,B165,CPU!R:R)</f>
        <v>77.258600000000001</v>
      </c>
      <c r="R170" s="23">
        <f t="shared" ca="1" si="55"/>
        <v>77.258600000000001</v>
      </c>
    </row>
    <row r="171" spans="1:18" ht="30" customHeight="1" x14ac:dyDescent="0.3">
      <c r="A171" s="23" t="s">
        <v>1005</v>
      </c>
      <c r="B171" s="23">
        <v>37371</v>
      </c>
      <c r="C171" s="23" t="str">
        <f>VLOOKUP(B171,IF(A171="COMPOSICAO",S!$A:$E,I!$A:$E),2,FALSE)</f>
        <v>SINAPI</v>
      </c>
      <c r="D171" s="24" t="str">
        <f>VLOOKUP(B171,IF(A171="COMPOSICAO",S!$A:$E,I!$A:$E),3,FALSE)</f>
        <v>TRANSPORTE - HORISTA (COLETADO CAIXA - ENCARGOS COMPLEMENTARES)</v>
      </c>
      <c r="E171" s="23" t="str">
        <f>VLOOKUP(B171,IF(A171="COMPOSICAO",S!$A:$E,I!$A:$E),4,FALSE)</f>
        <v>H</v>
      </c>
      <c r="F171" s="23">
        <v>1</v>
      </c>
      <c r="G171" s="76">
        <f>IF(A171="COMPOSICAO",VLOOKUP("TOTAL SEM BDI - "&amp;B171,CPUAUX2!$A:$J,9,FALSE),VLOOKUP(B171,I!$A:$E,5,FALSE))</f>
        <v>0.56999999999999995</v>
      </c>
      <c r="H171" s="77"/>
      <c r="I171" s="76">
        <f t="shared" si="52"/>
        <v>0.56999999999999995</v>
      </c>
      <c r="J171" s="77"/>
      <c r="M171" s="23">
        <f t="shared" si="53"/>
        <v>37371</v>
      </c>
      <c r="N171" s="23">
        <f>SUMIF(CPU!M:M,B165,CPU!O:O)</f>
        <v>206.77619999999999</v>
      </c>
      <c r="O171" s="23">
        <f t="shared" si="54"/>
        <v>206.77619999999999</v>
      </c>
      <c r="Q171" s="23">
        <f ca="1">SUMIF(CPU!M:M,B165,CPU!R:R)</f>
        <v>77.258600000000001</v>
      </c>
      <c r="R171" s="23">
        <f t="shared" ca="1" si="55"/>
        <v>77.258600000000001</v>
      </c>
    </row>
    <row r="172" spans="1:18" ht="30" customHeight="1" x14ac:dyDescent="0.3">
      <c r="A172" s="23" t="s">
        <v>1005</v>
      </c>
      <c r="B172" s="23">
        <v>37370</v>
      </c>
      <c r="C172" s="23" t="str">
        <f>VLOOKUP(B172,IF(A172="COMPOSICAO",S!$A:$E,I!$A:$E),2,FALSE)</f>
        <v>SINAPI</v>
      </c>
      <c r="D172" s="24" t="str">
        <f>VLOOKUP(B172,IF(A172="COMPOSICAO",S!$A:$E,I!$A:$E),3,FALSE)</f>
        <v>ALIMENTACAO - HORISTA (COLETADO CAIXA - ENCARGOS COMPLEMENTARES)</v>
      </c>
      <c r="E172" s="23" t="str">
        <f>VLOOKUP(B172,IF(A172="COMPOSICAO",S!$A:$E,I!$A:$E),4,FALSE)</f>
        <v>H</v>
      </c>
      <c r="F172" s="23">
        <v>1</v>
      </c>
      <c r="G172" s="76">
        <f>IF(A172="COMPOSICAO",VLOOKUP("TOTAL SEM BDI - "&amp;B172,CPUAUX2!$A:$J,9,FALSE),VLOOKUP(B172,I!$A:$E,5,FALSE))</f>
        <v>2.46</v>
      </c>
      <c r="H172" s="77"/>
      <c r="I172" s="76">
        <f t="shared" si="52"/>
        <v>2.46</v>
      </c>
      <c r="J172" s="77"/>
      <c r="M172" s="23">
        <f t="shared" si="53"/>
        <v>37370</v>
      </c>
      <c r="N172" s="23">
        <f>SUMIF(CPU!M:M,B165,CPU!O:O)</f>
        <v>206.77619999999999</v>
      </c>
      <c r="O172" s="23">
        <f t="shared" si="54"/>
        <v>206.77619999999999</v>
      </c>
      <c r="Q172" s="23">
        <f ca="1">SUMIF(CPU!M:M,B165,CPU!R:R)</f>
        <v>77.258600000000001</v>
      </c>
      <c r="R172" s="23">
        <f t="shared" ca="1" si="55"/>
        <v>77.258600000000001</v>
      </c>
    </row>
    <row r="173" spans="1:18" ht="30" customHeight="1" x14ac:dyDescent="0.3">
      <c r="A173" s="23" t="s">
        <v>1005</v>
      </c>
      <c r="B173" s="23">
        <v>246</v>
      </c>
      <c r="C173" s="23" t="str">
        <f>VLOOKUP(B173,IF(A173="COMPOSICAO",S!$A:$E,I!$A:$E),2,FALSE)</f>
        <v>SINAPI</v>
      </c>
      <c r="D173" s="24" t="str">
        <f>VLOOKUP(B173,IF(A173="COMPOSICAO",S!$A:$E,I!$A:$E),3,FALSE)</f>
        <v>AUXILIAR DE ENCANADOR OU BOMBEIRO HIDRAULICO (HORISTA)</v>
      </c>
      <c r="E173" s="23" t="str">
        <f>VLOOKUP(B173,IF(A173="COMPOSICAO",S!$A:$E,I!$A:$E),4,FALSE)</f>
        <v>H</v>
      </c>
      <c r="F173" s="23">
        <v>1</v>
      </c>
      <c r="G173" s="76">
        <f>IF(A173="COMPOSICAO",VLOOKUP("TOTAL SEM BDI - "&amp;B173,CPUAUX2!$A:$J,9,FALSE),VLOOKUP(B173,I!$A:$E,5,FALSE))</f>
        <v>15.57</v>
      </c>
      <c r="H173" s="77"/>
      <c r="I173" s="76">
        <f t="shared" si="52"/>
        <v>15.57</v>
      </c>
      <c r="J173" s="77"/>
      <c r="M173" s="23">
        <f t="shared" si="53"/>
        <v>246</v>
      </c>
      <c r="N173" s="23">
        <f>SUMIF(CPU!M:M,B165,CPU!O:O)</f>
        <v>206.77619999999999</v>
      </c>
      <c r="O173" s="23">
        <f t="shared" si="54"/>
        <v>206.77619999999999</v>
      </c>
      <c r="Q173" s="23">
        <f ca="1">SUMIF(CPU!M:M,B165,CPU!R:R)</f>
        <v>77.258600000000001</v>
      </c>
      <c r="R173" s="23">
        <f t="shared" ca="1" si="55"/>
        <v>77.258600000000001</v>
      </c>
    </row>
    <row r="174" spans="1:18" x14ac:dyDescent="0.3">
      <c r="A174" s="73" t="str">
        <f>"TOTAL SEM BDI - "&amp;B165</f>
        <v>TOTAL SEM BDI - 88248</v>
      </c>
      <c r="B174" s="74"/>
      <c r="C174" s="74"/>
      <c r="D174" s="74"/>
      <c r="E174" s="74"/>
      <c r="F174" s="74"/>
      <c r="G174" s="74"/>
      <c r="H174" s="75"/>
      <c r="I174" s="76">
        <f>SUM(I165:I173)</f>
        <v>21.82</v>
      </c>
      <c r="J174" s="77"/>
    </row>
    <row r="176" spans="1:18" x14ac:dyDescent="0.3">
      <c r="A176" s="4" t="s">
        <v>1000</v>
      </c>
      <c r="B176" s="4" t="s">
        <v>170</v>
      </c>
      <c r="C176" s="4" t="s">
        <v>171</v>
      </c>
      <c r="D176" s="4" t="s">
        <v>18</v>
      </c>
      <c r="E176" s="4" t="s">
        <v>172</v>
      </c>
      <c r="F176" s="4" t="s">
        <v>507</v>
      </c>
      <c r="G176" s="45" t="s">
        <v>1001</v>
      </c>
      <c r="H176" s="46"/>
      <c r="I176" s="45" t="s">
        <v>12</v>
      </c>
      <c r="J176" s="46"/>
    </row>
    <row r="177" spans="1:18" x14ac:dyDescent="0.3">
      <c r="A177" s="15" t="s">
        <v>1071</v>
      </c>
      <c r="B177" s="15">
        <v>88264</v>
      </c>
      <c r="C177" s="15" t="str">
        <f>VLOOKUP(B177,S!$A:$G,2,FALSE)</f>
        <v>SINAPI</v>
      </c>
      <c r="D177" s="22" t="str">
        <f>VLOOKUP(B177,S!$A:$G,3,FALSE)</f>
        <v>ELETRICISTA COM ENCARGOS COMPLEMENTARES</v>
      </c>
      <c r="E177" s="15" t="str">
        <f>VLOOKUP(B177,S!$A:$G,4,FALSE)</f>
        <v>H</v>
      </c>
      <c r="F177" s="15"/>
      <c r="G177" s="78">
        <f>I186</f>
        <v>27.74</v>
      </c>
      <c r="H177" s="79"/>
      <c r="I177" s="78"/>
      <c r="J177" s="79"/>
      <c r="K177" s="16">
        <f>VLOOKUP(B177,S!A:G,5,FALSE)</f>
        <v>27.74</v>
      </c>
      <c r="L177" s="15" t="str">
        <f>IF(K177=G177,"OK, CONFORME TABELA",IF(G177&gt;K177,"ACIMA DA TABELA: ","ABAIXO DA TABELA: ")&amp;TRUNC((G177*100)/K177,2)&amp;" %")</f>
        <v>OK, CONFORME TABELA</v>
      </c>
    </row>
    <row r="178" spans="1:18" ht="30" customHeight="1" x14ac:dyDescent="0.3">
      <c r="A178" s="23" t="s">
        <v>1004</v>
      </c>
      <c r="B178" s="23">
        <v>95332</v>
      </c>
      <c r="C178" s="23" t="str">
        <f>VLOOKUP(B178,IF(A178="COMPOSICAO",S!$A:$E,I!$A:$E),2,FALSE)</f>
        <v>SINAPI</v>
      </c>
      <c r="D178" s="24" t="str">
        <f>VLOOKUP(B178,IF(A178="COMPOSICAO",S!$A:$E,I!$A:$E),3,FALSE)</f>
        <v>CURSO DE CAPACITAÇÃO PARA ELETRICISTA (ENCARGOS COMPLEMENTARES) - HORISTA</v>
      </c>
      <c r="E178" s="23" t="str">
        <f>VLOOKUP(B178,IF(A178="COMPOSICAO",S!$A:$E,I!$A:$E),4,FALSE)</f>
        <v>H</v>
      </c>
      <c r="F178" s="23">
        <v>1</v>
      </c>
      <c r="G178" s="76">
        <f>IF(A178="COMPOSICAO",VLOOKUP("TOTAL SEM BDI - "&amp;B178,CPUAUX2!$A:$J,9,FALSE),VLOOKUP(B178,I!$A:$E,5,FALSE))</f>
        <v>0.75</v>
      </c>
      <c r="H178" s="77"/>
      <c r="I178" s="76">
        <f t="shared" ref="I178:I185" si="56">TRUNC(F178*G178,2)</f>
        <v>0.75</v>
      </c>
      <c r="J178" s="77"/>
      <c r="M178" s="23">
        <f t="shared" ref="M178:M185" si="57">B178</f>
        <v>95332</v>
      </c>
      <c r="N178" s="23">
        <f>SUMIF(CPU!M:M,B177,CPU!O:O)</f>
        <v>158.88</v>
      </c>
      <c r="O178" s="23">
        <f t="shared" ref="O178:O185" si="58">F178*N178</f>
        <v>158.88</v>
      </c>
      <c r="Q178" s="23">
        <f ca="1">SUMIF(CPU!M:M,B177,CPU!R:R)</f>
        <v>54.319999999999993</v>
      </c>
      <c r="R178" s="23">
        <f t="shared" ref="R178:R185" ca="1" si="59">F178*Q178</f>
        <v>54.319999999999993</v>
      </c>
    </row>
    <row r="179" spans="1:18" ht="30" customHeight="1" x14ac:dyDescent="0.3">
      <c r="A179" s="23" t="s">
        <v>1005</v>
      </c>
      <c r="B179" s="23">
        <v>43484</v>
      </c>
      <c r="C179" s="23" t="str">
        <f>VLOOKUP(B179,IF(A179="COMPOSICAO",S!$A:$E,I!$A:$E),2,FALSE)</f>
        <v>SINAPI</v>
      </c>
      <c r="D179" s="24" t="str">
        <f>VLOOKUP(B179,IF(A179="COMPOSICAO",S!$A:$E,I!$A:$E),3,FALSE)</f>
        <v>EPI - FAMILIA ELETRICISTA - HORISTA (ENCARGOS COMPLEMENTARES - COLETADO CAIXA)</v>
      </c>
      <c r="E179" s="23" t="str">
        <f>VLOOKUP(B179,IF(A179="COMPOSICAO",S!$A:$E,I!$A:$E),4,FALSE)</f>
        <v>H</v>
      </c>
      <c r="F179" s="23">
        <v>1</v>
      </c>
      <c r="G179" s="76">
        <f>IF(A179="COMPOSICAO",VLOOKUP("TOTAL SEM BDI - "&amp;B179,CPUAUX2!$A:$J,9,FALSE),VLOOKUP(B179,I!$A:$E,5,FALSE))</f>
        <v>1.26</v>
      </c>
      <c r="H179" s="77"/>
      <c r="I179" s="76">
        <f t="shared" si="56"/>
        <v>1.26</v>
      </c>
      <c r="J179" s="77"/>
      <c r="M179" s="23">
        <f t="shared" si="57"/>
        <v>43484</v>
      </c>
      <c r="N179" s="23">
        <f>SUMIF(CPU!M:M,B177,CPU!O:O)</f>
        <v>158.88</v>
      </c>
      <c r="O179" s="23">
        <f t="shared" si="58"/>
        <v>158.88</v>
      </c>
      <c r="Q179" s="23">
        <f ca="1">SUMIF(CPU!M:M,B177,CPU!R:R)</f>
        <v>54.319999999999993</v>
      </c>
      <c r="R179" s="23">
        <f t="shared" ca="1" si="59"/>
        <v>54.319999999999993</v>
      </c>
    </row>
    <row r="180" spans="1:18" ht="30" customHeight="1" x14ac:dyDescent="0.3">
      <c r="A180" s="23" t="s">
        <v>1005</v>
      </c>
      <c r="B180" s="23">
        <v>43460</v>
      </c>
      <c r="C180" s="23" t="str">
        <f>VLOOKUP(B180,IF(A180="COMPOSICAO",S!$A:$E,I!$A:$E),2,FALSE)</f>
        <v>SINAPI</v>
      </c>
      <c r="D180" s="24" t="str">
        <f>VLOOKUP(B180,IF(A180="COMPOSICAO",S!$A:$E,I!$A:$E),3,FALSE)</f>
        <v>FERRAMENTAS - FAMILIA ELETRICISTA - HORISTA (ENCARGOS COMPLEMENTARES - COLETADO CAIXA)</v>
      </c>
      <c r="E180" s="23" t="str">
        <f>VLOOKUP(B180,IF(A180="COMPOSICAO",S!$A:$E,I!$A:$E),4,FALSE)</f>
        <v>H</v>
      </c>
      <c r="F180" s="23">
        <v>1</v>
      </c>
      <c r="G180" s="76">
        <f>IF(A180="COMPOSICAO",VLOOKUP("TOTAL SEM BDI - "&amp;B180,CPUAUX2!$A:$J,9,FALSE),VLOOKUP(B180,I!$A:$E,5,FALSE))</f>
        <v>0.86</v>
      </c>
      <c r="H180" s="77"/>
      <c r="I180" s="76">
        <f t="shared" si="56"/>
        <v>0.86</v>
      </c>
      <c r="J180" s="77"/>
      <c r="M180" s="23">
        <f t="shared" si="57"/>
        <v>43460</v>
      </c>
      <c r="N180" s="23">
        <f>SUMIF(CPU!M:M,B177,CPU!O:O)</f>
        <v>158.88</v>
      </c>
      <c r="O180" s="23">
        <f t="shared" si="58"/>
        <v>158.88</v>
      </c>
      <c r="Q180" s="23">
        <f ca="1">SUMIF(CPU!M:M,B177,CPU!R:R)</f>
        <v>54.319999999999993</v>
      </c>
      <c r="R180" s="23">
        <f t="shared" ca="1" si="59"/>
        <v>54.319999999999993</v>
      </c>
    </row>
    <row r="181" spans="1:18" ht="30" customHeight="1" x14ac:dyDescent="0.3">
      <c r="A181" s="23" t="s">
        <v>1005</v>
      </c>
      <c r="B181" s="23">
        <v>37373</v>
      </c>
      <c r="C181" s="23" t="str">
        <f>VLOOKUP(B181,IF(A181="COMPOSICAO",S!$A:$E,I!$A:$E),2,FALSE)</f>
        <v>SINAPI</v>
      </c>
      <c r="D181" s="24" t="str">
        <f>VLOOKUP(B181,IF(A181="COMPOSICAO",S!$A:$E,I!$A:$E),3,FALSE)</f>
        <v>SEGURO - HORISTA (COLETADO CAIXA - ENCARGOS COMPLEMENTARES)</v>
      </c>
      <c r="E181" s="23" t="str">
        <f>VLOOKUP(B181,IF(A181="COMPOSICAO",S!$A:$E,I!$A:$E),4,FALSE)</f>
        <v>H</v>
      </c>
      <c r="F181" s="23">
        <v>1</v>
      </c>
      <c r="G181" s="76">
        <f>IF(A181="COMPOSICAO",VLOOKUP("TOTAL SEM BDI - "&amp;B181,CPUAUX2!$A:$J,9,FALSE),VLOOKUP(B181,I!$A:$E,5,FALSE))</f>
        <v>0.08</v>
      </c>
      <c r="H181" s="77"/>
      <c r="I181" s="76">
        <f t="shared" si="56"/>
        <v>0.08</v>
      </c>
      <c r="J181" s="77"/>
      <c r="M181" s="23">
        <f t="shared" si="57"/>
        <v>37373</v>
      </c>
      <c r="N181" s="23">
        <f>SUMIF(CPU!M:M,B177,CPU!O:O)</f>
        <v>158.88</v>
      </c>
      <c r="O181" s="23">
        <f t="shared" si="58"/>
        <v>158.88</v>
      </c>
      <c r="Q181" s="23">
        <f ca="1">SUMIF(CPU!M:M,B177,CPU!R:R)</f>
        <v>54.319999999999993</v>
      </c>
      <c r="R181" s="23">
        <f t="shared" ca="1" si="59"/>
        <v>54.319999999999993</v>
      </c>
    </row>
    <row r="182" spans="1:18" ht="30" customHeight="1" x14ac:dyDescent="0.3">
      <c r="A182" s="23" t="s">
        <v>1005</v>
      </c>
      <c r="B182" s="23">
        <v>37372</v>
      </c>
      <c r="C182" s="23" t="str">
        <f>VLOOKUP(B182,IF(A182="COMPOSICAO",S!$A:$E,I!$A:$E),2,FALSE)</f>
        <v>SINAPI</v>
      </c>
      <c r="D182" s="24" t="str">
        <f>VLOOKUP(B182,IF(A182="COMPOSICAO",S!$A:$E,I!$A:$E),3,FALSE)</f>
        <v>EXAMES - HORISTA (COLETADO CAIXA - ENCARGOS COMPLEMENTARES)</v>
      </c>
      <c r="E182" s="23" t="str">
        <f>VLOOKUP(B182,IF(A182="COMPOSICAO",S!$A:$E,I!$A:$E),4,FALSE)</f>
        <v>H</v>
      </c>
      <c r="F182" s="23">
        <v>1</v>
      </c>
      <c r="G182" s="76">
        <f>IF(A182="COMPOSICAO",VLOOKUP("TOTAL SEM BDI - "&amp;B182,CPUAUX2!$A:$J,9,FALSE),VLOOKUP(B182,I!$A:$E,5,FALSE))</f>
        <v>1.43</v>
      </c>
      <c r="H182" s="77"/>
      <c r="I182" s="76">
        <f t="shared" si="56"/>
        <v>1.43</v>
      </c>
      <c r="J182" s="77"/>
      <c r="M182" s="23">
        <f t="shared" si="57"/>
        <v>37372</v>
      </c>
      <c r="N182" s="23">
        <f>SUMIF(CPU!M:M,B177,CPU!O:O)</f>
        <v>158.88</v>
      </c>
      <c r="O182" s="23">
        <f t="shared" si="58"/>
        <v>158.88</v>
      </c>
      <c r="Q182" s="23">
        <f ca="1">SUMIF(CPU!M:M,B177,CPU!R:R)</f>
        <v>54.319999999999993</v>
      </c>
      <c r="R182" s="23">
        <f t="shared" ca="1" si="59"/>
        <v>54.319999999999993</v>
      </c>
    </row>
    <row r="183" spans="1:18" ht="30" customHeight="1" x14ac:dyDescent="0.3">
      <c r="A183" s="23" t="s">
        <v>1005</v>
      </c>
      <c r="B183" s="23">
        <v>37371</v>
      </c>
      <c r="C183" s="23" t="str">
        <f>VLOOKUP(B183,IF(A183="COMPOSICAO",S!$A:$E,I!$A:$E),2,FALSE)</f>
        <v>SINAPI</v>
      </c>
      <c r="D183" s="24" t="str">
        <f>VLOOKUP(B183,IF(A183="COMPOSICAO",S!$A:$E,I!$A:$E),3,FALSE)</f>
        <v>TRANSPORTE - HORISTA (COLETADO CAIXA - ENCARGOS COMPLEMENTARES)</v>
      </c>
      <c r="E183" s="23" t="str">
        <f>VLOOKUP(B183,IF(A183="COMPOSICAO",S!$A:$E,I!$A:$E),4,FALSE)</f>
        <v>H</v>
      </c>
      <c r="F183" s="23">
        <v>1</v>
      </c>
      <c r="G183" s="76">
        <f>IF(A183="COMPOSICAO",VLOOKUP("TOTAL SEM BDI - "&amp;B183,CPUAUX2!$A:$J,9,FALSE),VLOOKUP(B183,I!$A:$E,5,FALSE))</f>
        <v>0.56999999999999995</v>
      </c>
      <c r="H183" s="77"/>
      <c r="I183" s="76">
        <f t="shared" si="56"/>
        <v>0.56999999999999995</v>
      </c>
      <c r="J183" s="77"/>
      <c r="M183" s="23">
        <f t="shared" si="57"/>
        <v>37371</v>
      </c>
      <c r="N183" s="23">
        <f>SUMIF(CPU!M:M,B177,CPU!O:O)</f>
        <v>158.88</v>
      </c>
      <c r="O183" s="23">
        <f t="shared" si="58"/>
        <v>158.88</v>
      </c>
      <c r="Q183" s="23">
        <f ca="1">SUMIF(CPU!M:M,B177,CPU!R:R)</f>
        <v>54.319999999999993</v>
      </c>
      <c r="R183" s="23">
        <f t="shared" ca="1" si="59"/>
        <v>54.319999999999993</v>
      </c>
    </row>
    <row r="184" spans="1:18" ht="30" customHeight="1" x14ac:dyDescent="0.3">
      <c r="A184" s="23" t="s">
        <v>1005</v>
      </c>
      <c r="B184" s="23">
        <v>37370</v>
      </c>
      <c r="C184" s="23" t="str">
        <f>VLOOKUP(B184,IF(A184="COMPOSICAO",S!$A:$E,I!$A:$E),2,FALSE)</f>
        <v>SINAPI</v>
      </c>
      <c r="D184" s="24" t="str">
        <f>VLOOKUP(B184,IF(A184="COMPOSICAO",S!$A:$E,I!$A:$E),3,FALSE)</f>
        <v>ALIMENTACAO - HORISTA (COLETADO CAIXA - ENCARGOS COMPLEMENTARES)</v>
      </c>
      <c r="E184" s="23" t="str">
        <f>VLOOKUP(B184,IF(A184="COMPOSICAO",S!$A:$E,I!$A:$E),4,FALSE)</f>
        <v>H</v>
      </c>
      <c r="F184" s="23">
        <v>1</v>
      </c>
      <c r="G184" s="76">
        <f>IF(A184="COMPOSICAO",VLOOKUP("TOTAL SEM BDI - "&amp;B184,CPUAUX2!$A:$J,9,FALSE),VLOOKUP(B184,I!$A:$E,5,FALSE))</f>
        <v>2.46</v>
      </c>
      <c r="H184" s="77"/>
      <c r="I184" s="76">
        <f t="shared" si="56"/>
        <v>2.46</v>
      </c>
      <c r="J184" s="77"/>
      <c r="M184" s="23">
        <f t="shared" si="57"/>
        <v>37370</v>
      </c>
      <c r="N184" s="23">
        <f>SUMIF(CPU!M:M,B177,CPU!O:O)</f>
        <v>158.88</v>
      </c>
      <c r="O184" s="23">
        <f t="shared" si="58"/>
        <v>158.88</v>
      </c>
      <c r="Q184" s="23">
        <f ca="1">SUMIF(CPU!M:M,B177,CPU!R:R)</f>
        <v>54.319999999999993</v>
      </c>
      <c r="R184" s="23">
        <f t="shared" ca="1" si="59"/>
        <v>54.319999999999993</v>
      </c>
    </row>
    <row r="185" spans="1:18" x14ac:dyDescent="0.3">
      <c r="A185" s="23" t="s">
        <v>1005</v>
      </c>
      <c r="B185" s="23">
        <v>2436</v>
      </c>
      <c r="C185" s="23" t="str">
        <f>VLOOKUP(B185,IF(A185="COMPOSICAO",S!$A:$E,I!$A:$E),2,FALSE)</f>
        <v>SINAPI</v>
      </c>
      <c r="D185" s="24" t="str">
        <f>VLOOKUP(B185,IF(A185="COMPOSICAO",S!$A:$E,I!$A:$E),3,FALSE)</f>
        <v>ELETRICISTA (HORISTA)</v>
      </c>
      <c r="E185" s="23" t="str">
        <f>VLOOKUP(B185,IF(A185="COMPOSICAO",S!$A:$E,I!$A:$E),4,FALSE)</f>
        <v>H</v>
      </c>
      <c r="F185" s="23">
        <v>1</v>
      </c>
      <c r="G185" s="76">
        <f>IF(A185="COMPOSICAO",VLOOKUP("TOTAL SEM BDI - "&amp;B185,CPUAUX2!$A:$J,9,FALSE),VLOOKUP(B185,I!$A:$E,5,FALSE))</f>
        <v>20.329999999999998</v>
      </c>
      <c r="H185" s="77"/>
      <c r="I185" s="76">
        <f t="shared" si="56"/>
        <v>20.329999999999998</v>
      </c>
      <c r="J185" s="77"/>
      <c r="M185" s="23">
        <f t="shared" si="57"/>
        <v>2436</v>
      </c>
      <c r="N185" s="23">
        <f>SUMIF(CPU!M:M,B177,CPU!O:O)</f>
        <v>158.88</v>
      </c>
      <c r="O185" s="23">
        <f t="shared" si="58"/>
        <v>158.88</v>
      </c>
      <c r="Q185" s="23">
        <f ca="1">SUMIF(CPU!M:M,B177,CPU!R:R)</f>
        <v>54.319999999999993</v>
      </c>
      <c r="R185" s="23">
        <f t="shared" ca="1" si="59"/>
        <v>54.319999999999993</v>
      </c>
    </row>
    <row r="186" spans="1:18" x14ac:dyDescent="0.3">
      <c r="A186" s="73" t="str">
        <f>"TOTAL SEM BDI - "&amp;B177</f>
        <v>TOTAL SEM BDI - 88264</v>
      </c>
      <c r="B186" s="74"/>
      <c r="C186" s="74"/>
      <c r="D186" s="74"/>
      <c r="E186" s="74"/>
      <c r="F186" s="74"/>
      <c r="G186" s="74"/>
      <c r="H186" s="75"/>
      <c r="I186" s="76">
        <f>SUM(I177:I185)</f>
        <v>27.74</v>
      </c>
      <c r="J186" s="77"/>
    </row>
    <row r="188" spans="1:18" x14ac:dyDescent="0.3">
      <c r="A188" s="4" t="s">
        <v>1000</v>
      </c>
      <c r="B188" s="4" t="s">
        <v>170</v>
      </c>
      <c r="C188" s="4" t="s">
        <v>171</v>
      </c>
      <c r="D188" s="4" t="s">
        <v>18</v>
      </c>
      <c r="E188" s="4" t="s">
        <v>172</v>
      </c>
      <c r="F188" s="4" t="s">
        <v>507</v>
      </c>
      <c r="G188" s="45" t="s">
        <v>1001</v>
      </c>
      <c r="H188" s="46"/>
      <c r="I188" s="45" t="s">
        <v>12</v>
      </c>
      <c r="J188" s="46"/>
    </row>
    <row r="189" spans="1:18" ht="30" customHeight="1" x14ac:dyDescent="0.3">
      <c r="A189" s="15" t="s">
        <v>1071</v>
      </c>
      <c r="B189" s="15">
        <v>88247</v>
      </c>
      <c r="C189" s="15" t="str">
        <f>VLOOKUP(B189,S!$A:$G,2,FALSE)</f>
        <v>SINAPI</v>
      </c>
      <c r="D189" s="22" t="str">
        <f>VLOOKUP(B189,S!$A:$G,3,FALSE)</f>
        <v>AUXILIAR DE ELETRICISTA COM ENCARGOS COMPLEMENTARES</v>
      </c>
      <c r="E189" s="15" t="str">
        <f>VLOOKUP(B189,S!$A:$G,4,FALSE)</f>
        <v>H</v>
      </c>
      <c r="F189" s="15"/>
      <c r="G189" s="78">
        <f>I198</f>
        <v>22.810000000000002</v>
      </c>
      <c r="H189" s="79"/>
      <c r="I189" s="78"/>
      <c r="J189" s="79"/>
      <c r="K189" s="16">
        <f>VLOOKUP(B189,S!A:G,5,FALSE)</f>
        <v>22.81</v>
      </c>
      <c r="L189" s="15" t="str">
        <f>IF(K189=G189,"OK, CONFORME TABELA",IF(G189&gt;K189,"ACIMA DA TABELA: ","ABAIXO DA TABELA: ")&amp;TRUNC((G189*100)/K189,2)&amp;" %")</f>
        <v>OK, CONFORME TABELA</v>
      </c>
    </row>
    <row r="190" spans="1:18" ht="30" customHeight="1" x14ac:dyDescent="0.3">
      <c r="A190" s="23" t="s">
        <v>1004</v>
      </c>
      <c r="B190" s="23">
        <v>95316</v>
      </c>
      <c r="C190" s="23" t="str">
        <f>VLOOKUP(B190,IF(A190="COMPOSICAO",S!$A:$E,I!$A:$E),2,FALSE)</f>
        <v>SINAPI</v>
      </c>
      <c r="D190" s="24" t="str">
        <f>VLOOKUP(B190,IF(A190="COMPOSICAO",S!$A:$E,I!$A:$E),3,FALSE)</f>
        <v>CURSO DE CAPACITAÇÃO PARA AUXILIAR DE ELETRICISTA (ENCARGOS COMPLEMENTARES) - HORISTA</v>
      </c>
      <c r="E190" s="23" t="str">
        <f>VLOOKUP(B190,IF(A190="COMPOSICAO",S!$A:$E,I!$A:$E),4,FALSE)</f>
        <v>H</v>
      </c>
      <c r="F190" s="23">
        <v>1</v>
      </c>
      <c r="G190" s="76">
        <f>IF(A190="COMPOSICAO",VLOOKUP("TOTAL SEM BDI - "&amp;B190,CPUAUX2!$A:$J,9,FALSE),VLOOKUP(B190,I!$A:$E,5,FALSE))</f>
        <v>0.57999999999999996</v>
      </c>
      <c r="H190" s="77"/>
      <c r="I190" s="76">
        <f t="shared" ref="I190:I197" si="60">TRUNC(F190*G190,2)</f>
        <v>0.57999999999999996</v>
      </c>
      <c r="J190" s="77"/>
      <c r="M190" s="23">
        <f t="shared" ref="M190:M197" si="61">B190</f>
        <v>95316</v>
      </c>
      <c r="N190" s="23">
        <f>SUMIF(CPU!M:M,B189,CPU!O:O)</f>
        <v>158.88</v>
      </c>
      <c r="O190" s="23">
        <f t="shared" ref="O190:O197" si="62">F190*N190</f>
        <v>158.88</v>
      </c>
      <c r="Q190" s="23">
        <f ca="1">SUMIF(CPU!M:M,B189,CPU!R:R)</f>
        <v>54.319999999999993</v>
      </c>
      <c r="R190" s="23">
        <f t="shared" ref="R190:R197" ca="1" si="63">F190*Q190</f>
        <v>54.319999999999993</v>
      </c>
    </row>
    <row r="191" spans="1:18" ht="30" customHeight="1" x14ac:dyDescent="0.3">
      <c r="A191" s="23" t="s">
        <v>1005</v>
      </c>
      <c r="B191" s="23">
        <v>43484</v>
      </c>
      <c r="C191" s="23" t="str">
        <f>VLOOKUP(B191,IF(A191="COMPOSICAO",S!$A:$E,I!$A:$E),2,FALSE)</f>
        <v>SINAPI</v>
      </c>
      <c r="D191" s="24" t="str">
        <f>VLOOKUP(B191,IF(A191="COMPOSICAO",S!$A:$E,I!$A:$E),3,FALSE)</f>
        <v>EPI - FAMILIA ELETRICISTA - HORISTA (ENCARGOS COMPLEMENTARES - COLETADO CAIXA)</v>
      </c>
      <c r="E191" s="23" t="str">
        <f>VLOOKUP(B191,IF(A191="COMPOSICAO",S!$A:$E,I!$A:$E),4,FALSE)</f>
        <v>H</v>
      </c>
      <c r="F191" s="23">
        <v>1</v>
      </c>
      <c r="G191" s="76">
        <f>IF(A191="COMPOSICAO",VLOOKUP("TOTAL SEM BDI - "&amp;B191,CPUAUX2!$A:$J,9,FALSE),VLOOKUP(B191,I!$A:$E,5,FALSE))</f>
        <v>1.26</v>
      </c>
      <c r="H191" s="77"/>
      <c r="I191" s="76">
        <f t="shared" si="60"/>
        <v>1.26</v>
      </c>
      <c r="J191" s="77"/>
      <c r="M191" s="23">
        <f t="shared" si="61"/>
        <v>43484</v>
      </c>
      <c r="N191" s="23">
        <f>SUMIF(CPU!M:M,B189,CPU!O:O)</f>
        <v>158.88</v>
      </c>
      <c r="O191" s="23">
        <f t="shared" si="62"/>
        <v>158.88</v>
      </c>
      <c r="Q191" s="23">
        <f ca="1">SUMIF(CPU!M:M,B189,CPU!R:R)</f>
        <v>54.319999999999993</v>
      </c>
      <c r="R191" s="23">
        <f t="shared" ca="1" si="63"/>
        <v>54.319999999999993</v>
      </c>
    </row>
    <row r="192" spans="1:18" ht="30" customHeight="1" x14ac:dyDescent="0.3">
      <c r="A192" s="23" t="s">
        <v>1005</v>
      </c>
      <c r="B192" s="23">
        <v>43460</v>
      </c>
      <c r="C192" s="23" t="str">
        <f>VLOOKUP(B192,IF(A192="COMPOSICAO",S!$A:$E,I!$A:$E),2,FALSE)</f>
        <v>SINAPI</v>
      </c>
      <c r="D192" s="24" t="str">
        <f>VLOOKUP(B192,IF(A192="COMPOSICAO",S!$A:$E,I!$A:$E),3,FALSE)</f>
        <v>FERRAMENTAS - FAMILIA ELETRICISTA - HORISTA (ENCARGOS COMPLEMENTARES - COLETADO CAIXA)</v>
      </c>
      <c r="E192" s="23" t="str">
        <f>VLOOKUP(B192,IF(A192="COMPOSICAO",S!$A:$E,I!$A:$E),4,FALSE)</f>
        <v>H</v>
      </c>
      <c r="F192" s="23">
        <v>1</v>
      </c>
      <c r="G192" s="76">
        <f>IF(A192="COMPOSICAO",VLOOKUP("TOTAL SEM BDI - "&amp;B192,CPUAUX2!$A:$J,9,FALSE),VLOOKUP(B192,I!$A:$E,5,FALSE))</f>
        <v>0.86</v>
      </c>
      <c r="H192" s="77"/>
      <c r="I192" s="76">
        <f t="shared" si="60"/>
        <v>0.86</v>
      </c>
      <c r="J192" s="77"/>
      <c r="M192" s="23">
        <f t="shared" si="61"/>
        <v>43460</v>
      </c>
      <c r="N192" s="23">
        <f>SUMIF(CPU!M:M,B189,CPU!O:O)</f>
        <v>158.88</v>
      </c>
      <c r="O192" s="23">
        <f t="shared" si="62"/>
        <v>158.88</v>
      </c>
      <c r="Q192" s="23">
        <f ca="1">SUMIF(CPU!M:M,B189,CPU!R:R)</f>
        <v>54.319999999999993</v>
      </c>
      <c r="R192" s="23">
        <f t="shared" ca="1" si="63"/>
        <v>54.319999999999993</v>
      </c>
    </row>
    <row r="193" spans="1:18" ht="30" customHeight="1" x14ac:dyDescent="0.3">
      <c r="A193" s="23" t="s">
        <v>1005</v>
      </c>
      <c r="B193" s="23">
        <v>37373</v>
      </c>
      <c r="C193" s="23" t="str">
        <f>VLOOKUP(B193,IF(A193="COMPOSICAO",S!$A:$E,I!$A:$E),2,FALSE)</f>
        <v>SINAPI</v>
      </c>
      <c r="D193" s="24" t="str">
        <f>VLOOKUP(B193,IF(A193="COMPOSICAO",S!$A:$E,I!$A:$E),3,FALSE)</f>
        <v>SEGURO - HORISTA (COLETADO CAIXA - ENCARGOS COMPLEMENTARES)</v>
      </c>
      <c r="E193" s="23" t="str">
        <f>VLOOKUP(B193,IF(A193="COMPOSICAO",S!$A:$E,I!$A:$E),4,FALSE)</f>
        <v>H</v>
      </c>
      <c r="F193" s="23">
        <v>1</v>
      </c>
      <c r="G193" s="76">
        <f>IF(A193="COMPOSICAO",VLOOKUP("TOTAL SEM BDI - "&amp;B193,CPUAUX2!$A:$J,9,FALSE),VLOOKUP(B193,I!$A:$E,5,FALSE))</f>
        <v>0.08</v>
      </c>
      <c r="H193" s="77"/>
      <c r="I193" s="76">
        <f t="shared" si="60"/>
        <v>0.08</v>
      </c>
      <c r="J193" s="77"/>
      <c r="M193" s="23">
        <f t="shared" si="61"/>
        <v>37373</v>
      </c>
      <c r="N193" s="23">
        <f>SUMIF(CPU!M:M,B189,CPU!O:O)</f>
        <v>158.88</v>
      </c>
      <c r="O193" s="23">
        <f t="shared" si="62"/>
        <v>158.88</v>
      </c>
      <c r="Q193" s="23">
        <f ca="1">SUMIF(CPU!M:M,B189,CPU!R:R)</f>
        <v>54.319999999999993</v>
      </c>
      <c r="R193" s="23">
        <f t="shared" ca="1" si="63"/>
        <v>54.319999999999993</v>
      </c>
    </row>
    <row r="194" spans="1:18" ht="30" customHeight="1" x14ac:dyDescent="0.3">
      <c r="A194" s="23" t="s">
        <v>1005</v>
      </c>
      <c r="B194" s="23">
        <v>37372</v>
      </c>
      <c r="C194" s="23" t="str">
        <f>VLOOKUP(B194,IF(A194="COMPOSICAO",S!$A:$E,I!$A:$E),2,FALSE)</f>
        <v>SINAPI</v>
      </c>
      <c r="D194" s="24" t="str">
        <f>VLOOKUP(B194,IF(A194="COMPOSICAO",S!$A:$E,I!$A:$E),3,FALSE)</f>
        <v>EXAMES - HORISTA (COLETADO CAIXA - ENCARGOS COMPLEMENTARES)</v>
      </c>
      <c r="E194" s="23" t="str">
        <f>VLOOKUP(B194,IF(A194="COMPOSICAO",S!$A:$E,I!$A:$E),4,FALSE)</f>
        <v>H</v>
      </c>
      <c r="F194" s="23">
        <v>1</v>
      </c>
      <c r="G194" s="76">
        <f>IF(A194="COMPOSICAO",VLOOKUP("TOTAL SEM BDI - "&amp;B194,CPUAUX2!$A:$J,9,FALSE),VLOOKUP(B194,I!$A:$E,5,FALSE))</f>
        <v>1.43</v>
      </c>
      <c r="H194" s="77"/>
      <c r="I194" s="76">
        <f t="shared" si="60"/>
        <v>1.43</v>
      </c>
      <c r="J194" s="77"/>
      <c r="M194" s="23">
        <f t="shared" si="61"/>
        <v>37372</v>
      </c>
      <c r="N194" s="23">
        <f>SUMIF(CPU!M:M,B189,CPU!O:O)</f>
        <v>158.88</v>
      </c>
      <c r="O194" s="23">
        <f t="shared" si="62"/>
        <v>158.88</v>
      </c>
      <c r="Q194" s="23">
        <f ca="1">SUMIF(CPU!M:M,B189,CPU!R:R)</f>
        <v>54.319999999999993</v>
      </c>
      <c r="R194" s="23">
        <f t="shared" ca="1" si="63"/>
        <v>54.319999999999993</v>
      </c>
    </row>
    <row r="195" spans="1:18" ht="30" customHeight="1" x14ac:dyDescent="0.3">
      <c r="A195" s="23" t="s">
        <v>1005</v>
      </c>
      <c r="B195" s="23">
        <v>37371</v>
      </c>
      <c r="C195" s="23" t="str">
        <f>VLOOKUP(B195,IF(A195="COMPOSICAO",S!$A:$E,I!$A:$E),2,FALSE)</f>
        <v>SINAPI</v>
      </c>
      <c r="D195" s="24" t="str">
        <f>VLOOKUP(B195,IF(A195="COMPOSICAO",S!$A:$E,I!$A:$E),3,FALSE)</f>
        <v>TRANSPORTE - HORISTA (COLETADO CAIXA - ENCARGOS COMPLEMENTARES)</v>
      </c>
      <c r="E195" s="23" t="str">
        <f>VLOOKUP(B195,IF(A195="COMPOSICAO",S!$A:$E,I!$A:$E),4,FALSE)</f>
        <v>H</v>
      </c>
      <c r="F195" s="23">
        <v>1</v>
      </c>
      <c r="G195" s="76">
        <f>IF(A195="COMPOSICAO",VLOOKUP("TOTAL SEM BDI - "&amp;B195,CPUAUX2!$A:$J,9,FALSE),VLOOKUP(B195,I!$A:$E,5,FALSE))</f>
        <v>0.56999999999999995</v>
      </c>
      <c r="H195" s="77"/>
      <c r="I195" s="76">
        <f t="shared" si="60"/>
        <v>0.56999999999999995</v>
      </c>
      <c r="J195" s="77"/>
      <c r="M195" s="23">
        <f t="shared" si="61"/>
        <v>37371</v>
      </c>
      <c r="N195" s="23">
        <f>SUMIF(CPU!M:M,B189,CPU!O:O)</f>
        <v>158.88</v>
      </c>
      <c r="O195" s="23">
        <f t="shared" si="62"/>
        <v>158.88</v>
      </c>
      <c r="Q195" s="23">
        <f ca="1">SUMIF(CPU!M:M,B189,CPU!R:R)</f>
        <v>54.319999999999993</v>
      </c>
      <c r="R195" s="23">
        <f t="shared" ca="1" si="63"/>
        <v>54.319999999999993</v>
      </c>
    </row>
    <row r="196" spans="1:18" ht="30" customHeight="1" x14ac:dyDescent="0.3">
      <c r="A196" s="23" t="s">
        <v>1005</v>
      </c>
      <c r="B196" s="23">
        <v>37370</v>
      </c>
      <c r="C196" s="23" t="str">
        <f>VLOOKUP(B196,IF(A196="COMPOSICAO",S!$A:$E,I!$A:$E),2,FALSE)</f>
        <v>SINAPI</v>
      </c>
      <c r="D196" s="24" t="str">
        <f>VLOOKUP(B196,IF(A196="COMPOSICAO",S!$A:$E,I!$A:$E),3,FALSE)</f>
        <v>ALIMENTACAO - HORISTA (COLETADO CAIXA - ENCARGOS COMPLEMENTARES)</v>
      </c>
      <c r="E196" s="23" t="str">
        <f>VLOOKUP(B196,IF(A196="COMPOSICAO",S!$A:$E,I!$A:$E),4,FALSE)</f>
        <v>H</v>
      </c>
      <c r="F196" s="23">
        <v>1</v>
      </c>
      <c r="G196" s="76">
        <f>IF(A196="COMPOSICAO",VLOOKUP("TOTAL SEM BDI - "&amp;B196,CPUAUX2!$A:$J,9,FALSE),VLOOKUP(B196,I!$A:$E,5,FALSE))</f>
        <v>2.46</v>
      </c>
      <c r="H196" s="77"/>
      <c r="I196" s="76">
        <f t="shared" si="60"/>
        <v>2.46</v>
      </c>
      <c r="J196" s="77"/>
      <c r="M196" s="23">
        <f t="shared" si="61"/>
        <v>37370</v>
      </c>
      <c r="N196" s="23">
        <f>SUMIF(CPU!M:M,B189,CPU!O:O)</f>
        <v>158.88</v>
      </c>
      <c r="O196" s="23">
        <f t="shared" si="62"/>
        <v>158.88</v>
      </c>
      <c r="Q196" s="23">
        <f ca="1">SUMIF(CPU!M:M,B189,CPU!R:R)</f>
        <v>54.319999999999993</v>
      </c>
      <c r="R196" s="23">
        <f t="shared" ca="1" si="63"/>
        <v>54.319999999999993</v>
      </c>
    </row>
    <row r="197" spans="1:18" x14ac:dyDescent="0.3">
      <c r="A197" s="23" t="s">
        <v>1005</v>
      </c>
      <c r="B197" s="23">
        <v>247</v>
      </c>
      <c r="C197" s="23" t="str">
        <f>VLOOKUP(B197,IF(A197="COMPOSICAO",S!$A:$E,I!$A:$E),2,FALSE)</f>
        <v>SINAPI</v>
      </c>
      <c r="D197" s="24" t="str">
        <f>VLOOKUP(B197,IF(A197="COMPOSICAO",S!$A:$E,I!$A:$E),3,FALSE)</f>
        <v>AJUDANTE DE ELETRICISTA (HORISTA)</v>
      </c>
      <c r="E197" s="23" t="str">
        <f>VLOOKUP(B197,IF(A197="COMPOSICAO",S!$A:$E,I!$A:$E),4,FALSE)</f>
        <v>H</v>
      </c>
      <c r="F197" s="23">
        <v>1</v>
      </c>
      <c r="G197" s="76">
        <f>IF(A197="COMPOSICAO",VLOOKUP("TOTAL SEM BDI - "&amp;B197,CPUAUX2!$A:$J,9,FALSE),VLOOKUP(B197,I!$A:$E,5,FALSE))</f>
        <v>15.57</v>
      </c>
      <c r="H197" s="77"/>
      <c r="I197" s="76">
        <f t="shared" si="60"/>
        <v>15.57</v>
      </c>
      <c r="J197" s="77"/>
      <c r="M197" s="23">
        <f t="shared" si="61"/>
        <v>247</v>
      </c>
      <c r="N197" s="23">
        <f>SUMIF(CPU!M:M,B189,CPU!O:O)</f>
        <v>158.88</v>
      </c>
      <c r="O197" s="23">
        <f t="shared" si="62"/>
        <v>158.88</v>
      </c>
      <c r="Q197" s="23">
        <f ca="1">SUMIF(CPU!M:M,B189,CPU!R:R)</f>
        <v>54.319999999999993</v>
      </c>
      <c r="R197" s="23">
        <f t="shared" ca="1" si="63"/>
        <v>54.319999999999993</v>
      </c>
    </row>
    <row r="198" spans="1:18" x14ac:dyDescent="0.3">
      <c r="A198" s="73" t="str">
        <f>"TOTAL SEM BDI - "&amp;B189</f>
        <v>TOTAL SEM BDI - 88247</v>
      </c>
      <c r="B198" s="74"/>
      <c r="C198" s="74"/>
      <c r="D198" s="74"/>
      <c r="E198" s="74"/>
      <c r="F198" s="74"/>
      <c r="G198" s="74"/>
      <c r="H198" s="75"/>
      <c r="I198" s="76">
        <f>SUM(I189:I197)</f>
        <v>22.810000000000002</v>
      </c>
      <c r="J198" s="77"/>
    </row>
    <row r="200" spans="1:18" x14ac:dyDescent="0.3">
      <c r="A200" s="4" t="s">
        <v>1000</v>
      </c>
      <c r="B200" s="4" t="s">
        <v>170</v>
      </c>
      <c r="C200" s="4" t="s">
        <v>171</v>
      </c>
      <c r="D200" s="4" t="s">
        <v>18</v>
      </c>
      <c r="E200" s="4" t="s">
        <v>172</v>
      </c>
      <c r="F200" s="4" t="s">
        <v>507</v>
      </c>
      <c r="G200" s="45" t="s">
        <v>1001</v>
      </c>
      <c r="H200" s="46"/>
      <c r="I200" s="45" t="s">
        <v>12</v>
      </c>
      <c r="J200" s="46"/>
    </row>
    <row r="201" spans="1:18" ht="45" customHeight="1" x14ac:dyDescent="0.3">
      <c r="A201" s="15" t="s">
        <v>1073</v>
      </c>
      <c r="B201" s="15">
        <v>94974</v>
      </c>
      <c r="C201" s="15" t="str">
        <f>VLOOKUP(B201,S!$A:$G,2,FALSE)</f>
        <v>SINAPI</v>
      </c>
      <c r="D201" s="22" t="str">
        <f>VLOOKUP(B201,S!$A:$G,3,FALSE)</f>
        <v>CONCRETO MAGRO PARA LASTRO, TRAÇO 1:4,5:4,5 (EM MASSA SECA DE CIMENTO/ AREIA MÉDIA/ BRITA 1) - PREPARO MANUAL. AF_05/2021</v>
      </c>
      <c r="E201" s="15" t="str">
        <f>VLOOKUP(B201,S!$A:$G,4,FALSE)</f>
        <v>M3</v>
      </c>
      <c r="F201" s="15"/>
      <c r="G201" s="78">
        <f>I206</f>
        <v>572.28</v>
      </c>
      <c r="H201" s="79"/>
      <c r="I201" s="78"/>
      <c r="J201" s="79"/>
      <c r="K201" s="16">
        <f>VLOOKUP(B201,S!A:G,5,FALSE)</f>
        <v>572.28</v>
      </c>
      <c r="L201" s="15" t="str">
        <f>IF(K201=G201,"OK, CONFORME TABELA",IF(G201&gt;K201,"ACIMA DA TABELA: ","ABAIXO DA TABELA: ")&amp;TRUNC((G201*100)/K201,2)&amp;" %")</f>
        <v>OK, CONFORME TABELA</v>
      </c>
    </row>
    <row r="202" spans="1:18" x14ac:dyDescent="0.3">
      <c r="A202" s="23" t="s">
        <v>1004</v>
      </c>
      <c r="B202" s="23">
        <v>88316</v>
      </c>
      <c r="C202" s="23" t="str">
        <f>VLOOKUP(B202,IF(A202="COMPOSICAO",S!$A:$E,I!$A:$E),2,FALSE)</f>
        <v>SINAPI</v>
      </c>
      <c r="D202" s="24" t="str">
        <f>VLOOKUP(B202,IF(A202="COMPOSICAO",S!$A:$E,I!$A:$E),3,FALSE)</f>
        <v>SERVENTE COM ENCARGOS COMPLEMENTARES</v>
      </c>
      <c r="E202" s="23" t="str">
        <f>VLOOKUP(B202,IF(A202="COMPOSICAO",S!$A:$E,I!$A:$E),4,FALSE)</f>
        <v>H</v>
      </c>
      <c r="F202" s="23">
        <f>6.2858/pcf</f>
        <v>6.2858000000000001</v>
      </c>
      <c r="G202" s="76">
        <f>IF(A202="COMPOSICAO",VLOOKUP("TOTAL SEM BDI - "&amp;B202,CPUAUX2!$A:$J,9,FALSE),VLOOKUP(B202,I!$A:$E,5,FALSE))</f>
        <v>21.71</v>
      </c>
      <c r="H202" s="77"/>
      <c r="I202" s="76">
        <f>TRUNC(F202*G202,2)</f>
        <v>136.46</v>
      </c>
      <c r="J202" s="77"/>
      <c r="M202" s="23">
        <f>B202</f>
        <v>88316</v>
      </c>
      <c r="N202" s="23">
        <f>SUMIF(CPU!M:M,B201,CPU!O:O)</f>
        <v>0.24480000000000002</v>
      </c>
      <c r="O202" s="23">
        <f>F202*N202</f>
        <v>1.5387638400000001</v>
      </c>
      <c r="Q202" s="23">
        <f ca="1">SUMIF(CPU!M:M,B201,CPU!R:R)</f>
        <v>8.1599999999999992E-2</v>
      </c>
      <c r="R202" s="23">
        <f ca="1">F202*Q202</f>
        <v>0.51292127999999992</v>
      </c>
    </row>
    <row r="203" spans="1:18" ht="30" customHeight="1" x14ac:dyDescent="0.3">
      <c r="A203" s="23" t="s">
        <v>1005</v>
      </c>
      <c r="B203" s="23">
        <v>4721</v>
      </c>
      <c r="C203" s="23" t="str">
        <f>VLOOKUP(B203,IF(A203="COMPOSICAO",S!$A:$E,I!$A:$E),2,FALSE)</f>
        <v>SINAPI</v>
      </c>
      <c r="D203" s="24" t="str">
        <f>VLOOKUP(B203,IF(A203="COMPOSICAO",S!$A:$E,I!$A:$E),3,FALSE)</f>
        <v>PEDRA BRITADA N. 1 (9,5 A 19 MM) POSTO PEDREIRA/FORNECEDOR, SEM FRETE</v>
      </c>
      <c r="E203" s="23" t="str">
        <f>VLOOKUP(B203,IF(A203="COMPOSICAO",S!$A:$E,I!$A:$E),4,FALSE)</f>
        <v>M3</v>
      </c>
      <c r="F203" s="23">
        <v>0.59709999999999996</v>
      </c>
      <c r="G203" s="76">
        <f>IF(A203="COMPOSICAO",VLOOKUP("TOTAL SEM BDI - "&amp;B203,CPUAUX2!$A:$J,9,FALSE),VLOOKUP(B203,I!$A:$E,5,FALSE))</f>
        <v>234.56</v>
      </c>
      <c r="H203" s="77"/>
      <c r="I203" s="76">
        <f>TRUNC(F203*G203,2)</f>
        <v>140.05000000000001</v>
      </c>
      <c r="J203" s="77"/>
      <c r="M203" s="23">
        <f>B203</f>
        <v>4721</v>
      </c>
      <c r="N203" s="23">
        <f>SUMIF(CPU!M:M,B201,CPU!O:O)</f>
        <v>0.24480000000000002</v>
      </c>
      <c r="O203" s="23">
        <f>F203*N203</f>
        <v>0.14617008000000001</v>
      </c>
      <c r="Q203" s="23">
        <f ca="1">SUMIF(CPU!M:M,B201,CPU!R:R)</f>
        <v>8.1599999999999992E-2</v>
      </c>
      <c r="R203" s="23">
        <f ca="1">F203*Q203</f>
        <v>4.8723359999999993E-2</v>
      </c>
    </row>
    <row r="204" spans="1:18" x14ac:dyDescent="0.3">
      <c r="A204" s="23" t="s">
        <v>1005</v>
      </c>
      <c r="B204" s="23">
        <v>1379</v>
      </c>
      <c r="C204" s="23" t="str">
        <f>VLOOKUP(B204,IF(A204="COMPOSICAO",S!$A:$E,I!$A:$E),2,FALSE)</f>
        <v>SINAPI</v>
      </c>
      <c r="D204" s="24" t="str">
        <f>VLOOKUP(B204,IF(A204="COMPOSICAO",S!$A:$E,I!$A:$E),3,FALSE)</f>
        <v>CIMENTO PORTLAND COMPOSTO CP II-32</v>
      </c>
      <c r="E204" s="23" t="str">
        <f>VLOOKUP(B204,IF(A204="COMPOSICAO",S!$A:$E,I!$A:$E),4,FALSE)</f>
        <v>KG</v>
      </c>
      <c r="F204" s="23">
        <v>218.93</v>
      </c>
      <c r="G204" s="76">
        <f>IF(A204="COMPOSICAO",VLOOKUP("TOTAL SEM BDI - "&amp;B204,CPUAUX2!$A:$J,9,FALSE),VLOOKUP(B204,I!$A:$E,5,FALSE))</f>
        <v>1</v>
      </c>
      <c r="H204" s="77"/>
      <c r="I204" s="76">
        <f>TRUNC(F204*G204,2)</f>
        <v>218.93</v>
      </c>
      <c r="J204" s="77"/>
      <c r="M204" s="23">
        <f>B204</f>
        <v>1379</v>
      </c>
      <c r="N204" s="23">
        <f>SUMIF(CPU!M:M,B201,CPU!O:O)</f>
        <v>0.24480000000000002</v>
      </c>
      <c r="O204" s="23">
        <f>F204*N204</f>
        <v>53.594064000000003</v>
      </c>
      <c r="Q204" s="23">
        <f ca="1">SUMIF(CPU!M:M,B201,CPU!R:R)</f>
        <v>8.1599999999999992E-2</v>
      </c>
      <c r="R204" s="23">
        <f ca="1">F204*Q204</f>
        <v>17.864687999999997</v>
      </c>
    </row>
    <row r="205" spans="1:18" ht="30" customHeight="1" x14ac:dyDescent="0.3">
      <c r="A205" s="23" t="s">
        <v>1005</v>
      </c>
      <c r="B205" s="23">
        <v>370</v>
      </c>
      <c r="C205" s="23" t="str">
        <f>VLOOKUP(B205,IF(A205="COMPOSICAO",S!$A:$E,I!$A:$E),2,FALSE)</f>
        <v>SINAPI</v>
      </c>
      <c r="D205" s="24" t="str">
        <f>VLOOKUP(B205,IF(A205="COMPOSICAO",S!$A:$E,I!$A:$E),3,FALSE)</f>
        <v>AREIA MEDIA - POSTO JAZIDA/FORNECEDOR (RETIRADO NA JAZIDA, SEM TRANSPORTE)</v>
      </c>
      <c r="E205" s="23" t="str">
        <f>VLOOKUP(B205,IF(A205="COMPOSICAO",S!$A:$E,I!$A:$E),4,FALSE)</f>
        <v>M3</v>
      </c>
      <c r="F205" s="23">
        <v>0.8538</v>
      </c>
      <c r="G205" s="76">
        <f>IF(A205="COMPOSICAO",VLOOKUP("TOTAL SEM BDI - "&amp;B205,CPUAUX2!$A:$J,9,FALSE),VLOOKUP(B205,I!$A:$E,5,FALSE))</f>
        <v>90</v>
      </c>
      <c r="H205" s="77"/>
      <c r="I205" s="76">
        <f>TRUNC(F205*G205,2)</f>
        <v>76.84</v>
      </c>
      <c r="J205" s="77"/>
      <c r="M205" s="23">
        <f>B205</f>
        <v>370</v>
      </c>
      <c r="N205" s="23">
        <f>SUMIF(CPU!M:M,B201,CPU!O:O)</f>
        <v>0.24480000000000002</v>
      </c>
      <c r="O205" s="23">
        <f>F205*N205</f>
        <v>0.20901024000000001</v>
      </c>
      <c r="Q205" s="23">
        <f ca="1">SUMIF(CPU!M:M,B201,CPU!R:R)</f>
        <v>8.1599999999999992E-2</v>
      </c>
      <c r="R205" s="23">
        <f ca="1">F205*Q205</f>
        <v>6.9670079999999995E-2</v>
      </c>
    </row>
    <row r="206" spans="1:18" x14ac:dyDescent="0.3">
      <c r="A206" s="73" t="str">
        <f>"TOTAL SEM BDI - "&amp;B201</f>
        <v>TOTAL SEM BDI - 94974</v>
      </c>
      <c r="B206" s="74"/>
      <c r="C206" s="74"/>
      <c r="D206" s="74"/>
      <c r="E206" s="74"/>
      <c r="F206" s="74"/>
      <c r="G206" s="74"/>
      <c r="H206" s="75"/>
      <c r="I206" s="76">
        <f>SUM(I201:I205)</f>
        <v>572.28</v>
      </c>
      <c r="J206" s="77"/>
    </row>
    <row r="208" spans="1:18" x14ac:dyDescent="0.3">
      <c r="A208" s="4" t="s">
        <v>1000</v>
      </c>
      <c r="B208" s="4" t="s">
        <v>170</v>
      </c>
      <c r="C208" s="4" t="s">
        <v>171</v>
      </c>
      <c r="D208" s="4" t="s">
        <v>18</v>
      </c>
      <c r="E208" s="4" t="s">
        <v>172</v>
      </c>
      <c r="F208" s="4" t="s">
        <v>507</v>
      </c>
      <c r="G208" s="45" t="s">
        <v>1001</v>
      </c>
      <c r="H208" s="46"/>
      <c r="I208" s="45" t="s">
        <v>12</v>
      </c>
      <c r="J208" s="46"/>
    </row>
    <row r="209" spans="1:18" ht="45" customHeight="1" x14ac:dyDescent="0.3">
      <c r="A209" s="15" t="s">
        <v>1076</v>
      </c>
      <c r="B209" s="15">
        <v>91693</v>
      </c>
      <c r="C209" s="15" t="str">
        <f>VLOOKUP(B209,S!$A:$G,2,FALSE)</f>
        <v>SINAPI</v>
      </c>
      <c r="D209" s="22" t="str">
        <f>VLOOKUP(B209,S!$A:$G,3,FALSE)</f>
        <v>SERRA CIRCULAR DE BANCADA COM MOTOR ELÉTRICO POTÊNCIA DE 5HP, COM COIFA PARA DISCO 10" - CHI DIURNO. AF_08/2015</v>
      </c>
      <c r="E209" s="15" t="str">
        <f>VLOOKUP(B209,S!$A:$G,4,FALSE)</f>
        <v>CHI</v>
      </c>
      <c r="F209" s="15"/>
      <c r="G209" s="78">
        <f>I213</f>
        <v>27.3</v>
      </c>
      <c r="H209" s="79"/>
      <c r="I209" s="78"/>
      <c r="J209" s="79"/>
      <c r="K209" s="16">
        <f>VLOOKUP(B209,S!A:G,5,FALSE)</f>
        <v>27.3</v>
      </c>
      <c r="L209" s="15" t="str">
        <f>IF(K209=G209,"OK, CONFORME TABELA",IF(G209&gt;K209,"ACIMA DA TABELA: ","ABAIXO DA TABELA: ")&amp;TRUNC((G209*100)/K209,2)&amp;" %")</f>
        <v>OK, CONFORME TABELA</v>
      </c>
    </row>
    <row r="210" spans="1:18" ht="45" customHeight="1" x14ac:dyDescent="0.3">
      <c r="A210" s="23" t="s">
        <v>1004</v>
      </c>
      <c r="B210" s="23">
        <v>91689</v>
      </c>
      <c r="C210" s="23" t="str">
        <f>VLOOKUP(B210,IF(A210="COMPOSICAO",S!$A:$E,I!$A:$E),2,FALSE)</f>
        <v>SINAPI</v>
      </c>
      <c r="D210" s="24" t="str">
        <f>VLOOKUP(B210,IF(A210="COMPOSICAO",S!$A:$E,I!$A:$E),3,FALSE)</f>
        <v>SERRA CIRCULAR DE BANCADA COM MOTOR ELÉTRICO POTÊNCIA DE 5HP, COM COIFA PARA DISCO 10" - JUROS. AF_08/2015</v>
      </c>
      <c r="E210" s="23" t="str">
        <f>VLOOKUP(B210,IF(A210="COMPOSICAO",S!$A:$E,I!$A:$E),4,FALSE)</f>
        <v>H</v>
      </c>
      <c r="F210" s="23">
        <v>1</v>
      </c>
      <c r="G210" s="76">
        <f>IF(A210="COMPOSICAO",VLOOKUP("TOTAL SEM BDI - "&amp;B210,CPUAUX2!$A:$J,9,FALSE),VLOOKUP(B210,I!$A:$E,5,FALSE))</f>
        <v>0.02</v>
      </c>
      <c r="H210" s="77"/>
      <c r="I210" s="76">
        <f>TRUNC(F210*G210,2)</f>
        <v>0.02</v>
      </c>
      <c r="J210" s="77"/>
      <c r="M210" s="23">
        <f>B210</f>
        <v>91689</v>
      </c>
      <c r="N210" s="23">
        <f>SUMIF(CPU!M:M,B209,CPU!O:O)</f>
        <v>1.7136</v>
      </c>
      <c r="O210" s="23">
        <f>F210*N210</f>
        <v>1.7136</v>
      </c>
      <c r="Q210" s="23">
        <f ca="1">SUMIF(CPU!M:M,B209,CPU!R:R)</f>
        <v>0.57119999999999993</v>
      </c>
      <c r="R210" s="23">
        <f ca="1">F210*Q210</f>
        <v>0.57119999999999993</v>
      </c>
    </row>
    <row r="211" spans="1:18" ht="45" customHeight="1" x14ac:dyDescent="0.3">
      <c r="A211" s="23" t="s">
        <v>1004</v>
      </c>
      <c r="B211" s="23">
        <v>91688</v>
      </c>
      <c r="C211" s="23" t="str">
        <f>VLOOKUP(B211,IF(A211="COMPOSICAO",S!$A:$E,I!$A:$E),2,FALSE)</f>
        <v>SINAPI</v>
      </c>
      <c r="D211" s="24" t="str">
        <f>VLOOKUP(B211,IF(A211="COMPOSICAO",S!$A:$E,I!$A:$E),3,FALSE)</f>
        <v>SERRA CIRCULAR DE BANCADA COM MOTOR ELÉTRICO POTÊNCIA DE 5HP, COM COIFA PARA DISCO 10" - DEPRECIAÇÃO. AF_08/2015</v>
      </c>
      <c r="E211" s="23" t="str">
        <f>VLOOKUP(B211,IF(A211="COMPOSICAO",S!$A:$E,I!$A:$E),4,FALSE)</f>
        <v>H</v>
      </c>
      <c r="F211" s="23">
        <v>1</v>
      </c>
      <c r="G211" s="76">
        <f>IF(A211="COMPOSICAO",VLOOKUP("TOTAL SEM BDI - "&amp;B211,CPUAUX2!$A:$J,9,FALSE),VLOOKUP(B211,I!$A:$E,5,FALSE))</f>
        <v>0.12</v>
      </c>
      <c r="H211" s="77"/>
      <c r="I211" s="76">
        <f>TRUNC(F211*G211,2)</f>
        <v>0.12</v>
      </c>
      <c r="J211" s="77"/>
      <c r="M211" s="23">
        <f>B211</f>
        <v>91688</v>
      </c>
      <c r="N211" s="23">
        <f>SUMIF(CPU!M:M,B209,CPU!O:O)</f>
        <v>1.7136</v>
      </c>
      <c r="O211" s="23">
        <f>F211*N211</f>
        <v>1.7136</v>
      </c>
      <c r="Q211" s="23">
        <f ca="1">SUMIF(CPU!M:M,B209,CPU!R:R)</f>
        <v>0.57119999999999993</v>
      </c>
      <c r="R211" s="23">
        <f ca="1">F211*Q211</f>
        <v>0.57119999999999993</v>
      </c>
    </row>
    <row r="212" spans="1:18" ht="30" customHeight="1" x14ac:dyDescent="0.3">
      <c r="A212" s="23" t="s">
        <v>1004</v>
      </c>
      <c r="B212" s="23">
        <v>88297</v>
      </c>
      <c r="C212" s="23" t="str">
        <f>VLOOKUP(B212,IF(A212="COMPOSICAO",S!$A:$E,I!$A:$E),2,FALSE)</f>
        <v>SINAPI</v>
      </c>
      <c r="D212" s="24" t="str">
        <f>VLOOKUP(B212,IF(A212="COMPOSICAO",S!$A:$E,I!$A:$E),3,FALSE)</f>
        <v>OPERADOR DE MÁQUINAS E EQUIPAMENTOS COM ENCARGOS COMPLEMENTARES</v>
      </c>
      <c r="E212" s="23" t="str">
        <f>VLOOKUP(B212,IF(A212="COMPOSICAO",S!$A:$E,I!$A:$E),4,FALSE)</f>
        <v>H</v>
      </c>
      <c r="F212" s="23">
        <v>1</v>
      </c>
      <c r="G212" s="76">
        <f>IF(A212="COMPOSICAO",VLOOKUP("TOTAL SEM BDI - "&amp;B212,CPUAUX2!$A:$J,9,FALSE),VLOOKUP(B212,I!$A:$E,5,FALSE))</f>
        <v>27.16</v>
      </c>
      <c r="H212" s="77"/>
      <c r="I212" s="76">
        <f>TRUNC(F212*G212,2)</f>
        <v>27.16</v>
      </c>
      <c r="J212" s="77"/>
      <c r="M212" s="23">
        <f>B212</f>
        <v>88297</v>
      </c>
      <c r="N212" s="23">
        <f>SUMIF(CPU!M:M,B209,CPU!O:O)</f>
        <v>1.7136</v>
      </c>
      <c r="O212" s="23">
        <f>F212*N212</f>
        <v>1.7136</v>
      </c>
      <c r="Q212" s="23">
        <f ca="1">SUMIF(CPU!M:M,B209,CPU!R:R)</f>
        <v>0.57119999999999993</v>
      </c>
      <c r="R212" s="23">
        <f ca="1">F212*Q212</f>
        <v>0.57119999999999993</v>
      </c>
    </row>
    <row r="213" spans="1:18" x14ac:dyDescent="0.3">
      <c r="A213" s="73" t="str">
        <f>"TOTAL SEM BDI - "&amp;B209</f>
        <v>TOTAL SEM BDI - 91693</v>
      </c>
      <c r="B213" s="74"/>
      <c r="C213" s="74"/>
      <c r="D213" s="74"/>
      <c r="E213" s="74"/>
      <c r="F213" s="74"/>
      <c r="G213" s="74"/>
      <c r="H213" s="75"/>
      <c r="I213" s="76">
        <f>SUM(I209:I212)</f>
        <v>27.3</v>
      </c>
      <c r="J213" s="77"/>
    </row>
    <row r="215" spans="1:18" x14ac:dyDescent="0.3">
      <c r="A215" s="4" t="s">
        <v>1000</v>
      </c>
      <c r="B215" s="4" t="s">
        <v>170</v>
      </c>
      <c r="C215" s="4" t="s">
        <v>171</v>
      </c>
      <c r="D215" s="4" t="s">
        <v>18</v>
      </c>
      <c r="E215" s="4" t="s">
        <v>172</v>
      </c>
      <c r="F215" s="4" t="s">
        <v>507</v>
      </c>
      <c r="G215" s="45" t="s">
        <v>1001</v>
      </c>
      <c r="H215" s="46"/>
      <c r="I215" s="45" t="s">
        <v>12</v>
      </c>
      <c r="J215" s="46"/>
    </row>
    <row r="216" spans="1:18" ht="45" customHeight="1" x14ac:dyDescent="0.3">
      <c r="A216" s="15" t="s">
        <v>1076</v>
      </c>
      <c r="B216" s="15">
        <v>91692</v>
      </c>
      <c r="C216" s="15" t="str">
        <f>VLOOKUP(B216,S!$A:$G,2,FALSE)</f>
        <v>SINAPI</v>
      </c>
      <c r="D216" s="22" t="str">
        <f>VLOOKUP(B216,S!$A:$G,3,FALSE)</f>
        <v>SERRA CIRCULAR DE BANCADA COM MOTOR ELÉTRICO POTÊNCIA DE 5HP, COM COIFA PARA DISCO 10" - CHP DIURNO. AF_08/2015</v>
      </c>
      <c r="E216" s="15" t="str">
        <f>VLOOKUP(B216,S!$A:$G,4,FALSE)</f>
        <v>CHP</v>
      </c>
      <c r="F216" s="15"/>
      <c r="G216" s="78">
        <f>I222</f>
        <v>28.87</v>
      </c>
      <c r="H216" s="79"/>
      <c r="I216" s="78"/>
      <c r="J216" s="79"/>
      <c r="K216" s="16">
        <f>VLOOKUP(B216,S!A:G,5,FALSE)</f>
        <v>28.87</v>
      </c>
      <c r="L216" s="15" t="str">
        <f>IF(K216=G216,"OK, CONFORME TABELA",IF(G216&gt;K216,"ACIMA DA TABELA: ","ABAIXO DA TABELA: ")&amp;TRUNC((G216*100)/K216,2)&amp;" %")</f>
        <v>OK, CONFORME TABELA</v>
      </c>
    </row>
    <row r="217" spans="1:18" ht="45" customHeight="1" x14ac:dyDescent="0.3">
      <c r="A217" s="23" t="s">
        <v>1004</v>
      </c>
      <c r="B217" s="23">
        <v>91691</v>
      </c>
      <c r="C217" s="23" t="str">
        <f>VLOOKUP(B217,IF(A217="COMPOSICAO",S!$A:$E,I!$A:$E),2,FALSE)</f>
        <v>SINAPI</v>
      </c>
      <c r="D217" s="24" t="str">
        <f>VLOOKUP(B217,IF(A217="COMPOSICAO",S!$A:$E,I!$A:$E),3,FALSE)</f>
        <v>SERRA CIRCULAR DE BANCADA COM MOTOR ELÉTRICO POTÊNCIA DE 5HP, COM COIFA PARA DISCO 10" - MATERIAIS NA OPERAÇÃO. AF_08/2015</v>
      </c>
      <c r="E217" s="23" t="str">
        <f>VLOOKUP(B217,IF(A217="COMPOSICAO",S!$A:$E,I!$A:$E),4,FALSE)</f>
        <v>H</v>
      </c>
      <c r="F217" s="23">
        <v>1</v>
      </c>
      <c r="G217" s="76">
        <f>IF(A217="COMPOSICAO",VLOOKUP("TOTAL SEM BDI - "&amp;B217,CPUAUX2!$A:$J,9,FALSE),VLOOKUP(B217,I!$A:$E,5,FALSE))</f>
        <v>1.49</v>
      </c>
      <c r="H217" s="77"/>
      <c r="I217" s="76">
        <f>TRUNC(F217*G217,2)</f>
        <v>1.49</v>
      </c>
      <c r="J217" s="77"/>
      <c r="M217" s="23">
        <f>B217</f>
        <v>91691</v>
      </c>
      <c r="N217" s="23">
        <f>SUMIF(CPU!M:M,B216,CPU!O:O)</f>
        <v>0.4284</v>
      </c>
      <c r="O217" s="23">
        <f>F217*N217</f>
        <v>0.4284</v>
      </c>
      <c r="Q217" s="23">
        <f ca="1">SUMIF(CPU!M:M,B216,CPU!R:R)</f>
        <v>0.14279999999999998</v>
      </c>
      <c r="R217" s="23">
        <f ca="1">F217*Q217</f>
        <v>0.14279999999999998</v>
      </c>
    </row>
    <row r="218" spans="1:18" ht="45" customHeight="1" x14ac:dyDescent="0.3">
      <c r="A218" s="23" t="s">
        <v>1004</v>
      </c>
      <c r="B218" s="23">
        <v>91690</v>
      </c>
      <c r="C218" s="23" t="str">
        <f>VLOOKUP(B218,IF(A218="COMPOSICAO",S!$A:$E,I!$A:$E),2,FALSE)</f>
        <v>SINAPI</v>
      </c>
      <c r="D218" s="24" t="str">
        <f>VLOOKUP(B218,IF(A218="COMPOSICAO",S!$A:$E,I!$A:$E),3,FALSE)</f>
        <v>SERRA CIRCULAR DE BANCADA COM MOTOR ELÉTRICO POTÊNCIA DE 5HP, COM COIFA PARA DISCO 10" - MANUTENÇÃO. AF_08/2015</v>
      </c>
      <c r="E218" s="23" t="str">
        <f>VLOOKUP(B218,IF(A218="COMPOSICAO",S!$A:$E,I!$A:$E),4,FALSE)</f>
        <v>H</v>
      </c>
      <c r="F218" s="23">
        <v>1</v>
      </c>
      <c r="G218" s="76">
        <f>IF(A218="COMPOSICAO",VLOOKUP("TOTAL SEM BDI - "&amp;B218,CPUAUX2!$A:$J,9,FALSE),VLOOKUP(B218,I!$A:$E,5,FALSE))</f>
        <v>0.08</v>
      </c>
      <c r="H218" s="77"/>
      <c r="I218" s="76">
        <f>TRUNC(F218*G218,2)</f>
        <v>0.08</v>
      </c>
      <c r="J218" s="77"/>
      <c r="M218" s="23">
        <f>B218</f>
        <v>91690</v>
      </c>
      <c r="N218" s="23">
        <f>SUMIF(CPU!M:M,B216,CPU!O:O)</f>
        <v>0.4284</v>
      </c>
      <c r="O218" s="23">
        <f>F218*N218</f>
        <v>0.4284</v>
      </c>
      <c r="Q218" s="23">
        <f ca="1">SUMIF(CPU!M:M,B216,CPU!R:R)</f>
        <v>0.14279999999999998</v>
      </c>
      <c r="R218" s="23">
        <f ca="1">F218*Q218</f>
        <v>0.14279999999999998</v>
      </c>
    </row>
    <row r="219" spans="1:18" ht="45" customHeight="1" x14ac:dyDescent="0.3">
      <c r="A219" s="23" t="s">
        <v>1004</v>
      </c>
      <c r="B219" s="23">
        <v>91689</v>
      </c>
      <c r="C219" s="23" t="str">
        <f>VLOOKUP(B219,IF(A219="COMPOSICAO",S!$A:$E,I!$A:$E),2,FALSE)</f>
        <v>SINAPI</v>
      </c>
      <c r="D219" s="24" t="str">
        <f>VLOOKUP(B219,IF(A219="COMPOSICAO",S!$A:$E,I!$A:$E),3,FALSE)</f>
        <v>SERRA CIRCULAR DE BANCADA COM MOTOR ELÉTRICO POTÊNCIA DE 5HP, COM COIFA PARA DISCO 10" - JUROS. AF_08/2015</v>
      </c>
      <c r="E219" s="23" t="str">
        <f>VLOOKUP(B219,IF(A219="COMPOSICAO",S!$A:$E,I!$A:$E),4,FALSE)</f>
        <v>H</v>
      </c>
      <c r="F219" s="23">
        <v>1</v>
      </c>
      <c r="G219" s="76">
        <f>IF(A219="COMPOSICAO",VLOOKUP("TOTAL SEM BDI - "&amp;B219,CPUAUX2!$A:$J,9,FALSE),VLOOKUP(B219,I!$A:$E,5,FALSE))</f>
        <v>0.02</v>
      </c>
      <c r="H219" s="77"/>
      <c r="I219" s="76">
        <f>TRUNC(F219*G219,2)</f>
        <v>0.02</v>
      </c>
      <c r="J219" s="77"/>
      <c r="M219" s="23">
        <f>B219</f>
        <v>91689</v>
      </c>
      <c r="N219" s="23">
        <f>SUMIF(CPU!M:M,B216,CPU!O:O)</f>
        <v>0.4284</v>
      </c>
      <c r="O219" s="23">
        <f>F219*N219</f>
        <v>0.4284</v>
      </c>
      <c r="Q219" s="23">
        <f ca="1">SUMIF(CPU!M:M,B216,CPU!R:R)</f>
        <v>0.14279999999999998</v>
      </c>
      <c r="R219" s="23">
        <f ca="1">F219*Q219</f>
        <v>0.14279999999999998</v>
      </c>
    </row>
    <row r="220" spans="1:18" ht="45" customHeight="1" x14ac:dyDescent="0.3">
      <c r="A220" s="23" t="s">
        <v>1004</v>
      </c>
      <c r="B220" s="23">
        <v>91688</v>
      </c>
      <c r="C220" s="23" t="str">
        <f>VLOOKUP(B220,IF(A220="COMPOSICAO",S!$A:$E,I!$A:$E),2,FALSE)</f>
        <v>SINAPI</v>
      </c>
      <c r="D220" s="24" t="str">
        <f>VLOOKUP(B220,IF(A220="COMPOSICAO",S!$A:$E,I!$A:$E),3,FALSE)</f>
        <v>SERRA CIRCULAR DE BANCADA COM MOTOR ELÉTRICO POTÊNCIA DE 5HP, COM COIFA PARA DISCO 10" - DEPRECIAÇÃO. AF_08/2015</v>
      </c>
      <c r="E220" s="23" t="str">
        <f>VLOOKUP(B220,IF(A220="COMPOSICAO",S!$A:$E,I!$A:$E),4,FALSE)</f>
        <v>H</v>
      </c>
      <c r="F220" s="23">
        <v>1</v>
      </c>
      <c r="G220" s="76">
        <f>IF(A220="COMPOSICAO",VLOOKUP("TOTAL SEM BDI - "&amp;B220,CPUAUX2!$A:$J,9,FALSE),VLOOKUP(B220,I!$A:$E,5,FALSE))</f>
        <v>0.12</v>
      </c>
      <c r="H220" s="77"/>
      <c r="I220" s="76">
        <f>TRUNC(F220*G220,2)</f>
        <v>0.12</v>
      </c>
      <c r="J220" s="77"/>
      <c r="M220" s="23">
        <f>B220</f>
        <v>91688</v>
      </c>
      <c r="N220" s="23">
        <f>SUMIF(CPU!M:M,B216,CPU!O:O)</f>
        <v>0.4284</v>
      </c>
      <c r="O220" s="23">
        <f>F220*N220</f>
        <v>0.4284</v>
      </c>
      <c r="Q220" s="23">
        <f ca="1">SUMIF(CPU!M:M,B216,CPU!R:R)</f>
        <v>0.14279999999999998</v>
      </c>
      <c r="R220" s="23">
        <f ca="1">F220*Q220</f>
        <v>0.14279999999999998</v>
      </c>
    </row>
    <row r="221" spans="1:18" ht="30" customHeight="1" x14ac:dyDescent="0.3">
      <c r="A221" s="23" t="s">
        <v>1004</v>
      </c>
      <c r="B221" s="23">
        <v>88297</v>
      </c>
      <c r="C221" s="23" t="str">
        <f>VLOOKUP(B221,IF(A221="COMPOSICAO",S!$A:$E,I!$A:$E),2,FALSE)</f>
        <v>SINAPI</v>
      </c>
      <c r="D221" s="24" t="str">
        <f>VLOOKUP(B221,IF(A221="COMPOSICAO",S!$A:$E,I!$A:$E),3,FALSE)</f>
        <v>OPERADOR DE MÁQUINAS E EQUIPAMENTOS COM ENCARGOS COMPLEMENTARES</v>
      </c>
      <c r="E221" s="23" t="str">
        <f>VLOOKUP(B221,IF(A221="COMPOSICAO",S!$A:$E,I!$A:$E),4,FALSE)</f>
        <v>H</v>
      </c>
      <c r="F221" s="23">
        <v>1</v>
      </c>
      <c r="G221" s="76">
        <f>IF(A221="COMPOSICAO",VLOOKUP("TOTAL SEM BDI - "&amp;B221,CPUAUX2!$A:$J,9,FALSE),VLOOKUP(B221,I!$A:$E,5,FALSE))</f>
        <v>27.16</v>
      </c>
      <c r="H221" s="77"/>
      <c r="I221" s="76">
        <f>TRUNC(F221*G221,2)</f>
        <v>27.16</v>
      </c>
      <c r="J221" s="77"/>
      <c r="M221" s="23">
        <f>B221</f>
        <v>88297</v>
      </c>
      <c r="N221" s="23">
        <f>SUMIF(CPU!M:M,B216,CPU!O:O)</f>
        <v>0.4284</v>
      </c>
      <c r="O221" s="23">
        <f>F221*N221</f>
        <v>0.4284</v>
      </c>
      <c r="Q221" s="23">
        <f ca="1">SUMIF(CPU!M:M,B216,CPU!R:R)</f>
        <v>0.14279999999999998</v>
      </c>
      <c r="R221" s="23">
        <f ca="1">F221*Q221</f>
        <v>0.14279999999999998</v>
      </c>
    </row>
    <row r="222" spans="1:18" x14ac:dyDescent="0.3">
      <c r="A222" s="73" t="str">
        <f>"TOTAL SEM BDI - "&amp;B216</f>
        <v>TOTAL SEM BDI - 91692</v>
      </c>
      <c r="B222" s="74"/>
      <c r="C222" s="74"/>
      <c r="D222" s="74"/>
      <c r="E222" s="74"/>
      <c r="F222" s="74"/>
      <c r="G222" s="74"/>
      <c r="H222" s="75"/>
      <c r="I222" s="76">
        <f>SUM(I216:I221)</f>
        <v>28.87</v>
      </c>
      <c r="J222" s="77"/>
    </row>
    <row r="224" spans="1:18" x14ac:dyDescent="0.3">
      <c r="A224" s="4" t="s">
        <v>1000</v>
      </c>
      <c r="B224" s="4" t="s">
        <v>170</v>
      </c>
      <c r="C224" s="4" t="s">
        <v>171</v>
      </c>
      <c r="D224" s="4" t="s">
        <v>18</v>
      </c>
      <c r="E224" s="4" t="s">
        <v>172</v>
      </c>
      <c r="F224" s="4" t="s">
        <v>507</v>
      </c>
      <c r="G224" s="45" t="s">
        <v>1001</v>
      </c>
      <c r="H224" s="46"/>
      <c r="I224" s="45" t="s">
        <v>12</v>
      </c>
      <c r="J224" s="46"/>
    </row>
    <row r="225" spans="1:18" ht="30" customHeight="1" x14ac:dyDescent="0.3">
      <c r="A225" s="15" t="s">
        <v>1071</v>
      </c>
      <c r="B225" s="15">
        <v>88262</v>
      </c>
      <c r="C225" s="15" t="str">
        <f>VLOOKUP(B225,S!$A:$G,2,FALSE)</f>
        <v>SINAPI</v>
      </c>
      <c r="D225" s="22" t="str">
        <f>VLOOKUP(B225,S!$A:$G,3,FALSE)</f>
        <v>CARPINTEIRO DE FORMAS COM ENCARGOS COMPLEMENTARES</v>
      </c>
      <c r="E225" s="15" t="str">
        <f>VLOOKUP(B225,S!$A:$G,4,FALSE)</f>
        <v>H</v>
      </c>
      <c r="F225" s="15"/>
      <c r="G225" s="78">
        <f>I234</f>
        <v>26.97</v>
      </c>
      <c r="H225" s="79"/>
      <c r="I225" s="78"/>
      <c r="J225" s="79"/>
      <c r="K225" s="16">
        <f>VLOOKUP(B225,S!A:G,5,FALSE)</f>
        <v>26.97</v>
      </c>
      <c r="L225" s="15" t="str">
        <f>IF(K225=G225,"OK, CONFORME TABELA",IF(G225&gt;K225,"ACIMA DA TABELA: ","ABAIXO DA TABELA: ")&amp;TRUNC((G225*100)/K225,2)&amp;" %")</f>
        <v>OK, CONFORME TABELA</v>
      </c>
    </row>
    <row r="226" spans="1:18" ht="30" customHeight="1" x14ac:dyDescent="0.3">
      <c r="A226" s="23" t="s">
        <v>1004</v>
      </c>
      <c r="B226" s="23">
        <v>95330</v>
      </c>
      <c r="C226" s="23" t="str">
        <f>VLOOKUP(B226,IF(A226="COMPOSICAO",S!$A:$E,I!$A:$E),2,FALSE)</f>
        <v>SINAPI</v>
      </c>
      <c r="D226" s="24" t="str">
        <f>VLOOKUP(B226,IF(A226="COMPOSICAO",S!$A:$E,I!$A:$E),3,FALSE)</f>
        <v>CURSO DE CAPACITAÇÃO PARA CARPINTEIRO DE FÔRMAS (ENCARGOS COMPLEMENTARES) - HORISTA</v>
      </c>
      <c r="E226" s="23" t="str">
        <f>VLOOKUP(B226,IF(A226="COMPOSICAO",S!$A:$E,I!$A:$E),4,FALSE)</f>
        <v>H</v>
      </c>
      <c r="F226" s="23">
        <v>1</v>
      </c>
      <c r="G226" s="76">
        <f>IF(A226="COMPOSICAO",VLOOKUP("TOTAL SEM BDI - "&amp;B226,CPUAUX2!$A:$J,9,FALSE),VLOOKUP(B226,I!$A:$E,5,FALSE))</f>
        <v>0.23</v>
      </c>
      <c r="H226" s="77"/>
      <c r="I226" s="76">
        <f t="shared" ref="I226:I233" si="64">TRUNC(F226*G226,2)</f>
        <v>0.23</v>
      </c>
      <c r="J226" s="77"/>
      <c r="M226" s="23">
        <f t="shared" ref="M226:M233" si="65">B226</f>
        <v>95330</v>
      </c>
      <c r="N226" s="23">
        <f>SUMIF(CPU!M:M,B225,CPU!O:O)</f>
        <v>73.275000000000006</v>
      </c>
      <c r="O226" s="23">
        <f t="shared" ref="O226:O233" si="66">F226*N226</f>
        <v>73.275000000000006</v>
      </c>
      <c r="Q226" s="23">
        <f ca="1">SUMIF(CPU!M:M,B225,CPU!R:R)</f>
        <v>24.425000000000001</v>
      </c>
      <c r="R226" s="23">
        <f t="shared" ref="R226:R233" ca="1" si="67">F226*Q226</f>
        <v>24.425000000000001</v>
      </c>
    </row>
    <row r="227" spans="1:18" ht="30" customHeight="1" x14ac:dyDescent="0.3">
      <c r="A227" s="23" t="s">
        <v>1005</v>
      </c>
      <c r="B227" s="23">
        <v>43483</v>
      </c>
      <c r="C227" s="23" t="str">
        <f>VLOOKUP(B227,IF(A227="COMPOSICAO",S!$A:$E,I!$A:$E),2,FALSE)</f>
        <v>SINAPI</v>
      </c>
      <c r="D227" s="24" t="str">
        <f>VLOOKUP(B227,IF(A227="COMPOSICAO",S!$A:$E,I!$A:$E),3,FALSE)</f>
        <v>EPI - FAMILIA CARPINTEIRO DE FORMAS - HORISTA (ENCARGOS COMPLEMENTARES - COLETADO CAIXA)</v>
      </c>
      <c r="E227" s="23" t="str">
        <f>VLOOKUP(B227,IF(A227="COMPOSICAO",S!$A:$E,I!$A:$E),4,FALSE)</f>
        <v>H</v>
      </c>
      <c r="F227" s="23">
        <v>1</v>
      </c>
      <c r="G227" s="76">
        <f>IF(A227="COMPOSICAO",VLOOKUP("TOTAL SEM BDI - "&amp;B227,CPUAUX2!$A:$J,9,FALSE),VLOOKUP(B227,I!$A:$E,5,FALSE))</f>
        <v>1.43</v>
      </c>
      <c r="H227" s="77"/>
      <c r="I227" s="76">
        <f t="shared" si="64"/>
        <v>1.43</v>
      </c>
      <c r="J227" s="77"/>
      <c r="M227" s="23">
        <f t="shared" si="65"/>
        <v>43483</v>
      </c>
      <c r="N227" s="23">
        <f>SUMIF(CPU!M:M,B225,CPU!O:O)</f>
        <v>73.275000000000006</v>
      </c>
      <c r="O227" s="23">
        <f t="shared" si="66"/>
        <v>73.275000000000006</v>
      </c>
      <c r="Q227" s="23">
        <f ca="1">SUMIF(CPU!M:M,B225,CPU!R:R)</f>
        <v>24.425000000000001</v>
      </c>
      <c r="R227" s="23">
        <f t="shared" ca="1" si="67"/>
        <v>24.425000000000001</v>
      </c>
    </row>
    <row r="228" spans="1:18" ht="45" customHeight="1" x14ac:dyDescent="0.3">
      <c r="A228" s="23" t="s">
        <v>1005</v>
      </c>
      <c r="B228" s="23">
        <v>43459</v>
      </c>
      <c r="C228" s="23" t="str">
        <f>VLOOKUP(B228,IF(A228="COMPOSICAO",S!$A:$E,I!$A:$E),2,FALSE)</f>
        <v>SINAPI</v>
      </c>
      <c r="D228" s="24" t="str">
        <f>VLOOKUP(B228,IF(A228="COMPOSICAO",S!$A:$E,I!$A:$E),3,FALSE)</f>
        <v>FERRAMENTAS - FAMILIA CARPINTEIRO DE FORMAS - HORISTA (ENCARGOS COMPLEMENTARES - COLETADO CAIXA)</v>
      </c>
      <c r="E228" s="23" t="str">
        <f>VLOOKUP(B228,IF(A228="COMPOSICAO",S!$A:$E,I!$A:$E),4,FALSE)</f>
        <v>H</v>
      </c>
      <c r="F228" s="23">
        <v>1</v>
      </c>
      <c r="G228" s="76">
        <f>IF(A228="COMPOSICAO",VLOOKUP("TOTAL SEM BDI - "&amp;B228,CPUAUX2!$A:$J,9,FALSE),VLOOKUP(B228,I!$A:$E,5,FALSE))</f>
        <v>0.44</v>
      </c>
      <c r="H228" s="77"/>
      <c r="I228" s="76">
        <f t="shared" si="64"/>
        <v>0.44</v>
      </c>
      <c r="J228" s="77"/>
      <c r="M228" s="23">
        <f t="shared" si="65"/>
        <v>43459</v>
      </c>
      <c r="N228" s="23">
        <f>SUMIF(CPU!M:M,B225,CPU!O:O)</f>
        <v>73.275000000000006</v>
      </c>
      <c r="O228" s="23">
        <f t="shared" si="66"/>
        <v>73.275000000000006</v>
      </c>
      <c r="Q228" s="23">
        <f ca="1">SUMIF(CPU!M:M,B225,CPU!R:R)</f>
        <v>24.425000000000001</v>
      </c>
      <c r="R228" s="23">
        <f t="shared" ca="1" si="67"/>
        <v>24.425000000000001</v>
      </c>
    </row>
    <row r="229" spans="1:18" ht="30" customHeight="1" x14ac:dyDescent="0.3">
      <c r="A229" s="23" t="s">
        <v>1005</v>
      </c>
      <c r="B229" s="23">
        <v>37373</v>
      </c>
      <c r="C229" s="23" t="str">
        <f>VLOOKUP(B229,IF(A229="COMPOSICAO",S!$A:$E,I!$A:$E),2,FALSE)</f>
        <v>SINAPI</v>
      </c>
      <c r="D229" s="24" t="str">
        <f>VLOOKUP(B229,IF(A229="COMPOSICAO",S!$A:$E,I!$A:$E),3,FALSE)</f>
        <v>SEGURO - HORISTA (COLETADO CAIXA - ENCARGOS COMPLEMENTARES)</v>
      </c>
      <c r="E229" s="23" t="str">
        <f>VLOOKUP(B229,IF(A229="COMPOSICAO",S!$A:$E,I!$A:$E),4,FALSE)</f>
        <v>H</v>
      </c>
      <c r="F229" s="23">
        <v>1</v>
      </c>
      <c r="G229" s="76">
        <f>IF(A229="COMPOSICAO",VLOOKUP("TOTAL SEM BDI - "&amp;B229,CPUAUX2!$A:$J,9,FALSE),VLOOKUP(B229,I!$A:$E,5,FALSE))</f>
        <v>0.08</v>
      </c>
      <c r="H229" s="77"/>
      <c r="I229" s="76">
        <f t="shared" si="64"/>
        <v>0.08</v>
      </c>
      <c r="J229" s="77"/>
      <c r="M229" s="23">
        <f t="shared" si="65"/>
        <v>37373</v>
      </c>
      <c r="N229" s="23">
        <f>SUMIF(CPU!M:M,B225,CPU!O:O)</f>
        <v>73.275000000000006</v>
      </c>
      <c r="O229" s="23">
        <f t="shared" si="66"/>
        <v>73.275000000000006</v>
      </c>
      <c r="Q229" s="23">
        <f ca="1">SUMIF(CPU!M:M,B225,CPU!R:R)</f>
        <v>24.425000000000001</v>
      </c>
      <c r="R229" s="23">
        <f t="shared" ca="1" si="67"/>
        <v>24.425000000000001</v>
      </c>
    </row>
    <row r="230" spans="1:18" ht="30" customHeight="1" x14ac:dyDescent="0.3">
      <c r="A230" s="23" t="s">
        <v>1005</v>
      </c>
      <c r="B230" s="23">
        <v>37372</v>
      </c>
      <c r="C230" s="23" t="str">
        <f>VLOOKUP(B230,IF(A230="COMPOSICAO",S!$A:$E,I!$A:$E),2,FALSE)</f>
        <v>SINAPI</v>
      </c>
      <c r="D230" s="24" t="str">
        <f>VLOOKUP(B230,IF(A230="COMPOSICAO",S!$A:$E,I!$A:$E),3,FALSE)</f>
        <v>EXAMES - HORISTA (COLETADO CAIXA - ENCARGOS COMPLEMENTARES)</v>
      </c>
      <c r="E230" s="23" t="str">
        <f>VLOOKUP(B230,IF(A230="COMPOSICAO",S!$A:$E,I!$A:$E),4,FALSE)</f>
        <v>H</v>
      </c>
      <c r="F230" s="23">
        <v>1</v>
      </c>
      <c r="G230" s="76">
        <f>IF(A230="COMPOSICAO",VLOOKUP("TOTAL SEM BDI - "&amp;B230,CPUAUX2!$A:$J,9,FALSE),VLOOKUP(B230,I!$A:$E,5,FALSE))</f>
        <v>1.43</v>
      </c>
      <c r="H230" s="77"/>
      <c r="I230" s="76">
        <f t="shared" si="64"/>
        <v>1.43</v>
      </c>
      <c r="J230" s="77"/>
      <c r="M230" s="23">
        <f t="shared" si="65"/>
        <v>37372</v>
      </c>
      <c r="N230" s="23">
        <f>SUMIF(CPU!M:M,B225,CPU!O:O)</f>
        <v>73.275000000000006</v>
      </c>
      <c r="O230" s="23">
        <f t="shared" si="66"/>
        <v>73.275000000000006</v>
      </c>
      <c r="Q230" s="23">
        <f ca="1">SUMIF(CPU!M:M,B225,CPU!R:R)</f>
        <v>24.425000000000001</v>
      </c>
      <c r="R230" s="23">
        <f t="shared" ca="1" si="67"/>
        <v>24.425000000000001</v>
      </c>
    </row>
    <row r="231" spans="1:18" ht="30" customHeight="1" x14ac:dyDescent="0.3">
      <c r="A231" s="23" t="s">
        <v>1005</v>
      </c>
      <c r="B231" s="23">
        <v>37371</v>
      </c>
      <c r="C231" s="23" t="str">
        <f>VLOOKUP(B231,IF(A231="COMPOSICAO",S!$A:$E,I!$A:$E),2,FALSE)</f>
        <v>SINAPI</v>
      </c>
      <c r="D231" s="24" t="str">
        <f>VLOOKUP(B231,IF(A231="COMPOSICAO",S!$A:$E,I!$A:$E),3,FALSE)</f>
        <v>TRANSPORTE - HORISTA (COLETADO CAIXA - ENCARGOS COMPLEMENTARES)</v>
      </c>
      <c r="E231" s="23" t="str">
        <f>VLOOKUP(B231,IF(A231="COMPOSICAO",S!$A:$E,I!$A:$E),4,FALSE)</f>
        <v>H</v>
      </c>
      <c r="F231" s="23">
        <v>1</v>
      </c>
      <c r="G231" s="76">
        <f>IF(A231="COMPOSICAO",VLOOKUP("TOTAL SEM BDI - "&amp;B231,CPUAUX2!$A:$J,9,FALSE),VLOOKUP(B231,I!$A:$E,5,FALSE))</f>
        <v>0.56999999999999995</v>
      </c>
      <c r="H231" s="77"/>
      <c r="I231" s="76">
        <f t="shared" si="64"/>
        <v>0.56999999999999995</v>
      </c>
      <c r="J231" s="77"/>
      <c r="M231" s="23">
        <f t="shared" si="65"/>
        <v>37371</v>
      </c>
      <c r="N231" s="23">
        <f>SUMIF(CPU!M:M,B225,CPU!O:O)</f>
        <v>73.275000000000006</v>
      </c>
      <c r="O231" s="23">
        <f t="shared" si="66"/>
        <v>73.275000000000006</v>
      </c>
      <c r="Q231" s="23">
        <f ca="1">SUMIF(CPU!M:M,B225,CPU!R:R)</f>
        <v>24.425000000000001</v>
      </c>
      <c r="R231" s="23">
        <f t="shared" ca="1" si="67"/>
        <v>24.425000000000001</v>
      </c>
    </row>
    <row r="232" spans="1:18" ht="30" customHeight="1" x14ac:dyDescent="0.3">
      <c r="A232" s="23" t="s">
        <v>1005</v>
      </c>
      <c r="B232" s="23">
        <v>37370</v>
      </c>
      <c r="C232" s="23" t="str">
        <f>VLOOKUP(B232,IF(A232="COMPOSICAO",S!$A:$E,I!$A:$E),2,FALSE)</f>
        <v>SINAPI</v>
      </c>
      <c r="D232" s="24" t="str">
        <f>VLOOKUP(B232,IF(A232="COMPOSICAO",S!$A:$E,I!$A:$E),3,FALSE)</f>
        <v>ALIMENTACAO - HORISTA (COLETADO CAIXA - ENCARGOS COMPLEMENTARES)</v>
      </c>
      <c r="E232" s="23" t="str">
        <f>VLOOKUP(B232,IF(A232="COMPOSICAO",S!$A:$E,I!$A:$E),4,FALSE)</f>
        <v>H</v>
      </c>
      <c r="F232" s="23">
        <v>1</v>
      </c>
      <c r="G232" s="76">
        <f>IF(A232="COMPOSICAO",VLOOKUP("TOTAL SEM BDI - "&amp;B232,CPUAUX2!$A:$J,9,FALSE),VLOOKUP(B232,I!$A:$E,5,FALSE))</f>
        <v>2.46</v>
      </c>
      <c r="H232" s="77"/>
      <c r="I232" s="76">
        <f t="shared" si="64"/>
        <v>2.46</v>
      </c>
      <c r="J232" s="77"/>
      <c r="M232" s="23">
        <f t="shared" si="65"/>
        <v>37370</v>
      </c>
      <c r="N232" s="23">
        <f>SUMIF(CPU!M:M,B225,CPU!O:O)</f>
        <v>73.275000000000006</v>
      </c>
      <c r="O232" s="23">
        <f t="shared" si="66"/>
        <v>73.275000000000006</v>
      </c>
      <c r="Q232" s="23">
        <f ca="1">SUMIF(CPU!M:M,B225,CPU!R:R)</f>
        <v>24.425000000000001</v>
      </c>
      <c r="R232" s="23">
        <f t="shared" ca="1" si="67"/>
        <v>24.425000000000001</v>
      </c>
    </row>
    <row r="233" spans="1:18" ht="15" customHeight="1" x14ac:dyDescent="0.3">
      <c r="A233" s="23" t="s">
        <v>1005</v>
      </c>
      <c r="B233" s="23">
        <v>1213</v>
      </c>
      <c r="C233" s="23" t="str">
        <f>VLOOKUP(B233,IF(A233="COMPOSICAO",S!$A:$E,I!$A:$E),2,FALSE)</f>
        <v>SINAPI</v>
      </c>
      <c r="D233" s="24" t="str">
        <f>VLOOKUP(B233,IF(A233="COMPOSICAO",S!$A:$E,I!$A:$E),3,FALSE)</f>
        <v>CARPINTEIRO DE FORMAS PARA CONCRETO (HORISTA)</v>
      </c>
      <c r="E233" s="23" t="str">
        <f>VLOOKUP(B233,IF(A233="COMPOSICAO",S!$A:$E,I!$A:$E),4,FALSE)</f>
        <v>H</v>
      </c>
      <c r="F233" s="23">
        <v>1</v>
      </c>
      <c r="G233" s="76">
        <f>IF(A233="COMPOSICAO",VLOOKUP("TOTAL SEM BDI - "&amp;B233,CPUAUX2!$A:$J,9,FALSE),VLOOKUP(B233,I!$A:$E,5,FALSE))</f>
        <v>20.329999999999998</v>
      </c>
      <c r="H233" s="77"/>
      <c r="I233" s="76">
        <f t="shared" si="64"/>
        <v>20.329999999999998</v>
      </c>
      <c r="J233" s="77"/>
      <c r="M233" s="23">
        <f t="shared" si="65"/>
        <v>1213</v>
      </c>
      <c r="N233" s="23">
        <f>SUMIF(CPU!M:M,B225,CPU!O:O)</f>
        <v>73.275000000000006</v>
      </c>
      <c r="O233" s="23">
        <f t="shared" si="66"/>
        <v>73.275000000000006</v>
      </c>
      <c r="Q233" s="23">
        <f ca="1">SUMIF(CPU!M:M,B225,CPU!R:R)</f>
        <v>24.425000000000001</v>
      </c>
      <c r="R233" s="23">
        <f t="shared" ca="1" si="67"/>
        <v>24.425000000000001</v>
      </c>
    </row>
    <row r="234" spans="1:18" x14ac:dyDescent="0.3">
      <c r="A234" s="73" t="str">
        <f>"TOTAL SEM BDI - "&amp;B225</f>
        <v>TOTAL SEM BDI - 88262</v>
      </c>
      <c r="B234" s="74"/>
      <c r="C234" s="74"/>
      <c r="D234" s="74"/>
      <c r="E234" s="74"/>
      <c r="F234" s="74"/>
      <c r="G234" s="74"/>
      <c r="H234" s="75"/>
      <c r="I234" s="76">
        <f>SUM(I225:I233)</f>
        <v>26.97</v>
      </c>
      <c r="J234" s="77"/>
    </row>
    <row r="236" spans="1:18" x14ac:dyDescent="0.3">
      <c r="A236" s="4" t="s">
        <v>1000</v>
      </c>
      <c r="B236" s="4" t="s">
        <v>170</v>
      </c>
      <c r="C236" s="4" t="s">
        <v>171</v>
      </c>
      <c r="D236" s="4" t="s">
        <v>18</v>
      </c>
      <c r="E236" s="4" t="s">
        <v>172</v>
      </c>
      <c r="F236" s="4" t="s">
        <v>507</v>
      </c>
      <c r="G236" s="45" t="s">
        <v>1001</v>
      </c>
      <c r="H236" s="46"/>
      <c r="I236" s="45" t="s">
        <v>12</v>
      </c>
      <c r="J236" s="46"/>
    </row>
    <row r="237" spans="1:18" ht="30" customHeight="1" x14ac:dyDescent="0.3">
      <c r="A237" s="15" t="s">
        <v>1071</v>
      </c>
      <c r="B237" s="15">
        <v>88239</v>
      </c>
      <c r="C237" s="15" t="str">
        <f>VLOOKUP(B237,S!$A:$G,2,FALSE)</f>
        <v>SINAPI</v>
      </c>
      <c r="D237" s="22" t="str">
        <f>VLOOKUP(B237,S!$A:$G,3,FALSE)</f>
        <v>AJUDANTE DE CARPINTEIRO COM ENCARGOS COMPLEMENTARES</v>
      </c>
      <c r="E237" s="15" t="str">
        <f>VLOOKUP(B237,S!$A:$G,4,FALSE)</f>
        <v>H</v>
      </c>
      <c r="F237" s="15"/>
      <c r="G237" s="78">
        <f>I246</f>
        <v>22.2</v>
      </c>
      <c r="H237" s="79"/>
      <c r="I237" s="78"/>
      <c r="J237" s="79"/>
      <c r="K237" s="16">
        <f>VLOOKUP(B237,S!A:G,5,FALSE)</f>
        <v>22.2</v>
      </c>
      <c r="L237" s="15" t="str">
        <f>IF(K237=G237,"OK, CONFORME TABELA",IF(G237&gt;K237,"ACIMA DA TABELA: ","ABAIXO DA TABELA: ")&amp;TRUNC((G237*100)/K237,2)&amp;" %")</f>
        <v>OK, CONFORME TABELA</v>
      </c>
    </row>
    <row r="238" spans="1:18" ht="30" customHeight="1" x14ac:dyDescent="0.3">
      <c r="A238" s="23" t="s">
        <v>1004</v>
      </c>
      <c r="B238" s="23">
        <v>95309</v>
      </c>
      <c r="C238" s="23" t="str">
        <f>VLOOKUP(B238,IF(A238="COMPOSICAO",S!$A:$E,I!$A:$E),2,FALSE)</f>
        <v>SINAPI</v>
      </c>
      <c r="D238" s="24" t="str">
        <f>VLOOKUP(B238,IF(A238="COMPOSICAO",S!$A:$E,I!$A:$E),3,FALSE)</f>
        <v>CURSO DE CAPACITAÇÃO PARA AJUDANTE DE CARPINTEIRO (ENCARGOS COMPLEMENTARES) - HORISTA</v>
      </c>
      <c r="E238" s="23" t="str">
        <f>VLOOKUP(B238,IF(A238="COMPOSICAO",S!$A:$E,I!$A:$E),4,FALSE)</f>
        <v>H</v>
      </c>
      <c r="F238" s="23">
        <v>1</v>
      </c>
      <c r="G238" s="76">
        <f>IF(A238="COMPOSICAO",VLOOKUP("TOTAL SEM BDI - "&amp;B238,CPUAUX2!$A:$J,9,FALSE),VLOOKUP(B238,I!$A:$E,5,FALSE))</f>
        <v>0.22</v>
      </c>
      <c r="H238" s="77"/>
      <c r="I238" s="76">
        <f t="shared" ref="I238:I245" si="68">TRUNC(F238*G238,2)</f>
        <v>0.22</v>
      </c>
      <c r="J238" s="77"/>
      <c r="M238" s="23">
        <f t="shared" ref="M238:M245" si="69">B238</f>
        <v>95309</v>
      </c>
      <c r="N238" s="23">
        <f>SUMIF(CPU!M:M,B237,CPU!O:O)</f>
        <v>69.02640000000001</v>
      </c>
      <c r="O238" s="23">
        <f t="shared" ref="O238:O245" si="70">F238*N238</f>
        <v>69.02640000000001</v>
      </c>
      <c r="Q238" s="23">
        <f ca="1">SUMIF(CPU!M:M,B237,CPU!R:R)</f>
        <v>23.008800000000001</v>
      </c>
      <c r="R238" s="23">
        <f t="shared" ref="R238:R245" ca="1" si="71">F238*Q238</f>
        <v>23.008800000000001</v>
      </c>
    </row>
    <row r="239" spans="1:18" ht="30" customHeight="1" x14ac:dyDescent="0.3">
      <c r="A239" s="23" t="s">
        <v>1005</v>
      </c>
      <c r="B239" s="23">
        <v>43483</v>
      </c>
      <c r="C239" s="23" t="str">
        <f>VLOOKUP(B239,IF(A239="COMPOSICAO",S!$A:$E,I!$A:$E),2,FALSE)</f>
        <v>SINAPI</v>
      </c>
      <c r="D239" s="24" t="str">
        <f>VLOOKUP(B239,IF(A239="COMPOSICAO",S!$A:$E,I!$A:$E),3,FALSE)</f>
        <v>EPI - FAMILIA CARPINTEIRO DE FORMAS - HORISTA (ENCARGOS COMPLEMENTARES - COLETADO CAIXA)</v>
      </c>
      <c r="E239" s="23" t="str">
        <f>VLOOKUP(B239,IF(A239="COMPOSICAO",S!$A:$E,I!$A:$E),4,FALSE)</f>
        <v>H</v>
      </c>
      <c r="F239" s="23">
        <v>1</v>
      </c>
      <c r="G239" s="76">
        <f>IF(A239="COMPOSICAO",VLOOKUP("TOTAL SEM BDI - "&amp;B239,CPUAUX2!$A:$J,9,FALSE),VLOOKUP(B239,I!$A:$E,5,FALSE))</f>
        <v>1.43</v>
      </c>
      <c r="H239" s="77"/>
      <c r="I239" s="76">
        <f t="shared" si="68"/>
        <v>1.43</v>
      </c>
      <c r="J239" s="77"/>
      <c r="M239" s="23">
        <f t="shared" si="69"/>
        <v>43483</v>
      </c>
      <c r="N239" s="23">
        <f>SUMIF(CPU!M:M,B237,CPU!O:O)</f>
        <v>69.02640000000001</v>
      </c>
      <c r="O239" s="23">
        <f t="shared" si="70"/>
        <v>69.02640000000001</v>
      </c>
      <c r="Q239" s="23">
        <f ca="1">SUMIF(CPU!M:M,B237,CPU!R:R)</f>
        <v>23.008800000000001</v>
      </c>
      <c r="R239" s="23">
        <f t="shared" ca="1" si="71"/>
        <v>23.008800000000001</v>
      </c>
    </row>
    <row r="240" spans="1:18" ht="45" customHeight="1" x14ac:dyDescent="0.3">
      <c r="A240" s="23" t="s">
        <v>1005</v>
      </c>
      <c r="B240" s="23">
        <v>43459</v>
      </c>
      <c r="C240" s="23" t="str">
        <f>VLOOKUP(B240,IF(A240="COMPOSICAO",S!$A:$E,I!$A:$E),2,FALSE)</f>
        <v>SINAPI</v>
      </c>
      <c r="D240" s="24" t="str">
        <f>VLOOKUP(B240,IF(A240="COMPOSICAO",S!$A:$E,I!$A:$E),3,FALSE)</f>
        <v>FERRAMENTAS - FAMILIA CARPINTEIRO DE FORMAS - HORISTA (ENCARGOS COMPLEMENTARES - COLETADO CAIXA)</v>
      </c>
      <c r="E240" s="23" t="str">
        <f>VLOOKUP(B240,IF(A240="COMPOSICAO",S!$A:$E,I!$A:$E),4,FALSE)</f>
        <v>H</v>
      </c>
      <c r="F240" s="23">
        <v>1</v>
      </c>
      <c r="G240" s="76">
        <f>IF(A240="COMPOSICAO",VLOOKUP("TOTAL SEM BDI - "&amp;B240,CPUAUX2!$A:$J,9,FALSE),VLOOKUP(B240,I!$A:$E,5,FALSE))</f>
        <v>0.44</v>
      </c>
      <c r="H240" s="77"/>
      <c r="I240" s="76">
        <f t="shared" si="68"/>
        <v>0.44</v>
      </c>
      <c r="J240" s="77"/>
      <c r="M240" s="23">
        <f t="shared" si="69"/>
        <v>43459</v>
      </c>
      <c r="N240" s="23">
        <f>SUMIF(CPU!M:M,B237,CPU!O:O)</f>
        <v>69.02640000000001</v>
      </c>
      <c r="O240" s="23">
        <f t="shared" si="70"/>
        <v>69.02640000000001</v>
      </c>
      <c r="Q240" s="23">
        <f ca="1">SUMIF(CPU!M:M,B237,CPU!R:R)</f>
        <v>23.008800000000001</v>
      </c>
      <c r="R240" s="23">
        <f t="shared" ca="1" si="71"/>
        <v>23.008800000000001</v>
      </c>
    </row>
    <row r="241" spans="1:18" ht="30" customHeight="1" x14ac:dyDescent="0.3">
      <c r="A241" s="23" t="s">
        <v>1005</v>
      </c>
      <c r="B241" s="23">
        <v>37373</v>
      </c>
      <c r="C241" s="23" t="str">
        <f>VLOOKUP(B241,IF(A241="COMPOSICAO",S!$A:$E,I!$A:$E),2,FALSE)</f>
        <v>SINAPI</v>
      </c>
      <c r="D241" s="24" t="str">
        <f>VLOOKUP(B241,IF(A241="COMPOSICAO",S!$A:$E,I!$A:$E),3,FALSE)</f>
        <v>SEGURO - HORISTA (COLETADO CAIXA - ENCARGOS COMPLEMENTARES)</v>
      </c>
      <c r="E241" s="23" t="str">
        <f>VLOOKUP(B241,IF(A241="COMPOSICAO",S!$A:$E,I!$A:$E),4,FALSE)</f>
        <v>H</v>
      </c>
      <c r="F241" s="23">
        <v>1</v>
      </c>
      <c r="G241" s="76">
        <f>IF(A241="COMPOSICAO",VLOOKUP("TOTAL SEM BDI - "&amp;B241,CPUAUX2!$A:$J,9,FALSE),VLOOKUP(B241,I!$A:$E,5,FALSE))</f>
        <v>0.08</v>
      </c>
      <c r="H241" s="77"/>
      <c r="I241" s="76">
        <f t="shared" si="68"/>
        <v>0.08</v>
      </c>
      <c r="J241" s="77"/>
      <c r="M241" s="23">
        <f t="shared" si="69"/>
        <v>37373</v>
      </c>
      <c r="N241" s="23">
        <f>SUMIF(CPU!M:M,B237,CPU!O:O)</f>
        <v>69.02640000000001</v>
      </c>
      <c r="O241" s="23">
        <f t="shared" si="70"/>
        <v>69.02640000000001</v>
      </c>
      <c r="Q241" s="23">
        <f ca="1">SUMIF(CPU!M:M,B237,CPU!R:R)</f>
        <v>23.008800000000001</v>
      </c>
      <c r="R241" s="23">
        <f t="shared" ca="1" si="71"/>
        <v>23.008800000000001</v>
      </c>
    </row>
    <row r="242" spans="1:18" ht="30" customHeight="1" x14ac:dyDescent="0.3">
      <c r="A242" s="23" t="s">
        <v>1005</v>
      </c>
      <c r="B242" s="23">
        <v>37372</v>
      </c>
      <c r="C242" s="23" t="str">
        <f>VLOOKUP(B242,IF(A242="COMPOSICAO",S!$A:$E,I!$A:$E),2,FALSE)</f>
        <v>SINAPI</v>
      </c>
      <c r="D242" s="24" t="str">
        <f>VLOOKUP(B242,IF(A242="COMPOSICAO",S!$A:$E,I!$A:$E),3,FALSE)</f>
        <v>EXAMES - HORISTA (COLETADO CAIXA - ENCARGOS COMPLEMENTARES)</v>
      </c>
      <c r="E242" s="23" t="str">
        <f>VLOOKUP(B242,IF(A242="COMPOSICAO",S!$A:$E,I!$A:$E),4,FALSE)</f>
        <v>H</v>
      </c>
      <c r="F242" s="23">
        <v>1</v>
      </c>
      <c r="G242" s="76">
        <f>IF(A242="COMPOSICAO",VLOOKUP("TOTAL SEM BDI - "&amp;B242,CPUAUX2!$A:$J,9,FALSE),VLOOKUP(B242,I!$A:$E,5,FALSE))</f>
        <v>1.43</v>
      </c>
      <c r="H242" s="77"/>
      <c r="I242" s="76">
        <f t="shared" si="68"/>
        <v>1.43</v>
      </c>
      <c r="J242" s="77"/>
      <c r="M242" s="23">
        <f t="shared" si="69"/>
        <v>37372</v>
      </c>
      <c r="N242" s="23">
        <f>SUMIF(CPU!M:M,B237,CPU!O:O)</f>
        <v>69.02640000000001</v>
      </c>
      <c r="O242" s="23">
        <f t="shared" si="70"/>
        <v>69.02640000000001</v>
      </c>
      <c r="Q242" s="23">
        <f ca="1">SUMIF(CPU!M:M,B237,CPU!R:R)</f>
        <v>23.008800000000001</v>
      </c>
      <c r="R242" s="23">
        <f t="shared" ca="1" si="71"/>
        <v>23.008800000000001</v>
      </c>
    </row>
    <row r="243" spans="1:18" ht="30" customHeight="1" x14ac:dyDescent="0.3">
      <c r="A243" s="23" t="s">
        <v>1005</v>
      </c>
      <c r="B243" s="23">
        <v>37371</v>
      </c>
      <c r="C243" s="23" t="str">
        <f>VLOOKUP(B243,IF(A243="COMPOSICAO",S!$A:$E,I!$A:$E),2,FALSE)</f>
        <v>SINAPI</v>
      </c>
      <c r="D243" s="24" t="str">
        <f>VLOOKUP(B243,IF(A243="COMPOSICAO",S!$A:$E,I!$A:$E),3,FALSE)</f>
        <v>TRANSPORTE - HORISTA (COLETADO CAIXA - ENCARGOS COMPLEMENTARES)</v>
      </c>
      <c r="E243" s="23" t="str">
        <f>VLOOKUP(B243,IF(A243="COMPOSICAO",S!$A:$E,I!$A:$E),4,FALSE)</f>
        <v>H</v>
      </c>
      <c r="F243" s="23">
        <v>1</v>
      </c>
      <c r="G243" s="76">
        <f>IF(A243="COMPOSICAO",VLOOKUP("TOTAL SEM BDI - "&amp;B243,CPUAUX2!$A:$J,9,FALSE),VLOOKUP(B243,I!$A:$E,5,FALSE))</f>
        <v>0.56999999999999995</v>
      </c>
      <c r="H243" s="77"/>
      <c r="I243" s="76">
        <f t="shared" si="68"/>
        <v>0.56999999999999995</v>
      </c>
      <c r="J243" s="77"/>
      <c r="M243" s="23">
        <f t="shared" si="69"/>
        <v>37371</v>
      </c>
      <c r="N243" s="23">
        <f>SUMIF(CPU!M:M,B237,CPU!O:O)</f>
        <v>69.02640000000001</v>
      </c>
      <c r="O243" s="23">
        <f t="shared" si="70"/>
        <v>69.02640000000001</v>
      </c>
      <c r="Q243" s="23">
        <f ca="1">SUMIF(CPU!M:M,B237,CPU!R:R)</f>
        <v>23.008800000000001</v>
      </c>
      <c r="R243" s="23">
        <f t="shared" ca="1" si="71"/>
        <v>23.008800000000001</v>
      </c>
    </row>
    <row r="244" spans="1:18" ht="30" customHeight="1" x14ac:dyDescent="0.3">
      <c r="A244" s="23" t="s">
        <v>1005</v>
      </c>
      <c r="B244" s="23">
        <v>37370</v>
      </c>
      <c r="C244" s="23" t="str">
        <f>VLOOKUP(B244,IF(A244="COMPOSICAO",S!$A:$E,I!$A:$E),2,FALSE)</f>
        <v>SINAPI</v>
      </c>
      <c r="D244" s="24" t="str">
        <f>VLOOKUP(B244,IF(A244="COMPOSICAO",S!$A:$E,I!$A:$E),3,FALSE)</f>
        <v>ALIMENTACAO - HORISTA (COLETADO CAIXA - ENCARGOS COMPLEMENTARES)</v>
      </c>
      <c r="E244" s="23" t="str">
        <f>VLOOKUP(B244,IF(A244="COMPOSICAO",S!$A:$E,I!$A:$E),4,FALSE)</f>
        <v>H</v>
      </c>
      <c r="F244" s="23">
        <v>1</v>
      </c>
      <c r="G244" s="76">
        <f>IF(A244="COMPOSICAO",VLOOKUP("TOTAL SEM BDI - "&amp;B244,CPUAUX2!$A:$J,9,FALSE),VLOOKUP(B244,I!$A:$E,5,FALSE))</f>
        <v>2.46</v>
      </c>
      <c r="H244" s="77"/>
      <c r="I244" s="76">
        <f t="shared" si="68"/>
        <v>2.46</v>
      </c>
      <c r="J244" s="77"/>
      <c r="M244" s="23">
        <f t="shared" si="69"/>
        <v>37370</v>
      </c>
      <c r="N244" s="23">
        <f>SUMIF(CPU!M:M,B237,CPU!O:O)</f>
        <v>69.02640000000001</v>
      </c>
      <c r="O244" s="23">
        <f t="shared" si="70"/>
        <v>69.02640000000001</v>
      </c>
      <c r="Q244" s="23">
        <f ca="1">SUMIF(CPU!M:M,B237,CPU!R:R)</f>
        <v>23.008800000000001</v>
      </c>
      <c r="R244" s="23">
        <f t="shared" ca="1" si="71"/>
        <v>23.008800000000001</v>
      </c>
    </row>
    <row r="245" spans="1:18" x14ac:dyDescent="0.3">
      <c r="A245" s="23" t="s">
        <v>1005</v>
      </c>
      <c r="B245" s="23">
        <v>6117</v>
      </c>
      <c r="C245" s="23" t="str">
        <f>VLOOKUP(B245,IF(A245="COMPOSICAO",S!$A:$E,I!$A:$E),2,FALSE)</f>
        <v>SINAPI</v>
      </c>
      <c r="D245" s="24" t="str">
        <f>VLOOKUP(B245,IF(A245="COMPOSICAO",S!$A:$E,I!$A:$E),3,FALSE)</f>
        <v>CARPINTEIRO AUXILIAR (HORISTA)</v>
      </c>
      <c r="E245" s="23" t="str">
        <f>VLOOKUP(B245,IF(A245="COMPOSICAO",S!$A:$E,I!$A:$E),4,FALSE)</f>
        <v>H</v>
      </c>
      <c r="F245" s="23">
        <v>1</v>
      </c>
      <c r="G245" s="76">
        <f>IF(A245="COMPOSICAO",VLOOKUP("TOTAL SEM BDI - "&amp;B245,CPUAUX2!$A:$J,9,FALSE),VLOOKUP(B245,I!$A:$E,5,FALSE))</f>
        <v>15.57</v>
      </c>
      <c r="H245" s="77"/>
      <c r="I245" s="76">
        <f t="shared" si="68"/>
        <v>15.57</v>
      </c>
      <c r="J245" s="77"/>
      <c r="M245" s="23">
        <f t="shared" si="69"/>
        <v>6117</v>
      </c>
      <c r="N245" s="23">
        <f>SUMIF(CPU!M:M,B237,CPU!O:O)</f>
        <v>69.02640000000001</v>
      </c>
      <c r="O245" s="23">
        <f t="shared" si="70"/>
        <v>69.02640000000001</v>
      </c>
      <c r="Q245" s="23">
        <f ca="1">SUMIF(CPU!M:M,B237,CPU!R:R)</f>
        <v>23.008800000000001</v>
      </c>
      <c r="R245" s="23">
        <f t="shared" ca="1" si="71"/>
        <v>23.008800000000001</v>
      </c>
    </row>
    <row r="246" spans="1:18" x14ac:dyDescent="0.3">
      <c r="A246" s="73" t="str">
        <f>"TOTAL SEM BDI - "&amp;B237</f>
        <v>TOTAL SEM BDI - 88239</v>
      </c>
      <c r="B246" s="74"/>
      <c r="C246" s="74"/>
      <c r="D246" s="74"/>
      <c r="E246" s="74"/>
      <c r="F246" s="74"/>
      <c r="G246" s="74"/>
      <c r="H246" s="75"/>
      <c r="I246" s="76">
        <f>SUM(I237:I245)</f>
        <v>22.2</v>
      </c>
      <c r="J246" s="77"/>
    </row>
    <row r="248" spans="1:18" x14ac:dyDescent="0.3">
      <c r="A248" s="4" t="s">
        <v>1000</v>
      </c>
      <c r="B248" s="4" t="s">
        <v>170</v>
      </c>
      <c r="C248" s="4" t="s">
        <v>171</v>
      </c>
      <c r="D248" s="4" t="s">
        <v>18</v>
      </c>
      <c r="E248" s="4" t="s">
        <v>172</v>
      </c>
      <c r="F248" s="4" t="s">
        <v>507</v>
      </c>
      <c r="G248" s="45" t="s">
        <v>1001</v>
      </c>
      <c r="H248" s="46"/>
      <c r="I248" s="45" t="s">
        <v>12</v>
      </c>
      <c r="J248" s="46"/>
    </row>
    <row r="249" spans="1:18" ht="60" customHeight="1" x14ac:dyDescent="0.3">
      <c r="A249" s="15" t="s">
        <v>1073</v>
      </c>
      <c r="B249" s="15">
        <v>94968</v>
      </c>
      <c r="C249" s="15" t="str">
        <f>VLOOKUP(B249,S!$A:$G,2,FALSE)</f>
        <v>SINAPI</v>
      </c>
      <c r="D249" s="22" t="str">
        <f>VLOOKUP(B249,S!$A:$G,3,FALSE)</f>
        <v>CONCRETO MAGRO PARA LASTRO, TRAÇO 1:4,5:4,5 (EM MASSA SECA DE CIMENTO/ AREIA MÉDIA/ BRITA 1) - PREPARO MECÂNICO COM BETONEIRA 600 L. AF_05/2021</v>
      </c>
      <c r="E249" s="15" t="str">
        <f>VLOOKUP(B249,S!$A:$G,4,FALSE)</f>
        <v>M3</v>
      </c>
      <c r="F249" s="15"/>
      <c r="G249" s="78">
        <f>I257</f>
        <v>512.51</v>
      </c>
      <c r="H249" s="79"/>
      <c r="I249" s="78"/>
      <c r="J249" s="79"/>
      <c r="K249" s="16">
        <f>VLOOKUP(B249,S!A:G,5,FALSE)</f>
        <v>512.51</v>
      </c>
      <c r="L249" s="15" t="str">
        <f>IF(K249=G249,"OK, CONFORME TABELA",IF(G249&gt;K249,"ACIMA DA TABELA: ","ABAIXO DA TABELA: ")&amp;TRUNC((G249*100)/K249,2)&amp;" %")</f>
        <v>OK, CONFORME TABELA</v>
      </c>
    </row>
    <row r="250" spans="1:18" ht="60" customHeight="1" x14ac:dyDescent="0.3">
      <c r="A250" s="23" t="s">
        <v>1004</v>
      </c>
      <c r="B250" s="23">
        <v>89226</v>
      </c>
      <c r="C250" s="23" t="str">
        <f>VLOOKUP(B250,IF(A250="COMPOSICAO",S!$A:$E,I!$A:$E),2,FALSE)</f>
        <v>SINAPI</v>
      </c>
      <c r="D250" s="24" t="str">
        <f>VLOOKUP(B250,IF(A250="COMPOSICAO",S!$A:$E,I!$A:$E),3,FALSE)</f>
        <v>BETONEIRA CAPACIDADE NOMINAL DE 600 L, CAPACIDADE DE MISTURA 360 L, MOTOR ELÉTRICO TRIFÁSICO POTÊNCIA DE 4 CV, SEM CARREGADOR - CHI DIURNO. AF_05/2023</v>
      </c>
      <c r="E250" s="23" t="str">
        <f>VLOOKUP(B250,IF(A250="COMPOSICAO",S!$A:$E,I!$A:$E),4,FALSE)</f>
        <v>CHI</v>
      </c>
      <c r="F250" s="23">
        <v>0.6462</v>
      </c>
      <c r="G250" s="76">
        <f>IF(A250="COMPOSICAO",VLOOKUP("TOTAL SEM BDI - "&amp;B250,CPUAUX2!$A:$J,9,FALSE),VLOOKUP(B250,I!$A:$E,5,FALSE))</f>
        <v>2.04</v>
      </c>
      <c r="H250" s="77"/>
      <c r="I250" s="76">
        <f t="shared" ref="I250:I256" si="72">TRUNC(F250*G250,2)</f>
        <v>1.31</v>
      </c>
      <c r="J250" s="77"/>
      <c r="M250" s="23">
        <f t="shared" ref="M250:M256" si="73">B250</f>
        <v>89226</v>
      </c>
      <c r="N250" s="23">
        <f>SUMIF(CPU!M:M,B249,CPU!O:O)</f>
        <v>1.3383719999999999</v>
      </c>
      <c r="O250" s="23">
        <f t="shared" ref="O250:O256" si="74">F250*N250</f>
        <v>0.86485598639999994</v>
      </c>
      <c r="Q250" s="23">
        <f ca="1">SUMIF(CPU!M:M,B249,CPU!R:R)</f>
        <v>0.44612400000000002</v>
      </c>
      <c r="R250" s="23">
        <f t="shared" ref="R250:R256" ca="1" si="75">F250*Q250</f>
        <v>0.28828532880000002</v>
      </c>
    </row>
    <row r="251" spans="1:18" ht="60" customHeight="1" x14ac:dyDescent="0.3">
      <c r="A251" s="23" t="s">
        <v>1004</v>
      </c>
      <c r="B251" s="23">
        <v>89225</v>
      </c>
      <c r="C251" s="23" t="str">
        <f>VLOOKUP(B251,IF(A251="COMPOSICAO",S!$A:$E,I!$A:$E),2,FALSE)</f>
        <v>SINAPI</v>
      </c>
      <c r="D251" s="24" t="str">
        <f>VLOOKUP(B251,IF(A251="COMPOSICAO",S!$A:$E,I!$A:$E),3,FALSE)</f>
        <v>BETONEIRA CAPACIDADE NOMINAL DE 600 L, CAPACIDADE DE MISTURA 360 L, MOTOR ELÉTRICO TRIFÁSICO POTÊNCIA DE 4 CV, SEM CARREGADOR - CHP DIURNO. AF_05/2023</v>
      </c>
      <c r="E251" s="23" t="str">
        <f>VLOOKUP(B251,IF(A251="COMPOSICAO",S!$A:$E,I!$A:$E),4,FALSE)</f>
        <v>CHP</v>
      </c>
      <c r="F251" s="23">
        <v>0.68530000000000002</v>
      </c>
      <c r="G251" s="76">
        <f>IF(A251="COMPOSICAO",VLOOKUP("TOTAL SEM BDI - "&amp;B251,CPUAUX2!$A:$J,9,FALSE),VLOOKUP(B251,I!$A:$E,5,FALSE))</f>
        <v>6.6000000000000005</v>
      </c>
      <c r="H251" s="77"/>
      <c r="I251" s="76">
        <f t="shared" si="72"/>
        <v>4.5199999999999996</v>
      </c>
      <c r="J251" s="77"/>
      <c r="M251" s="23">
        <f t="shared" si="73"/>
        <v>89225</v>
      </c>
      <c r="N251" s="23">
        <f>SUMIF(CPU!M:M,B249,CPU!O:O)</f>
        <v>1.3383719999999999</v>
      </c>
      <c r="O251" s="23">
        <f t="shared" si="74"/>
        <v>0.91718633159999996</v>
      </c>
      <c r="Q251" s="23">
        <f ca="1">SUMIF(CPU!M:M,B249,CPU!R:R)</f>
        <v>0.44612400000000002</v>
      </c>
      <c r="R251" s="23">
        <f t="shared" ca="1" si="75"/>
        <v>0.30572877720000002</v>
      </c>
    </row>
    <row r="252" spans="1:18" ht="30" customHeight="1" x14ac:dyDescent="0.3">
      <c r="A252" s="23" t="s">
        <v>1004</v>
      </c>
      <c r="B252" s="23">
        <v>88377</v>
      </c>
      <c r="C252" s="23" t="str">
        <f>VLOOKUP(B252,IF(A252="COMPOSICAO",S!$A:$E,I!$A:$E),2,FALSE)</f>
        <v>SINAPI</v>
      </c>
      <c r="D252" s="24" t="str">
        <f>VLOOKUP(B252,IF(A252="COMPOSICAO",S!$A:$E,I!$A:$E),3,FALSE)</f>
        <v>OPERADOR DE BETONEIRA ESTACIONÁRIA/MISTURADOR COM ENCARGOS COMPLEMENTARES</v>
      </c>
      <c r="E252" s="23" t="str">
        <f>VLOOKUP(B252,IF(A252="COMPOSICAO",S!$A:$E,I!$A:$E),4,FALSE)</f>
        <v>H</v>
      </c>
      <c r="F252" s="23">
        <f>1.3315/pcf</f>
        <v>1.3314999999999999</v>
      </c>
      <c r="G252" s="76">
        <f>IF(A252="COMPOSICAO",VLOOKUP("TOTAL SEM BDI - "&amp;B252,CPUAUX2!$A:$J,9,FALSE),VLOOKUP(B252,I!$A:$E,5,FALSE))</f>
        <v>27.09</v>
      </c>
      <c r="H252" s="77"/>
      <c r="I252" s="76">
        <f t="shared" si="72"/>
        <v>36.07</v>
      </c>
      <c r="J252" s="77"/>
      <c r="M252" s="23">
        <f t="shared" si="73"/>
        <v>88377</v>
      </c>
      <c r="N252" s="23">
        <f>SUMIF(CPU!M:M,B249,CPU!O:O)</f>
        <v>1.3383719999999999</v>
      </c>
      <c r="O252" s="23">
        <f t="shared" si="74"/>
        <v>1.7820423179999998</v>
      </c>
      <c r="Q252" s="23">
        <f ca="1">SUMIF(CPU!M:M,B249,CPU!R:R)</f>
        <v>0.44612400000000002</v>
      </c>
      <c r="R252" s="23">
        <f t="shared" ca="1" si="75"/>
        <v>0.59401410599999993</v>
      </c>
    </row>
    <row r="253" spans="1:18" x14ac:dyDescent="0.3">
      <c r="A253" s="23" t="s">
        <v>1004</v>
      </c>
      <c r="B253" s="23">
        <v>88316</v>
      </c>
      <c r="C253" s="23" t="str">
        <f>VLOOKUP(B253,IF(A253="COMPOSICAO",S!$A:$E,I!$A:$E),2,FALSE)</f>
        <v>SINAPI</v>
      </c>
      <c r="D253" s="24" t="str">
        <f>VLOOKUP(B253,IF(A253="COMPOSICAO",S!$A:$E,I!$A:$E),3,FALSE)</f>
        <v>SERVENTE COM ENCARGOS COMPLEMENTARES</v>
      </c>
      <c r="E253" s="23" t="str">
        <f>VLOOKUP(B253,IF(A253="COMPOSICAO",S!$A:$E,I!$A:$E),4,FALSE)</f>
        <v>H</v>
      </c>
      <c r="F253" s="23">
        <f>2.1058/pcf</f>
        <v>2.1057999999999999</v>
      </c>
      <c r="G253" s="76">
        <f>IF(A253="COMPOSICAO",VLOOKUP("TOTAL SEM BDI - "&amp;B253,CPUAUX2!$A:$J,9,FALSE),VLOOKUP(B253,I!$A:$E,5,FALSE))</f>
        <v>21.71</v>
      </c>
      <c r="H253" s="77"/>
      <c r="I253" s="76">
        <f t="shared" si="72"/>
        <v>45.71</v>
      </c>
      <c r="J253" s="77"/>
      <c r="M253" s="23">
        <f t="shared" si="73"/>
        <v>88316</v>
      </c>
      <c r="N253" s="23">
        <f>SUMIF(CPU!M:M,B249,CPU!O:O)</f>
        <v>1.3383719999999999</v>
      </c>
      <c r="O253" s="23">
        <f t="shared" si="74"/>
        <v>2.8183437575999997</v>
      </c>
      <c r="Q253" s="23">
        <f ca="1">SUMIF(CPU!M:M,B249,CPU!R:R)</f>
        <v>0.44612400000000002</v>
      </c>
      <c r="R253" s="23">
        <f t="shared" ca="1" si="75"/>
        <v>0.93944791920000004</v>
      </c>
    </row>
    <row r="254" spans="1:18" ht="30" customHeight="1" x14ac:dyDescent="0.3">
      <c r="A254" s="23" t="s">
        <v>1005</v>
      </c>
      <c r="B254" s="23">
        <v>4721</v>
      </c>
      <c r="C254" s="23" t="str">
        <f>VLOOKUP(B254,IF(A254="COMPOSICAO",S!$A:$E,I!$A:$E),2,FALSE)</f>
        <v>SINAPI</v>
      </c>
      <c r="D254" s="24" t="str">
        <f>VLOOKUP(B254,IF(A254="COMPOSICAO",S!$A:$E,I!$A:$E),3,FALSE)</f>
        <v>PEDRA BRITADA N. 1 (9,5 A 19 MM) POSTO PEDREIRA/FORNECEDOR, SEM FRETE</v>
      </c>
      <c r="E254" s="23" t="str">
        <f>VLOOKUP(B254,IF(A254="COMPOSICAO",S!$A:$E,I!$A:$E),4,FALSE)</f>
        <v>M3</v>
      </c>
      <c r="F254" s="23">
        <v>0.58209999999999995</v>
      </c>
      <c r="G254" s="76">
        <f>IF(A254="COMPOSICAO",VLOOKUP("TOTAL SEM BDI - "&amp;B254,CPUAUX2!$A:$J,9,FALSE),VLOOKUP(B254,I!$A:$E,5,FALSE))</f>
        <v>234.56</v>
      </c>
      <c r="H254" s="77"/>
      <c r="I254" s="76">
        <f t="shared" si="72"/>
        <v>136.53</v>
      </c>
      <c r="J254" s="77"/>
      <c r="M254" s="23">
        <f t="shared" si="73"/>
        <v>4721</v>
      </c>
      <c r="N254" s="23">
        <f>SUMIF(CPU!M:M,B249,CPU!O:O)</f>
        <v>1.3383719999999999</v>
      </c>
      <c r="O254" s="23">
        <f t="shared" si="74"/>
        <v>0.77906634119999985</v>
      </c>
      <c r="Q254" s="23">
        <f ca="1">SUMIF(CPU!M:M,B249,CPU!R:R)</f>
        <v>0.44612400000000002</v>
      </c>
      <c r="R254" s="23">
        <f t="shared" ca="1" si="75"/>
        <v>0.25968878039999999</v>
      </c>
    </row>
    <row r="255" spans="1:18" x14ac:dyDescent="0.3">
      <c r="A255" s="23" t="s">
        <v>1005</v>
      </c>
      <c r="B255" s="23">
        <v>1379</v>
      </c>
      <c r="C255" s="23" t="str">
        <f>VLOOKUP(B255,IF(A255="COMPOSICAO",S!$A:$E,I!$A:$E),2,FALSE)</f>
        <v>SINAPI</v>
      </c>
      <c r="D255" s="24" t="str">
        <f>VLOOKUP(B255,IF(A255="COMPOSICAO",S!$A:$E,I!$A:$E),3,FALSE)</f>
        <v>CIMENTO PORTLAND COMPOSTO CP II-32</v>
      </c>
      <c r="E255" s="23" t="str">
        <f>VLOOKUP(B255,IF(A255="COMPOSICAO",S!$A:$E,I!$A:$E),4,FALSE)</f>
        <v>KG</v>
      </c>
      <c r="F255" s="23">
        <v>213.45310000000001</v>
      </c>
      <c r="G255" s="76">
        <f>IF(A255="COMPOSICAO",VLOOKUP("TOTAL SEM BDI - "&amp;B255,CPUAUX2!$A:$J,9,FALSE),VLOOKUP(B255,I!$A:$E,5,FALSE))</f>
        <v>1</v>
      </c>
      <c r="H255" s="77"/>
      <c r="I255" s="76">
        <f t="shared" si="72"/>
        <v>213.45</v>
      </c>
      <c r="J255" s="77"/>
      <c r="M255" s="23">
        <f t="shared" si="73"/>
        <v>1379</v>
      </c>
      <c r="N255" s="23">
        <f>SUMIF(CPU!M:M,B249,CPU!O:O)</f>
        <v>1.3383719999999999</v>
      </c>
      <c r="O255" s="23">
        <f t="shared" si="74"/>
        <v>285.67965235319997</v>
      </c>
      <c r="Q255" s="23">
        <f ca="1">SUMIF(CPU!M:M,B249,CPU!R:R)</f>
        <v>0.44612400000000002</v>
      </c>
      <c r="R255" s="23">
        <f t="shared" ca="1" si="75"/>
        <v>95.226550784400004</v>
      </c>
    </row>
    <row r="256" spans="1:18" ht="30" customHeight="1" x14ac:dyDescent="0.3">
      <c r="A256" s="23" t="s">
        <v>1005</v>
      </c>
      <c r="B256" s="23">
        <v>370</v>
      </c>
      <c r="C256" s="23" t="str">
        <f>VLOOKUP(B256,IF(A256="COMPOSICAO",S!$A:$E,I!$A:$E),2,FALSE)</f>
        <v>SINAPI</v>
      </c>
      <c r="D256" s="24" t="str">
        <f>VLOOKUP(B256,IF(A256="COMPOSICAO",S!$A:$E,I!$A:$E),3,FALSE)</f>
        <v>AREIA MEDIA - POSTO JAZIDA/FORNECEDOR (RETIRADO NA JAZIDA, SEM TRANSPORTE)</v>
      </c>
      <c r="E256" s="23" t="str">
        <f>VLOOKUP(B256,IF(A256="COMPOSICAO",S!$A:$E,I!$A:$E),4,FALSE)</f>
        <v>M3</v>
      </c>
      <c r="F256" s="23">
        <v>0.83250000000000002</v>
      </c>
      <c r="G256" s="76">
        <f>IF(A256="COMPOSICAO",VLOOKUP("TOTAL SEM BDI - "&amp;B256,CPUAUX2!$A:$J,9,FALSE),VLOOKUP(B256,I!$A:$E,5,FALSE))</f>
        <v>90</v>
      </c>
      <c r="H256" s="77"/>
      <c r="I256" s="76">
        <f t="shared" si="72"/>
        <v>74.92</v>
      </c>
      <c r="J256" s="77"/>
      <c r="M256" s="23">
        <f t="shared" si="73"/>
        <v>370</v>
      </c>
      <c r="N256" s="23">
        <f>SUMIF(CPU!M:M,B249,CPU!O:O)</f>
        <v>1.3383719999999999</v>
      </c>
      <c r="O256" s="23">
        <f t="shared" si="74"/>
        <v>1.1141946899999999</v>
      </c>
      <c r="Q256" s="23">
        <f ca="1">SUMIF(CPU!M:M,B249,CPU!R:R)</f>
        <v>0.44612400000000002</v>
      </c>
      <c r="R256" s="23">
        <f t="shared" ca="1" si="75"/>
        <v>0.37139823000000005</v>
      </c>
    </row>
    <row r="257" spans="1:18" x14ac:dyDescent="0.3">
      <c r="A257" s="73" t="str">
        <f>"TOTAL SEM BDI - "&amp;B249</f>
        <v>TOTAL SEM BDI - 94968</v>
      </c>
      <c r="B257" s="74"/>
      <c r="C257" s="74"/>
      <c r="D257" s="74"/>
      <c r="E257" s="74"/>
      <c r="F257" s="74"/>
      <c r="G257" s="74"/>
      <c r="H257" s="75"/>
      <c r="I257" s="76">
        <f>SUM(I249:I256)</f>
        <v>512.51</v>
      </c>
      <c r="J257" s="77"/>
    </row>
    <row r="259" spans="1:18" x14ac:dyDescent="0.3">
      <c r="A259" s="4" t="s">
        <v>1000</v>
      </c>
      <c r="B259" s="4" t="s">
        <v>170</v>
      </c>
      <c r="C259" s="4" t="s">
        <v>171</v>
      </c>
      <c r="D259" s="4" t="s">
        <v>18</v>
      </c>
      <c r="E259" s="4" t="s">
        <v>172</v>
      </c>
      <c r="F259" s="4" t="s">
        <v>507</v>
      </c>
      <c r="G259" s="45" t="s">
        <v>1001</v>
      </c>
      <c r="H259" s="46"/>
      <c r="I259" s="45" t="s">
        <v>12</v>
      </c>
      <c r="J259" s="46"/>
    </row>
    <row r="260" spans="1:18" ht="45" customHeight="1" x14ac:dyDescent="0.3">
      <c r="A260" s="15" t="s">
        <v>1072</v>
      </c>
      <c r="B260" s="15">
        <v>88629</v>
      </c>
      <c r="C260" s="15" t="str">
        <f>VLOOKUP(B260,S!$A:$G,2,FALSE)</f>
        <v>SINAPI</v>
      </c>
      <c r="D260" s="22" t="str">
        <f>VLOOKUP(B260,S!$A:$G,3,FALSE)</f>
        <v>ARGAMASSA TRAÇO 1:3 (EM VOLUME DE CIMENTO E AREIA MÉDIA ÚMIDA), PREPARO MANUAL. AF_08/2019</v>
      </c>
      <c r="E260" s="15" t="str">
        <f>VLOOKUP(B260,S!$A:$G,4,FALSE)</f>
        <v>M3</v>
      </c>
      <c r="F260" s="15"/>
      <c r="G260" s="78">
        <f>I264</f>
        <v>765.31</v>
      </c>
      <c r="H260" s="79"/>
      <c r="I260" s="78"/>
      <c r="J260" s="79"/>
      <c r="K260" s="16">
        <f>VLOOKUP(B260,S!A:G,5,FALSE)</f>
        <v>765.31</v>
      </c>
      <c r="L260" s="15" t="str">
        <f>IF(K260=G260,"OK, CONFORME TABELA",IF(G260&gt;K260,"ACIMA DA TABELA: ","ABAIXO DA TABELA: ")&amp;TRUNC((G260*100)/K260,2)&amp;" %")</f>
        <v>OK, CONFORME TABELA</v>
      </c>
    </row>
    <row r="261" spans="1:18" x14ac:dyDescent="0.3">
      <c r="A261" s="23" t="s">
        <v>1004</v>
      </c>
      <c r="B261" s="23">
        <v>88316</v>
      </c>
      <c r="C261" s="23" t="str">
        <f>VLOOKUP(B261,IF(A261="COMPOSICAO",S!$A:$E,I!$A:$E),2,FALSE)</f>
        <v>SINAPI</v>
      </c>
      <c r="D261" s="24" t="str">
        <f>VLOOKUP(B261,IF(A261="COMPOSICAO",S!$A:$E,I!$A:$E),3,FALSE)</f>
        <v>SERVENTE COM ENCARGOS COMPLEMENTARES</v>
      </c>
      <c r="E261" s="23" t="str">
        <f>VLOOKUP(B261,IF(A261="COMPOSICAO",S!$A:$E,I!$A:$E),4,FALSE)</f>
        <v>H</v>
      </c>
      <c r="F261" s="23">
        <f>8.57/pcf</f>
        <v>8.57</v>
      </c>
      <c r="G261" s="76">
        <f>IF(A261="COMPOSICAO",VLOOKUP("TOTAL SEM BDI - "&amp;B261,CPUAUX2!$A:$J,9,FALSE),VLOOKUP(B261,I!$A:$E,5,FALSE))</f>
        <v>21.71</v>
      </c>
      <c r="H261" s="77"/>
      <c r="I261" s="76">
        <f>TRUNC(F261*G261,2)</f>
        <v>186.05</v>
      </c>
      <c r="J261" s="77"/>
      <c r="M261" s="23">
        <f>B261</f>
        <v>88316</v>
      </c>
      <c r="N261" s="23">
        <f>SUMIF(CPU!M:M,B260,CPU!O:O)</f>
        <v>2.753088</v>
      </c>
      <c r="O261" s="23">
        <f>F261*N261</f>
        <v>23.593964160000002</v>
      </c>
      <c r="Q261" s="23">
        <f ca="1">SUMIF(CPU!M:M,B260,CPU!R:R)</f>
        <v>0.91769599999999996</v>
      </c>
      <c r="R261" s="23">
        <f ca="1">F261*Q261</f>
        <v>7.8646547199999999</v>
      </c>
    </row>
    <row r="262" spans="1:18" x14ac:dyDescent="0.3">
      <c r="A262" s="23" t="s">
        <v>1005</v>
      </c>
      <c r="B262" s="23">
        <v>1379</v>
      </c>
      <c r="C262" s="23" t="str">
        <f>VLOOKUP(B262,IF(A262="COMPOSICAO",S!$A:$E,I!$A:$E),2,FALSE)</f>
        <v>SINAPI</v>
      </c>
      <c r="D262" s="24" t="str">
        <f>VLOOKUP(B262,IF(A262="COMPOSICAO",S!$A:$E,I!$A:$E),3,FALSE)</f>
        <v>CIMENTO PORTLAND COMPOSTO CP II-32</v>
      </c>
      <c r="E262" s="23" t="str">
        <f>VLOOKUP(B262,IF(A262="COMPOSICAO",S!$A:$E,I!$A:$E),4,FALSE)</f>
        <v>KG</v>
      </c>
      <c r="F262" s="23">
        <v>482.96</v>
      </c>
      <c r="G262" s="76">
        <f>IF(A262="COMPOSICAO",VLOOKUP("TOTAL SEM BDI - "&amp;B262,CPUAUX2!$A:$J,9,FALSE),VLOOKUP(B262,I!$A:$E,5,FALSE))</f>
        <v>1</v>
      </c>
      <c r="H262" s="77"/>
      <c r="I262" s="76">
        <f>TRUNC(F262*G262,2)</f>
        <v>482.96</v>
      </c>
      <c r="J262" s="77"/>
      <c r="M262" s="23">
        <f>B262</f>
        <v>1379</v>
      </c>
      <c r="N262" s="23">
        <f>SUMIF(CPU!M:M,B260,CPU!O:O)</f>
        <v>2.753088</v>
      </c>
      <c r="O262" s="23">
        <f>F262*N262</f>
        <v>1329.63138048</v>
      </c>
      <c r="Q262" s="23">
        <f ca="1">SUMIF(CPU!M:M,B260,CPU!R:R)</f>
        <v>0.91769599999999996</v>
      </c>
      <c r="R262" s="23">
        <f ca="1">F262*Q262</f>
        <v>443.21046015999997</v>
      </c>
    </row>
    <row r="263" spans="1:18" ht="30" customHeight="1" x14ac:dyDescent="0.3">
      <c r="A263" s="23" t="s">
        <v>1005</v>
      </c>
      <c r="B263" s="23">
        <v>370</v>
      </c>
      <c r="C263" s="23" t="str">
        <f>VLOOKUP(B263,IF(A263="COMPOSICAO",S!$A:$E,I!$A:$E),2,FALSE)</f>
        <v>SINAPI</v>
      </c>
      <c r="D263" s="24" t="str">
        <f>VLOOKUP(B263,IF(A263="COMPOSICAO",S!$A:$E,I!$A:$E),3,FALSE)</f>
        <v>AREIA MEDIA - POSTO JAZIDA/FORNECEDOR (RETIRADO NA JAZIDA, SEM TRANSPORTE)</v>
      </c>
      <c r="E263" s="23" t="str">
        <f>VLOOKUP(B263,IF(A263="COMPOSICAO",S!$A:$E,I!$A:$E),4,FALSE)</f>
        <v>M3</v>
      </c>
      <c r="F263" s="23">
        <v>1.07</v>
      </c>
      <c r="G263" s="76">
        <f>IF(A263="COMPOSICAO",VLOOKUP("TOTAL SEM BDI - "&amp;B263,CPUAUX2!$A:$J,9,FALSE),VLOOKUP(B263,I!$A:$E,5,FALSE))</f>
        <v>90</v>
      </c>
      <c r="H263" s="77"/>
      <c r="I263" s="76">
        <f>TRUNC(F263*G263,2)</f>
        <v>96.3</v>
      </c>
      <c r="J263" s="77"/>
      <c r="M263" s="23">
        <f>B263</f>
        <v>370</v>
      </c>
      <c r="N263" s="23">
        <f>SUMIF(CPU!M:M,B260,CPU!O:O)</f>
        <v>2.753088</v>
      </c>
      <c r="O263" s="23">
        <f>F263*N263</f>
        <v>2.9458041600000002</v>
      </c>
      <c r="Q263" s="23">
        <f ca="1">SUMIF(CPU!M:M,B260,CPU!R:R)</f>
        <v>0.91769599999999996</v>
      </c>
      <c r="R263" s="23">
        <f ca="1">F263*Q263</f>
        <v>0.98193472000000004</v>
      </c>
    </row>
    <row r="264" spans="1:18" x14ac:dyDescent="0.3">
      <c r="A264" s="73" t="str">
        <f>"TOTAL SEM BDI - "&amp;B260</f>
        <v>TOTAL SEM BDI - 88629</v>
      </c>
      <c r="B264" s="74"/>
      <c r="C264" s="74"/>
      <c r="D264" s="74"/>
      <c r="E264" s="74"/>
      <c r="F264" s="74"/>
      <c r="G264" s="74"/>
      <c r="H264" s="75"/>
      <c r="I264" s="76">
        <f>SUM(I260:I263)</f>
        <v>765.31</v>
      </c>
      <c r="J264" s="77"/>
    </row>
    <row r="266" spans="1:18" x14ac:dyDescent="0.3">
      <c r="A266" s="4" t="s">
        <v>1000</v>
      </c>
      <c r="B266" s="4" t="s">
        <v>170</v>
      </c>
      <c r="C266" s="4" t="s">
        <v>171</v>
      </c>
      <c r="D266" s="4" t="s">
        <v>18</v>
      </c>
      <c r="E266" s="4" t="s">
        <v>172</v>
      </c>
      <c r="F266" s="4" t="s">
        <v>507</v>
      </c>
      <c r="G266" s="45" t="s">
        <v>1001</v>
      </c>
      <c r="H266" s="46"/>
      <c r="I266" s="45" t="s">
        <v>12</v>
      </c>
      <c r="J266" s="46"/>
    </row>
    <row r="267" spans="1:18" ht="60" customHeight="1" x14ac:dyDescent="0.3">
      <c r="A267" s="15" t="s">
        <v>1072</v>
      </c>
      <c r="B267" s="15">
        <v>87369</v>
      </c>
      <c r="C267" s="15" t="str">
        <f>VLOOKUP(B267,S!$A:$G,2,FALSE)</f>
        <v>SINAPI</v>
      </c>
      <c r="D267" s="22" t="str">
        <f>VLOOKUP(B267,S!$A:$G,3,FALSE)</f>
        <v>ARGAMASSA TRAÇO 1:2:8 (EM VOLUME DE CIMENTO, CAL E AREIA MÉDIA ÚMIDA) PARA EMBOÇO/MASSA ÚNICA/ASSENTAMENTO DE ALVENARIA DE VEDAÇÃO, PREPARO MANUAL. AF_08/2019</v>
      </c>
      <c r="E267" s="15" t="str">
        <f>VLOOKUP(B267,S!$A:$G,4,FALSE)</f>
        <v>M3</v>
      </c>
      <c r="F267" s="15"/>
      <c r="G267" s="78">
        <f>I272</f>
        <v>750.01</v>
      </c>
      <c r="H267" s="79"/>
      <c r="I267" s="78"/>
      <c r="J267" s="79"/>
      <c r="K267" s="16">
        <f>VLOOKUP(B267,S!A:G,5,FALSE)</f>
        <v>750.01</v>
      </c>
      <c r="L267" s="15" t="str">
        <f>IF(K267=G267,"OK, CONFORME TABELA",IF(G267&gt;K267,"ACIMA DA TABELA: ","ABAIXO DA TABELA: ")&amp;TRUNC((G267*100)/K267,2)&amp;" %")</f>
        <v>OK, CONFORME TABELA</v>
      </c>
    </row>
    <row r="268" spans="1:18" x14ac:dyDescent="0.3">
      <c r="A268" s="23" t="s">
        <v>1004</v>
      </c>
      <c r="B268" s="23">
        <v>88316</v>
      </c>
      <c r="C268" s="23" t="str">
        <f>VLOOKUP(B268,IF(A268="COMPOSICAO",S!$A:$E,I!$A:$E),2,FALSE)</f>
        <v>SINAPI</v>
      </c>
      <c r="D268" s="24" t="str">
        <f>VLOOKUP(B268,IF(A268="COMPOSICAO",S!$A:$E,I!$A:$E),3,FALSE)</f>
        <v>SERVENTE COM ENCARGOS COMPLEMENTARES</v>
      </c>
      <c r="E268" s="23" t="str">
        <f>VLOOKUP(B268,IF(A268="COMPOSICAO",S!$A:$E,I!$A:$E),4,FALSE)</f>
        <v>H</v>
      </c>
      <c r="F268" s="23">
        <f>11.1/pcf</f>
        <v>11.1</v>
      </c>
      <c r="G268" s="76">
        <f>IF(A268="COMPOSICAO",VLOOKUP("TOTAL SEM BDI - "&amp;B268,CPUAUX2!$A:$J,9,FALSE),VLOOKUP(B268,I!$A:$E,5,FALSE))</f>
        <v>21.71</v>
      </c>
      <c r="H268" s="77"/>
      <c r="I268" s="76">
        <f>TRUNC(F268*G268,2)</f>
        <v>240.98</v>
      </c>
      <c r="J268" s="77"/>
      <c r="M268" s="23">
        <f>B268</f>
        <v>88316</v>
      </c>
      <c r="N268" s="23">
        <f>SUMIF(CPU!M:M,B267,CPU!O:O)</f>
        <v>8.2874700000000008</v>
      </c>
      <c r="O268" s="23">
        <f>F268*N268</f>
        <v>91.99091700000001</v>
      </c>
      <c r="Q268" s="23">
        <f ca="1">SUMIF(CPU!M:M,B267,CPU!R:R)</f>
        <v>2.7624900000000001</v>
      </c>
      <c r="R268" s="23">
        <f ca="1">F268*Q268</f>
        <v>30.663639</v>
      </c>
    </row>
    <row r="269" spans="1:18" x14ac:dyDescent="0.3">
      <c r="A269" s="23" t="s">
        <v>1005</v>
      </c>
      <c r="B269" s="23">
        <v>1379</v>
      </c>
      <c r="C269" s="23" t="str">
        <f>VLOOKUP(B269,IF(A269="COMPOSICAO",S!$A:$E,I!$A:$E),2,FALSE)</f>
        <v>SINAPI</v>
      </c>
      <c r="D269" s="24" t="str">
        <f>VLOOKUP(B269,IF(A269="COMPOSICAO",S!$A:$E,I!$A:$E),3,FALSE)</f>
        <v>CIMENTO PORTLAND COMPOSTO CP II-32</v>
      </c>
      <c r="E269" s="23" t="str">
        <f>VLOOKUP(B269,IF(A269="COMPOSICAO",S!$A:$E,I!$A:$E),4,FALSE)</f>
        <v>KG</v>
      </c>
      <c r="F269" s="23">
        <v>192.52</v>
      </c>
      <c r="G269" s="76">
        <f>IF(A269="COMPOSICAO",VLOOKUP("TOTAL SEM BDI - "&amp;B269,CPUAUX2!$A:$J,9,FALSE),VLOOKUP(B269,I!$A:$E,5,FALSE))</f>
        <v>1</v>
      </c>
      <c r="H269" s="77"/>
      <c r="I269" s="76">
        <f>TRUNC(F269*G269,2)</f>
        <v>192.52</v>
      </c>
      <c r="J269" s="77"/>
      <c r="M269" s="23">
        <f>B269</f>
        <v>1379</v>
      </c>
      <c r="N269" s="23">
        <f>SUMIF(CPU!M:M,B267,CPU!O:O)</f>
        <v>8.2874700000000008</v>
      </c>
      <c r="O269" s="23">
        <f>F269*N269</f>
        <v>1595.5037244000002</v>
      </c>
      <c r="Q269" s="23">
        <f ca="1">SUMIF(CPU!M:M,B267,CPU!R:R)</f>
        <v>2.7624900000000001</v>
      </c>
      <c r="R269" s="23">
        <f ca="1">F269*Q269</f>
        <v>531.83457480000004</v>
      </c>
    </row>
    <row r="270" spans="1:18" x14ac:dyDescent="0.3">
      <c r="A270" s="23" t="s">
        <v>1005</v>
      </c>
      <c r="B270" s="23">
        <v>1106</v>
      </c>
      <c r="C270" s="23" t="str">
        <f>VLOOKUP(B270,IF(A270="COMPOSICAO",S!$A:$E,I!$A:$E),2,FALSE)</f>
        <v>SINAPI</v>
      </c>
      <c r="D270" s="24" t="str">
        <f>VLOOKUP(B270,IF(A270="COMPOSICAO",S!$A:$E,I!$A:$E),3,FALSE)</f>
        <v>CAL HIDRATADA CH-I PARA ARGAMASSAS</v>
      </c>
      <c r="E270" s="23" t="str">
        <f>VLOOKUP(B270,IF(A270="COMPOSICAO",S!$A:$E,I!$A:$E),4,FALSE)</f>
        <v>KG</v>
      </c>
      <c r="F270" s="23">
        <v>171.13</v>
      </c>
      <c r="G270" s="76">
        <f>IF(A270="COMPOSICAO",VLOOKUP("TOTAL SEM BDI - "&amp;B270,CPUAUX2!$A:$J,9,FALSE),VLOOKUP(B270,I!$A:$E,5,FALSE))</f>
        <v>1.25</v>
      </c>
      <c r="H270" s="77"/>
      <c r="I270" s="76">
        <f>TRUNC(F270*G270,2)</f>
        <v>213.91</v>
      </c>
      <c r="J270" s="77"/>
      <c r="M270" s="23">
        <f>B270</f>
        <v>1106</v>
      </c>
      <c r="N270" s="23">
        <f>SUMIF(CPU!M:M,B267,CPU!O:O)</f>
        <v>8.2874700000000008</v>
      </c>
      <c r="O270" s="23">
        <f>F270*N270</f>
        <v>1418.2347411000001</v>
      </c>
      <c r="Q270" s="23">
        <f ca="1">SUMIF(CPU!M:M,B267,CPU!R:R)</f>
        <v>2.7624900000000001</v>
      </c>
      <c r="R270" s="23">
        <f ca="1">F270*Q270</f>
        <v>472.74491369999998</v>
      </c>
    </row>
    <row r="271" spans="1:18" ht="30" customHeight="1" x14ac:dyDescent="0.3">
      <c r="A271" s="23" t="s">
        <v>1005</v>
      </c>
      <c r="B271" s="23">
        <v>370</v>
      </c>
      <c r="C271" s="23" t="str">
        <f>VLOOKUP(B271,IF(A271="COMPOSICAO",S!$A:$E,I!$A:$E),2,FALSE)</f>
        <v>SINAPI</v>
      </c>
      <c r="D271" s="24" t="str">
        <f>VLOOKUP(B271,IF(A271="COMPOSICAO",S!$A:$E,I!$A:$E),3,FALSE)</f>
        <v>AREIA MEDIA - POSTO JAZIDA/FORNECEDOR (RETIRADO NA JAZIDA, SEM TRANSPORTE)</v>
      </c>
      <c r="E271" s="23" t="str">
        <f>VLOOKUP(B271,IF(A271="COMPOSICAO",S!$A:$E,I!$A:$E),4,FALSE)</f>
        <v>M3</v>
      </c>
      <c r="F271" s="23">
        <v>1.1399999999999999</v>
      </c>
      <c r="G271" s="76">
        <f>IF(A271="COMPOSICAO",VLOOKUP("TOTAL SEM BDI - "&amp;B271,CPUAUX2!$A:$J,9,FALSE),VLOOKUP(B271,I!$A:$E,5,FALSE))</f>
        <v>90</v>
      </c>
      <c r="H271" s="77"/>
      <c r="I271" s="76">
        <f>TRUNC(F271*G271,2)</f>
        <v>102.6</v>
      </c>
      <c r="J271" s="77"/>
      <c r="M271" s="23">
        <f>B271</f>
        <v>370</v>
      </c>
      <c r="N271" s="23">
        <f>SUMIF(CPU!M:M,B267,CPU!O:O)</f>
        <v>8.2874700000000008</v>
      </c>
      <c r="O271" s="23">
        <f>F271*N271</f>
        <v>9.4477157999999992</v>
      </c>
      <c r="Q271" s="23">
        <f ca="1">SUMIF(CPU!M:M,B267,CPU!R:R)</f>
        <v>2.7624900000000001</v>
      </c>
      <c r="R271" s="23">
        <f ca="1">F271*Q271</f>
        <v>3.1492385999999999</v>
      </c>
    </row>
    <row r="272" spans="1:18" x14ac:dyDescent="0.3">
      <c r="A272" s="73" t="str">
        <f>"TOTAL SEM BDI - "&amp;B267</f>
        <v>TOTAL SEM BDI - 87369</v>
      </c>
      <c r="B272" s="74"/>
      <c r="C272" s="74"/>
      <c r="D272" s="74"/>
      <c r="E272" s="74"/>
      <c r="F272" s="74"/>
      <c r="G272" s="74"/>
      <c r="H272" s="75"/>
      <c r="I272" s="76">
        <f>SUM(I267:I271)</f>
        <v>750.01</v>
      </c>
      <c r="J272" s="77"/>
    </row>
    <row r="274" spans="1:18" x14ac:dyDescent="0.3">
      <c r="A274" s="4" t="s">
        <v>1000</v>
      </c>
      <c r="B274" s="4" t="s">
        <v>170</v>
      </c>
      <c r="C274" s="4" t="s">
        <v>171</v>
      </c>
      <c r="D274" s="4" t="s">
        <v>18</v>
      </c>
      <c r="E274" s="4" t="s">
        <v>172</v>
      </c>
      <c r="F274" s="4" t="s">
        <v>507</v>
      </c>
      <c r="G274" s="45" t="s">
        <v>1001</v>
      </c>
      <c r="H274" s="46"/>
      <c r="I274" s="45" t="s">
        <v>12</v>
      </c>
      <c r="J274" s="46"/>
    </row>
    <row r="275" spans="1:18" ht="30" customHeight="1" x14ac:dyDescent="0.3">
      <c r="A275" s="15" t="s">
        <v>1077</v>
      </c>
      <c r="B275" s="15">
        <v>92270</v>
      </c>
      <c r="C275" s="15" t="str">
        <f>VLOOKUP(B275,S!$A:$G,2,FALSE)</f>
        <v>SINAPI</v>
      </c>
      <c r="D275" s="22" t="str">
        <f>VLOOKUP(B275,S!$A:$G,3,FALSE)</f>
        <v>FABRICAÇÃO DE FÔRMA PARA VIGAS, COM MADEIRA SERRADA, E = 25 MM. AF_09/2020</v>
      </c>
      <c r="E275" s="15" t="str">
        <f>VLOOKUP(B275,S!$A:$G,4,FALSE)</f>
        <v>M2</v>
      </c>
      <c r="F275" s="15"/>
      <c r="G275" s="78">
        <f>I283</f>
        <v>142.10999999999999</v>
      </c>
      <c r="H275" s="79"/>
      <c r="I275" s="78"/>
      <c r="J275" s="79"/>
      <c r="K275" s="16">
        <f>VLOOKUP(B275,S!A:G,5,FALSE)</f>
        <v>142.11000000000001</v>
      </c>
      <c r="L275" s="15" t="str">
        <f>IF(K275=G275,"OK, CONFORME TABELA",IF(G275&gt;K275,"ACIMA DA TABELA: ","ABAIXO DA TABELA: ")&amp;TRUNC((G275*100)/K275,2)&amp;" %")</f>
        <v>OK, CONFORME TABELA</v>
      </c>
    </row>
    <row r="276" spans="1:18" ht="45" customHeight="1" x14ac:dyDescent="0.3">
      <c r="A276" s="23" t="s">
        <v>1004</v>
      </c>
      <c r="B276" s="23">
        <v>91693</v>
      </c>
      <c r="C276" s="23" t="str">
        <f>VLOOKUP(B276,IF(A276="COMPOSICAO",S!$A:$E,I!$A:$E),2,FALSE)</f>
        <v>SINAPI</v>
      </c>
      <c r="D276" s="24" t="str">
        <f>VLOOKUP(B276,IF(A276="COMPOSICAO",S!$A:$E,I!$A:$E),3,FALSE)</f>
        <v>SERRA CIRCULAR DE BANCADA COM MOTOR ELÉTRICO POTÊNCIA DE 5HP, COM COIFA PARA DISCO 10" - CHI DIURNO. AF_08/2015</v>
      </c>
      <c r="E276" s="23" t="str">
        <f>VLOOKUP(B276,IF(A276="COMPOSICAO",S!$A:$E,I!$A:$E),4,FALSE)</f>
        <v>CHI</v>
      </c>
      <c r="F276" s="23">
        <v>0.224</v>
      </c>
      <c r="G276" s="76">
        <f>IF(A276="COMPOSICAO",VLOOKUP("TOTAL SEM BDI - "&amp;B276,CPUAUX2!$A:$J,9,FALSE),VLOOKUP(B276,I!$A:$E,5,FALSE))</f>
        <v>27.3</v>
      </c>
      <c r="H276" s="77"/>
      <c r="I276" s="76">
        <f t="shared" ref="I276:I282" si="76">TRUNC(F276*G276,2)</f>
        <v>6.11</v>
      </c>
      <c r="J276" s="77"/>
      <c r="M276" s="23">
        <f t="shared" ref="M276:M282" si="77">B276</f>
        <v>91693</v>
      </c>
      <c r="N276" s="23">
        <f>SUMIF(CPU!M:M,B275,CPU!O:O)</f>
        <v>18.576000000000001</v>
      </c>
      <c r="O276" s="23">
        <f t="shared" ref="O276:O282" si="78">F276*N276</f>
        <v>4.1610240000000003</v>
      </c>
      <c r="Q276" s="23">
        <f ca="1">SUMIF(CPU!M:M,B275,CPU!R:R)</f>
        <v>6.1919999999999993</v>
      </c>
      <c r="R276" s="23">
        <f t="shared" ref="R276:R282" ca="1" si="79">F276*Q276</f>
        <v>1.3870079999999998</v>
      </c>
    </row>
    <row r="277" spans="1:18" ht="45" customHeight="1" x14ac:dyDescent="0.3">
      <c r="A277" s="23" t="s">
        <v>1004</v>
      </c>
      <c r="B277" s="23">
        <v>91692</v>
      </c>
      <c r="C277" s="23" t="str">
        <f>VLOOKUP(B277,IF(A277="COMPOSICAO",S!$A:$E,I!$A:$E),2,FALSE)</f>
        <v>SINAPI</v>
      </c>
      <c r="D277" s="24" t="str">
        <f>VLOOKUP(B277,IF(A277="COMPOSICAO",S!$A:$E,I!$A:$E),3,FALSE)</f>
        <v>SERRA CIRCULAR DE BANCADA COM MOTOR ELÉTRICO POTÊNCIA DE 5HP, COM COIFA PARA DISCO 10" - CHP DIURNO. AF_08/2015</v>
      </c>
      <c r="E277" s="23" t="str">
        <f>VLOOKUP(B277,IF(A277="COMPOSICAO",S!$A:$E,I!$A:$E),4,FALSE)</f>
        <v>CHP</v>
      </c>
      <c r="F277" s="23">
        <v>5.6000000000000001E-2</v>
      </c>
      <c r="G277" s="76">
        <f>IF(A277="COMPOSICAO",VLOOKUP("TOTAL SEM BDI - "&amp;B277,CPUAUX2!$A:$J,9,FALSE),VLOOKUP(B277,I!$A:$E,5,FALSE))</f>
        <v>28.87</v>
      </c>
      <c r="H277" s="77"/>
      <c r="I277" s="76">
        <f t="shared" si="76"/>
        <v>1.61</v>
      </c>
      <c r="J277" s="77"/>
      <c r="M277" s="23">
        <f t="shared" si="77"/>
        <v>91692</v>
      </c>
      <c r="N277" s="23">
        <f>SUMIF(CPU!M:M,B275,CPU!O:O)</f>
        <v>18.576000000000001</v>
      </c>
      <c r="O277" s="23">
        <f t="shared" si="78"/>
        <v>1.0402560000000001</v>
      </c>
      <c r="Q277" s="23">
        <f ca="1">SUMIF(CPU!M:M,B275,CPU!R:R)</f>
        <v>6.1919999999999993</v>
      </c>
      <c r="R277" s="23">
        <f t="shared" ca="1" si="79"/>
        <v>0.34675199999999995</v>
      </c>
    </row>
    <row r="278" spans="1:18" ht="30" customHeight="1" x14ac:dyDescent="0.3">
      <c r="A278" s="23" t="s">
        <v>1004</v>
      </c>
      <c r="B278" s="23">
        <v>88262</v>
      </c>
      <c r="C278" s="23" t="str">
        <f>VLOOKUP(B278,IF(A278="COMPOSICAO",S!$A:$E,I!$A:$E),2,FALSE)</f>
        <v>SINAPI</v>
      </c>
      <c r="D278" s="24" t="str">
        <f>VLOOKUP(B278,IF(A278="COMPOSICAO",S!$A:$E,I!$A:$E),3,FALSE)</f>
        <v>CARPINTEIRO DE FORMAS COM ENCARGOS COMPLEMENTARES</v>
      </c>
      <c r="E278" s="23" t="str">
        <f>VLOOKUP(B278,IF(A278="COMPOSICAO",S!$A:$E,I!$A:$E),4,FALSE)</f>
        <v>H</v>
      </c>
      <c r="F278" s="23">
        <f>0.792/pcf</f>
        <v>0.79200000000000004</v>
      </c>
      <c r="G278" s="76">
        <f>IF(A278="COMPOSICAO",VLOOKUP("TOTAL SEM BDI - "&amp;B278,CPUAUX2!$A:$J,9,FALSE),VLOOKUP(B278,I!$A:$E,5,FALSE))</f>
        <v>26.97</v>
      </c>
      <c r="H278" s="77"/>
      <c r="I278" s="76">
        <f t="shared" si="76"/>
        <v>21.36</v>
      </c>
      <c r="J278" s="77"/>
      <c r="M278" s="23">
        <f t="shared" si="77"/>
        <v>88262</v>
      </c>
      <c r="N278" s="23">
        <f>SUMIF(CPU!M:M,B275,CPU!O:O)</f>
        <v>18.576000000000001</v>
      </c>
      <c r="O278" s="23">
        <f t="shared" si="78"/>
        <v>14.712192000000002</v>
      </c>
      <c r="Q278" s="23">
        <f ca="1">SUMIF(CPU!M:M,B275,CPU!R:R)</f>
        <v>6.1919999999999993</v>
      </c>
      <c r="R278" s="23">
        <f t="shared" ca="1" si="79"/>
        <v>4.904064</v>
      </c>
    </row>
    <row r="279" spans="1:18" ht="30" customHeight="1" x14ac:dyDescent="0.3">
      <c r="A279" s="23" t="s">
        <v>1004</v>
      </c>
      <c r="B279" s="23">
        <v>88239</v>
      </c>
      <c r="C279" s="23" t="str">
        <f>VLOOKUP(B279,IF(A279="COMPOSICAO",S!$A:$E,I!$A:$E),2,FALSE)</f>
        <v>SINAPI</v>
      </c>
      <c r="D279" s="24" t="str">
        <f>VLOOKUP(B279,IF(A279="COMPOSICAO",S!$A:$E,I!$A:$E),3,FALSE)</f>
        <v>AJUDANTE DE CARPINTEIRO COM ENCARGOS COMPLEMENTARES</v>
      </c>
      <c r="E279" s="23" t="str">
        <f>VLOOKUP(B279,IF(A279="COMPOSICAO",S!$A:$E,I!$A:$E),4,FALSE)</f>
        <v>H</v>
      </c>
      <c r="F279" s="23">
        <f>0.179/pcf</f>
        <v>0.17899999999999999</v>
      </c>
      <c r="G279" s="76">
        <f>IF(A279="COMPOSICAO",VLOOKUP("TOTAL SEM BDI - "&amp;B279,CPUAUX2!$A:$J,9,FALSE),VLOOKUP(B279,I!$A:$E,5,FALSE))</f>
        <v>22.2</v>
      </c>
      <c r="H279" s="77"/>
      <c r="I279" s="76">
        <f t="shared" si="76"/>
        <v>3.97</v>
      </c>
      <c r="J279" s="77"/>
      <c r="M279" s="23">
        <f t="shared" si="77"/>
        <v>88239</v>
      </c>
      <c r="N279" s="23">
        <f>SUMIF(CPU!M:M,B275,CPU!O:O)</f>
        <v>18.576000000000001</v>
      </c>
      <c r="O279" s="23">
        <f t="shared" si="78"/>
        <v>3.3251040000000001</v>
      </c>
      <c r="Q279" s="23">
        <f ca="1">SUMIF(CPU!M:M,B275,CPU!R:R)</f>
        <v>6.1919999999999993</v>
      </c>
      <c r="R279" s="23">
        <f t="shared" ca="1" si="79"/>
        <v>1.1083679999999998</v>
      </c>
    </row>
    <row r="280" spans="1:18" ht="45" customHeight="1" x14ac:dyDescent="0.3">
      <c r="A280" s="23" t="s">
        <v>1005</v>
      </c>
      <c r="B280" s="23">
        <v>6189</v>
      </c>
      <c r="C280" s="23" t="str">
        <f>VLOOKUP(B280,IF(A280="COMPOSICAO",S!$A:$E,I!$A:$E),2,FALSE)</f>
        <v>SINAPI</v>
      </c>
      <c r="D280" s="24" t="str">
        <f>VLOOKUP(B280,IF(A280="COMPOSICAO",S!$A:$E,I!$A:$E),3,FALSE)</f>
        <v>TABUA NAO APARELHADA *2,5 X 30* CM, EM MACARANDUBA/MASSARANDUBA, ANGELIM OU EQUIVALENTE DA REGIAO - BRUTA</v>
      </c>
      <c r="E280" s="23" t="str">
        <f>VLOOKUP(B280,IF(A280="COMPOSICAO",S!$A:$E,I!$A:$E),4,FALSE)</f>
        <v>M</v>
      </c>
      <c r="F280" s="23">
        <v>4.4480000000000004</v>
      </c>
      <c r="G280" s="76">
        <f>IF(A280="COMPOSICAO",VLOOKUP("TOTAL SEM BDI - "&amp;B280,CPUAUX2!$A:$J,9,FALSE),VLOOKUP(B280,I!$A:$E,5,FALSE))</f>
        <v>20.62</v>
      </c>
      <c r="H280" s="77"/>
      <c r="I280" s="76">
        <f t="shared" si="76"/>
        <v>91.71</v>
      </c>
      <c r="J280" s="77"/>
      <c r="M280" s="23">
        <f t="shared" si="77"/>
        <v>6189</v>
      </c>
      <c r="N280" s="23">
        <f>SUMIF(CPU!M:M,B275,CPU!O:O)</f>
        <v>18.576000000000001</v>
      </c>
      <c r="O280" s="23">
        <f t="shared" si="78"/>
        <v>82.626048000000011</v>
      </c>
      <c r="Q280" s="23">
        <f ca="1">SUMIF(CPU!M:M,B275,CPU!R:R)</f>
        <v>6.1919999999999993</v>
      </c>
      <c r="R280" s="23">
        <f t="shared" ca="1" si="79"/>
        <v>27.542016</v>
      </c>
    </row>
    <row r="281" spans="1:18" ht="30" customHeight="1" x14ac:dyDescent="0.3">
      <c r="A281" s="23" t="s">
        <v>1005</v>
      </c>
      <c r="B281" s="23">
        <v>5068</v>
      </c>
      <c r="C281" s="23" t="str">
        <f>VLOOKUP(B281,IF(A281="COMPOSICAO",S!$A:$E,I!$A:$E),2,FALSE)</f>
        <v>SINAPI</v>
      </c>
      <c r="D281" s="24" t="str">
        <f>VLOOKUP(B281,IF(A281="COMPOSICAO",S!$A:$E,I!$A:$E),3,FALSE)</f>
        <v>PREGO DE ACO POLIDO COM CABECA 17 X 21 (2 X 11)</v>
      </c>
      <c r="E281" s="23" t="str">
        <f>VLOOKUP(B281,IF(A281="COMPOSICAO",S!$A:$E,I!$A:$E),4,FALSE)</f>
        <v>KG</v>
      </c>
      <c r="F281" s="23">
        <v>0.128</v>
      </c>
      <c r="G281" s="76">
        <f>IF(A281="COMPOSICAO",VLOOKUP("TOTAL SEM BDI - "&amp;B281,CPUAUX2!$A:$J,9,FALSE),VLOOKUP(B281,I!$A:$E,5,FALSE))</f>
        <v>20.34</v>
      </c>
      <c r="H281" s="77"/>
      <c r="I281" s="76">
        <f t="shared" si="76"/>
        <v>2.6</v>
      </c>
      <c r="J281" s="77"/>
      <c r="M281" s="23">
        <f t="shared" si="77"/>
        <v>5068</v>
      </c>
      <c r="N281" s="23">
        <f>SUMIF(CPU!M:M,B275,CPU!O:O)</f>
        <v>18.576000000000001</v>
      </c>
      <c r="O281" s="23">
        <f t="shared" si="78"/>
        <v>2.3777280000000003</v>
      </c>
      <c r="Q281" s="23">
        <f ca="1">SUMIF(CPU!M:M,B275,CPU!R:R)</f>
        <v>6.1919999999999993</v>
      </c>
      <c r="R281" s="23">
        <f t="shared" ca="1" si="79"/>
        <v>0.79257599999999995</v>
      </c>
    </row>
    <row r="282" spans="1:18" ht="30" customHeight="1" x14ac:dyDescent="0.3">
      <c r="A282" s="23" t="s">
        <v>1005</v>
      </c>
      <c r="B282" s="23">
        <v>4517</v>
      </c>
      <c r="C282" s="23" t="str">
        <f>VLOOKUP(B282,IF(A282="COMPOSICAO",S!$A:$E,I!$A:$E),2,FALSE)</f>
        <v>SINAPI</v>
      </c>
      <c r="D282" s="24" t="str">
        <f>VLOOKUP(B282,IF(A282="COMPOSICAO",S!$A:$E,I!$A:$E),3,FALSE)</f>
        <v>SARRAFO *2,5 X 7,5* CM EM PINUS, MISTA OU EQUIVALENTE DA REGIAO - BRUTA</v>
      </c>
      <c r="E282" s="23" t="str">
        <f>VLOOKUP(B282,IF(A282="COMPOSICAO",S!$A:$E,I!$A:$E),4,FALSE)</f>
        <v>M</v>
      </c>
      <c r="F282" s="23">
        <v>4.2279999999999998</v>
      </c>
      <c r="G282" s="76">
        <f>IF(A282="COMPOSICAO",VLOOKUP("TOTAL SEM BDI - "&amp;B282,CPUAUX2!$A:$J,9,FALSE),VLOOKUP(B282,I!$A:$E,5,FALSE))</f>
        <v>3.49</v>
      </c>
      <c r="H282" s="77"/>
      <c r="I282" s="76">
        <f t="shared" si="76"/>
        <v>14.75</v>
      </c>
      <c r="J282" s="77"/>
      <c r="M282" s="23">
        <f t="shared" si="77"/>
        <v>4517</v>
      </c>
      <c r="N282" s="23">
        <f>SUMIF(CPU!M:M,B275,CPU!O:O)</f>
        <v>18.576000000000001</v>
      </c>
      <c r="O282" s="23">
        <f t="shared" si="78"/>
        <v>78.539327999999998</v>
      </c>
      <c r="Q282" s="23">
        <f ca="1">SUMIF(CPU!M:M,B275,CPU!R:R)</f>
        <v>6.1919999999999993</v>
      </c>
      <c r="R282" s="23">
        <f t="shared" ca="1" si="79"/>
        <v>26.179775999999997</v>
      </c>
    </row>
    <row r="283" spans="1:18" x14ac:dyDescent="0.3">
      <c r="A283" s="73" t="str">
        <f>"TOTAL SEM BDI - "&amp;B275</f>
        <v>TOTAL SEM BDI - 92270</v>
      </c>
      <c r="B283" s="74"/>
      <c r="C283" s="74"/>
      <c r="D283" s="74"/>
      <c r="E283" s="74"/>
      <c r="F283" s="74"/>
      <c r="G283" s="74"/>
      <c r="H283" s="75"/>
      <c r="I283" s="76">
        <f>SUM(I275:I282)</f>
        <v>142.10999999999999</v>
      </c>
      <c r="J283" s="77"/>
    </row>
    <row r="285" spans="1:18" x14ac:dyDescent="0.3">
      <c r="A285" s="4" t="s">
        <v>1000</v>
      </c>
      <c r="B285" s="4" t="s">
        <v>170</v>
      </c>
      <c r="C285" s="4" t="s">
        <v>171</v>
      </c>
      <c r="D285" s="4" t="s">
        <v>18</v>
      </c>
      <c r="E285" s="4" t="s">
        <v>172</v>
      </c>
      <c r="F285" s="4" t="s">
        <v>507</v>
      </c>
      <c r="G285" s="45" t="s">
        <v>1001</v>
      </c>
      <c r="H285" s="46"/>
      <c r="I285" s="45" t="s">
        <v>12</v>
      </c>
      <c r="J285" s="46"/>
    </row>
    <row r="286" spans="1:18" ht="30" customHeight="1" x14ac:dyDescent="0.3">
      <c r="A286" s="15" t="s">
        <v>1078</v>
      </c>
      <c r="B286" s="15">
        <v>92802</v>
      </c>
      <c r="C286" s="15" t="str">
        <f>VLOOKUP(B286,S!$A:$G,2,FALSE)</f>
        <v>SINAPI</v>
      </c>
      <c r="D286" s="22" t="str">
        <f>VLOOKUP(B286,S!$A:$G,3,FALSE)</f>
        <v>CORTE E DOBRA DE AÇO CA-50, DIÂMETRO DE 8,0 MM. AF_06/2022</v>
      </c>
      <c r="E286" s="15" t="str">
        <f>VLOOKUP(B286,S!$A:$G,4,FALSE)</f>
        <v>KG</v>
      </c>
      <c r="F286" s="15"/>
      <c r="G286" s="78">
        <f>I290</f>
        <v>10.15</v>
      </c>
      <c r="H286" s="79"/>
      <c r="I286" s="78"/>
      <c r="J286" s="79"/>
      <c r="K286" s="16">
        <f>VLOOKUP(B286,S!A:G,5,FALSE)</f>
        <v>10.15</v>
      </c>
      <c r="L286" s="15" t="str">
        <f>IF(K286=G286,"OK, CONFORME TABELA",IF(G286&gt;K286,"ACIMA DA TABELA: ","ABAIXO DA TABELA: ")&amp;TRUNC((G286*100)/K286,2)&amp;" %")</f>
        <v>OK, CONFORME TABELA</v>
      </c>
    </row>
    <row r="287" spans="1:18" x14ac:dyDescent="0.3">
      <c r="A287" s="23" t="s">
        <v>1004</v>
      </c>
      <c r="B287" s="23">
        <v>88245</v>
      </c>
      <c r="C287" s="23" t="str">
        <f>VLOOKUP(B287,IF(A287="COMPOSICAO",S!$A:$E,I!$A:$E),2,FALSE)</f>
        <v>SINAPI</v>
      </c>
      <c r="D287" s="24" t="str">
        <f>VLOOKUP(B287,IF(A287="COMPOSICAO",S!$A:$E,I!$A:$E),3,FALSE)</f>
        <v>ARMADOR COM ENCARGOS COMPLEMENTARES</v>
      </c>
      <c r="E287" s="23" t="str">
        <f>VLOOKUP(B287,IF(A287="COMPOSICAO",S!$A:$E,I!$A:$E),4,FALSE)</f>
        <v>H</v>
      </c>
      <c r="F287" s="23">
        <f>0.0162/pcf</f>
        <v>1.6199999999999999E-2</v>
      </c>
      <c r="G287" s="76">
        <f>IF(A287="COMPOSICAO",VLOOKUP("TOTAL SEM BDI - "&amp;B287,CPUAUX2!$A:$J,9,FALSE),VLOOKUP(B287,I!$A:$E,5,FALSE))</f>
        <v>27.189999999999998</v>
      </c>
      <c r="H287" s="77"/>
      <c r="I287" s="76">
        <f>TRUNC(F287*G287,2)</f>
        <v>0.44</v>
      </c>
      <c r="J287" s="77"/>
      <c r="M287" s="23">
        <f>B287</f>
        <v>88245</v>
      </c>
      <c r="N287" s="23">
        <f>SUMIF(CPU!M:M,B286,CPU!O:O)</f>
        <v>40.764000000000003</v>
      </c>
      <c r="O287" s="23">
        <f>F287*N287</f>
        <v>0.66037679999999999</v>
      </c>
      <c r="Q287" s="23">
        <f ca="1">SUMIF(CPU!M:M,B286,CPU!R:R)</f>
        <v>13.587999999999999</v>
      </c>
      <c r="R287" s="23">
        <f ca="1">F287*Q287</f>
        <v>0.22012559999999998</v>
      </c>
    </row>
    <row r="288" spans="1:18" ht="30" customHeight="1" x14ac:dyDescent="0.3">
      <c r="A288" s="23" t="s">
        <v>1004</v>
      </c>
      <c r="B288" s="23">
        <v>88238</v>
      </c>
      <c r="C288" s="23" t="str">
        <f>VLOOKUP(B288,IF(A288="COMPOSICAO",S!$A:$E,I!$A:$E),2,FALSE)</f>
        <v>SINAPI</v>
      </c>
      <c r="D288" s="24" t="str">
        <f>VLOOKUP(B288,IF(A288="COMPOSICAO",S!$A:$E,I!$A:$E),3,FALSE)</f>
        <v>AJUDANTE DE ARMADOR COM ENCARGOS COMPLEMENTARES</v>
      </c>
      <c r="E288" s="23" t="str">
        <f>VLOOKUP(B288,IF(A288="COMPOSICAO",S!$A:$E,I!$A:$E),4,FALSE)</f>
        <v>H</v>
      </c>
      <c r="F288" s="23">
        <f>0.0026/pcf</f>
        <v>2.5999999999999999E-3</v>
      </c>
      <c r="G288" s="76">
        <f>IF(A288="COMPOSICAO",VLOOKUP("TOTAL SEM BDI - "&amp;B288,CPUAUX2!$A:$J,9,FALSE),VLOOKUP(B288,I!$A:$E,5,FALSE))</f>
        <v>22.37</v>
      </c>
      <c r="H288" s="77"/>
      <c r="I288" s="76">
        <f>TRUNC(F288*G288,2)</f>
        <v>0.05</v>
      </c>
      <c r="J288" s="77"/>
      <c r="M288" s="23">
        <f>B288</f>
        <v>88238</v>
      </c>
      <c r="N288" s="23">
        <f>SUMIF(CPU!M:M,B286,CPU!O:O)</f>
        <v>40.764000000000003</v>
      </c>
      <c r="O288" s="23">
        <f>F288*N288</f>
        <v>0.10598640000000001</v>
      </c>
      <c r="Q288" s="23">
        <f ca="1">SUMIF(CPU!M:M,B286,CPU!R:R)</f>
        <v>13.587999999999999</v>
      </c>
      <c r="R288" s="23">
        <f ca="1">F288*Q288</f>
        <v>3.5328799999999994E-2</v>
      </c>
    </row>
    <row r="289" spans="1:18" x14ac:dyDescent="0.3">
      <c r="A289" s="23" t="s">
        <v>1005</v>
      </c>
      <c r="B289" s="23">
        <v>33</v>
      </c>
      <c r="C289" s="23" t="str">
        <f>VLOOKUP(B289,IF(A289="COMPOSICAO",S!$A:$E,I!$A:$E),2,FALSE)</f>
        <v>SINAPI</v>
      </c>
      <c r="D289" s="24" t="str">
        <f>VLOOKUP(B289,IF(A289="COMPOSICAO",S!$A:$E,I!$A:$E),3,FALSE)</f>
        <v>ACO CA-50, 8,0 MM, VERGALHAO</v>
      </c>
      <c r="E289" s="23" t="str">
        <f>VLOOKUP(B289,IF(A289="COMPOSICAO",S!$A:$E,I!$A:$E),4,FALSE)</f>
        <v>KG</v>
      </c>
      <c r="F289" s="23">
        <v>1.1100000000000001</v>
      </c>
      <c r="G289" s="76">
        <f>IF(A289="COMPOSICAO",VLOOKUP("TOTAL SEM BDI - "&amp;B289,CPUAUX2!$A:$J,9,FALSE),VLOOKUP(B289,I!$A:$E,5,FALSE))</f>
        <v>8.7100000000000009</v>
      </c>
      <c r="H289" s="77"/>
      <c r="I289" s="76">
        <f>TRUNC(F289*G289,2)</f>
        <v>9.66</v>
      </c>
      <c r="J289" s="77"/>
      <c r="M289" s="23">
        <f>B289</f>
        <v>33</v>
      </c>
      <c r="N289" s="23">
        <f>SUMIF(CPU!M:M,B286,CPU!O:O)</f>
        <v>40.764000000000003</v>
      </c>
      <c r="O289" s="23">
        <f>F289*N289</f>
        <v>45.24804000000001</v>
      </c>
      <c r="Q289" s="23">
        <f ca="1">SUMIF(CPU!M:M,B286,CPU!R:R)</f>
        <v>13.587999999999999</v>
      </c>
      <c r="R289" s="23">
        <f ca="1">F289*Q289</f>
        <v>15.08268</v>
      </c>
    </row>
    <row r="290" spans="1:18" x14ac:dyDescent="0.3">
      <c r="A290" s="73" t="str">
        <f>"TOTAL SEM BDI - "&amp;B286</f>
        <v>TOTAL SEM BDI - 92802</v>
      </c>
      <c r="B290" s="74"/>
      <c r="C290" s="74"/>
      <c r="D290" s="74"/>
      <c r="E290" s="74"/>
      <c r="F290" s="74"/>
      <c r="G290" s="74"/>
      <c r="H290" s="75"/>
      <c r="I290" s="76">
        <f>SUM(I286:I289)</f>
        <v>10.15</v>
      </c>
      <c r="J290" s="77"/>
    </row>
    <row r="292" spans="1:18" x14ac:dyDescent="0.3">
      <c r="A292" s="4" t="s">
        <v>1000</v>
      </c>
      <c r="B292" s="4" t="s">
        <v>170</v>
      </c>
      <c r="C292" s="4" t="s">
        <v>171</v>
      </c>
      <c r="D292" s="4" t="s">
        <v>18</v>
      </c>
      <c r="E292" s="4" t="s">
        <v>172</v>
      </c>
      <c r="F292" s="4" t="s">
        <v>507</v>
      </c>
      <c r="G292" s="45" t="s">
        <v>1001</v>
      </c>
      <c r="H292" s="46"/>
      <c r="I292" s="45" t="s">
        <v>12</v>
      </c>
      <c r="J292" s="46"/>
    </row>
    <row r="293" spans="1:18" ht="60" customHeight="1" x14ac:dyDescent="0.3">
      <c r="A293" s="15" t="s">
        <v>1073</v>
      </c>
      <c r="B293" s="15">
        <v>94970</v>
      </c>
      <c r="C293" s="15" t="str">
        <f>VLOOKUP(B293,S!$A:$G,2,FALSE)</f>
        <v>SINAPI</v>
      </c>
      <c r="D293" s="22" t="str">
        <f>VLOOKUP(B293,S!$A:$G,3,FALSE)</f>
        <v>CONCRETO FCK = 20MPA, TRAÇO 1:2,7:3 (EM MASSA SECA DE CIMENTO/ AREIA MÉDIA/ BRITA 1) - PREPARO MECÂNICO COM BETONEIRA 600 L. AF_05/2021</v>
      </c>
      <c r="E293" s="15" t="str">
        <f>VLOOKUP(B293,S!$A:$G,4,FALSE)</f>
        <v>M3</v>
      </c>
      <c r="F293" s="15"/>
      <c r="G293" s="78">
        <f>I301</f>
        <v>616.46</v>
      </c>
      <c r="H293" s="79"/>
      <c r="I293" s="78"/>
      <c r="J293" s="79"/>
      <c r="K293" s="16">
        <f>VLOOKUP(B293,S!A:G,5,FALSE)</f>
        <v>616.46</v>
      </c>
      <c r="L293" s="15" t="str">
        <f>IF(K293=G293,"OK, CONFORME TABELA",IF(G293&gt;K293,"ACIMA DA TABELA: ","ABAIXO DA TABELA: ")&amp;TRUNC((G293*100)/K293,2)&amp;" %")</f>
        <v>OK, CONFORME TABELA</v>
      </c>
    </row>
    <row r="294" spans="1:18" ht="60" customHeight="1" x14ac:dyDescent="0.3">
      <c r="A294" s="23" t="s">
        <v>1004</v>
      </c>
      <c r="B294" s="23">
        <v>89226</v>
      </c>
      <c r="C294" s="23" t="str">
        <f>VLOOKUP(B294,IF(A294="COMPOSICAO",S!$A:$E,I!$A:$E),2,FALSE)</f>
        <v>SINAPI</v>
      </c>
      <c r="D294" s="24" t="str">
        <f>VLOOKUP(B294,IF(A294="COMPOSICAO",S!$A:$E,I!$A:$E),3,FALSE)</f>
        <v>BETONEIRA CAPACIDADE NOMINAL DE 600 L, CAPACIDADE DE MISTURA 360 L, MOTOR ELÉTRICO TRIFÁSICO POTÊNCIA DE 4 CV, SEM CARREGADOR - CHI DIURNO. AF_05/2023</v>
      </c>
      <c r="E294" s="23" t="str">
        <f>VLOOKUP(B294,IF(A294="COMPOSICAO",S!$A:$E,I!$A:$E),4,FALSE)</f>
        <v>CHI</v>
      </c>
      <c r="F294" s="23">
        <v>0.61970000000000003</v>
      </c>
      <c r="G294" s="76">
        <f>IF(A294="COMPOSICAO",VLOOKUP("TOTAL SEM BDI - "&amp;B294,CPUAUX2!$A:$J,9,FALSE),VLOOKUP(B294,I!$A:$E,5,FALSE))</f>
        <v>2.04</v>
      </c>
      <c r="H294" s="77"/>
      <c r="I294" s="76">
        <f t="shared" ref="I294:I300" si="80">TRUNC(F294*G294,2)</f>
        <v>1.26</v>
      </c>
      <c r="J294" s="77"/>
      <c r="M294" s="23">
        <f t="shared" ref="M294:M300" si="81">B294</f>
        <v>89226</v>
      </c>
      <c r="N294" s="23">
        <f>SUMIF(CPU!M:M,B293,CPU!O:O)</f>
        <v>0.60372000000000003</v>
      </c>
      <c r="O294" s="23">
        <f t="shared" ref="O294:O300" si="82">F294*N294</f>
        <v>0.37412528400000006</v>
      </c>
      <c r="Q294" s="23">
        <f ca="1">SUMIF(CPU!M:M,B293,CPU!R:R)</f>
        <v>0.20124</v>
      </c>
      <c r="R294" s="23">
        <f t="shared" ref="R294:R300" ca="1" si="83">F294*Q294</f>
        <v>0.12470842800000001</v>
      </c>
    </row>
    <row r="295" spans="1:18" ht="60" customHeight="1" x14ac:dyDescent="0.3">
      <c r="A295" s="23" t="s">
        <v>1004</v>
      </c>
      <c r="B295" s="23">
        <v>89225</v>
      </c>
      <c r="C295" s="23" t="str">
        <f>VLOOKUP(B295,IF(A295="COMPOSICAO",S!$A:$E,I!$A:$E),2,FALSE)</f>
        <v>SINAPI</v>
      </c>
      <c r="D295" s="24" t="str">
        <f>VLOOKUP(B295,IF(A295="COMPOSICAO",S!$A:$E,I!$A:$E),3,FALSE)</f>
        <v>BETONEIRA CAPACIDADE NOMINAL DE 600 L, CAPACIDADE DE MISTURA 360 L, MOTOR ELÉTRICO TRIFÁSICO POTÊNCIA DE 4 CV, SEM CARREGADOR - CHP DIURNO. AF_05/2023</v>
      </c>
      <c r="E295" s="23" t="str">
        <f>VLOOKUP(B295,IF(A295="COMPOSICAO",S!$A:$E,I!$A:$E),4,FALSE)</f>
        <v>CHP</v>
      </c>
      <c r="F295" s="23">
        <v>0.65720000000000001</v>
      </c>
      <c r="G295" s="76">
        <f>IF(A295="COMPOSICAO",VLOOKUP("TOTAL SEM BDI - "&amp;B295,CPUAUX2!$A:$J,9,FALSE),VLOOKUP(B295,I!$A:$E,5,FALSE))</f>
        <v>6.6000000000000005</v>
      </c>
      <c r="H295" s="77"/>
      <c r="I295" s="76">
        <f t="shared" si="80"/>
        <v>4.33</v>
      </c>
      <c r="J295" s="77"/>
      <c r="M295" s="23">
        <f t="shared" si="81"/>
        <v>89225</v>
      </c>
      <c r="N295" s="23">
        <f>SUMIF(CPU!M:M,B293,CPU!O:O)</f>
        <v>0.60372000000000003</v>
      </c>
      <c r="O295" s="23">
        <f t="shared" si="82"/>
        <v>0.39676478400000004</v>
      </c>
      <c r="Q295" s="23">
        <f ca="1">SUMIF(CPU!M:M,B293,CPU!R:R)</f>
        <v>0.20124</v>
      </c>
      <c r="R295" s="23">
        <f t="shared" ca="1" si="83"/>
        <v>0.13225492799999999</v>
      </c>
    </row>
    <row r="296" spans="1:18" ht="30" customHeight="1" x14ac:dyDescent="0.3">
      <c r="A296" s="23" t="s">
        <v>1004</v>
      </c>
      <c r="B296" s="23">
        <v>88377</v>
      </c>
      <c r="C296" s="23" t="str">
        <f>VLOOKUP(B296,IF(A296="COMPOSICAO",S!$A:$E,I!$A:$E),2,FALSE)</f>
        <v>SINAPI</v>
      </c>
      <c r="D296" s="24" t="str">
        <f>VLOOKUP(B296,IF(A296="COMPOSICAO",S!$A:$E,I!$A:$E),3,FALSE)</f>
        <v>OPERADOR DE BETONEIRA ESTACIONÁRIA/MISTURADOR COM ENCARGOS COMPLEMENTARES</v>
      </c>
      <c r="E296" s="23" t="str">
        <f>VLOOKUP(B296,IF(A296="COMPOSICAO",S!$A:$E,I!$A:$E),4,FALSE)</f>
        <v>H</v>
      </c>
      <c r="F296" s="23">
        <f>1.2768/pcf</f>
        <v>1.2767999999999999</v>
      </c>
      <c r="G296" s="76">
        <f>IF(A296="COMPOSICAO",VLOOKUP("TOTAL SEM BDI - "&amp;B296,CPUAUX2!$A:$J,9,FALSE),VLOOKUP(B296,I!$A:$E,5,FALSE))</f>
        <v>27.09</v>
      </c>
      <c r="H296" s="77"/>
      <c r="I296" s="76">
        <f t="shared" si="80"/>
        <v>34.58</v>
      </c>
      <c r="J296" s="77"/>
      <c r="M296" s="23">
        <f t="shared" si="81"/>
        <v>88377</v>
      </c>
      <c r="N296" s="23">
        <f>SUMIF(CPU!M:M,B293,CPU!O:O)</f>
        <v>0.60372000000000003</v>
      </c>
      <c r="O296" s="23">
        <f t="shared" si="82"/>
        <v>0.77082969599999995</v>
      </c>
      <c r="Q296" s="23">
        <f ca="1">SUMIF(CPU!M:M,B293,CPU!R:R)</f>
        <v>0.20124</v>
      </c>
      <c r="R296" s="23">
        <f t="shared" ca="1" si="83"/>
        <v>0.25694323199999997</v>
      </c>
    </row>
    <row r="297" spans="1:18" x14ac:dyDescent="0.3">
      <c r="A297" s="23" t="s">
        <v>1004</v>
      </c>
      <c r="B297" s="23">
        <v>88316</v>
      </c>
      <c r="C297" s="23" t="str">
        <f>VLOOKUP(B297,IF(A297="COMPOSICAO",S!$A:$E,I!$A:$E),2,FALSE)</f>
        <v>SINAPI</v>
      </c>
      <c r="D297" s="24" t="str">
        <f>VLOOKUP(B297,IF(A297="COMPOSICAO",S!$A:$E,I!$A:$E),3,FALSE)</f>
        <v>SERVENTE COM ENCARGOS COMPLEMENTARES</v>
      </c>
      <c r="E297" s="23" t="str">
        <f>VLOOKUP(B297,IF(A297="COMPOSICAO",S!$A:$E,I!$A:$E),4,FALSE)</f>
        <v>H</v>
      </c>
      <c r="F297" s="23">
        <f>2.0267/pcf</f>
        <v>2.0266999999999999</v>
      </c>
      <c r="G297" s="76">
        <f>IF(A297="COMPOSICAO",VLOOKUP("TOTAL SEM BDI - "&amp;B297,CPUAUX2!$A:$J,9,FALSE),VLOOKUP(B297,I!$A:$E,5,FALSE))</f>
        <v>21.71</v>
      </c>
      <c r="H297" s="77"/>
      <c r="I297" s="76">
        <f t="shared" si="80"/>
        <v>43.99</v>
      </c>
      <c r="J297" s="77"/>
      <c r="M297" s="23">
        <f t="shared" si="81"/>
        <v>88316</v>
      </c>
      <c r="N297" s="23">
        <f>SUMIF(CPU!M:M,B293,CPU!O:O)</f>
        <v>0.60372000000000003</v>
      </c>
      <c r="O297" s="23">
        <f t="shared" si="82"/>
        <v>1.223559324</v>
      </c>
      <c r="Q297" s="23">
        <f ca="1">SUMIF(CPU!M:M,B293,CPU!R:R)</f>
        <v>0.20124</v>
      </c>
      <c r="R297" s="23">
        <f t="shared" ca="1" si="83"/>
        <v>0.40785310800000002</v>
      </c>
    </row>
    <row r="298" spans="1:18" ht="30" customHeight="1" x14ac:dyDescent="0.3">
      <c r="A298" s="23" t="s">
        <v>1005</v>
      </c>
      <c r="B298" s="23">
        <v>4721</v>
      </c>
      <c r="C298" s="23" t="str">
        <f>VLOOKUP(B298,IF(A298="COMPOSICAO",S!$A:$E,I!$A:$E),2,FALSE)</f>
        <v>SINAPI</v>
      </c>
      <c r="D298" s="24" t="str">
        <f>VLOOKUP(B298,IF(A298="COMPOSICAO",S!$A:$E,I!$A:$E),3,FALSE)</f>
        <v>PEDRA BRITADA N. 1 (9,5 A 19 MM) POSTO PEDREIRA/FORNECEDOR, SEM FRETE</v>
      </c>
      <c r="E298" s="23" t="str">
        <f>VLOOKUP(B298,IF(A298="COMPOSICAO",S!$A:$E,I!$A:$E),4,FALSE)</f>
        <v>M3</v>
      </c>
      <c r="F298" s="23">
        <v>0.59119999999999995</v>
      </c>
      <c r="G298" s="76">
        <f>IF(A298="COMPOSICAO",VLOOKUP("TOTAL SEM BDI - "&amp;B298,CPUAUX2!$A:$J,9,FALSE),VLOOKUP(B298,I!$A:$E,5,FALSE))</f>
        <v>234.56</v>
      </c>
      <c r="H298" s="77"/>
      <c r="I298" s="76">
        <f t="shared" si="80"/>
        <v>138.66999999999999</v>
      </c>
      <c r="J298" s="77"/>
      <c r="M298" s="23">
        <f t="shared" si="81"/>
        <v>4721</v>
      </c>
      <c r="N298" s="23">
        <f>SUMIF(CPU!M:M,B293,CPU!O:O)</f>
        <v>0.60372000000000003</v>
      </c>
      <c r="O298" s="23">
        <f t="shared" si="82"/>
        <v>0.35691926400000001</v>
      </c>
      <c r="Q298" s="23">
        <f ca="1">SUMIF(CPU!M:M,B293,CPU!R:R)</f>
        <v>0.20124</v>
      </c>
      <c r="R298" s="23">
        <f t="shared" ca="1" si="83"/>
        <v>0.11897308799999999</v>
      </c>
    </row>
    <row r="299" spans="1:18" x14ac:dyDescent="0.3">
      <c r="A299" s="23" t="s">
        <v>1005</v>
      </c>
      <c r="B299" s="23">
        <v>1379</v>
      </c>
      <c r="C299" s="23" t="str">
        <f>VLOOKUP(B299,IF(A299="COMPOSICAO",S!$A:$E,I!$A:$E),2,FALSE)</f>
        <v>SINAPI</v>
      </c>
      <c r="D299" s="24" t="str">
        <f>VLOOKUP(B299,IF(A299="COMPOSICAO",S!$A:$E,I!$A:$E),3,FALSE)</f>
        <v>CIMENTO PORTLAND COMPOSTO CP II-32</v>
      </c>
      <c r="E299" s="23" t="str">
        <f>VLOOKUP(B299,IF(A299="COMPOSICAO",S!$A:$E,I!$A:$E),4,FALSE)</f>
        <v>KG</v>
      </c>
      <c r="F299" s="23">
        <v>325.15890000000002</v>
      </c>
      <c r="G299" s="76">
        <f>IF(A299="COMPOSICAO",VLOOKUP("TOTAL SEM BDI - "&amp;B299,CPUAUX2!$A:$J,9,FALSE),VLOOKUP(B299,I!$A:$E,5,FALSE))</f>
        <v>1</v>
      </c>
      <c r="H299" s="77"/>
      <c r="I299" s="76">
        <f t="shared" si="80"/>
        <v>325.14999999999998</v>
      </c>
      <c r="J299" s="77"/>
      <c r="M299" s="23">
        <f t="shared" si="81"/>
        <v>1379</v>
      </c>
      <c r="N299" s="23">
        <f>SUMIF(CPU!M:M,B293,CPU!O:O)</f>
        <v>0.60372000000000003</v>
      </c>
      <c r="O299" s="23">
        <f t="shared" si="82"/>
        <v>196.30493110800003</v>
      </c>
      <c r="Q299" s="23">
        <f ca="1">SUMIF(CPU!M:M,B293,CPU!R:R)</f>
        <v>0.20124</v>
      </c>
      <c r="R299" s="23">
        <f t="shared" ca="1" si="83"/>
        <v>65.434977036000006</v>
      </c>
    </row>
    <row r="300" spans="1:18" ht="30" customHeight="1" x14ac:dyDescent="0.3">
      <c r="A300" s="23" t="s">
        <v>1005</v>
      </c>
      <c r="B300" s="23">
        <v>370</v>
      </c>
      <c r="C300" s="23" t="str">
        <f>VLOOKUP(B300,IF(A300="COMPOSICAO",S!$A:$E,I!$A:$E),2,FALSE)</f>
        <v>SINAPI</v>
      </c>
      <c r="D300" s="24" t="str">
        <f>VLOOKUP(B300,IF(A300="COMPOSICAO",S!$A:$E,I!$A:$E),3,FALSE)</f>
        <v>AREIA MEDIA - POSTO JAZIDA/FORNECEDOR (RETIRADO NA JAZIDA, SEM TRANSPORTE)</v>
      </c>
      <c r="E300" s="23" t="str">
        <f>VLOOKUP(B300,IF(A300="COMPOSICAO",S!$A:$E,I!$A:$E),4,FALSE)</f>
        <v>M3</v>
      </c>
      <c r="F300" s="23">
        <v>0.76090000000000002</v>
      </c>
      <c r="G300" s="76">
        <f>IF(A300="COMPOSICAO",VLOOKUP("TOTAL SEM BDI - "&amp;B300,CPUAUX2!$A:$J,9,FALSE),VLOOKUP(B300,I!$A:$E,5,FALSE))</f>
        <v>90</v>
      </c>
      <c r="H300" s="77"/>
      <c r="I300" s="76">
        <f t="shared" si="80"/>
        <v>68.48</v>
      </c>
      <c r="J300" s="77"/>
      <c r="M300" s="23">
        <f t="shared" si="81"/>
        <v>370</v>
      </c>
      <c r="N300" s="23">
        <f>SUMIF(CPU!M:M,B293,CPU!O:O)</f>
        <v>0.60372000000000003</v>
      </c>
      <c r="O300" s="23">
        <f t="shared" si="82"/>
        <v>0.45937054800000005</v>
      </c>
      <c r="Q300" s="23">
        <f ca="1">SUMIF(CPU!M:M,B293,CPU!R:R)</f>
        <v>0.20124</v>
      </c>
      <c r="R300" s="23">
        <f t="shared" ca="1" si="83"/>
        <v>0.15312351600000002</v>
      </c>
    </row>
    <row r="301" spans="1:18" x14ac:dyDescent="0.3">
      <c r="A301" s="73" t="str">
        <f>"TOTAL SEM BDI - "&amp;B293</f>
        <v>TOTAL SEM BDI - 94970</v>
      </c>
      <c r="B301" s="74"/>
      <c r="C301" s="74"/>
      <c r="D301" s="74"/>
      <c r="E301" s="74"/>
      <c r="F301" s="74"/>
      <c r="G301" s="74"/>
      <c r="H301" s="75"/>
      <c r="I301" s="76">
        <f>SUM(I293:I300)</f>
        <v>616.46</v>
      </c>
      <c r="J301" s="77"/>
    </row>
    <row r="303" spans="1:18" x14ac:dyDescent="0.3">
      <c r="A303" s="4" t="s">
        <v>1000</v>
      </c>
      <c r="B303" s="4" t="s">
        <v>170</v>
      </c>
      <c r="C303" s="4" t="s">
        <v>171</v>
      </c>
      <c r="D303" s="4" t="s">
        <v>18</v>
      </c>
      <c r="E303" s="4" t="s">
        <v>172</v>
      </c>
      <c r="F303" s="4" t="s">
        <v>507</v>
      </c>
      <c r="G303" s="45" t="s">
        <v>1001</v>
      </c>
      <c r="H303" s="46"/>
      <c r="I303" s="45" t="s">
        <v>12</v>
      </c>
      <c r="J303" s="46"/>
    </row>
    <row r="304" spans="1:18" ht="45" customHeight="1" x14ac:dyDescent="0.3">
      <c r="A304" s="15" t="s">
        <v>1079</v>
      </c>
      <c r="B304" s="15">
        <v>103672</v>
      </c>
      <c r="C304" s="15" t="str">
        <f>VLOOKUP(B304,S!$A:$G,2,FALSE)</f>
        <v>SINAPI</v>
      </c>
      <c r="D304" s="22" t="str">
        <f>VLOOKUP(B304,S!$A:$G,3,FALSE)</f>
        <v>CONCRETAGEM DE PILARES, FCK = 25 MPA, COM USO DE BOMBA - LANÇAMENTO, ADENSAMENTO E ACABAMENTO. AF_02/2022_PS</v>
      </c>
      <c r="E304" s="15" t="str">
        <f>VLOOKUP(B304,S!$A:$G,4,FALSE)</f>
        <v>M3</v>
      </c>
      <c r="F304" s="15"/>
      <c r="G304" s="78">
        <f>I311</f>
        <v>692.68999999999994</v>
      </c>
      <c r="H304" s="79"/>
      <c r="I304" s="78"/>
      <c r="J304" s="79"/>
      <c r="K304" s="16">
        <f>VLOOKUP(B304,S!A:G,5,FALSE)</f>
        <v>692.69</v>
      </c>
      <c r="L304" s="15" t="str">
        <f>IF(K304=G304,"OK, CONFORME TABELA",IF(G304&gt;K304,"ACIMA DA TABELA: ","ABAIXO DA TABELA: ")&amp;TRUNC((G304*100)/K304,2)&amp;" %")</f>
        <v>OK, CONFORME TABELA</v>
      </c>
    </row>
    <row r="305" spans="1:18" ht="45" customHeight="1" x14ac:dyDescent="0.3">
      <c r="A305" s="23" t="s">
        <v>1004</v>
      </c>
      <c r="B305" s="23">
        <v>90587</v>
      </c>
      <c r="C305" s="23" t="str">
        <f>VLOOKUP(B305,IF(A305="COMPOSICAO",S!$A:$E,I!$A:$E),2,FALSE)</f>
        <v>SINAPI</v>
      </c>
      <c r="D305" s="24" t="str">
        <f>VLOOKUP(B305,IF(A305="COMPOSICAO",S!$A:$E,I!$A:$E),3,FALSE)</f>
        <v>VIBRADOR DE IMERSÃO, DIÂMETRO DE PONTEIRA 45MM, MOTOR ELÉTRICO TRIFÁSICO POTÊNCIA DE 2 CV - CHI DIURNO. AF_06/2015</v>
      </c>
      <c r="E305" s="23" t="str">
        <f>VLOOKUP(B305,IF(A305="COMPOSICAO",S!$A:$E,I!$A:$E),4,FALSE)</f>
        <v>CHI</v>
      </c>
      <c r="F305" s="23">
        <v>0.13</v>
      </c>
      <c r="G305" s="76">
        <f>IF(A305="COMPOSICAO",VLOOKUP("TOTAL SEM BDI - "&amp;B305,CPUAUX2!$A:$J,9,FALSE),VLOOKUP(B305,I!$A:$E,5,FALSE))</f>
        <v>0.48</v>
      </c>
      <c r="H305" s="77"/>
      <c r="I305" s="76">
        <f t="shared" ref="I305:I310" si="84">TRUNC(F305*G305,2)</f>
        <v>0.06</v>
      </c>
      <c r="J305" s="77"/>
      <c r="M305" s="23">
        <f t="shared" ref="M305:M310" si="85">B305</f>
        <v>90587</v>
      </c>
      <c r="N305" s="23">
        <f>SUMIF(CPU!M:M,B304,CPU!O:O)</f>
        <v>0.22230000000000003</v>
      </c>
      <c r="O305" s="23">
        <f t="shared" ref="O305:O310" si="86">F305*N305</f>
        <v>2.8899000000000005E-2</v>
      </c>
      <c r="Q305" s="23">
        <f ca="1">SUMIF(CPU!M:M,B304,CPU!R:R)</f>
        <v>7.4100000000000013E-2</v>
      </c>
      <c r="R305" s="23">
        <f t="shared" ref="R305:R310" ca="1" si="87">F305*Q305</f>
        <v>9.6330000000000027E-3</v>
      </c>
    </row>
    <row r="306" spans="1:18" ht="45" customHeight="1" x14ac:dyDescent="0.3">
      <c r="A306" s="23" t="s">
        <v>1004</v>
      </c>
      <c r="B306" s="23">
        <v>90586</v>
      </c>
      <c r="C306" s="23" t="str">
        <f>VLOOKUP(B306,IF(A306="COMPOSICAO",S!$A:$E,I!$A:$E),2,FALSE)</f>
        <v>SINAPI</v>
      </c>
      <c r="D306" s="24" t="str">
        <f>VLOOKUP(B306,IF(A306="COMPOSICAO",S!$A:$E,I!$A:$E),3,FALSE)</f>
        <v>VIBRADOR DE IMERSÃO, DIÂMETRO DE PONTEIRA 45MM, MOTOR ELÉTRICO TRIFÁSICO POTÊNCIA DE 2 CV - CHP DIURNO. AF_06/2015</v>
      </c>
      <c r="E306" s="23" t="str">
        <f>VLOOKUP(B306,IF(A306="COMPOSICAO",S!$A:$E,I!$A:$E),4,FALSE)</f>
        <v>CHP</v>
      </c>
      <c r="F306" s="23">
        <v>9.4E-2</v>
      </c>
      <c r="G306" s="76">
        <f>IF(A306="COMPOSICAO",VLOOKUP("TOTAL SEM BDI - "&amp;B306,CPUAUX2!$A:$J,9,FALSE),VLOOKUP(B306,I!$A:$E,5,FALSE))</f>
        <v>1.3599999999999999</v>
      </c>
      <c r="H306" s="77"/>
      <c r="I306" s="76">
        <f t="shared" si="84"/>
        <v>0.12</v>
      </c>
      <c r="J306" s="77"/>
      <c r="M306" s="23">
        <f t="shared" si="85"/>
        <v>90586</v>
      </c>
      <c r="N306" s="23">
        <f>SUMIF(CPU!M:M,B304,CPU!O:O)</f>
        <v>0.22230000000000003</v>
      </c>
      <c r="O306" s="23">
        <f t="shared" si="86"/>
        <v>2.0896200000000004E-2</v>
      </c>
      <c r="Q306" s="23">
        <f ca="1">SUMIF(CPU!M:M,B304,CPU!R:R)</f>
        <v>7.4100000000000013E-2</v>
      </c>
      <c r="R306" s="23">
        <f t="shared" ca="1" si="87"/>
        <v>6.9654000000000009E-3</v>
      </c>
    </row>
    <row r="307" spans="1:18" x14ac:dyDescent="0.3">
      <c r="A307" s="23" t="s">
        <v>1004</v>
      </c>
      <c r="B307" s="23">
        <v>88316</v>
      </c>
      <c r="C307" s="23" t="str">
        <f>VLOOKUP(B307,IF(A307="COMPOSICAO",S!$A:$E,I!$A:$E),2,FALSE)</f>
        <v>SINAPI</v>
      </c>
      <c r="D307" s="24" t="str">
        <f>VLOOKUP(B307,IF(A307="COMPOSICAO",S!$A:$E,I!$A:$E),3,FALSE)</f>
        <v>SERVENTE COM ENCARGOS COMPLEMENTARES</v>
      </c>
      <c r="E307" s="23" t="str">
        <f>VLOOKUP(B307,IF(A307="COMPOSICAO",S!$A:$E,I!$A:$E),4,FALSE)</f>
        <v>H</v>
      </c>
      <c r="F307" s="23">
        <f>1.345/pcf</f>
        <v>1.345</v>
      </c>
      <c r="G307" s="76">
        <f>IF(A307="COMPOSICAO",VLOOKUP("TOTAL SEM BDI - "&amp;B307,CPUAUX2!$A:$J,9,FALSE),VLOOKUP(B307,I!$A:$E,5,FALSE))</f>
        <v>21.71</v>
      </c>
      <c r="H307" s="77"/>
      <c r="I307" s="76">
        <f t="shared" si="84"/>
        <v>29.19</v>
      </c>
      <c r="J307" s="77"/>
      <c r="M307" s="23">
        <f t="shared" si="85"/>
        <v>88316</v>
      </c>
      <c r="N307" s="23">
        <f>SUMIF(CPU!M:M,B304,CPU!O:O)</f>
        <v>0.22230000000000003</v>
      </c>
      <c r="O307" s="23">
        <f t="shared" si="86"/>
        <v>0.29899350000000002</v>
      </c>
      <c r="Q307" s="23">
        <f ca="1">SUMIF(CPU!M:M,B304,CPU!R:R)</f>
        <v>7.4100000000000013E-2</v>
      </c>
      <c r="R307" s="23">
        <f t="shared" ca="1" si="87"/>
        <v>9.9664500000000017E-2</v>
      </c>
    </row>
    <row r="308" spans="1:18" x14ac:dyDescent="0.3">
      <c r="A308" s="23" t="s">
        <v>1004</v>
      </c>
      <c r="B308" s="23">
        <v>88309</v>
      </c>
      <c r="C308" s="23" t="str">
        <f>VLOOKUP(B308,IF(A308="COMPOSICAO",S!$A:$E,I!$A:$E),2,FALSE)</f>
        <v>SINAPI</v>
      </c>
      <c r="D308" s="24" t="str">
        <f>VLOOKUP(B308,IF(A308="COMPOSICAO",S!$A:$E,I!$A:$E),3,FALSE)</f>
        <v>PEDREIRO COM ENCARGOS COMPLEMENTARES</v>
      </c>
      <c r="E308" s="23" t="str">
        <f>VLOOKUP(B308,IF(A308="COMPOSICAO",S!$A:$E,I!$A:$E),4,FALSE)</f>
        <v>H</v>
      </c>
      <c r="F308" s="23">
        <f>0.224/pcf</f>
        <v>0.224</v>
      </c>
      <c r="G308" s="76">
        <f>IF(A308="COMPOSICAO",VLOOKUP("TOTAL SEM BDI - "&amp;B308,CPUAUX2!$A:$J,9,FALSE),VLOOKUP(B308,I!$A:$E,5,FALSE))</f>
        <v>27.39</v>
      </c>
      <c r="H308" s="77"/>
      <c r="I308" s="76">
        <f t="shared" si="84"/>
        <v>6.13</v>
      </c>
      <c r="J308" s="77"/>
      <c r="M308" s="23">
        <f t="shared" si="85"/>
        <v>88309</v>
      </c>
      <c r="N308" s="23">
        <f>SUMIF(CPU!M:M,B304,CPU!O:O)</f>
        <v>0.22230000000000003</v>
      </c>
      <c r="O308" s="23">
        <f t="shared" si="86"/>
        <v>4.9795200000000005E-2</v>
      </c>
      <c r="Q308" s="23">
        <f ca="1">SUMIF(CPU!M:M,B304,CPU!R:R)</f>
        <v>7.4100000000000013E-2</v>
      </c>
      <c r="R308" s="23">
        <f t="shared" ca="1" si="87"/>
        <v>1.6598400000000003E-2</v>
      </c>
    </row>
    <row r="309" spans="1:18" ht="30" customHeight="1" x14ac:dyDescent="0.3">
      <c r="A309" s="23" t="s">
        <v>1004</v>
      </c>
      <c r="B309" s="23">
        <v>88262</v>
      </c>
      <c r="C309" s="23" t="str">
        <f>VLOOKUP(B309,IF(A309="COMPOSICAO",S!$A:$E,I!$A:$E),2,FALSE)</f>
        <v>SINAPI</v>
      </c>
      <c r="D309" s="24" t="str">
        <f>VLOOKUP(B309,IF(A309="COMPOSICAO",S!$A:$E,I!$A:$E),3,FALSE)</f>
        <v>CARPINTEIRO DE FORMAS COM ENCARGOS COMPLEMENTARES</v>
      </c>
      <c r="E309" s="23" t="str">
        <f>VLOOKUP(B309,IF(A309="COMPOSICAO",S!$A:$E,I!$A:$E),4,FALSE)</f>
        <v>H</v>
      </c>
      <c r="F309" s="23">
        <f>0.224/pcf</f>
        <v>0.224</v>
      </c>
      <c r="G309" s="76">
        <f>IF(A309="COMPOSICAO",VLOOKUP("TOTAL SEM BDI - "&amp;B309,CPUAUX2!$A:$J,9,FALSE),VLOOKUP(B309,I!$A:$E,5,FALSE))</f>
        <v>26.97</v>
      </c>
      <c r="H309" s="77"/>
      <c r="I309" s="76">
        <f t="shared" si="84"/>
        <v>6.04</v>
      </c>
      <c r="J309" s="77"/>
      <c r="M309" s="23">
        <f t="shared" si="85"/>
        <v>88262</v>
      </c>
      <c r="N309" s="23">
        <f>SUMIF(CPU!M:M,B304,CPU!O:O)</f>
        <v>0.22230000000000003</v>
      </c>
      <c r="O309" s="23">
        <f t="shared" si="86"/>
        <v>4.9795200000000005E-2</v>
      </c>
      <c r="Q309" s="23">
        <f ca="1">SUMIF(CPU!M:M,B304,CPU!R:R)</f>
        <v>7.4100000000000013E-2</v>
      </c>
      <c r="R309" s="23">
        <f t="shared" ca="1" si="87"/>
        <v>1.6598400000000003E-2</v>
      </c>
    </row>
    <row r="310" spans="1:18" ht="60" customHeight="1" x14ac:dyDescent="0.3">
      <c r="A310" s="23" t="s">
        <v>1005</v>
      </c>
      <c r="B310" s="23">
        <v>1527</v>
      </c>
      <c r="C310" s="23" t="str">
        <f>VLOOKUP(B310,IF(A310="COMPOSICAO",S!$A:$E,I!$A:$E),2,FALSE)</f>
        <v>SINAPI</v>
      </c>
      <c r="D310" s="24" t="str">
        <f>VLOOKUP(B310,IF(A310="COMPOSICAO",S!$A:$E,I!$A:$E),3,FALSE)</f>
        <v>CONCRETO USINADO BOMBEAVEL, CLASSE DE RESISTENCIA C25, BRITA 0 E 1, SLUMP = 100 +/- 20 MM, COM BOMBEAMENTO (DISPONIBILIZACAO DE BOMBA), SEM O LANCAMENTO (NBR 8953)</v>
      </c>
      <c r="E310" s="23" t="str">
        <f>VLOOKUP(B310,IF(A310="COMPOSICAO",S!$A:$E,I!$A:$E),4,FALSE)</f>
        <v>M3</v>
      </c>
      <c r="F310" s="23">
        <v>1.103</v>
      </c>
      <c r="G310" s="76">
        <f>IF(A310="COMPOSICAO",VLOOKUP("TOTAL SEM BDI - "&amp;B310,CPUAUX2!$A:$J,9,FALSE),VLOOKUP(B310,I!$A:$E,5,FALSE))</f>
        <v>590.35</v>
      </c>
      <c r="H310" s="77"/>
      <c r="I310" s="76">
        <f t="shared" si="84"/>
        <v>651.15</v>
      </c>
      <c r="J310" s="77"/>
      <c r="M310" s="23">
        <f t="shared" si="85"/>
        <v>1527</v>
      </c>
      <c r="N310" s="23">
        <f>SUMIF(CPU!M:M,B304,CPU!O:O)</f>
        <v>0.22230000000000003</v>
      </c>
      <c r="O310" s="23">
        <f t="shared" si="86"/>
        <v>0.24519690000000002</v>
      </c>
      <c r="Q310" s="23">
        <f ca="1">SUMIF(CPU!M:M,B304,CPU!R:R)</f>
        <v>7.4100000000000013E-2</v>
      </c>
      <c r="R310" s="23">
        <f t="shared" ca="1" si="87"/>
        <v>8.1732300000000008E-2</v>
      </c>
    </row>
    <row r="311" spans="1:18" x14ac:dyDescent="0.3">
      <c r="A311" s="73" t="str">
        <f>"TOTAL SEM BDI - "&amp;B304</f>
        <v>TOTAL SEM BDI - 103672</v>
      </c>
      <c r="B311" s="74"/>
      <c r="C311" s="74"/>
      <c r="D311" s="74"/>
      <c r="E311" s="74"/>
      <c r="F311" s="74"/>
      <c r="G311" s="74"/>
      <c r="H311" s="75"/>
      <c r="I311" s="76">
        <f>SUM(I304:I310)</f>
        <v>692.68999999999994</v>
      </c>
      <c r="J311" s="77"/>
    </row>
    <row r="313" spans="1:18" x14ac:dyDescent="0.3">
      <c r="A313" s="4" t="s">
        <v>1000</v>
      </c>
      <c r="B313" s="4" t="s">
        <v>170</v>
      </c>
      <c r="C313" s="4" t="s">
        <v>171</v>
      </c>
      <c r="D313" s="4" t="s">
        <v>18</v>
      </c>
      <c r="E313" s="4" t="s">
        <v>172</v>
      </c>
      <c r="F313" s="4" t="s">
        <v>507</v>
      </c>
      <c r="G313" s="45" t="s">
        <v>1001</v>
      </c>
      <c r="H313" s="46"/>
      <c r="I313" s="45" t="s">
        <v>12</v>
      </c>
      <c r="J313" s="46"/>
    </row>
    <row r="314" spans="1:18" ht="60" customHeight="1" x14ac:dyDescent="0.3">
      <c r="A314" s="15" t="s">
        <v>1077</v>
      </c>
      <c r="B314" s="15">
        <v>92415</v>
      </c>
      <c r="C314" s="15" t="str">
        <f>VLOOKUP(B314,S!$A:$G,2,FALSE)</f>
        <v>SINAPI</v>
      </c>
      <c r="D314" s="22" t="str">
        <f>VLOOKUP(B314,S!$A:$G,3,FALSE)</f>
        <v>MONTAGEM E DESMONTAGEM DE FÔRMA DE PILARES RETANGULARES E ESTRUTURAS SIMILARES, PÉ-DIREITO SIMPLES, EM CHAPA DE MADEIRA COMPENSADA RESINADA, 2 UTILIZAÇÕES. AF_09/2020</v>
      </c>
      <c r="E314" s="15" t="str">
        <f>VLOOKUP(B314,S!$A:$G,4,FALSE)</f>
        <v>M2</v>
      </c>
      <c r="F314" s="15"/>
      <c r="G314" s="78">
        <f>I323</f>
        <v>149.89999999999998</v>
      </c>
      <c r="H314" s="79"/>
      <c r="I314" s="78"/>
      <c r="J314" s="79"/>
      <c r="K314" s="16">
        <f>VLOOKUP(B314,S!A:G,5,FALSE)</f>
        <v>149.9</v>
      </c>
      <c r="L314" s="15" t="str">
        <f>IF(K314=G314,"OK, CONFORME TABELA",IF(G314&gt;K314,"ACIMA DA TABELA: ","ABAIXO DA TABELA: ")&amp;TRUNC((G314*100)/K314,2)&amp;" %")</f>
        <v>OK, CONFORME TABELA</v>
      </c>
    </row>
    <row r="315" spans="1:18" ht="45" customHeight="1" x14ac:dyDescent="0.3">
      <c r="A315" s="23" t="s">
        <v>1004</v>
      </c>
      <c r="B315" s="23">
        <v>92263</v>
      </c>
      <c r="C315" s="23" t="str">
        <f>VLOOKUP(B315,IF(A315="COMPOSICAO",S!$A:$E,I!$A:$E),2,FALSE)</f>
        <v>SINAPI</v>
      </c>
      <c r="D315" s="24" t="str">
        <f>VLOOKUP(B315,IF(A315="COMPOSICAO",S!$A:$E,I!$A:$E),3,FALSE)</f>
        <v>FABRICAÇÃO DE FÔRMA PARA PILARES E ESTRUTURAS SIMILARES, EM CHAPA DE MADEIRA COMPENSADA RESINADA, E = 17 MM. AF_09/2020</v>
      </c>
      <c r="E315" s="23" t="str">
        <f>VLOOKUP(B315,IF(A315="COMPOSICAO",S!$A:$E,I!$A:$E),4,FALSE)</f>
        <v>M2</v>
      </c>
      <c r="F315" s="23">
        <v>0.52500000000000002</v>
      </c>
      <c r="G315" s="76">
        <f>IF(A315="COMPOSICAO",VLOOKUP("TOTAL SEM BDI - "&amp;B315,CPUAUX2!$A:$J,9,FALSE),VLOOKUP(B315,I!$A:$E,5,FALSE))</f>
        <v>191.48</v>
      </c>
      <c r="H315" s="77"/>
      <c r="I315" s="76">
        <f t="shared" ref="I315:I322" si="88">TRUNC(F315*G315,2)</f>
        <v>100.52</v>
      </c>
      <c r="J315" s="77"/>
      <c r="M315" s="23">
        <f t="shared" ref="M315:M322" si="89">B315</f>
        <v>92263</v>
      </c>
      <c r="N315" s="23">
        <f>SUMIF(CPU!M:M,B314,CPU!O:O)</f>
        <v>1.3937400000000002</v>
      </c>
      <c r="O315" s="23">
        <f t="shared" ref="O315:O322" si="90">F315*N315</f>
        <v>0.73171350000000013</v>
      </c>
      <c r="Q315" s="23">
        <f ca="1">SUMIF(CPU!M:M,B314,CPU!R:R)</f>
        <v>0.46458000000000005</v>
      </c>
      <c r="R315" s="23">
        <f t="shared" ref="R315:R322" ca="1" si="91">F315*Q315</f>
        <v>0.24390450000000002</v>
      </c>
    </row>
    <row r="316" spans="1:18" ht="30" customHeight="1" x14ac:dyDescent="0.3">
      <c r="A316" s="23" t="s">
        <v>1004</v>
      </c>
      <c r="B316" s="23">
        <v>88262</v>
      </c>
      <c r="C316" s="23" t="str">
        <f>VLOOKUP(B316,IF(A316="COMPOSICAO",S!$A:$E,I!$A:$E),2,FALSE)</f>
        <v>SINAPI</v>
      </c>
      <c r="D316" s="24" t="str">
        <f>VLOOKUP(B316,IF(A316="COMPOSICAO",S!$A:$E,I!$A:$E),3,FALSE)</f>
        <v>CARPINTEIRO DE FORMAS COM ENCARGOS COMPLEMENTARES</v>
      </c>
      <c r="E316" s="23" t="str">
        <f>VLOOKUP(B316,IF(A316="COMPOSICAO",S!$A:$E,I!$A:$E),4,FALSE)</f>
        <v>H</v>
      </c>
      <c r="F316" s="23">
        <f>1.125/pcf</f>
        <v>1.125</v>
      </c>
      <c r="G316" s="76">
        <f>IF(A316="COMPOSICAO",VLOOKUP("TOTAL SEM BDI - "&amp;B316,CPUAUX2!$A:$J,9,FALSE),VLOOKUP(B316,I!$A:$E,5,FALSE))</f>
        <v>26.97</v>
      </c>
      <c r="H316" s="77"/>
      <c r="I316" s="76">
        <f t="shared" si="88"/>
        <v>30.34</v>
      </c>
      <c r="J316" s="77"/>
      <c r="M316" s="23">
        <f t="shared" si="89"/>
        <v>88262</v>
      </c>
      <c r="N316" s="23">
        <f>SUMIF(CPU!M:M,B314,CPU!O:O)</f>
        <v>1.3937400000000002</v>
      </c>
      <c r="O316" s="23">
        <f t="shared" si="90"/>
        <v>1.5679575000000003</v>
      </c>
      <c r="Q316" s="23">
        <f ca="1">SUMIF(CPU!M:M,B314,CPU!R:R)</f>
        <v>0.46458000000000005</v>
      </c>
      <c r="R316" s="23">
        <f t="shared" ca="1" si="91"/>
        <v>0.52265250000000008</v>
      </c>
    </row>
    <row r="317" spans="1:18" ht="30" customHeight="1" x14ac:dyDescent="0.3">
      <c r="A317" s="23" t="s">
        <v>1004</v>
      </c>
      <c r="B317" s="23">
        <v>88239</v>
      </c>
      <c r="C317" s="23" t="str">
        <f>VLOOKUP(B317,IF(A317="COMPOSICAO",S!$A:$E,I!$A:$E),2,FALSE)</f>
        <v>SINAPI</v>
      </c>
      <c r="D317" s="24" t="str">
        <f>VLOOKUP(B317,IF(A317="COMPOSICAO",S!$A:$E,I!$A:$E),3,FALSE)</f>
        <v>AJUDANTE DE CARPINTEIRO COM ENCARGOS COMPLEMENTARES</v>
      </c>
      <c r="E317" s="23" t="str">
        <f>VLOOKUP(B317,IF(A317="COMPOSICAO",S!$A:$E,I!$A:$E),4,FALSE)</f>
        <v>H</v>
      </c>
      <c r="F317" s="23">
        <f>0.206/pcf</f>
        <v>0.20599999999999999</v>
      </c>
      <c r="G317" s="76">
        <f>IF(A317="COMPOSICAO",VLOOKUP("TOTAL SEM BDI - "&amp;B317,CPUAUX2!$A:$J,9,FALSE),VLOOKUP(B317,I!$A:$E,5,FALSE))</f>
        <v>22.2</v>
      </c>
      <c r="H317" s="77"/>
      <c r="I317" s="76">
        <f t="shared" si="88"/>
        <v>4.57</v>
      </c>
      <c r="J317" s="77"/>
      <c r="M317" s="23">
        <f t="shared" si="89"/>
        <v>88239</v>
      </c>
      <c r="N317" s="23">
        <f>SUMIF(CPU!M:M,B314,CPU!O:O)</f>
        <v>1.3937400000000002</v>
      </c>
      <c r="O317" s="23">
        <f t="shared" si="90"/>
        <v>0.28711044000000002</v>
      </c>
      <c r="Q317" s="23">
        <f ca="1">SUMIF(CPU!M:M,B314,CPU!R:R)</f>
        <v>0.46458000000000005</v>
      </c>
      <c r="R317" s="23">
        <f t="shared" ca="1" si="91"/>
        <v>9.5703480000000007E-2</v>
      </c>
    </row>
    <row r="318" spans="1:18" ht="30" customHeight="1" x14ac:dyDescent="0.3">
      <c r="A318" s="23" t="s">
        <v>1005</v>
      </c>
      <c r="B318" s="23">
        <v>40304</v>
      </c>
      <c r="C318" s="23" t="str">
        <f>VLOOKUP(B318,IF(A318="COMPOSICAO",S!$A:$E,I!$A:$E),2,FALSE)</f>
        <v>SINAPI</v>
      </c>
      <c r="D318" s="24" t="str">
        <f>VLOOKUP(B318,IF(A318="COMPOSICAO",S!$A:$E,I!$A:$E),3,FALSE)</f>
        <v>PREGO DE ACO POLIDO COM CABECA DUPLA 17 X 27 (2 1/2 X 11)</v>
      </c>
      <c r="E318" s="23" t="str">
        <f>VLOOKUP(B318,IF(A318="COMPOSICAO",S!$A:$E,I!$A:$E),4,FALSE)</f>
        <v>KG</v>
      </c>
      <c r="F318" s="23">
        <v>1.9E-2</v>
      </c>
      <c r="G318" s="76">
        <f>IF(A318="COMPOSICAO",VLOOKUP("TOTAL SEM BDI - "&amp;B318,CPUAUX2!$A:$J,9,FALSE),VLOOKUP(B318,I!$A:$E,5,FALSE))</f>
        <v>25.11</v>
      </c>
      <c r="H318" s="77"/>
      <c r="I318" s="76">
        <f t="shared" si="88"/>
        <v>0.47</v>
      </c>
      <c r="J318" s="77"/>
      <c r="M318" s="23">
        <f t="shared" si="89"/>
        <v>40304</v>
      </c>
      <c r="N318" s="23">
        <f>SUMIF(CPU!M:M,B314,CPU!O:O)</f>
        <v>1.3937400000000002</v>
      </c>
      <c r="O318" s="23">
        <f t="shared" si="90"/>
        <v>2.6481060000000004E-2</v>
      </c>
      <c r="Q318" s="23">
        <f ca="1">SUMIF(CPU!M:M,B314,CPU!R:R)</f>
        <v>0.46458000000000005</v>
      </c>
      <c r="R318" s="23">
        <f t="shared" ca="1" si="91"/>
        <v>8.8270200000000014E-3</v>
      </c>
    </row>
    <row r="319" spans="1:18" ht="45" customHeight="1" x14ac:dyDescent="0.3">
      <c r="A319" s="23" t="s">
        <v>1005</v>
      </c>
      <c r="B319" s="23">
        <v>40287</v>
      </c>
      <c r="C319" s="23" t="str">
        <f>VLOOKUP(B319,IF(A319="COMPOSICAO",S!$A:$E,I!$A:$E),2,FALSE)</f>
        <v>SINAPI</v>
      </c>
      <c r="D319" s="24" t="str">
        <f>VLOOKUP(B319,IF(A319="COMPOSICAO",S!$A:$E,I!$A:$E),3,FALSE)</f>
        <v>LOCACAO DE BARRA DE ANCORAGEM DE 0,80 A 1,20 M DE EXTENSAO, COM ROSCA DE 5/8", INCLUINDO PORCA E FLANGE</v>
      </c>
      <c r="E319" s="23" t="str">
        <f>VLOOKUP(B319,IF(A319="COMPOSICAO",S!$A:$E,I!$A:$E),4,FALSE)</f>
        <v>MES</v>
      </c>
      <c r="F319" s="23">
        <f>0.785/pcf</f>
        <v>0.78500000000000003</v>
      </c>
      <c r="G319" s="76">
        <f>IF(A319="COMPOSICAO",VLOOKUP("TOTAL SEM BDI - "&amp;B319,CPUAUX2!$A:$J,9,FALSE),VLOOKUP(B319,I!$A:$E,5,FALSE))</f>
        <v>5.89</v>
      </c>
      <c r="H319" s="77"/>
      <c r="I319" s="76">
        <f t="shared" si="88"/>
        <v>4.62</v>
      </c>
      <c r="J319" s="77"/>
      <c r="M319" s="23">
        <f t="shared" si="89"/>
        <v>40287</v>
      </c>
      <c r="N319" s="23">
        <f>SUMIF(CPU!M:M,B314,CPU!O:O)</f>
        <v>1.3937400000000002</v>
      </c>
      <c r="O319" s="23">
        <f t="shared" si="90"/>
        <v>1.0940859000000003</v>
      </c>
      <c r="Q319" s="23">
        <f ca="1">SUMIF(CPU!M:M,B314,CPU!R:R)</f>
        <v>0.46458000000000005</v>
      </c>
      <c r="R319" s="23">
        <f t="shared" ca="1" si="91"/>
        <v>0.36469530000000006</v>
      </c>
    </row>
    <row r="320" spans="1:18" ht="45" customHeight="1" x14ac:dyDescent="0.3">
      <c r="A320" s="23" t="s">
        <v>1005</v>
      </c>
      <c r="B320" s="23">
        <v>40275</v>
      </c>
      <c r="C320" s="23" t="str">
        <f>VLOOKUP(B320,IF(A320="COMPOSICAO",S!$A:$E,I!$A:$E),2,FALSE)</f>
        <v>SINAPI</v>
      </c>
      <c r="D320" s="24" t="str">
        <f>VLOOKUP(B320,IF(A320="COMPOSICAO",S!$A:$E,I!$A:$E),3,FALSE)</f>
        <v>LOCACAO DE VIGA SANDUICHE METALICA VAZADA PARA TRAVAMENTO DE PILARES, ALTURA DE *8* CM, LARGURA DE *6* CM E EXTENSAO DE 2 M</v>
      </c>
      <c r="E320" s="23" t="str">
        <f>VLOOKUP(B320,IF(A320="COMPOSICAO",S!$A:$E,I!$A:$E),4,FALSE)</f>
        <v>UNXMES</v>
      </c>
      <c r="F320" s="23">
        <v>0.39300000000000002</v>
      </c>
      <c r="G320" s="76">
        <f>IF(A320="COMPOSICAO",VLOOKUP("TOTAL SEM BDI - "&amp;B320,CPUAUX2!$A:$J,9,FALSE),VLOOKUP(B320,I!$A:$E,5,FALSE))</f>
        <v>16</v>
      </c>
      <c r="H320" s="77"/>
      <c r="I320" s="76">
        <f t="shared" si="88"/>
        <v>6.28</v>
      </c>
      <c r="J320" s="77"/>
      <c r="M320" s="23">
        <f t="shared" si="89"/>
        <v>40275</v>
      </c>
      <c r="N320" s="23">
        <f>SUMIF(CPU!M:M,B314,CPU!O:O)</f>
        <v>1.3937400000000002</v>
      </c>
      <c r="O320" s="23">
        <f t="shared" si="90"/>
        <v>0.5477398200000001</v>
      </c>
      <c r="Q320" s="23">
        <f ca="1">SUMIF(CPU!M:M,B314,CPU!R:R)</f>
        <v>0.46458000000000005</v>
      </c>
      <c r="R320" s="23">
        <f t="shared" ca="1" si="91"/>
        <v>0.18257994000000002</v>
      </c>
    </row>
    <row r="321" spans="1:18" ht="45" customHeight="1" x14ac:dyDescent="0.3">
      <c r="A321" s="23" t="s">
        <v>1005</v>
      </c>
      <c r="B321" s="23">
        <v>40271</v>
      </c>
      <c r="C321" s="23" t="str">
        <f>VLOOKUP(B321,IF(A321="COMPOSICAO",S!$A:$E,I!$A:$E),2,FALSE)</f>
        <v>SINAPI</v>
      </c>
      <c r="D321" s="24" t="str">
        <f>VLOOKUP(B321,IF(A321="COMPOSICAO",S!$A:$E,I!$A:$E),3,FALSE)</f>
        <v>LOCACAO DE APRUMADOR METALICO DE PILAR, COM ALTURA E ANGULO REGULAVEIS, EXTENSAO DE *1,50* A *2,80* M</v>
      </c>
      <c r="E321" s="23" t="str">
        <f>VLOOKUP(B321,IF(A321="COMPOSICAO",S!$A:$E,I!$A:$E),4,FALSE)</f>
        <v>UNXMES</v>
      </c>
      <c r="F321" s="23">
        <v>0.19600000000000001</v>
      </c>
      <c r="G321" s="76">
        <f>IF(A321="COMPOSICAO",VLOOKUP("TOTAL SEM BDI - "&amp;B321,CPUAUX2!$A:$J,9,FALSE),VLOOKUP(B321,I!$A:$E,5,FALSE))</f>
        <v>15.31</v>
      </c>
      <c r="H321" s="77"/>
      <c r="I321" s="76">
        <f t="shared" si="88"/>
        <v>3</v>
      </c>
      <c r="J321" s="77"/>
      <c r="M321" s="23">
        <f t="shared" si="89"/>
        <v>40271</v>
      </c>
      <c r="N321" s="23">
        <f>SUMIF(CPU!M:M,B314,CPU!O:O)</f>
        <v>1.3937400000000002</v>
      </c>
      <c r="O321" s="23">
        <f t="shared" si="90"/>
        <v>0.27317304000000003</v>
      </c>
      <c r="Q321" s="23">
        <f ca="1">SUMIF(CPU!M:M,B314,CPU!R:R)</f>
        <v>0.46458000000000005</v>
      </c>
      <c r="R321" s="23">
        <f t="shared" ca="1" si="91"/>
        <v>9.1057680000000016E-2</v>
      </c>
    </row>
    <row r="322" spans="1:18" ht="30" customHeight="1" x14ac:dyDescent="0.3">
      <c r="A322" s="23" t="s">
        <v>1005</v>
      </c>
      <c r="B322" s="23">
        <v>2692</v>
      </c>
      <c r="C322" s="23" t="str">
        <f>VLOOKUP(B322,IF(A322="COMPOSICAO",S!$A:$E,I!$A:$E),2,FALSE)</f>
        <v>SINAPI</v>
      </c>
      <c r="D322" s="24" t="str">
        <f>VLOOKUP(B322,IF(A322="COMPOSICAO",S!$A:$E,I!$A:$E),3,FALSE)</f>
        <v>DESMOLDANTE PROTETOR PARA FORMAS DE MADEIRA, DE BASE OLEOSA EMULSIONADA EM AGUA</v>
      </c>
      <c r="E322" s="23" t="str">
        <f>VLOOKUP(B322,IF(A322="COMPOSICAO",S!$A:$E,I!$A:$E),4,FALSE)</f>
        <v>L</v>
      </c>
      <c r="F322" s="23">
        <v>0.01</v>
      </c>
      <c r="G322" s="76">
        <f>IF(A322="COMPOSICAO",VLOOKUP("TOTAL SEM BDI - "&amp;B322,CPUAUX2!$A:$J,9,FALSE),VLOOKUP(B322,I!$A:$E,5,FALSE))</f>
        <v>10.72</v>
      </c>
      <c r="H322" s="77"/>
      <c r="I322" s="76">
        <f t="shared" si="88"/>
        <v>0.1</v>
      </c>
      <c r="J322" s="77"/>
      <c r="M322" s="23">
        <f t="shared" si="89"/>
        <v>2692</v>
      </c>
      <c r="N322" s="23">
        <f>SUMIF(CPU!M:M,B314,CPU!O:O)</f>
        <v>1.3937400000000002</v>
      </c>
      <c r="O322" s="23">
        <f t="shared" si="90"/>
        <v>1.3937400000000003E-2</v>
      </c>
      <c r="Q322" s="23">
        <f ca="1">SUMIF(CPU!M:M,B314,CPU!R:R)</f>
        <v>0.46458000000000005</v>
      </c>
      <c r="R322" s="23">
        <f t="shared" ca="1" si="91"/>
        <v>4.6458000000000003E-3</v>
      </c>
    </row>
    <row r="323" spans="1:18" x14ac:dyDescent="0.3">
      <c r="A323" s="73" t="str">
        <f>"TOTAL SEM BDI - "&amp;B314</f>
        <v>TOTAL SEM BDI - 92415</v>
      </c>
      <c r="B323" s="74"/>
      <c r="C323" s="74"/>
      <c r="D323" s="74"/>
      <c r="E323" s="74"/>
      <c r="F323" s="74"/>
      <c r="G323" s="74"/>
      <c r="H323" s="75"/>
      <c r="I323" s="76">
        <f>SUM(I314:I322)</f>
        <v>149.89999999999998</v>
      </c>
      <c r="J323" s="77"/>
    </row>
    <row r="325" spans="1:18" x14ac:dyDescent="0.3">
      <c r="A325" s="4" t="s">
        <v>1000</v>
      </c>
      <c r="B325" s="4" t="s">
        <v>170</v>
      </c>
      <c r="C325" s="4" t="s">
        <v>171</v>
      </c>
      <c r="D325" s="4" t="s">
        <v>18</v>
      </c>
      <c r="E325" s="4" t="s">
        <v>172</v>
      </c>
      <c r="F325" s="4" t="s">
        <v>507</v>
      </c>
      <c r="G325" s="45" t="s">
        <v>1001</v>
      </c>
      <c r="H325" s="46"/>
      <c r="I325" s="45" t="s">
        <v>12</v>
      </c>
      <c r="J325" s="46"/>
    </row>
    <row r="326" spans="1:18" ht="60" customHeight="1" x14ac:dyDescent="0.3">
      <c r="A326" s="15" t="s">
        <v>1077</v>
      </c>
      <c r="B326" s="15">
        <v>92451</v>
      </c>
      <c r="C326" s="15" t="str">
        <f>VLOOKUP(B326,S!$A:$G,2,FALSE)</f>
        <v>SINAPI</v>
      </c>
      <c r="D326" s="22" t="str">
        <f>VLOOKUP(B326,S!$A:$G,3,FALSE)</f>
        <v>MONTAGEM E DESMONTAGEM DE FÔRMA DE VIGA, ESCORAMENTO COM GARFO DE MADEIRA, PÉ-DIREITO SIMPLES, EM CHAPA DE MADEIRA RESINADA, 2 UTILIZAÇÕES. AF_09/2020</v>
      </c>
      <c r="E326" s="15" t="str">
        <f>VLOOKUP(B326,S!$A:$G,4,FALSE)</f>
        <v>M2</v>
      </c>
      <c r="F326" s="15"/>
      <c r="G326" s="78">
        <f>I334</f>
        <v>210.82999999999998</v>
      </c>
      <c r="H326" s="79"/>
      <c r="I326" s="78"/>
      <c r="J326" s="79"/>
      <c r="K326" s="16">
        <f>VLOOKUP(B326,S!A:G,5,FALSE)</f>
        <v>210.83</v>
      </c>
      <c r="L326" s="15" t="str">
        <f>IF(K326=G326,"OK, CONFORME TABELA",IF(G326&gt;K326,"ACIMA DA TABELA: ","ABAIXO DA TABELA: ")&amp;TRUNC((G326*100)/K326,2)&amp;" %")</f>
        <v>OK, CONFORME TABELA</v>
      </c>
    </row>
    <row r="327" spans="1:18" ht="30" customHeight="1" x14ac:dyDescent="0.3">
      <c r="A327" s="23" t="s">
        <v>1004</v>
      </c>
      <c r="B327" s="23">
        <v>92272</v>
      </c>
      <c r="C327" s="23" t="str">
        <f>VLOOKUP(B327,IF(A327="COMPOSICAO",S!$A:$E,I!$A:$E),2,FALSE)</f>
        <v>SINAPI</v>
      </c>
      <c r="D327" s="24" t="str">
        <f>VLOOKUP(B327,IF(A327="COMPOSICAO",S!$A:$E,I!$A:$E),3,FALSE)</f>
        <v>FABRICAÇÃO DE ESCORAS DE VIGA DO TIPO GARFO, EM MADEIRA. AF_09/2020</v>
      </c>
      <c r="E327" s="23" t="str">
        <f>VLOOKUP(B327,IF(A327="COMPOSICAO",S!$A:$E,I!$A:$E),4,FALSE)</f>
        <v>M</v>
      </c>
      <c r="F327" s="23">
        <v>1.8160000000000001</v>
      </c>
      <c r="G327" s="76">
        <f>IF(A327="COMPOSICAO",VLOOKUP("TOTAL SEM BDI - "&amp;B327,CPUAUX2!$A:$J,9,FALSE),VLOOKUP(B327,I!$A:$E,5,FALSE))</f>
        <v>44.38</v>
      </c>
      <c r="H327" s="77"/>
      <c r="I327" s="76">
        <f t="shared" ref="I327:I333" si="92">TRUNC(F327*G327,2)</f>
        <v>80.59</v>
      </c>
      <c r="J327" s="77"/>
      <c r="M327" s="23">
        <f t="shared" ref="M327:M333" si="93">B327</f>
        <v>92272</v>
      </c>
      <c r="N327" s="23">
        <f>SUMIF(CPU!M:M,B326,CPU!O:O)</f>
        <v>4.64724</v>
      </c>
      <c r="O327" s="23">
        <f t="shared" ref="O327:O333" si="94">F327*N327</f>
        <v>8.4393878400000002</v>
      </c>
      <c r="Q327" s="23">
        <f ca="1">SUMIF(CPU!M:M,B326,CPU!R:R)</f>
        <v>1.5490800000000002</v>
      </c>
      <c r="R327" s="23">
        <f t="shared" ref="R327:R333" ca="1" si="95">F327*Q327</f>
        <v>2.8131292800000005</v>
      </c>
    </row>
    <row r="328" spans="1:18" ht="45" customHeight="1" x14ac:dyDescent="0.3">
      <c r="A328" s="23" t="s">
        <v>1004</v>
      </c>
      <c r="B328" s="23">
        <v>92265</v>
      </c>
      <c r="C328" s="23" t="str">
        <f>VLOOKUP(B328,IF(A328="COMPOSICAO",S!$A:$E,I!$A:$E),2,FALSE)</f>
        <v>SINAPI</v>
      </c>
      <c r="D328" s="24" t="str">
        <f>VLOOKUP(B328,IF(A328="COMPOSICAO",S!$A:$E,I!$A:$E),3,FALSE)</f>
        <v>FABRICAÇÃO DE FÔRMA PARA VIGAS, EM CHAPA DE MADEIRA COMPENSADA RESINADA, E = 17 MM. AF_09/2020</v>
      </c>
      <c r="E328" s="23" t="str">
        <f>VLOOKUP(B328,IF(A328="COMPOSICAO",S!$A:$E,I!$A:$E),4,FALSE)</f>
        <v>M2</v>
      </c>
      <c r="F328" s="23">
        <v>0.626</v>
      </c>
      <c r="G328" s="76">
        <f>IF(A328="COMPOSICAO",VLOOKUP("TOTAL SEM BDI - "&amp;B328,CPUAUX2!$A:$J,9,FALSE),VLOOKUP(B328,I!$A:$E,5,FALSE))</f>
        <v>139.73000000000002</v>
      </c>
      <c r="H328" s="77"/>
      <c r="I328" s="76">
        <f t="shared" si="92"/>
        <v>87.47</v>
      </c>
      <c r="J328" s="77"/>
      <c r="M328" s="23">
        <f t="shared" si="93"/>
        <v>92265</v>
      </c>
      <c r="N328" s="23">
        <f>SUMIF(CPU!M:M,B326,CPU!O:O)</f>
        <v>4.64724</v>
      </c>
      <c r="O328" s="23">
        <f t="shared" si="94"/>
        <v>2.9091722400000002</v>
      </c>
      <c r="Q328" s="23">
        <f ca="1">SUMIF(CPU!M:M,B326,CPU!R:R)</f>
        <v>1.5490800000000002</v>
      </c>
      <c r="R328" s="23">
        <f t="shared" ca="1" si="95"/>
        <v>0.9697240800000001</v>
      </c>
    </row>
    <row r="329" spans="1:18" ht="30" customHeight="1" x14ac:dyDescent="0.3">
      <c r="A329" s="23" t="s">
        <v>1004</v>
      </c>
      <c r="B329" s="23">
        <v>88262</v>
      </c>
      <c r="C329" s="23" t="str">
        <f>VLOOKUP(B329,IF(A329="COMPOSICAO",S!$A:$E,I!$A:$E),2,FALSE)</f>
        <v>SINAPI</v>
      </c>
      <c r="D329" s="24" t="str">
        <f>VLOOKUP(B329,IF(A329="COMPOSICAO",S!$A:$E,I!$A:$E),3,FALSE)</f>
        <v>CARPINTEIRO DE FORMAS COM ENCARGOS COMPLEMENTARES</v>
      </c>
      <c r="E329" s="23" t="str">
        <f>VLOOKUP(B329,IF(A329="COMPOSICAO",S!$A:$E,I!$A:$E),4,FALSE)</f>
        <v>H</v>
      </c>
      <c r="F329" s="23">
        <f>1.12/pcf</f>
        <v>1.1200000000000001</v>
      </c>
      <c r="G329" s="76">
        <f>IF(A329="COMPOSICAO",VLOOKUP("TOTAL SEM BDI - "&amp;B329,CPUAUX2!$A:$J,9,FALSE),VLOOKUP(B329,I!$A:$E,5,FALSE))</f>
        <v>26.97</v>
      </c>
      <c r="H329" s="77"/>
      <c r="I329" s="76">
        <f t="shared" si="92"/>
        <v>30.2</v>
      </c>
      <c r="J329" s="77"/>
      <c r="M329" s="23">
        <f t="shared" si="93"/>
        <v>88262</v>
      </c>
      <c r="N329" s="23">
        <f>SUMIF(CPU!M:M,B326,CPU!O:O)</f>
        <v>4.64724</v>
      </c>
      <c r="O329" s="23">
        <f t="shared" si="94"/>
        <v>5.2049088000000001</v>
      </c>
      <c r="Q329" s="23">
        <f ca="1">SUMIF(CPU!M:M,B326,CPU!R:R)</f>
        <v>1.5490800000000002</v>
      </c>
      <c r="R329" s="23">
        <f t="shared" ca="1" si="95"/>
        <v>1.7349696000000003</v>
      </c>
    </row>
    <row r="330" spans="1:18" ht="30" customHeight="1" x14ac:dyDescent="0.3">
      <c r="A330" s="23" t="s">
        <v>1004</v>
      </c>
      <c r="B330" s="23">
        <v>88239</v>
      </c>
      <c r="C330" s="23" t="str">
        <f>VLOOKUP(B330,IF(A330="COMPOSICAO",S!$A:$E,I!$A:$E),2,FALSE)</f>
        <v>SINAPI</v>
      </c>
      <c r="D330" s="24" t="str">
        <f>VLOOKUP(B330,IF(A330="COMPOSICAO",S!$A:$E,I!$A:$E),3,FALSE)</f>
        <v>AJUDANTE DE CARPINTEIRO COM ENCARGOS COMPLEMENTARES</v>
      </c>
      <c r="E330" s="23" t="str">
        <f>VLOOKUP(B330,IF(A330="COMPOSICAO",S!$A:$E,I!$A:$E),4,FALSE)</f>
        <v>H</v>
      </c>
      <c r="F330" s="23">
        <f>0.205/pcf</f>
        <v>0.20499999999999999</v>
      </c>
      <c r="G330" s="76">
        <f>IF(A330="COMPOSICAO",VLOOKUP("TOTAL SEM BDI - "&amp;B330,CPUAUX2!$A:$J,9,FALSE),VLOOKUP(B330,I!$A:$E,5,FALSE))</f>
        <v>22.2</v>
      </c>
      <c r="H330" s="77"/>
      <c r="I330" s="76">
        <f t="shared" si="92"/>
        <v>4.55</v>
      </c>
      <c r="J330" s="77"/>
      <c r="M330" s="23">
        <f t="shared" si="93"/>
        <v>88239</v>
      </c>
      <c r="N330" s="23">
        <f>SUMIF(CPU!M:M,B326,CPU!O:O)</f>
        <v>4.64724</v>
      </c>
      <c r="O330" s="23">
        <f t="shared" si="94"/>
        <v>0.95268419999999998</v>
      </c>
      <c r="Q330" s="23">
        <f ca="1">SUMIF(CPU!M:M,B326,CPU!R:R)</f>
        <v>1.5490800000000002</v>
      </c>
      <c r="R330" s="23">
        <f t="shared" ca="1" si="95"/>
        <v>0.31756140000000005</v>
      </c>
    </row>
    <row r="331" spans="1:18" ht="30" customHeight="1" x14ac:dyDescent="0.3">
      <c r="A331" s="23" t="s">
        <v>1005</v>
      </c>
      <c r="B331" s="23">
        <v>40304</v>
      </c>
      <c r="C331" s="23" t="str">
        <f>VLOOKUP(B331,IF(A331="COMPOSICAO",S!$A:$E,I!$A:$E),2,FALSE)</f>
        <v>SINAPI</v>
      </c>
      <c r="D331" s="24" t="str">
        <f>VLOOKUP(B331,IF(A331="COMPOSICAO",S!$A:$E,I!$A:$E),3,FALSE)</f>
        <v>PREGO DE ACO POLIDO COM CABECA DUPLA 17 X 27 (2 1/2 X 11)</v>
      </c>
      <c r="E331" s="23" t="str">
        <f>VLOOKUP(B331,IF(A331="COMPOSICAO",S!$A:$E,I!$A:$E),4,FALSE)</f>
        <v>KG</v>
      </c>
      <c r="F331" s="23">
        <v>4.9000000000000002E-2</v>
      </c>
      <c r="G331" s="76">
        <f>IF(A331="COMPOSICAO",VLOOKUP("TOTAL SEM BDI - "&amp;B331,CPUAUX2!$A:$J,9,FALSE),VLOOKUP(B331,I!$A:$E,5,FALSE))</f>
        <v>25.11</v>
      </c>
      <c r="H331" s="77"/>
      <c r="I331" s="76">
        <f t="shared" si="92"/>
        <v>1.23</v>
      </c>
      <c r="J331" s="77"/>
      <c r="M331" s="23">
        <f t="shared" si="93"/>
        <v>40304</v>
      </c>
      <c r="N331" s="23">
        <f>SUMIF(CPU!M:M,B326,CPU!O:O)</f>
        <v>4.64724</v>
      </c>
      <c r="O331" s="23">
        <f t="shared" si="94"/>
        <v>0.22771476000000002</v>
      </c>
      <c r="Q331" s="23">
        <f ca="1">SUMIF(CPU!M:M,B326,CPU!R:R)</f>
        <v>1.5490800000000002</v>
      </c>
      <c r="R331" s="23">
        <f t="shared" ca="1" si="95"/>
        <v>7.5904920000000015E-2</v>
      </c>
    </row>
    <row r="332" spans="1:18" ht="45" customHeight="1" x14ac:dyDescent="0.3">
      <c r="A332" s="23" t="s">
        <v>1005</v>
      </c>
      <c r="B332" s="23">
        <v>6193</v>
      </c>
      <c r="C332" s="23" t="str">
        <f>VLOOKUP(B332,IF(A332="COMPOSICAO",S!$A:$E,I!$A:$E),2,FALSE)</f>
        <v>SINAPI</v>
      </c>
      <c r="D332" s="24" t="str">
        <f>VLOOKUP(B332,IF(A332="COMPOSICAO",S!$A:$E,I!$A:$E),3,FALSE)</f>
        <v>TABUA NAO APARELHADA *2,5 X 20* CM, EM MACARANDUBA/MASSARANDUBA, ANGELIM OU EQUIVALENTE DA REGIAO - BRUTA</v>
      </c>
      <c r="E332" s="23" t="str">
        <f>VLOOKUP(B332,IF(A332="COMPOSICAO",S!$A:$E,I!$A:$E),4,FALSE)</f>
        <v>M</v>
      </c>
      <c r="F332" s="23">
        <v>0.47399999999999998</v>
      </c>
      <c r="G332" s="76">
        <f>IF(A332="COMPOSICAO",VLOOKUP("TOTAL SEM BDI - "&amp;B332,CPUAUX2!$A:$J,9,FALSE),VLOOKUP(B332,I!$A:$E,5,FALSE))</f>
        <v>14.13</v>
      </c>
      <c r="H332" s="77"/>
      <c r="I332" s="76">
        <f t="shared" si="92"/>
        <v>6.69</v>
      </c>
      <c r="J332" s="77"/>
      <c r="M332" s="23">
        <f t="shared" si="93"/>
        <v>6193</v>
      </c>
      <c r="N332" s="23">
        <f>SUMIF(CPU!M:M,B326,CPU!O:O)</f>
        <v>4.64724</v>
      </c>
      <c r="O332" s="23">
        <f t="shared" si="94"/>
        <v>2.2027917599999998</v>
      </c>
      <c r="Q332" s="23">
        <f ca="1">SUMIF(CPU!M:M,B326,CPU!R:R)</f>
        <v>1.5490800000000002</v>
      </c>
      <c r="R332" s="23">
        <f t="shared" ca="1" si="95"/>
        <v>0.73426392000000007</v>
      </c>
    </row>
    <row r="333" spans="1:18" ht="30" customHeight="1" x14ac:dyDescent="0.3">
      <c r="A333" s="23" t="s">
        <v>1005</v>
      </c>
      <c r="B333" s="23">
        <v>2692</v>
      </c>
      <c r="C333" s="23" t="str">
        <f>VLOOKUP(B333,IF(A333="COMPOSICAO",S!$A:$E,I!$A:$E),2,FALSE)</f>
        <v>SINAPI</v>
      </c>
      <c r="D333" s="24" t="str">
        <f>VLOOKUP(B333,IF(A333="COMPOSICAO",S!$A:$E,I!$A:$E),3,FALSE)</f>
        <v>DESMOLDANTE PROTETOR PARA FORMAS DE MADEIRA, DE BASE OLEOSA EMULSIONADA EM AGUA</v>
      </c>
      <c r="E333" s="23" t="str">
        <f>VLOOKUP(B333,IF(A333="COMPOSICAO",S!$A:$E,I!$A:$E),4,FALSE)</f>
        <v>L</v>
      </c>
      <c r="F333" s="23">
        <v>0.01</v>
      </c>
      <c r="G333" s="76">
        <f>IF(A333="COMPOSICAO",VLOOKUP("TOTAL SEM BDI - "&amp;B333,CPUAUX2!$A:$J,9,FALSE),VLOOKUP(B333,I!$A:$E,5,FALSE))</f>
        <v>10.72</v>
      </c>
      <c r="H333" s="77"/>
      <c r="I333" s="76">
        <f t="shared" si="92"/>
        <v>0.1</v>
      </c>
      <c r="J333" s="77"/>
      <c r="M333" s="23">
        <f t="shared" si="93"/>
        <v>2692</v>
      </c>
      <c r="N333" s="23">
        <f>SUMIF(CPU!M:M,B326,CPU!O:O)</f>
        <v>4.64724</v>
      </c>
      <c r="O333" s="23">
        <f t="shared" si="94"/>
        <v>4.6472400000000004E-2</v>
      </c>
      <c r="Q333" s="23">
        <f ca="1">SUMIF(CPU!M:M,B326,CPU!R:R)</f>
        <v>1.5490800000000002</v>
      </c>
      <c r="R333" s="23">
        <f t="shared" ca="1" si="95"/>
        <v>1.5490800000000002E-2</v>
      </c>
    </row>
    <row r="334" spans="1:18" x14ac:dyDescent="0.3">
      <c r="A334" s="73" t="str">
        <f>"TOTAL SEM BDI - "&amp;B326</f>
        <v>TOTAL SEM BDI - 92451</v>
      </c>
      <c r="B334" s="74"/>
      <c r="C334" s="74"/>
      <c r="D334" s="74"/>
      <c r="E334" s="74"/>
      <c r="F334" s="74"/>
      <c r="G334" s="74"/>
      <c r="H334" s="75"/>
      <c r="I334" s="76">
        <f>SUM(I326:I333)</f>
        <v>210.82999999999998</v>
      </c>
      <c r="J334" s="77"/>
    </row>
    <row r="336" spans="1:18" x14ac:dyDescent="0.3">
      <c r="A336" s="4" t="s">
        <v>1000</v>
      </c>
      <c r="B336" s="4" t="s">
        <v>170</v>
      </c>
      <c r="C336" s="4" t="s">
        <v>171</v>
      </c>
      <c r="D336" s="4" t="s">
        <v>18</v>
      </c>
      <c r="E336" s="4" t="s">
        <v>172</v>
      </c>
      <c r="F336" s="4" t="s">
        <v>507</v>
      </c>
      <c r="G336" s="45" t="s">
        <v>1001</v>
      </c>
      <c r="H336" s="46"/>
      <c r="I336" s="45" t="s">
        <v>12</v>
      </c>
      <c r="J336" s="46"/>
    </row>
    <row r="337" spans="1:18" ht="45" customHeight="1" x14ac:dyDescent="0.3">
      <c r="A337" s="15" t="s">
        <v>1078</v>
      </c>
      <c r="B337" s="15">
        <v>92759</v>
      </c>
      <c r="C337" s="15" t="str">
        <f>VLOOKUP(B337,S!$A:$G,2,FALSE)</f>
        <v>SINAPI</v>
      </c>
      <c r="D337" s="22" t="str">
        <f>VLOOKUP(B337,S!$A:$G,3,FALSE)</f>
        <v>ARMAÇÃO DE PILAR OU VIGA DE ESTRUTURA CONVENCIONAL DE CONCRETO ARMADO UTILIZANDO AÇO CA-60 DE 5,0 MM - MONTAGEM. AF_06/2022</v>
      </c>
      <c r="E337" s="15" t="str">
        <f>VLOOKUP(B337,S!$A:$G,4,FALSE)</f>
        <v>KG</v>
      </c>
      <c r="F337" s="15"/>
      <c r="G337" s="78">
        <f>I343</f>
        <v>14.190000000000001</v>
      </c>
      <c r="H337" s="79"/>
      <c r="I337" s="78"/>
      <c r="J337" s="79"/>
      <c r="K337" s="16">
        <f>VLOOKUP(B337,S!A:G,5,FALSE)</f>
        <v>14.19</v>
      </c>
      <c r="L337" s="15" t="str">
        <f>IF(K337=G337,"OK, CONFORME TABELA",IF(G337&gt;K337,"ACIMA DA TABELA: ","ABAIXO DA TABELA: ")&amp;TRUNC((G337*100)/K337,2)&amp;" %")</f>
        <v>OK, CONFORME TABELA</v>
      </c>
    </row>
    <row r="338" spans="1:18" ht="30" customHeight="1" x14ac:dyDescent="0.3">
      <c r="A338" s="23" t="s">
        <v>1004</v>
      </c>
      <c r="B338" s="23">
        <v>92800</v>
      </c>
      <c r="C338" s="23" t="str">
        <f>VLOOKUP(B338,IF(A338="COMPOSICAO",S!$A:$E,I!$A:$E),2,FALSE)</f>
        <v>SINAPI</v>
      </c>
      <c r="D338" s="24" t="str">
        <f>VLOOKUP(B338,IF(A338="COMPOSICAO",S!$A:$E,I!$A:$E),3,FALSE)</f>
        <v>CORTE E DOBRA DE AÇO CA-60, DIÂMETRO DE 5,0 MM. AF_06/2022</v>
      </c>
      <c r="E338" s="23" t="str">
        <f>VLOOKUP(B338,IF(A338="COMPOSICAO",S!$A:$E,I!$A:$E),4,FALSE)</f>
        <v>KG</v>
      </c>
      <c r="F338" s="23">
        <v>1</v>
      </c>
      <c r="G338" s="76">
        <f>IF(A338="COMPOSICAO",VLOOKUP("TOTAL SEM BDI - "&amp;B338,CPUAUX2!$A:$J,9,FALSE),VLOOKUP(B338,I!$A:$E,5,FALSE))</f>
        <v>10.09</v>
      </c>
      <c r="H338" s="77"/>
      <c r="I338" s="76">
        <f>TRUNC(F338*G338,2)</f>
        <v>10.09</v>
      </c>
      <c r="J338" s="77"/>
      <c r="M338" s="23">
        <f>B338</f>
        <v>92800</v>
      </c>
      <c r="N338" s="23">
        <f>SUMIF(CPU!M:M,B337,CPU!O:O)</f>
        <v>4.9827600000000007</v>
      </c>
      <c r="O338" s="23">
        <f>F338*N338</f>
        <v>4.9827600000000007</v>
      </c>
      <c r="Q338" s="23">
        <f ca="1">SUMIF(CPU!M:M,B337,CPU!R:R)</f>
        <v>1.6609200000000004</v>
      </c>
      <c r="R338" s="23">
        <f ca="1">F338*Q338</f>
        <v>1.6609200000000004</v>
      </c>
    </row>
    <row r="339" spans="1:18" x14ac:dyDescent="0.3">
      <c r="A339" s="23" t="s">
        <v>1004</v>
      </c>
      <c r="B339" s="23">
        <v>88245</v>
      </c>
      <c r="C339" s="23" t="str">
        <f>VLOOKUP(B339,IF(A339="COMPOSICAO",S!$A:$E,I!$A:$E),2,FALSE)</f>
        <v>SINAPI</v>
      </c>
      <c r="D339" s="24" t="str">
        <f>VLOOKUP(B339,IF(A339="COMPOSICAO",S!$A:$E,I!$A:$E),3,FALSE)</f>
        <v>ARMADOR COM ENCARGOS COMPLEMENTARES</v>
      </c>
      <c r="E339" s="23" t="str">
        <f>VLOOKUP(B339,IF(A339="COMPOSICAO",S!$A:$E,I!$A:$E),4,FALSE)</f>
        <v>H</v>
      </c>
      <c r="F339" s="23">
        <f>0.1069/pcf</f>
        <v>0.1069</v>
      </c>
      <c r="G339" s="76">
        <f>IF(A339="COMPOSICAO",VLOOKUP("TOTAL SEM BDI - "&amp;B339,CPUAUX2!$A:$J,9,FALSE),VLOOKUP(B339,I!$A:$E,5,FALSE))</f>
        <v>27.189999999999998</v>
      </c>
      <c r="H339" s="77"/>
      <c r="I339" s="76">
        <f>TRUNC(F339*G339,2)</f>
        <v>2.9</v>
      </c>
      <c r="J339" s="77"/>
      <c r="M339" s="23">
        <f>B339</f>
        <v>88245</v>
      </c>
      <c r="N339" s="23">
        <f>SUMIF(CPU!M:M,B337,CPU!O:O)</f>
        <v>4.9827600000000007</v>
      </c>
      <c r="O339" s="23">
        <f>F339*N339</f>
        <v>0.53265704400000002</v>
      </c>
      <c r="Q339" s="23">
        <f ca="1">SUMIF(CPU!M:M,B337,CPU!R:R)</f>
        <v>1.6609200000000004</v>
      </c>
      <c r="R339" s="23">
        <f ca="1">F339*Q339</f>
        <v>0.17755234800000003</v>
      </c>
    </row>
    <row r="340" spans="1:18" ht="30" customHeight="1" x14ac:dyDescent="0.3">
      <c r="A340" s="23" t="s">
        <v>1004</v>
      </c>
      <c r="B340" s="23">
        <v>88238</v>
      </c>
      <c r="C340" s="23" t="str">
        <f>VLOOKUP(B340,IF(A340="COMPOSICAO",S!$A:$E,I!$A:$E),2,FALSE)</f>
        <v>SINAPI</v>
      </c>
      <c r="D340" s="24" t="str">
        <f>VLOOKUP(B340,IF(A340="COMPOSICAO",S!$A:$E,I!$A:$E),3,FALSE)</f>
        <v>AJUDANTE DE ARMADOR COM ENCARGOS COMPLEMENTARES</v>
      </c>
      <c r="E340" s="23" t="str">
        <f>VLOOKUP(B340,IF(A340="COMPOSICAO",S!$A:$E,I!$A:$E),4,FALSE)</f>
        <v>H</v>
      </c>
      <c r="F340" s="23">
        <f>0.0175/pcf</f>
        <v>1.7500000000000002E-2</v>
      </c>
      <c r="G340" s="76">
        <f>IF(A340="COMPOSICAO",VLOOKUP("TOTAL SEM BDI - "&amp;B340,CPUAUX2!$A:$J,9,FALSE),VLOOKUP(B340,I!$A:$E,5,FALSE))</f>
        <v>22.37</v>
      </c>
      <c r="H340" s="77"/>
      <c r="I340" s="76">
        <f>TRUNC(F340*G340,2)</f>
        <v>0.39</v>
      </c>
      <c r="J340" s="77"/>
      <c r="M340" s="23">
        <f>B340</f>
        <v>88238</v>
      </c>
      <c r="N340" s="23">
        <f>SUMIF(CPU!M:M,B337,CPU!O:O)</f>
        <v>4.9827600000000007</v>
      </c>
      <c r="O340" s="23">
        <f>F340*N340</f>
        <v>8.719830000000002E-2</v>
      </c>
      <c r="Q340" s="23">
        <f ca="1">SUMIF(CPU!M:M,B337,CPU!R:R)</f>
        <v>1.6609200000000004</v>
      </c>
      <c r="R340" s="23">
        <f ca="1">F340*Q340</f>
        <v>2.9066100000000011E-2</v>
      </c>
    </row>
    <row r="341" spans="1:18" ht="30" customHeight="1" x14ac:dyDescent="0.3">
      <c r="A341" s="23" t="s">
        <v>1005</v>
      </c>
      <c r="B341" s="23">
        <v>43132</v>
      </c>
      <c r="C341" s="23" t="str">
        <f>VLOOKUP(B341,IF(A341="COMPOSICAO",S!$A:$E,I!$A:$E),2,FALSE)</f>
        <v>SINAPI</v>
      </c>
      <c r="D341" s="24" t="str">
        <f>VLOOKUP(B341,IF(A341="COMPOSICAO",S!$A:$E,I!$A:$E),3,FALSE)</f>
        <v>ARAME RECOZIDO 16 BWG, D = 1,65 MM (0,016 KG/M) OU 18 BWG, D = 1,25 MM (0,01 KG/M)</v>
      </c>
      <c r="E341" s="23" t="str">
        <f>VLOOKUP(B341,IF(A341="COMPOSICAO",S!$A:$E,I!$A:$E),4,FALSE)</f>
        <v>KG</v>
      </c>
      <c r="F341" s="23">
        <v>2.5000000000000001E-2</v>
      </c>
      <c r="G341" s="76">
        <f>IF(A341="COMPOSICAO",VLOOKUP("TOTAL SEM BDI - "&amp;B341,CPUAUX2!$A:$J,9,FALSE),VLOOKUP(B341,I!$A:$E,5,FALSE))</f>
        <v>22.18</v>
      </c>
      <c r="H341" s="77"/>
      <c r="I341" s="76">
        <f>TRUNC(F341*G341,2)</f>
        <v>0.55000000000000004</v>
      </c>
      <c r="J341" s="77"/>
      <c r="M341" s="23">
        <f>B341</f>
        <v>43132</v>
      </c>
      <c r="N341" s="23">
        <f>SUMIF(CPU!M:M,B337,CPU!O:O)</f>
        <v>4.9827600000000007</v>
      </c>
      <c r="O341" s="23">
        <f>F341*N341</f>
        <v>0.12456900000000003</v>
      </c>
      <c r="Q341" s="23">
        <f ca="1">SUMIF(CPU!M:M,B337,CPU!R:R)</f>
        <v>1.6609200000000004</v>
      </c>
      <c r="R341" s="23">
        <f ca="1">F341*Q341</f>
        <v>4.1523000000000011E-2</v>
      </c>
    </row>
    <row r="342" spans="1:18" ht="45" customHeight="1" x14ac:dyDescent="0.3">
      <c r="A342" s="23" t="s">
        <v>1005</v>
      </c>
      <c r="B342" s="23">
        <v>39017</v>
      </c>
      <c r="C342" s="23" t="str">
        <f>VLOOKUP(B342,IF(A342="COMPOSICAO",S!$A:$E,I!$A:$E),2,FALSE)</f>
        <v>SINAPI</v>
      </c>
      <c r="D342" s="24" t="str">
        <f>VLOOKUP(B342,IF(A342="COMPOSICAO",S!$A:$E,I!$A:$E),3,FALSE)</f>
        <v>ESPACADOR / DISTANCIADOR CIRCULAR COM ENTRADA LATERAL, EM PLASTICO, PARA VERGALHAO *4,2 A 12,5* MM, COBRIMENTO 20 MM</v>
      </c>
      <c r="E342" s="23" t="str">
        <f>VLOOKUP(B342,IF(A342="COMPOSICAO",S!$A:$E,I!$A:$E),4,FALSE)</f>
        <v>UN</v>
      </c>
      <c r="F342" s="23">
        <v>1.19</v>
      </c>
      <c r="G342" s="76">
        <f>IF(A342="COMPOSICAO",VLOOKUP("TOTAL SEM BDI - "&amp;B342,CPUAUX2!$A:$J,9,FALSE),VLOOKUP(B342,I!$A:$E,5,FALSE))</f>
        <v>0.22</v>
      </c>
      <c r="H342" s="77"/>
      <c r="I342" s="76">
        <f>TRUNC(F342*G342,2)</f>
        <v>0.26</v>
      </c>
      <c r="J342" s="77"/>
      <c r="M342" s="23">
        <f>B342</f>
        <v>39017</v>
      </c>
      <c r="N342" s="23">
        <f>SUMIF(CPU!M:M,B337,CPU!O:O)</f>
        <v>4.9827600000000007</v>
      </c>
      <c r="O342" s="23">
        <f>F342*N342</f>
        <v>5.9294844000000007</v>
      </c>
      <c r="Q342" s="23">
        <f ca="1">SUMIF(CPU!M:M,B337,CPU!R:R)</f>
        <v>1.6609200000000004</v>
      </c>
      <c r="R342" s="23">
        <f ca="1">F342*Q342</f>
        <v>1.9764948000000004</v>
      </c>
    </row>
    <row r="343" spans="1:18" x14ac:dyDescent="0.3">
      <c r="A343" s="73" t="str">
        <f>"TOTAL SEM BDI - "&amp;B337</f>
        <v>TOTAL SEM BDI - 92759</v>
      </c>
      <c r="B343" s="74"/>
      <c r="C343" s="74"/>
      <c r="D343" s="74"/>
      <c r="E343" s="74"/>
      <c r="F343" s="74"/>
      <c r="G343" s="74"/>
      <c r="H343" s="75"/>
      <c r="I343" s="76">
        <f>SUM(I337:I342)</f>
        <v>14.190000000000001</v>
      </c>
      <c r="J343" s="77"/>
    </row>
    <row r="345" spans="1:18" x14ac:dyDescent="0.3">
      <c r="A345" s="4" t="s">
        <v>1000</v>
      </c>
      <c r="B345" s="4" t="s">
        <v>170</v>
      </c>
      <c r="C345" s="4" t="s">
        <v>171</v>
      </c>
      <c r="D345" s="4" t="s">
        <v>18</v>
      </c>
      <c r="E345" s="4" t="s">
        <v>172</v>
      </c>
      <c r="F345" s="4" t="s">
        <v>507</v>
      </c>
      <c r="G345" s="45" t="s">
        <v>1001</v>
      </c>
      <c r="H345" s="46"/>
      <c r="I345" s="45" t="s">
        <v>12</v>
      </c>
      <c r="J345" s="46"/>
    </row>
    <row r="346" spans="1:18" ht="45" customHeight="1" x14ac:dyDescent="0.3">
      <c r="A346" s="15" t="s">
        <v>1078</v>
      </c>
      <c r="B346" s="15">
        <v>92760</v>
      </c>
      <c r="C346" s="15" t="str">
        <f>VLOOKUP(B346,S!$A:$G,2,FALSE)</f>
        <v>SINAPI</v>
      </c>
      <c r="D346" s="22" t="str">
        <f>VLOOKUP(B346,S!$A:$G,3,FALSE)</f>
        <v>ARMAÇÃO DE PILAR OU VIGA DE ESTRUTURA CONVENCIONAL DE CONCRETO ARMADO UTILIZANDO AÇO CA-50 DE 6,3 MM - MONTAGEM. AF_06/2022</v>
      </c>
      <c r="E346" s="15" t="str">
        <f>VLOOKUP(B346,S!$A:$G,4,FALSE)</f>
        <v>KG</v>
      </c>
      <c r="F346" s="15"/>
      <c r="G346" s="78">
        <f>I352</f>
        <v>13.390000000000002</v>
      </c>
      <c r="H346" s="79"/>
      <c r="I346" s="78"/>
      <c r="J346" s="79"/>
      <c r="K346" s="16">
        <f>VLOOKUP(B346,S!A:G,5,FALSE)</f>
        <v>13.39</v>
      </c>
      <c r="L346" s="15" t="str">
        <f>IF(K346=G346,"OK, CONFORME TABELA",IF(G346&gt;K346,"ACIMA DA TABELA: ","ABAIXO DA TABELA: ")&amp;TRUNC((G346*100)/K346,2)&amp;" %")</f>
        <v>OK, CONFORME TABELA</v>
      </c>
    </row>
    <row r="347" spans="1:18" ht="30" customHeight="1" x14ac:dyDescent="0.3">
      <c r="A347" s="23" t="s">
        <v>1004</v>
      </c>
      <c r="B347" s="23">
        <v>92801</v>
      </c>
      <c r="C347" s="23" t="str">
        <f>VLOOKUP(B347,IF(A347="COMPOSICAO",S!$A:$E,I!$A:$E),2,FALSE)</f>
        <v>SINAPI</v>
      </c>
      <c r="D347" s="24" t="str">
        <f>VLOOKUP(B347,IF(A347="COMPOSICAO",S!$A:$E,I!$A:$E),3,FALSE)</f>
        <v>CORTE E DOBRA DE AÇO CA-50, DIÂMETRO DE 6,3 MM. AF_06/2022</v>
      </c>
      <c r="E347" s="23" t="str">
        <f>VLOOKUP(B347,IF(A347="COMPOSICAO",S!$A:$E,I!$A:$E),4,FALSE)</f>
        <v>KG</v>
      </c>
      <c r="F347" s="23">
        <v>1</v>
      </c>
      <c r="G347" s="76">
        <f>IF(A347="COMPOSICAO",VLOOKUP("TOTAL SEM BDI - "&amp;B347,CPUAUX2!$A:$J,9,FALSE),VLOOKUP(B347,I!$A:$E,5,FALSE))</f>
        <v>10.209999999999999</v>
      </c>
      <c r="H347" s="77"/>
      <c r="I347" s="76">
        <f>TRUNC(F347*G347,2)</f>
        <v>10.210000000000001</v>
      </c>
      <c r="J347" s="77"/>
      <c r="M347" s="23">
        <f>B347</f>
        <v>92801</v>
      </c>
      <c r="N347" s="23">
        <f>SUMIF(CPU!M:M,B346,CPU!O:O)</f>
        <v>4.8423600000000002</v>
      </c>
      <c r="O347" s="23">
        <f>F347*N347</f>
        <v>4.8423600000000002</v>
      </c>
      <c r="Q347" s="23">
        <f ca="1">SUMIF(CPU!M:M,B346,CPU!R:R)</f>
        <v>1.6141200000000002</v>
      </c>
      <c r="R347" s="23">
        <f ca="1">F347*Q347</f>
        <v>1.6141200000000002</v>
      </c>
    </row>
    <row r="348" spans="1:18" x14ac:dyDescent="0.3">
      <c r="A348" s="23" t="s">
        <v>1004</v>
      </c>
      <c r="B348" s="23">
        <v>88245</v>
      </c>
      <c r="C348" s="23" t="str">
        <f>VLOOKUP(B348,IF(A348="COMPOSICAO",S!$A:$E,I!$A:$E),2,FALSE)</f>
        <v>SINAPI</v>
      </c>
      <c r="D348" s="24" t="str">
        <f>VLOOKUP(B348,IF(A348="COMPOSICAO",S!$A:$E,I!$A:$E),3,FALSE)</f>
        <v>ARMADOR COM ENCARGOS COMPLEMENTARES</v>
      </c>
      <c r="E348" s="23" t="str">
        <f>VLOOKUP(B348,IF(A348="COMPOSICAO",S!$A:$E,I!$A:$E),4,FALSE)</f>
        <v>H</v>
      </c>
      <c r="F348" s="23">
        <f>0.079/pcf</f>
        <v>7.9000000000000001E-2</v>
      </c>
      <c r="G348" s="76">
        <f>IF(A348="COMPOSICAO",VLOOKUP("TOTAL SEM BDI - "&amp;B348,CPUAUX2!$A:$J,9,FALSE),VLOOKUP(B348,I!$A:$E,5,FALSE))</f>
        <v>27.189999999999998</v>
      </c>
      <c r="H348" s="77"/>
      <c r="I348" s="76">
        <f>TRUNC(F348*G348,2)</f>
        <v>2.14</v>
      </c>
      <c r="J348" s="77"/>
      <c r="M348" s="23">
        <f>B348</f>
        <v>88245</v>
      </c>
      <c r="N348" s="23">
        <f>SUMIF(CPU!M:M,B346,CPU!O:O)</f>
        <v>4.8423600000000002</v>
      </c>
      <c r="O348" s="23">
        <f>F348*N348</f>
        <v>0.38254644000000004</v>
      </c>
      <c r="Q348" s="23">
        <f ca="1">SUMIF(CPU!M:M,B346,CPU!R:R)</f>
        <v>1.6141200000000002</v>
      </c>
      <c r="R348" s="23">
        <f ca="1">F348*Q348</f>
        <v>0.12751548000000001</v>
      </c>
    </row>
    <row r="349" spans="1:18" ht="30" customHeight="1" x14ac:dyDescent="0.3">
      <c r="A349" s="23" t="s">
        <v>1004</v>
      </c>
      <c r="B349" s="23">
        <v>88238</v>
      </c>
      <c r="C349" s="23" t="str">
        <f>VLOOKUP(B349,IF(A349="COMPOSICAO",S!$A:$E,I!$A:$E),2,FALSE)</f>
        <v>SINAPI</v>
      </c>
      <c r="D349" s="24" t="str">
        <f>VLOOKUP(B349,IF(A349="COMPOSICAO",S!$A:$E,I!$A:$E),3,FALSE)</f>
        <v>AJUDANTE DE ARMADOR COM ENCARGOS COMPLEMENTARES</v>
      </c>
      <c r="E349" s="23" t="str">
        <f>VLOOKUP(B349,IF(A349="COMPOSICAO",S!$A:$E,I!$A:$E),4,FALSE)</f>
        <v>H</v>
      </c>
      <c r="F349" s="23">
        <f>0.0129/pcf</f>
        <v>1.29E-2</v>
      </c>
      <c r="G349" s="76">
        <f>IF(A349="COMPOSICAO",VLOOKUP("TOTAL SEM BDI - "&amp;B349,CPUAUX2!$A:$J,9,FALSE),VLOOKUP(B349,I!$A:$E,5,FALSE))</f>
        <v>22.37</v>
      </c>
      <c r="H349" s="77"/>
      <c r="I349" s="76">
        <f>TRUNC(F349*G349,2)</f>
        <v>0.28000000000000003</v>
      </c>
      <c r="J349" s="77"/>
      <c r="M349" s="23">
        <f>B349</f>
        <v>88238</v>
      </c>
      <c r="N349" s="23">
        <f>SUMIF(CPU!M:M,B346,CPU!O:O)</f>
        <v>4.8423600000000002</v>
      </c>
      <c r="O349" s="23">
        <f>F349*N349</f>
        <v>6.2466444000000003E-2</v>
      </c>
      <c r="Q349" s="23">
        <f ca="1">SUMIF(CPU!M:M,B346,CPU!R:R)</f>
        <v>1.6141200000000002</v>
      </c>
      <c r="R349" s="23">
        <f ca="1">F349*Q349</f>
        <v>2.0822148000000002E-2</v>
      </c>
    </row>
    <row r="350" spans="1:18" ht="30" customHeight="1" x14ac:dyDescent="0.3">
      <c r="A350" s="23" t="s">
        <v>1005</v>
      </c>
      <c r="B350" s="23">
        <v>43132</v>
      </c>
      <c r="C350" s="23" t="str">
        <f>VLOOKUP(B350,IF(A350="COMPOSICAO",S!$A:$E,I!$A:$E),2,FALSE)</f>
        <v>SINAPI</v>
      </c>
      <c r="D350" s="24" t="str">
        <f>VLOOKUP(B350,IF(A350="COMPOSICAO",S!$A:$E,I!$A:$E),3,FALSE)</f>
        <v>ARAME RECOZIDO 16 BWG, D = 1,65 MM (0,016 KG/M) OU 18 BWG, D = 1,25 MM (0,01 KG/M)</v>
      </c>
      <c r="E350" s="23" t="str">
        <f>VLOOKUP(B350,IF(A350="COMPOSICAO",S!$A:$E,I!$A:$E),4,FALSE)</f>
        <v>KG</v>
      </c>
      <c r="F350" s="23">
        <v>2.5000000000000001E-2</v>
      </c>
      <c r="G350" s="76">
        <f>IF(A350="COMPOSICAO",VLOOKUP("TOTAL SEM BDI - "&amp;B350,CPUAUX2!$A:$J,9,FALSE),VLOOKUP(B350,I!$A:$E,5,FALSE))</f>
        <v>22.18</v>
      </c>
      <c r="H350" s="77"/>
      <c r="I350" s="76">
        <f>TRUNC(F350*G350,2)</f>
        <v>0.55000000000000004</v>
      </c>
      <c r="J350" s="77"/>
      <c r="M350" s="23">
        <f>B350</f>
        <v>43132</v>
      </c>
      <c r="N350" s="23">
        <f>SUMIF(CPU!M:M,B346,CPU!O:O)</f>
        <v>4.8423600000000002</v>
      </c>
      <c r="O350" s="23">
        <f>F350*N350</f>
        <v>0.12105900000000001</v>
      </c>
      <c r="Q350" s="23">
        <f ca="1">SUMIF(CPU!M:M,B346,CPU!R:R)</f>
        <v>1.6141200000000002</v>
      </c>
      <c r="R350" s="23">
        <f ca="1">F350*Q350</f>
        <v>4.0353000000000007E-2</v>
      </c>
    </row>
    <row r="351" spans="1:18" ht="45" customHeight="1" x14ac:dyDescent="0.3">
      <c r="A351" s="23" t="s">
        <v>1005</v>
      </c>
      <c r="B351" s="23">
        <v>39017</v>
      </c>
      <c r="C351" s="23" t="str">
        <f>VLOOKUP(B351,IF(A351="COMPOSICAO",S!$A:$E,I!$A:$E),2,FALSE)</f>
        <v>SINAPI</v>
      </c>
      <c r="D351" s="24" t="str">
        <f>VLOOKUP(B351,IF(A351="COMPOSICAO",S!$A:$E,I!$A:$E),3,FALSE)</f>
        <v>ESPACADOR / DISTANCIADOR CIRCULAR COM ENTRADA LATERAL, EM PLASTICO, PARA VERGALHAO *4,2 A 12,5* MM, COBRIMENTO 20 MM</v>
      </c>
      <c r="E351" s="23" t="str">
        <f>VLOOKUP(B351,IF(A351="COMPOSICAO",S!$A:$E,I!$A:$E),4,FALSE)</f>
        <v>UN</v>
      </c>
      <c r="F351" s="23">
        <v>0.97</v>
      </c>
      <c r="G351" s="76">
        <f>IF(A351="COMPOSICAO",VLOOKUP("TOTAL SEM BDI - "&amp;B351,CPUAUX2!$A:$J,9,FALSE),VLOOKUP(B351,I!$A:$E,5,FALSE))</f>
        <v>0.22</v>
      </c>
      <c r="H351" s="77"/>
      <c r="I351" s="76">
        <f>TRUNC(F351*G351,2)</f>
        <v>0.21</v>
      </c>
      <c r="J351" s="77"/>
      <c r="M351" s="23">
        <f>B351</f>
        <v>39017</v>
      </c>
      <c r="N351" s="23">
        <f>SUMIF(CPU!M:M,B346,CPU!O:O)</f>
        <v>4.8423600000000002</v>
      </c>
      <c r="O351" s="23">
        <f>F351*N351</f>
        <v>4.6970891999999997</v>
      </c>
      <c r="Q351" s="23">
        <f ca="1">SUMIF(CPU!M:M,B346,CPU!R:R)</f>
        <v>1.6141200000000002</v>
      </c>
      <c r="R351" s="23">
        <f ca="1">F351*Q351</f>
        <v>1.5656964000000002</v>
      </c>
    </row>
    <row r="352" spans="1:18" x14ac:dyDescent="0.3">
      <c r="A352" s="73" t="str">
        <f>"TOTAL SEM BDI - "&amp;B346</f>
        <v>TOTAL SEM BDI - 92760</v>
      </c>
      <c r="B352" s="74"/>
      <c r="C352" s="74"/>
      <c r="D352" s="74"/>
      <c r="E352" s="74"/>
      <c r="F352" s="74"/>
      <c r="G352" s="74"/>
      <c r="H352" s="75"/>
      <c r="I352" s="76">
        <f>SUM(I346:I351)</f>
        <v>13.390000000000002</v>
      </c>
      <c r="J352" s="77"/>
    </row>
    <row r="354" spans="1:18" x14ac:dyDescent="0.3">
      <c r="A354" s="4" t="s">
        <v>1000</v>
      </c>
      <c r="B354" s="4" t="s">
        <v>170</v>
      </c>
      <c r="C354" s="4" t="s">
        <v>171</v>
      </c>
      <c r="D354" s="4" t="s">
        <v>18</v>
      </c>
      <c r="E354" s="4" t="s">
        <v>172</v>
      </c>
      <c r="F354" s="4" t="s">
        <v>507</v>
      </c>
      <c r="G354" s="45" t="s">
        <v>1001</v>
      </c>
      <c r="H354" s="46"/>
      <c r="I354" s="45" t="s">
        <v>12</v>
      </c>
      <c r="J354" s="46"/>
    </row>
    <row r="355" spans="1:18" ht="45" customHeight="1" x14ac:dyDescent="0.3">
      <c r="A355" s="15" t="s">
        <v>1078</v>
      </c>
      <c r="B355" s="15">
        <v>92761</v>
      </c>
      <c r="C355" s="15" t="str">
        <f>VLOOKUP(B355,S!$A:$G,2,FALSE)</f>
        <v>SINAPI</v>
      </c>
      <c r="D355" s="22" t="str">
        <f>VLOOKUP(B355,S!$A:$G,3,FALSE)</f>
        <v>ARMAÇÃO DE PILAR OU VIGA DE ESTRUTURA CONVENCIONAL DE CONCRETO ARMADO UTILIZANDO AÇO CA-50 DE 8,0 MM - MONTAGEM. AF_06/2022</v>
      </c>
      <c r="E355" s="15" t="str">
        <f>VLOOKUP(B355,S!$A:$G,4,FALSE)</f>
        <v>KG</v>
      </c>
      <c r="F355" s="15"/>
      <c r="G355" s="78">
        <f>I361</f>
        <v>12.58</v>
      </c>
      <c r="H355" s="79"/>
      <c r="I355" s="78"/>
      <c r="J355" s="79"/>
      <c r="K355" s="16">
        <f>VLOOKUP(B355,S!A:G,5,FALSE)</f>
        <v>12.58</v>
      </c>
      <c r="L355" s="15" t="str">
        <f>IF(K355=G355,"OK, CONFORME TABELA",IF(G355&gt;K355,"ACIMA DA TABELA: ","ABAIXO DA TABELA: ")&amp;TRUNC((G355*100)/K355,2)&amp;" %")</f>
        <v>OK, CONFORME TABELA</v>
      </c>
    </row>
    <row r="356" spans="1:18" ht="30" customHeight="1" x14ac:dyDescent="0.3">
      <c r="A356" s="23" t="s">
        <v>1004</v>
      </c>
      <c r="B356" s="23">
        <v>92802</v>
      </c>
      <c r="C356" s="23" t="str">
        <f>VLOOKUP(B356,IF(A356="COMPOSICAO",S!$A:$E,I!$A:$E),2,FALSE)</f>
        <v>SINAPI</v>
      </c>
      <c r="D356" s="24" t="str">
        <f>VLOOKUP(B356,IF(A356="COMPOSICAO",S!$A:$E,I!$A:$E),3,FALSE)</f>
        <v>CORTE E DOBRA DE AÇO CA-50, DIÂMETRO DE 8,0 MM. AF_06/2022</v>
      </c>
      <c r="E356" s="23" t="str">
        <f>VLOOKUP(B356,IF(A356="COMPOSICAO",S!$A:$E,I!$A:$E),4,FALSE)</f>
        <v>KG</v>
      </c>
      <c r="F356" s="23">
        <v>1</v>
      </c>
      <c r="G356" s="76">
        <f>IF(A356="COMPOSICAO",VLOOKUP("TOTAL SEM BDI - "&amp;B356,CPUAUX2!$A:$J,9,FALSE),VLOOKUP(B356,I!$A:$E,5,FALSE))</f>
        <v>10.15</v>
      </c>
      <c r="H356" s="77"/>
      <c r="I356" s="76">
        <f>TRUNC(F356*G356,2)</f>
        <v>10.15</v>
      </c>
      <c r="J356" s="77"/>
      <c r="M356" s="23">
        <f>B356</f>
        <v>92802</v>
      </c>
      <c r="N356" s="23">
        <f>SUMIF(CPU!M:M,B355,CPU!O:O)</f>
        <v>1.7596800000000004</v>
      </c>
      <c r="O356" s="23">
        <f>F356*N356</f>
        <v>1.7596800000000004</v>
      </c>
      <c r="Q356" s="23">
        <f ca="1">SUMIF(CPU!M:M,B355,CPU!R:R)</f>
        <v>0.58656000000000008</v>
      </c>
      <c r="R356" s="23">
        <f ca="1">F356*Q356</f>
        <v>0.58656000000000008</v>
      </c>
    </row>
    <row r="357" spans="1:18" x14ac:dyDescent="0.3">
      <c r="A357" s="23" t="s">
        <v>1004</v>
      </c>
      <c r="B357" s="23">
        <v>88245</v>
      </c>
      <c r="C357" s="23" t="str">
        <f>VLOOKUP(B357,IF(A357="COMPOSICAO",S!$A:$E,I!$A:$E),2,FALSE)</f>
        <v>SINAPI</v>
      </c>
      <c r="D357" s="24" t="str">
        <f>VLOOKUP(B357,IF(A357="COMPOSICAO",S!$A:$E,I!$A:$E),3,FALSE)</f>
        <v>ARMADOR COM ENCARGOS COMPLEMENTARES</v>
      </c>
      <c r="E357" s="23" t="str">
        <f>VLOOKUP(B357,IF(A357="COMPOSICAO",S!$A:$E,I!$A:$E),4,FALSE)</f>
        <v>H</v>
      </c>
      <c r="F357" s="23">
        <f>0.0561/pcf</f>
        <v>5.6099999999999997E-2</v>
      </c>
      <c r="G357" s="76">
        <f>IF(A357="COMPOSICAO",VLOOKUP("TOTAL SEM BDI - "&amp;B357,CPUAUX2!$A:$J,9,FALSE),VLOOKUP(B357,I!$A:$E,5,FALSE))</f>
        <v>27.189999999999998</v>
      </c>
      <c r="H357" s="77"/>
      <c r="I357" s="76">
        <f>TRUNC(F357*G357,2)</f>
        <v>1.52</v>
      </c>
      <c r="J357" s="77"/>
      <c r="M357" s="23">
        <f>B357</f>
        <v>88245</v>
      </c>
      <c r="N357" s="23">
        <f>SUMIF(CPU!M:M,B355,CPU!O:O)</f>
        <v>1.7596800000000004</v>
      </c>
      <c r="O357" s="23">
        <f>F357*N357</f>
        <v>9.8718048000000017E-2</v>
      </c>
      <c r="Q357" s="23">
        <f ca="1">SUMIF(CPU!M:M,B355,CPU!R:R)</f>
        <v>0.58656000000000008</v>
      </c>
      <c r="R357" s="23">
        <f ca="1">F357*Q357</f>
        <v>3.2906016000000003E-2</v>
      </c>
    </row>
    <row r="358" spans="1:18" ht="30" customHeight="1" x14ac:dyDescent="0.3">
      <c r="A358" s="23" t="s">
        <v>1004</v>
      </c>
      <c r="B358" s="23">
        <v>88238</v>
      </c>
      <c r="C358" s="23" t="str">
        <f>VLOOKUP(B358,IF(A358="COMPOSICAO",S!$A:$E,I!$A:$E),2,FALSE)</f>
        <v>SINAPI</v>
      </c>
      <c r="D358" s="24" t="str">
        <f>VLOOKUP(B358,IF(A358="COMPOSICAO",S!$A:$E,I!$A:$E),3,FALSE)</f>
        <v>AJUDANTE DE ARMADOR COM ENCARGOS COMPLEMENTARES</v>
      </c>
      <c r="E358" s="23" t="str">
        <f>VLOOKUP(B358,IF(A358="COMPOSICAO",S!$A:$E,I!$A:$E),4,FALSE)</f>
        <v>H</v>
      </c>
      <c r="F358" s="23">
        <f>0.0092/pcf</f>
        <v>9.1999999999999998E-3</v>
      </c>
      <c r="G358" s="76">
        <f>IF(A358="COMPOSICAO",VLOOKUP("TOTAL SEM BDI - "&amp;B358,CPUAUX2!$A:$J,9,FALSE),VLOOKUP(B358,I!$A:$E,5,FALSE))</f>
        <v>22.37</v>
      </c>
      <c r="H358" s="77"/>
      <c r="I358" s="76">
        <f>TRUNC(F358*G358,2)</f>
        <v>0.2</v>
      </c>
      <c r="J358" s="77"/>
      <c r="M358" s="23">
        <f>B358</f>
        <v>88238</v>
      </c>
      <c r="N358" s="23">
        <f>SUMIF(CPU!M:M,B355,CPU!O:O)</f>
        <v>1.7596800000000004</v>
      </c>
      <c r="O358" s="23">
        <f>F358*N358</f>
        <v>1.6189056000000004E-2</v>
      </c>
      <c r="Q358" s="23">
        <f ca="1">SUMIF(CPU!M:M,B355,CPU!R:R)</f>
        <v>0.58656000000000008</v>
      </c>
      <c r="R358" s="23">
        <f ca="1">F358*Q358</f>
        <v>5.396352000000001E-3</v>
      </c>
    </row>
    <row r="359" spans="1:18" ht="30" customHeight="1" x14ac:dyDescent="0.3">
      <c r="A359" s="23" t="s">
        <v>1005</v>
      </c>
      <c r="B359" s="23">
        <v>43132</v>
      </c>
      <c r="C359" s="23" t="str">
        <f>VLOOKUP(B359,IF(A359="COMPOSICAO",S!$A:$E,I!$A:$E),2,FALSE)</f>
        <v>SINAPI</v>
      </c>
      <c r="D359" s="24" t="str">
        <f>VLOOKUP(B359,IF(A359="COMPOSICAO",S!$A:$E,I!$A:$E),3,FALSE)</f>
        <v>ARAME RECOZIDO 16 BWG, D = 1,65 MM (0,016 KG/M) OU 18 BWG, D = 1,25 MM (0,01 KG/M)</v>
      </c>
      <c r="E359" s="23" t="str">
        <f>VLOOKUP(B359,IF(A359="COMPOSICAO",S!$A:$E,I!$A:$E),4,FALSE)</f>
        <v>KG</v>
      </c>
      <c r="F359" s="23">
        <v>2.5000000000000001E-2</v>
      </c>
      <c r="G359" s="76">
        <f>IF(A359="COMPOSICAO",VLOOKUP("TOTAL SEM BDI - "&amp;B359,CPUAUX2!$A:$J,9,FALSE),VLOOKUP(B359,I!$A:$E,5,FALSE))</f>
        <v>22.18</v>
      </c>
      <c r="H359" s="77"/>
      <c r="I359" s="76">
        <f>TRUNC(F359*G359,2)</f>
        <v>0.55000000000000004</v>
      </c>
      <c r="J359" s="77"/>
      <c r="M359" s="23">
        <f>B359</f>
        <v>43132</v>
      </c>
      <c r="N359" s="23">
        <f>SUMIF(CPU!M:M,B355,CPU!O:O)</f>
        <v>1.7596800000000004</v>
      </c>
      <c r="O359" s="23">
        <f>F359*N359</f>
        <v>4.399200000000001E-2</v>
      </c>
      <c r="Q359" s="23">
        <f ca="1">SUMIF(CPU!M:M,B355,CPU!R:R)</f>
        <v>0.58656000000000008</v>
      </c>
      <c r="R359" s="23">
        <f ca="1">F359*Q359</f>
        <v>1.4664000000000003E-2</v>
      </c>
    </row>
    <row r="360" spans="1:18" ht="45" customHeight="1" x14ac:dyDescent="0.3">
      <c r="A360" s="23" t="s">
        <v>1005</v>
      </c>
      <c r="B360" s="23">
        <v>39017</v>
      </c>
      <c r="C360" s="23" t="str">
        <f>VLOOKUP(B360,IF(A360="COMPOSICAO",S!$A:$E,I!$A:$E),2,FALSE)</f>
        <v>SINAPI</v>
      </c>
      <c r="D360" s="24" t="str">
        <f>VLOOKUP(B360,IF(A360="COMPOSICAO",S!$A:$E,I!$A:$E),3,FALSE)</f>
        <v>ESPACADOR / DISTANCIADOR CIRCULAR COM ENTRADA LATERAL, EM PLASTICO, PARA VERGALHAO *4,2 A 12,5* MM, COBRIMENTO 20 MM</v>
      </c>
      <c r="E360" s="23" t="str">
        <f>VLOOKUP(B360,IF(A360="COMPOSICAO",S!$A:$E,I!$A:$E),4,FALSE)</f>
        <v>UN</v>
      </c>
      <c r="F360" s="23">
        <v>0.74299999999999999</v>
      </c>
      <c r="G360" s="76">
        <f>IF(A360="COMPOSICAO",VLOOKUP("TOTAL SEM BDI - "&amp;B360,CPUAUX2!$A:$J,9,FALSE),VLOOKUP(B360,I!$A:$E,5,FALSE))</f>
        <v>0.22</v>
      </c>
      <c r="H360" s="77"/>
      <c r="I360" s="76">
        <f>TRUNC(F360*G360,2)</f>
        <v>0.16</v>
      </c>
      <c r="J360" s="77"/>
      <c r="M360" s="23">
        <f>B360</f>
        <v>39017</v>
      </c>
      <c r="N360" s="23">
        <f>SUMIF(CPU!M:M,B355,CPU!O:O)</f>
        <v>1.7596800000000004</v>
      </c>
      <c r="O360" s="23">
        <f>F360*N360</f>
        <v>1.3074422400000003</v>
      </c>
      <c r="Q360" s="23">
        <f ca="1">SUMIF(CPU!M:M,B355,CPU!R:R)</f>
        <v>0.58656000000000008</v>
      </c>
      <c r="R360" s="23">
        <f ca="1">F360*Q360</f>
        <v>0.43581408000000005</v>
      </c>
    </row>
    <row r="361" spans="1:18" x14ac:dyDescent="0.3">
      <c r="A361" s="73" t="str">
        <f>"TOTAL SEM BDI - "&amp;B355</f>
        <v>TOTAL SEM BDI - 92761</v>
      </c>
      <c r="B361" s="74"/>
      <c r="C361" s="74"/>
      <c r="D361" s="74"/>
      <c r="E361" s="74"/>
      <c r="F361" s="74"/>
      <c r="G361" s="74"/>
      <c r="H361" s="75"/>
      <c r="I361" s="76">
        <f>SUM(I355:I360)</f>
        <v>12.58</v>
      </c>
      <c r="J361" s="77"/>
    </row>
    <row r="363" spans="1:18" x14ac:dyDescent="0.3">
      <c r="A363" s="4" t="s">
        <v>1000</v>
      </c>
      <c r="B363" s="4" t="s">
        <v>170</v>
      </c>
      <c r="C363" s="4" t="s">
        <v>171</v>
      </c>
      <c r="D363" s="4" t="s">
        <v>18</v>
      </c>
      <c r="E363" s="4" t="s">
        <v>172</v>
      </c>
      <c r="F363" s="4" t="s">
        <v>507</v>
      </c>
      <c r="G363" s="45" t="s">
        <v>1001</v>
      </c>
      <c r="H363" s="46"/>
      <c r="I363" s="45" t="s">
        <v>12</v>
      </c>
      <c r="J363" s="46"/>
    </row>
    <row r="364" spans="1:18" ht="45" customHeight="1" x14ac:dyDescent="0.3">
      <c r="A364" s="15" t="s">
        <v>1078</v>
      </c>
      <c r="B364" s="15">
        <v>92762</v>
      </c>
      <c r="C364" s="15" t="str">
        <f>VLOOKUP(B364,S!$A:$G,2,FALSE)</f>
        <v>SINAPI</v>
      </c>
      <c r="D364" s="22" t="str">
        <f>VLOOKUP(B364,S!$A:$G,3,FALSE)</f>
        <v>ARMAÇÃO DE PILAR OU VIGA DE ESTRUTURA CONVENCIONAL DE CONCRETO ARMADO UTILIZANDO AÇO CA-50 DE 10,0 MM - MONTAGEM. AF_06/2022</v>
      </c>
      <c r="E364" s="15" t="str">
        <f>VLOOKUP(B364,S!$A:$G,4,FALSE)</f>
        <v>KG</v>
      </c>
      <c r="F364" s="15"/>
      <c r="G364" s="78">
        <f>I370</f>
        <v>11.23</v>
      </c>
      <c r="H364" s="79"/>
      <c r="I364" s="78"/>
      <c r="J364" s="79"/>
      <c r="K364" s="16">
        <f>VLOOKUP(B364,S!A:G,5,FALSE)</f>
        <v>11.23</v>
      </c>
      <c r="L364" s="15" t="str">
        <f>IF(K364=G364,"OK, CONFORME TABELA",IF(G364&gt;K364,"ACIMA DA TABELA: ","ABAIXO DA TABELA: ")&amp;TRUNC((G364*100)/K364,2)&amp;" %")</f>
        <v>OK, CONFORME TABELA</v>
      </c>
    </row>
    <row r="365" spans="1:18" ht="30" customHeight="1" x14ac:dyDescent="0.3">
      <c r="A365" s="23" t="s">
        <v>1004</v>
      </c>
      <c r="B365" s="23">
        <v>92803</v>
      </c>
      <c r="C365" s="23" t="str">
        <f>VLOOKUP(B365,IF(A365="COMPOSICAO",S!$A:$E,I!$A:$E),2,FALSE)</f>
        <v>SINAPI</v>
      </c>
      <c r="D365" s="24" t="str">
        <f>VLOOKUP(B365,IF(A365="COMPOSICAO",S!$A:$E,I!$A:$E),3,FALSE)</f>
        <v>CORTE E DOBRA DE AÇO CA-50, DIÂMETRO DE 10,0 MM. AF_06/2022</v>
      </c>
      <c r="E365" s="23" t="str">
        <f>VLOOKUP(B365,IF(A365="COMPOSICAO",S!$A:$E,I!$A:$E),4,FALSE)</f>
        <v>KG</v>
      </c>
      <c r="F365" s="23">
        <v>1</v>
      </c>
      <c r="G365" s="76">
        <f>IF(A365="COMPOSICAO",VLOOKUP("TOTAL SEM BDI - "&amp;B365,CPUAUX2!$A:$J,9,FALSE),VLOOKUP(B365,I!$A:$E,5,FALSE))</f>
        <v>9.3699999999999992</v>
      </c>
      <c r="H365" s="77"/>
      <c r="I365" s="76">
        <f>TRUNC(F365*G365,2)</f>
        <v>9.3699999999999992</v>
      </c>
      <c r="J365" s="77"/>
      <c r="M365" s="23">
        <f>B365</f>
        <v>92803</v>
      </c>
      <c r="N365" s="23">
        <f>SUMIF(CPU!M:M,B364,CPU!O:O)</f>
        <v>36.64368000000001</v>
      </c>
      <c r="O365" s="23">
        <f>F365*N365</f>
        <v>36.64368000000001</v>
      </c>
      <c r="Q365" s="23">
        <f ca="1">SUMIF(CPU!M:M,B364,CPU!R:R)</f>
        <v>12.214560000000002</v>
      </c>
      <c r="R365" s="23">
        <f ca="1">F365*Q365</f>
        <v>12.214560000000002</v>
      </c>
    </row>
    <row r="366" spans="1:18" x14ac:dyDescent="0.3">
      <c r="A366" s="23" t="s">
        <v>1004</v>
      </c>
      <c r="B366" s="23">
        <v>88245</v>
      </c>
      <c r="C366" s="23" t="str">
        <f>VLOOKUP(B366,IF(A366="COMPOSICAO",S!$A:$E,I!$A:$E),2,FALSE)</f>
        <v>SINAPI</v>
      </c>
      <c r="D366" s="24" t="str">
        <f>VLOOKUP(B366,IF(A366="COMPOSICAO",S!$A:$E,I!$A:$E),3,FALSE)</f>
        <v>ARMADOR COM ENCARGOS COMPLEMENTARES</v>
      </c>
      <c r="E366" s="23" t="str">
        <f>VLOOKUP(B366,IF(A366="COMPOSICAO",S!$A:$E,I!$A:$E),4,FALSE)</f>
        <v>H</v>
      </c>
      <c r="F366" s="23">
        <f>0.0392/pcf</f>
        <v>3.9199999999999999E-2</v>
      </c>
      <c r="G366" s="76">
        <f>IF(A366="COMPOSICAO",VLOOKUP("TOTAL SEM BDI - "&amp;B366,CPUAUX2!$A:$J,9,FALSE),VLOOKUP(B366,I!$A:$E,5,FALSE))</f>
        <v>27.189999999999998</v>
      </c>
      <c r="H366" s="77"/>
      <c r="I366" s="76">
        <f>TRUNC(F366*G366,2)</f>
        <v>1.06</v>
      </c>
      <c r="J366" s="77"/>
      <c r="M366" s="23">
        <f>B366</f>
        <v>88245</v>
      </c>
      <c r="N366" s="23">
        <f>SUMIF(CPU!M:M,B364,CPU!O:O)</f>
        <v>36.64368000000001</v>
      </c>
      <c r="O366" s="23">
        <f>F366*N366</f>
        <v>1.4364322560000005</v>
      </c>
      <c r="Q366" s="23">
        <f ca="1">SUMIF(CPU!M:M,B364,CPU!R:R)</f>
        <v>12.214560000000002</v>
      </c>
      <c r="R366" s="23">
        <f ca="1">F366*Q366</f>
        <v>0.47881075200000006</v>
      </c>
    </row>
    <row r="367" spans="1:18" ht="30" customHeight="1" x14ac:dyDescent="0.3">
      <c r="A367" s="23" t="s">
        <v>1004</v>
      </c>
      <c r="B367" s="23">
        <v>88238</v>
      </c>
      <c r="C367" s="23" t="str">
        <f>VLOOKUP(B367,IF(A367="COMPOSICAO",S!$A:$E,I!$A:$E),2,FALSE)</f>
        <v>SINAPI</v>
      </c>
      <c r="D367" s="24" t="str">
        <f>VLOOKUP(B367,IF(A367="COMPOSICAO",S!$A:$E,I!$A:$E),3,FALSE)</f>
        <v>AJUDANTE DE ARMADOR COM ENCARGOS COMPLEMENTARES</v>
      </c>
      <c r="E367" s="23" t="str">
        <f>VLOOKUP(B367,IF(A367="COMPOSICAO",S!$A:$E,I!$A:$E),4,FALSE)</f>
        <v>H</v>
      </c>
      <c r="F367" s="23">
        <f>0.0064/pcf</f>
        <v>6.4000000000000003E-3</v>
      </c>
      <c r="G367" s="76">
        <f>IF(A367="COMPOSICAO",VLOOKUP("TOTAL SEM BDI - "&amp;B367,CPUAUX2!$A:$J,9,FALSE),VLOOKUP(B367,I!$A:$E,5,FALSE))</f>
        <v>22.37</v>
      </c>
      <c r="H367" s="77"/>
      <c r="I367" s="76">
        <f>TRUNC(F367*G367,2)</f>
        <v>0.14000000000000001</v>
      </c>
      <c r="J367" s="77"/>
      <c r="M367" s="23">
        <f>B367</f>
        <v>88238</v>
      </c>
      <c r="N367" s="23">
        <f>SUMIF(CPU!M:M,B364,CPU!O:O)</f>
        <v>36.64368000000001</v>
      </c>
      <c r="O367" s="23">
        <f>F367*N367</f>
        <v>0.23451955200000008</v>
      </c>
      <c r="Q367" s="23">
        <f ca="1">SUMIF(CPU!M:M,B364,CPU!R:R)</f>
        <v>12.214560000000002</v>
      </c>
      <c r="R367" s="23">
        <f ca="1">F367*Q367</f>
        <v>7.8173184000000021E-2</v>
      </c>
    </row>
    <row r="368" spans="1:18" ht="30" customHeight="1" x14ac:dyDescent="0.3">
      <c r="A368" s="23" t="s">
        <v>1005</v>
      </c>
      <c r="B368" s="23">
        <v>43132</v>
      </c>
      <c r="C368" s="23" t="str">
        <f>VLOOKUP(B368,IF(A368="COMPOSICAO",S!$A:$E,I!$A:$E),2,FALSE)</f>
        <v>SINAPI</v>
      </c>
      <c r="D368" s="24" t="str">
        <f>VLOOKUP(B368,IF(A368="COMPOSICAO",S!$A:$E,I!$A:$E),3,FALSE)</f>
        <v>ARAME RECOZIDO 16 BWG, D = 1,65 MM (0,016 KG/M) OU 18 BWG, D = 1,25 MM (0,01 KG/M)</v>
      </c>
      <c r="E368" s="23" t="str">
        <f>VLOOKUP(B368,IF(A368="COMPOSICAO",S!$A:$E,I!$A:$E),4,FALSE)</f>
        <v>KG</v>
      </c>
      <c r="F368" s="23">
        <v>2.5000000000000001E-2</v>
      </c>
      <c r="G368" s="76">
        <f>IF(A368="COMPOSICAO",VLOOKUP("TOTAL SEM BDI - "&amp;B368,CPUAUX2!$A:$J,9,FALSE),VLOOKUP(B368,I!$A:$E,5,FALSE))</f>
        <v>22.18</v>
      </c>
      <c r="H368" s="77"/>
      <c r="I368" s="76">
        <f>TRUNC(F368*G368,2)</f>
        <v>0.55000000000000004</v>
      </c>
      <c r="J368" s="77"/>
      <c r="M368" s="23">
        <f>B368</f>
        <v>43132</v>
      </c>
      <c r="N368" s="23">
        <f>SUMIF(CPU!M:M,B364,CPU!O:O)</f>
        <v>36.64368000000001</v>
      </c>
      <c r="O368" s="23">
        <f>F368*N368</f>
        <v>0.91609200000000035</v>
      </c>
      <c r="Q368" s="23">
        <f ca="1">SUMIF(CPU!M:M,B364,CPU!R:R)</f>
        <v>12.214560000000002</v>
      </c>
      <c r="R368" s="23">
        <f ca="1">F368*Q368</f>
        <v>0.30536400000000008</v>
      </c>
    </row>
    <row r="369" spans="1:18" ht="45" customHeight="1" x14ac:dyDescent="0.3">
      <c r="A369" s="23" t="s">
        <v>1005</v>
      </c>
      <c r="B369" s="23">
        <v>39017</v>
      </c>
      <c r="C369" s="23" t="str">
        <f>VLOOKUP(B369,IF(A369="COMPOSICAO",S!$A:$E,I!$A:$E),2,FALSE)</f>
        <v>SINAPI</v>
      </c>
      <c r="D369" s="24" t="str">
        <f>VLOOKUP(B369,IF(A369="COMPOSICAO",S!$A:$E,I!$A:$E),3,FALSE)</f>
        <v>ESPACADOR / DISTANCIADOR CIRCULAR COM ENTRADA LATERAL, EM PLASTICO, PARA VERGALHAO *4,2 A 12,5* MM, COBRIMENTO 20 MM</v>
      </c>
      <c r="E369" s="23" t="str">
        <f>VLOOKUP(B369,IF(A369="COMPOSICAO",S!$A:$E,I!$A:$E),4,FALSE)</f>
        <v>UN</v>
      </c>
      <c r="F369" s="23">
        <v>0.54300000000000004</v>
      </c>
      <c r="G369" s="76">
        <f>IF(A369="COMPOSICAO",VLOOKUP("TOTAL SEM BDI - "&amp;B369,CPUAUX2!$A:$J,9,FALSE),VLOOKUP(B369,I!$A:$E,5,FALSE))</f>
        <v>0.22</v>
      </c>
      <c r="H369" s="77"/>
      <c r="I369" s="76">
        <f>TRUNC(F369*G369,2)</f>
        <v>0.11</v>
      </c>
      <c r="J369" s="77"/>
      <c r="M369" s="23">
        <f>B369</f>
        <v>39017</v>
      </c>
      <c r="N369" s="23">
        <f>SUMIF(CPU!M:M,B364,CPU!O:O)</f>
        <v>36.64368000000001</v>
      </c>
      <c r="O369" s="23">
        <f>F369*N369</f>
        <v>19.897518240000007</v>
      </c>
      <c r="Q369" s="23">
        <f ca="1">SUMIF(CPU!M:M,B364,CPU!R:R)</f>
        <v>12.214560000000002</v>
      </c>
      <c r="R369" s="23">
        <f ca="1">F369*Q369</f>
        <v>6.6325060800000015</v>
      </c>
    </row>
    <row r="370" spans="1:18" x14ac:dyDescent="0.3">
      <c r="A370" s="73" t="str">
        <f>"TOTAL SEM BDI - "&amp;B364</f>
        <v>TOTAL SEM BDI - 92762</v>
      </c>
      <c r="B370" s="74"/>
      <c r="C370" s="74"/>
      <c r="D370" s="74"/>
      <c r="E370" s="74"/>
      <c r="F370" s="74"/>
      <c r="G370" s="74"/>
      <c r="H370" s="75"/>
      <c r="I370" s="76">
        <f>SUM(I364:I369)</f>
        <v>11.23</v>
      </c>
      <c r="J370" s="77"/>
    </row>
    <row r="372" spans="1:18" x14ac:dyDescent="0.3">
      <c r="A372" s="4" t="s">
        <v>1000</v>
      </c>
      <c r="B372" s="4" t="s">
        <v>170</v>
      </c>
      <c r="C372" s="4" t="s">
        <v>171</v>
      </c>
      <c r="D372" s="4" t="s">
        <v>18</v>
      </c>
      <c r="E372" s="4" t="s">
        <v>172</v>
      </c>
      <c r="F372" s="4" t="s">
        <v>507</v>
      </c>
      <c r="G372" s="45" t="s">
        <v>1001</v>
      </c>
      <c r="H372" s="46"/>
      <c r="I372" s="45" t="s">
        <v>12</v>
      </c>
      <c r="J372" s="46"/>
    </row>
    <row r="373" spans="1:18" ht="45" customHeight="1" x14ac:dyDescent="0.3">
      <c r="A373" s="15" t="s">
        <v>1078</v>
      </c>
      <c r="B373" s="15">
        <v>92763</v>
      </c>
      <c r="C373" s="15" t="str">
        <f>VLOOKUP(B373,S!$A:$G,2,FALSE)</f>
        <v>SINAPI</v>
      </c>
      <c r="D373" s="22" t="str">
        <f>VLOOKUP(B373,S!$A:$G,3,FALSE)</f>
        <v>ARMAÇÃO DE PILAR OU VIGA DE ESTRUTURA CONVENCIONAL DE CONCRETO ARMADO UTILIZANDO AÇO CA-50 DE 12,5 MM - MONTAGEM. AF_06/2022</v>
      </c>
      <c r="E373" s="15" t="str">
        <f>VLOOKUP(B373,S!$A:$G,4,FALSE)</f>
        <v>KG</v>
      </c>
      <c r="F373" s="15"/>
      <c r="G373" s="78">
        <f>I379</f>
        <v>9.44</v>
      </c>
      <c r="H373" s="79"/>
      <c r="I373" s="78"/>
      <c r="J373" s="79"/>
      <c r="K373" s="16">
        <f>VLOOKUP(B373,S!A:G,5,FALSE)</f>
        <v>9.44</v>
      </c>
      <c r="L373" s="15" t="str">
        <f>IF(K373=G373,"OK, CONFORME TABELA",IF(G373&gt;K373,"ACIMA DA TABELA: ","ABAIXO DA TABELA: ")&amp;TRUNC((G373*100)/K373,2)&amp;" %")</f>
        <v>OK, CONFORME TABELA</v>
      </c>
    </row>
    <row r="374" spans="1:18" ht="30" customHeight="1" x14ac:dyDescent="0.3">
      <c r="A374" s="23" t="s">
        <v>1004</v>
      </c>
      <c r="B374" s="23">
        <v>92804</v>
      </c>
      <c r="C374" s="23" t="str">
        <f>VLOOKUP(B374,IF(A374="COMPOSICAO",S!$A:$E,I!$A:$E),2,FALSE)</f>
        <v>SINAPI</v>
      </c>
      <c r="D374" s="24" t="str">
        <f>VLOOKUP(B374,IF(A374="COMPOSICAO",S!$A:$E,I!$A:$E),3,FALSE)</f>
        <v>CORTE E DOBRA DE AÇO CA-50, DIÂMETRO DE 12,5 MM. AF_06/2022</v>
      </c>
      <c r="E374" s="23" t="str">
        <f>VLOOKUP(B374,IF(A374="COMPOSICAO",S!$A:$E,I!$A:$E),4,FALSE)</f>
        <v>KG</v>
      </c>
      <c r="F374" s="23">
        <v>1</v>
      </c>
      <c r="G374" s="76">
        <f>IF(A374="COMPOSICAO",VLOOKUP("TOTAL SEM BDI - "&amp;B374,CPUAUX2!$A:$J,9,FALSE),VLOOKUP(B374,I!$A:$E,5,FALSE))</f>
        <v>8.0299999999999994</v>
      </c>
      <c r="H374" s="77"/>
      <c r="I374" s="76">
        <f>TRUNC(F374*G374,2)</f>
        <v>8.0299999999999994</v>
      </c>
      <c r="J374" s="77"/>
      <c r="M374" s="23">
        <f>B374</f>
        <v>92804</v>
      </c>
      <c r="N374" s="23">
        <f>SUMIF(CPU!M:M,B373,CPU!O:O)</f>
        <v>14.353560000000002</v>
      </c>
      <c r="O374" s="23">
        <f>F374*N374</f>
        <v>14.353560000000002</v>
      </c>
      <c r="Q374" s="23">
        <f ca="1">SUMIF(CPU!M:M,B373,CPU!R:R)</f>
        <v>4.7845200000000006</v>
      </c>
      <c r="R374" s="23">
        <f ca="1">F374*Q374</f>
        <v>4.7845200000000006</v>
      </c>
    </row>
    <row r="375" spans="1:18" x14ac:dyDescent="0.3">
      <c r="A375" s="23" t="s">
        <v>1004</v>
      </c>
      <c r="B375" s="23">
        <v>88245</v>
      </c>
      <c r="C375" s="23" t="str">
        <f>VLOOKUP(B375,IF(A375="COMPOSICAO",S!$A:$E,I!$A:$E),2,FALSE)</f>
        <v>SINAPI</v>
      </c>
      <c r="D375" s="24" t="str">
        <f>VLOOKUP(B375,IF(A375="COMPOSICAO",S!$A:$E,I!$A:$E),3,FALSE)</f>
        <v>ARMADOR COM ENCARGOS COMPLEMENTARES</v>
      </c>
      <c r="E375" s="23" t="str">
        <f>VLOOKUP(B375,IF(A375="COMPOSICAO",S!$A:$E,I!$A:$E),4,FALSE)</f>
        <v>H</v>
      </c>
      <c r="F375" s="23">
        <f>0.0257/pcf</f>
        <v>2.5700000000000001E-2</v>
      </c>
      <c r="G375" s="76">
        <f>IF(A375="COMPOSICAO",VLOOKUP("TOTAL SEM BDI - "&amp;B375,CPUAUX2!$A:$J,9,FALSE),VLOOKUP(B375,I!$A:$E,5,FALSE))</f>
        <v>27.189999999999998</v>
      </c>
      <c r="H375" s="77"/>
      <c r="I375" s="76">
        <f>TRUNC(F375*G375,2)</f>
        <v>0.69</v>
      </c>
      <c r="J375" s="77"/>
      <c r="M375" s="23">
        <f>B375</f>
        <v>88245</v>
      </c>
      <c r="N375" s="23">
        <f>SUMIF(CPU!M:M,B373,CPU!O:O)</f>
        <v>14.353560000000002</v>
      </c>
      <c r="O375" s="23">
        <f>F375*N375</f>
        <v>0.36888649200000007</v>
      </c>
      <c r="Q375" s="23">
        <f ca="1">SUMIF(CPU!M:M,B373,CPU!R:R)</f>
        <v>4.7845200000000006</v>
      </c>
      <c r="R375" s="23">
        <f ca="1">F375*Q375</f>
        <v>0.12296216400000001</v>
      </c>
    </row>
    <row r="376" spans="1:18" ht="30" customHeight="1" x14ac:dyDescent="0.3">
      <c r="A376" s="23" t="s">
        <v>1004</v>
      </c>
      <c r="B376" s="23">
        <v>88238</v>
      </c>
      <c r="C376" s="23" t="str">
        <f>VLOOKUP(B376,IF(A376="COMPOSICAO",S!$A:$E,I!$A:$E),2,FALSE)</f>
        <v>SINAPI</v>
      </c>
      <c r="D376" s="24" t="str">
        <f>VLOOKUP(B376,IF(A376="COMPOSICAO",S!$A:$E,I!$A:$E),3,FALSE)</f>
        <v>AJUDANTE DE ARMADOR COM ENCARGOS COMPLEMENTARES</v>
      </c>
      <c r="E376" s="23" t="str">
        <f>VLOOKUP(B376,IF(A376="COMPOSICAO",S!$A:$E,I!$A:$E),4,FALSE)</f>
        <v>H</v>
      </c>
      <c r="F376" s="23">
        <f>0.0042/pcf</f>
        <v>4.1999999999999997E-3</v>
      </c>
      <c r="G376" s="76">
        <f>IF(A376="COMPOSICAO",VLOOKUP("TOTAL SEM BDI - "&amp;B376,CPUAUX2!$A:$J,9,FALSE),VLOOKUP(B376,I!$A:$E,5,FALSE))</f>
        <v>22.37</v>
      </c>
      <c r="H376" s="77"/>
      <c r="I376" s="76">
        <f>TRUNC(F376*G376,2)</f>
        <v>0.09</v>
      </c>
      <c r="J376" s="77"/>
      <c r="M376" s="23">
        <f>B376</f>
        <v>88238</v>
      </c>
      <c r="N376" s="23">
        <f>SUMIF(CPU!M:M,B373,CPU!O:O)</f>
        <v>14.353560000000002</v>
      </c>
      <c r="O376" s="23">
        <f>F376*N376</f>
        <v>6.0284952000000003E-2</v>
      </c>
      <c r="Q376" s="23">
        <f ca="1">SUMIF(CPU!M:M,B373,CPU!R:R)</f>
        <v>4.7845200000000006</v>
      </c>
      <c r="R376" s="23">
        <f ca="1">F376*Q376</f>
        <v>2.0094984E-2</v>
      </c>
    </row>
    <row r="377" spans="1:18" ht="30" customHeight="1" x14ac:dyDescent="0.3">
      <c r="A377" s="23" t="s">
        <v>1005</v>
      </c>
      <c r="B377" s="23">
        <v>43132</v>
      </c>
      <c r="C377" s="23" t="str">
        <f>VLOOKUP(B377,IF(A377="COMPOSICAO",S!$A:$E,I!$A:$E),2,FALSE)</f>
        <v>SINAPI</v>
      </c>
      <c r="D377" s="24" t="str">
        <f>VLOOKUP(B377,IF(A377="COMPOSICAO",S!$A:$E,I!$A:$E),3,FALSE)</f>
        <v>ARAME RECOZIDO 16 BWG, D = 1,65 MM (0,016 KG/M) OU 18 BWG, D = 1,25 MM (0,01 KG/M)</v>
      </c>
      <c r="E377" s="23" t="str">
        <f>VLOOKUP(B377,IF(A377="COMPOSICAO",S!$A:$E,I!$A:$E),4,FALSE)</f>
        <v>KG</v>
      </c>
      <c r="F377" s="23">
        <v>2.5000000000000001E-2</v>
      </c>
      <c r="G377" s="76">
        <f>IF(A377="COMPOSICAO",VLOOKUP("TOTAL SEM BDI - "&amp;B377,CPUAUX2!$A:$J,9,FALSE),VLOOKUP(B377,I!$A:$E,5,FALSE))</f>
        <v>22.18</v>
      </c>
      <c r="H377" s="77"/>
      <c r="I377" s="76">
        <f>TRUNC(F377*G377,2)</f>
        <v>0.55000000000000004</v>
      </c>
      <c r="J377" s="77"/>
      <c r="M377" s="23">
        <f>B377</f>
        <v>43132</v>
      </c>
      <c r="N377" s="23">
        <f>SUMIF(CPU!M:M,B373,CPU!O:O)</f>
        <v>14.353560000000002</v>
      </c>
      <c r="O377" s="23">
        <f>F377*N377</f>
        <v>0.35883900000000007</v>
      </c>
      <c r="Q377" s="23">
        <f ca="1">SUMIF(CPU!M:M,B373,CPU!R:R)</f>
        <v>4.7845200000000006</v>
      </c>
      <c r="R377" s="23">
        <f ca="1">F377*Q377</f>
        <v>0.11961300000000002</v>
      </c>
    </row>
    <row r="378" spans="1:18" ht="45" customHeight="1" x14ac:dyDescent="0.3">
      <c r="A378" s="23" t="s">
        <v>1005</v>
      </c>
      <c r="B378" s="23">
        <v>39017</v>
      </c>
      <c r="C378" s="23" t="str">
        <f>VLOOKUP(B378,IF(A378="COMPOSICAO",S!$A:$E,I!$A:$E),2,FALSE)</f>
        <v>SINAPI</v>
      </c>
      <c r="D378" s="24" t="str">
        <f>VLOOKUP(B378,IF(A378="COMPOSICAO",S!$A:$E,I!$A:$E),3,FALSE)</f>
        <v>ESPACADOR / DISTANCIADOR CIRCULAR COM ENTRADA LATERAL, EM PLASTICO, PARA VERGALHAO *4,2 A 12,5* MM, COBRIMENTO 20 MM</v>
      </c>
      <c r="E378" s="23" t="str">
        <f>VLOOKUP(B378,IF(A378="COMPOSICAO",S!$A:$E,I!$A:$E),4,FALSE)</f>
        <v>UN</v>
      </c>
      <c r="F378" s="23">
        <v>0.36699999999999999</v>
      </c>
      <c r="G378" s="76">
        <f>IF(A378="COMPOSICAO",VLOOKUP("TOTAL SEM BDI - "&amp;B378,CPUAUX2!$A:$J,9,FALSE),VLOOKUP(B378,I!$A:$E,5,FALSE))</f>
        <v>0.22</v>
      </c>
      <c r="H378" s="77"/>
      <c r="I378" s="76">
        <f>TRUNC(F378*G378,2)</f>
        <v>0.08</v>
      </c>
      <c r="J378" s="77"/>
      <c r="M378" s="23">
        <f>B378</f>
        <v>39017</v>
      </c>
      <c r="N378" s="23">
        <f>SUMIF(CPU!M:M,B373,CPU!O:O)</f>
        <v>14.353560000000002</v>
      </c>
      <c r="O378" s="23">
        <f>F378*N378</f>
        <v>5.2677565200000007</v>
      </c>
      <c r="Q378" s="23">
        <f ca="1">SUMIF(CPU!M:M,B373,CPU!R:R)</f>
        <v>4.7845200000000006</v>
      </c>
      <c r="R378" s="23">
        <f ca="1">F378*Q378</f>
        <v>1.7559188400000001</v>
      </c>
    </row>
    <row r="379" spans="1:18" x14ac:dyDescent="0.3">
      <c r="A379" s="73" t="str">
        <f>"TOTAL SEM BDI - "&amp;B373</f>
        <v>TOTAL SEM BDI - 92763</v>
      </c>
      <c r="B379" s="74"/>
      <c r="C379" s="74"/>
      <c r="D379" s="74"/>
      <c r="E379" s="74"/>
      <c r="F379" s="74"/>
      <c r="G379" s="74"/>
      <c r="H379" s="75"/>
      <c r="I379" s="76">
        <f>SUM(I373:I378)</f>
        <v>9.44</v>
      </c>
      <c r="J379" s="77"/>
    </row>
    <row r="381" spans="1:18" x14ac:dyDescent="0.3">
      <c r="A381" s="4" t="s">
        <v>1000</v>
      </c>
      <c r="B381" s="4" t="s">
        <v>170</v>
      </c>
      <c r="C381" s="4" t="s">
        <v>171</v>
      </c>
      <c r="D381" s="4" t="s">
        <v>18</v>
      </c>
      <c r="E381" s="4" t="s">
        <v>172</v>
      </c>
      <c r="F381" s="4" t="s">
        <v>507</v>
      </c>
      <c r="G381" s="45" t="s">
        <v>1001</v>
      </c>
      <c r="H381" s="46"/>
      <c r="I381" s="45" t="s">
        <v>12</v>
      </c>
      <c r="J381" s="46"/>
    </row>
    <row r="382" spans="1:18" ht="45" customHeight="1" x14ac:dyDescent="0.3">
      <c r="A382" s="15" t="s">
        <v>1078</v>
      </c>
      <c r="B382" s="15">
        <v>92764</v>
      </c>
      <c r="C382" s="15" t="str">
        <f>VLOOKUP(B382,S!$A:$G,2,FALSE)</f>
        <v>SINAPI</v>
      </c>
      <c r="D382" s="22" t="str">
        <f>VLOOKUP(B382,S!$A:$G,3,FALSE)</f>
        <v>ARMAÇÃO DE PILAR OU VIGA DE ESTRUTURA CONVENCIONAL DE CONCRETO ARMADO UTILIZANDO AÇO CA-50 DE 16,0 MM - MONTAGEM. AF_06/2022</v>
      </c>
      <c r="E382" s="15" t="str">
        <f>VLOOKUP(B382,S!$A:$G,4,FALSE)</f>
        <v>KG</v>
      </c>
      <c r="F382" s="15"/>
      <c r="G382" s="78">
        <f>I388</f>
        <v>9.1300000000000008</v>
      </c>
      <c r="H382" s="79"/>
      <c r="I382" s="78"/>
      <c r="J382" s="79"/>
      <c r="K382" s="16">
        <f>VLOOKUP(B382,S!A:G,5,FALSE)</f>
        <v>9.1300000000000008</v>
      </c>
      <c r="L382" s="15" t="str">
        <f>IF(K382=G382,"OK, CONFORME TABELA",IF(G382&gt;K382,"ACIMA DA TABELA: ","ABAIXO DA TABELA: ")&amp;TRUNC((G382*100)/K382,2)&amp;" %")</f>
        <v>OK, CONFORME TABELA</v>
      </c>
    </row>
    <row r="383" spans="1:18" ht="30" customHeight="1" x14ac:dyDescent="0.3">
      <c r="A383" s="23" t="s">
        <v>1004</v>
      </c>
      <c r="B383" s="23">
        <v>92805</v>
      </c>
      <c r="C383" s="23" t="str">
        <f>VLOOKUP(B383,IF(A383="COMPOSICAO",S!$A:$E,I!$A:$E),2,FALSE)</f>
        <v>SINAPI</v>
      </c>
      <c r="D383" s="24" t="str">
        <f>VLOOKUP(B383,IF(A383="COMPOSICAO",S!$A:$E,I!$A:$E),3,FALSE)</f>
        <v>CORTE E DOBRA DE AÇO CA-50, DIÂMETRO DE 16,0 MM. AF_06/2022</v>
      </c>
      <c r="E383" s="23" t="str">
        <f>VLOOKUP(B383,IF(A383="COMPOSICAO",S!$A:$E,I!$A:$E),4,FALSE)</f>
        <v>KG</v>
      </c>
      <c r="F383" s="23">
        <v>1</v>
      </c>
      <c r="G383" s="76">
        <f>IF(A383="COMPOSICAO",VLOOKUP("TOTAL SEM BDI - "&amp;B383,CPUAUX2!$A:$J,9,FALSE),VLOOKUP(B383,I!$A:$E,5,FALSE))</f>
        <v>7.9499999999999993</v>
      </c>
      <c r="H383" s="77"/>
      <c r="I383" s="76">
        <f>TRUNC(F383*G383,2)</f>
        <v>7.95</v>
      </c>
      <c r="J383" s="77"/>
      <c r="M383" s="23">
        <f>B383</f>
        <v>92805</v>
      </c>
      <c r="N383" s="23">
        <f>SUMIF(CPU!M:M,B382,CPU!O:O)</f>
        <v>4.3709400000000009</v>
      </c>
      <c r="O383" s="23">
        <f>F383*N383</f>
        <v>4.3709400000000009</v>
      </c>
      <c r="Q383" s="23">
        <f ca="1">SUMIF(CPU!M:M,B382,CPU!R:R)</f>
        <v>1.4569800000000004</v>
      </c>
      <c r="R383" s="23">
        <f ca="1">F383*Q383</f>
        <v>1.4569800000000004</v>
      </c>
    </row>
    <row r="384" spans="1:18" x14ac:dyDescent="0.3">
      <c r="A384" s="23" t="s">
        <v>1004</v>
      </c>
      <c r="B384" s="23">
        <v>88245</v>
      </c>
      <c r="C384" s="23" t="str">
        <f>VLOOKUP(B384,IF(A384="COMPOSICAO",S!$A:$E,I!$A:$E),2,FALSE)</f>
        <v>SINAPI</v>
      </c>
      <c r="D384" s="24" t="str">
        <f>VLOOKUP(B384,IF(A384="COMPOSICAO",S!$A:$E,I!$A:$E),3,FALSE)</f>
        <v>ARMADOR COM ENCARGOS COMPLEMENTARES</v>
      </c>
      <c r="E384" s="23" t="str">
        <f>VLOOKUP(B384,IF(A384="COMPOSICAO",S!$A:$E,I!$A:$E),4,FALSE)</f>
        <v>H</v>
      </c>
      <c r="F384" s="23">
        <f>0.0194/pcf</f>
        <v>1.9400000000000001E-2</v>
      </c>
      <c r="G384" s="76">
        <f>IF(A384="COMPOSICAO",VLOOKUP("TOTAL SEM BDI - "&amp;B384,CPUAUX2!$A:$J,9,FALSE),VLOOKUP(B384,I!$A:$E,5,FALSE))</f>
        <v>27.189999999999998</v>
      </c>
      <c r="H384" s="77"/>
      <c r="I384" s="76">
        <f>TRUNC(F384*G384,2)</f>
        <v>0.52</v>
      </c>
      <c r="J384" s="77"/>
      <c r="M384" s="23">
        <f>B384</f>
        <v>88245</v>
      </c>
      <c r="N384" s="23">
        <f>SUMIF(CPU!M:M,B382,CPU!O:O)</f>
        <v>4.3709400000000009</v>
      </c>
      <c r="O384" s="23">
        <f>F384*N384</f>
        <v>8.4796236000000025E-2</v>
      </c>
      <c r="Q384" s="23">
        <f ca="1">SUMIF(CPU!M:M,B382,CPU!R:R)</f>
        <v>1.4569800000000004</v>
      </c>
      <c r="R384" s="23">
        <f ca="1">F384*Q384</f>
        <v>2.8265412000000007E-2</v>
      </c>
    </row>
    <row r="385" spans="1:18" ht="30" customHeight="1" x14ac:dyDescent="0.3">
      <c r="A385" s="23" t="s">
        <v>1004</v>
      </c>
      <c r="B385" s="23">
        <v>88238</v>
      </c>
      <c r="C385" s="23" t="str">
        <f>VLOOKUP(B385,IF(A385="COMPOSICAO",S!$A:$E,I!$A:$E),2,FALSE)</f>
        <v>SINAPI</v>
      </c>
      <c r="D385" s="24" t="str">
        <f>VLOOKUP(B385,IF(A385="COMPOSICAO",S!$A:$E,I!$A:$E),3,FALSE)</f>
        <v>AJUDANTE DE ARMADOR COM ENCARGOS COMPLEMENTARES</v>
      </c>
      <c r="E385" s="23" t="str">
        <f>VLOOKUP(B385,IF(A385="COMPOSICAO",S!$A:$E,I!$A:$E),4,FALSE)</f>
        <v>H</v>
      </c>
      <c r="F385" s="23">
        <f>0.0032/pcf</f>
        <v>3.2000000000000002E-3</v>
      </c>
      <c r="G385" s="76">
        <f>IF(A385="COMPOSICAO",VLOOKUP("TOTAL SEM BDI - "&amp;B385,CPUAUX2!$A:$J,9,FALSE),VLOOKUP(B385,I!$A:$E,5,FALSE))</f>
        <v>22.37</v>
      </c>
      <c r="H385" s="77"/>
      <c r="I385" s="76">
        <f>TRUNC(F385*G385,2)</f>
        <v>7.0000000000000007E-2</v>
      </c>
      <c r="J385" s="77"/>
      <c r="M385" s="23">
        <f>B385</f>
        <v>88238</v>
      </c>
      <c r="N385" s="23">
        <f>SUMIF(CPU!M:M,B382,CPU!O:O)</f>
        <v>4.3709400000000009</v>
      </c>
      <c r="O385" s="23">
        <f>F385*N385</f>
        <v>1.3987008000000004E-2</v>
      </c>
      <c r="Q385" s="23">
        <f ca="1">SUMIF(CPU!M:M,B382,CPU!R:R)</f>
        <v>1.4569800000000004</v>
      </c>
      <c r="R385" s="23">
        <f ca="1">F385*Q385</f>
        <v>4.6623360000000013E-3</v>
      </c>
    </row>
    <row r="386" spans="1:18" ht="30" customHeight="1" x14ac:dyDescent="0.3">
      <c r="A386" s="23" t="s">
        <v>1005</v>
      </c>
      <c r="B386" s="23">
        <v>43132</v>
      </c>
      <c r="C386" s="23" t="str">
        <f>VLOOKUP(B386,IF(A386="COMPOSICAO",S!$A:$E,I!$A:$E),2,FALSE)</f>
        <v>SINAPI</v>
      </c>
      <c r="D386" s="24" t="str">
        <f>VLOOKUP(B386,IF(A386="COMPOSICAO",S!$A:$E,I!$A:$E),3,FALSE)</f>
        <v>ARAME RECOZIDO 16 BWG, D = 1,65 MM (0,016 KG/M) OU 18 BWG, D = 1,25 MM (0,01 KG/M)</v>
      </c>
      <c r="E386" s="23" t="str">
        <f>VLOOKUP(B386,IF(A386="COMPOSICAO",S!$A:$E,I!$A:$E),4,FALSE)</f>
        <v>KG</v>
      </c>
      <c r="F386" s="23">
        <v>2.5000000000000001E-2</v>
      </c>
      <c r="G386" s="76">
        <f>IF(A386="COMPOSICAO",VLOOKUP("TOTAL SEM BDI - "&amp;B386,CPUAUX2!$A:$J,9,FALSE),VLOOKUP(B386,I!$A:$E,5,FALSE))</f>
        <v>22.18</v>
      </c>
      <c r="H386" s="77"/>
      <c r="I386" s="76">
        <f>TRUNC(F386*G386,2)</f>
        <v>0.55000000000000004</v>
      </c>
      <c r="J386" s="77"/>
      <c r="M386" s="23">
        <f>B386</f>
        <v>43132</v>
      </c>
      <c r="N386" s="23">
        <f>SUMIF(CPU!M:M,B382,CPU!O:O)</f>
        <v>4.3709400000000009</v>
      </c>
      <c r="O386" s="23">
        <f>F386*N386</f>
        <v>0.10927350000000002</v>
      </c>
      <c r="Q386" s="23">
        <f ca="1">SUMIF(CPU!M:M,B382,CPU!R:R)</f>
        <v>1.4569800000000004</v>
      </c>
      <c r="R386" s="23">
        <f ca="1">F386*Q386</f>
        <v>3.6424500000000012E-2</v>
      </c>
    </row>
    <row r="387" spans="1:18" ht="45" customHeight="1" x14ac:dyDescent="0.3">
      <c r="A387" s="23" t="s">
        <v>1005</v>
      </c>
      <c r="B387" s="23">
        <v>39017</v>
      </c>
      <c r="C387" s="23" t="str">
        <f>VLOOKUP(B387,IF(A387="COMPOSICAO",S!$A:$E,I!$A:$E),2,FALSE)</f>
        <v>SINAPI</v>
      </c>
      <c r="D387" s="24" t="str">
        <f>VLOOKUP(B387,IF(A387="COMPOSICAO",S!$A:$E,I!$A:$E),3,FALSE)</f>
        <v>ESPACADOR / DISTANCIADOR CIRCULAR COM ENTRADA LATERAL, EM PLASTICO, PARA VERGALHAO *4,2 A 12,5* MM, COBRIMENTO 20 MM</v>
      </c>
      <c r="E387" s="23" t="str">
        <f>VLOOKUP(B387,IF(A387="COMPOSICAO",S!$A:$E,I!$A:$E),4,FALSE)</f>
        <v>UN</v>
      </c>
      <c r="F387" s="23">
        <v>0.21199999999999999</v>
      </c>
      <c r="G387" s="76">
        <f>IF(A387="COMPOSICAO",VLOOKUP("TOTAL SEM BDI - "&amp;B387,CPUAUX2!$A:$J,9,FALSE),VLOOKUP(B387,I!$A:$E,5,FALSE))</f>
        <v>0.22</v>
      </c>
      <c r="H387" s="77"/>
      <c r="I387" s="76">
        <f>TRUNC(F387*G387,2)</f>
        <v>0.04</v>
      </c>
      <c r="J387" s="77"/>
      <c r="M387" s="23">
        <f>B387</f>
        <v>39017</v>
      </c>
      <c r="N387" s="23">
        <f>SUMIF(CPU!M:M,B382,CPU!O:O)</f>
        <v>4.3709400000000009</v>
      </c>
      <c r="O387" s="23">
        <f>F387*N387</f>
        <v>0.92663928000000018</v>
      </c>
      <c r="Q387" s="23">
        <f ca="1">SUMIF(CPU!M:M,B382,CPU!R:R)</f>
        <v>1.4569800000000004</v>
      </c>
      <c r="R387" s="23">
        <f ca="1">F387*Q387</f>
        <v>0.30887976000000006</v>
      </c>
    </row>
    <row r="388" spans="1:18" x14ac:dyDescent="0.3">
      <c r="A388" s="73" t="str">
        <f>"TOTAL SEM BDI - "&amp;B382</f>
        <v>TOTAL SEM BDI - 92764</v>
      </c>
      <c r="B388" s="74"/>
      <c r="C388" s="74"/>
      <c r="D388" s="74"/>
      <c r="E388" s="74"/>
      <c r="F388" s="74"/>
      <c r="G388" s="74"/>
      <c r="H388" s="75"/>
      <c r="I388" s="76">
        <f>SUM(I382:I387)</f>
        <v>9.1300000000000008</v>
      </c>
      <c r="J388" s="77"/>
    </row>
    <row r="390" spans="1:18" x14ac:dyDescent="0.3">
      <c r="A390" s="4" t="s">
        <v>1000</v>
      </c>
      <c r="B390" s="4" t="s">
        <v>170</v>
      </c>
      <c r="C390" s="4" t="s">
        <v>171</v>
      </c>
      <c r="D390" s="4" t="s">
        <v>18</v>
      </c>
      <c r="E390" s="4" t="s">
        <v>172</v>
      </c>
      <c r="F390" s="4" t="s">
        <v>507</v>
      </c>
      <c r="G390" s="45" t="s">
        <v>1001</v>
      </c>
      <c r="H390" s="46"/>
      <c r="I390" s="45" t="s">
        <v>12</v>
      </c>
      <c r="J390" s="46"/>
    </row>
    <row r="391" spans="1:18" ht="45" customHeight="1" x14ac:dyDescent="0.3">
      <c r="A391" s="15" t="s">
        <v>1078</v>
      </c>
      <c r="B391" s="15">
        <v>92765</v>
      </c>
      <c r="C391" s="15" t="str">
        <f>VLOOKUP(B391,S!$A:$G,2,FALSE)</f>
        <v>SINAPI</v>
      </c>
      <c r="D391" s="22" t="str">
        <f>VLOOKUP(B391,S!$A:$G,3,FALSE)</f>
        <v>ARMAÇÃO DE PILAR OU VIGA DE ESTRUTURA CONVENCIONAL DE CONCRETO ARMADO UTILIZANDO AÇO CA-50 DE 20,0 MM - MONTAGEM. AF_06/2022</v>
      </c>
      <c r="E391" s="15" t="str">
        <f>VLOOKUP(B391,S!$A:$G,4,FALSE)</f>
        <v>KG</v>
      </c>
      <c r="F391" s="15"/>
      <c r="G391" s="78">
        <f>I397</f>
        <v>10.4</v>
      </c>
      <c r="H391" s="79"/>
      <c r="I391" s="78"/>
      <c r="J391" s="79"/>
      <c r="K391" s="16">
        <f>VLOOKUP(B391,S!A:G,5,FALSE)</f>
        <v>10.4</v>
      </c>
      <c r="L391" s="15" t="str">
        <f>IF(K391=G391,"OK, CONFORME TABELA",IF(G391&gt;K391,"ACIMA DA TABELA: ","ABAIXO DA TABELA: ")&amp;TRUNC((G391*100)/K391,2)&amp;" %")</f>
        <v>OK, CONFORME TABELA</v>
      </c>
    </row>
    <row r="392" spans="1:18" ht="30" customHeight="1" x14ac:dyDescent="0.3">
      <c r="A392" s="23" t="s">
        <v>1004</v>
      </c>
      <c r="B392" s="23">
        <v>92806</v>
      </c>
      <c r="C392" s="23" t="str">
        <f>VLOOKUP(B392,IF(A392="COMPOSICAO",S!$A:$E,I!$A:$E),2,FALSE)</f>
        <v>SINAPI</v>
      </c>
      <c r="D392" s="24" t="str">
        <f>VLOOKUP(B392,IF(A392="COMPOSICAO",S!$A:$E,I!$A:$E),3,FALSE)</f>
        <v>CORTE E DOBRA DE AÇO CA-50, DIÂMETRO DE 20,0 MM. AF_06/2022</v>
      </c>
      <c r="E392" s="23" t="str">
        <f>VLOOKUP(B392,IF(A392="COMPOSICAO",S!$A:$E,I!$A:$E),4,FALSE)</f>
        <v>KG</v>
      </c>
      <c r="F392" s="23">
        <v>1</v>
      </c>
      <c r="G392" s="76">
        <f>IF(A392="COMPOSICAO",VLOOKUP("TOTAL SEM BDI - "&amp;B392,CPUAUX2!$A:$J,9,FALSE),VLOOKUP(B392,I!$A:$E,5,FALSE))</f>
        <v>9.3699999999999992</v>
      </c>
      <c r="H392" s="77"/>
      <c r="I392" s="76">
        <f>TRUNC(F392*G392,2)</f>
        <v>9.3699999999999992</v>
      </c>
      <c r="J392" s="77"/>
      <c r="M392" s="23">
        <f>B392</f>
        <v>92806</v>
      </c>
      <c r="N392" s="23">
        <f>SUMIF(CPU!M:M,B391,CPU!O:O)</f>
        <v>7.6759200000000014</v>
      </c>
      <c r="O392" s="23">
        <f>F392*N392</f>
        <v>7.6759200000000014</v>
      </c>
      <c r="Q392" s="23">
        <f ca="1">SUMIF(CPU!M:M,B391,CPU!R:R)</f>
        <v>2.5586400000000005</v>
      </c>
      <c r="R392" s="23">
        <f ca="1">F392*Q392</f>
        <v>2.5586400000000005</v>
      </c>
    </row>
    <row r="393" spans="1:18" x14ac:dyDescent="0.3">
      <c r="A393" s="23" t="s">
        <v>1004</v>
      </c>
      <c r="B393" s="23">
        <v>88245</v>
      </c>
      <c r="C393" s="23" t="str">
        <f>VLOOKUP(B393,IF(A393="COMPOSICAO",S!$A:$E,I!$A:$E),2,FALSE)</f>
        <v>SINAPI</v>
      </c>
      <c r="D393" s="24" t="str">
        <f>VLOOKUP(B393,IF(A393="COMPOSICAO",S!$A:$E,I!$A:$E),3,FALSE)</f>
        <v>ARMADOR COM ENCARGOS COMPLEMENTARES</v>
      </c>
      <c r="E393" s="23" t="str">
        <f>VLOOKUP(B393,IF(A393="COMPOSICAO",S!$A:$E,I!$A:$E),4,FALSE)</f>
        <v>H</v>
      </c>
      <c r="F393" s="23">
        <f>0.0152/pcf</f>
        <v>1.52E-2</v>
      </c>
      <c r="G393" s="76">
        <f>IF(A393="COMPOSICAO",VLOOKUP("TOTAL SEM BDI - "&amp;B393,CPUAUX2!$A:$J,9,FALSE),VLOOKUP(B393,I!$A:$E,5,FALSE))</f>
        <v>27.189999999999998</v>
      </c>
      <c r="H393" s="77"/>
      <c r="I393" s="76">
        <f>TRUNC(F393*G393,2)</f>
        <v>0.41</v>
      </c>
      <c r="J393" s="77"/>
      <c r="M393" s="23">
        <f>B393</f>
        <v>88245</v>
      </c>
      <c r="N393" s="23">
        <f>SUMIF(CPU!M:M,B391,CPU!O:O)</f>
        <v>7.6759200000000014</v>
      </c>
      <c r="O393" s="23">
        <f>F393*N393</f>
        <v>0.11667398400000002</v>
      </c>
      <c r="Q393" s="23">
        <f ca="1">SUMIF(CPU!M:M,B391,CPU!R:R)</f>
        <v>2.5586400000000005</v>
      </c>
      <c r="R393" s="23">
        <f ca="1">F393*Q393</f>
        <v>3.889132800000001E-2</v>
      </c>
    </row>
    <row r="394" spans="1:18" ht="30" customHeight="1" x14ac:dyDescent="0.3">
      <c r="A394" s="23" t="s">
        <v>1004</v>
      </c>
      <c r="B394" s="23">
        <v>88238</v>
      </c>
      <c r="C394" s="23" t="str">
        <f>VLOOKUP(B394,IF(A394="COMPOSICAO",S!$A:$E,I!$A:$E),2,FALSE)</f>
        <v>SINAPI</v>
      </c>
      <c r="D394" s="24" t="str">
        <f>VLOOKUP(B394,IF(A394="COMPOSICAO",S!$A:$E,I!$A:$E),3,FALSE)</f>
        <v>AJUDANTE DE ARMADOR COM ENCARGOS COMPLEMENTARES</v>
      </c>
      <c r="E394" s="23" t="str">
        <f>VLOOKUP(B394,IF(A394="COMPOSICAO",S!$A:$E,I!$A:$E),4,FALSE)</f>
        <v>H</v>
      </c>
      <c r="F394" s="23">
        <f>0.0025/pcf</f>
        <v>2.5000000000000001E-3</v>
      </c>
      <c r="G394" s="76">
        <f>IF(A394="COMPOSICAO",VLOOKUP("TOTAL SEM BDI - "&amp;B394,CPUAUX2!$A:$J,9,FALSE),VLOOKUP(B394,I!$A:$E,5,FALSE))</f>
        <v>22.37</v>
      </c>
      <c r="H394" s="77"/>
      <c r="I394" s="76">
        <f>TRUNC(F394*G394,2)</f>
        <v>0.05</v>
      </c>
      <c r="J394" s="77"/>
      <c r="M394" s="23">
        <f>B394</f>
        <v>88238</v>
      </c>
      <c r="N394" s="23">
        <f>SUMIF(CPU!M:M,B391,CPU!O:O)</f>
        <v>7.6759200000000014</v>
      </c>
      <c r="O394" s="23">
        <f>F394*N394</f>
        <v>1.9189800000000003E-2</v>
      </c>
      <c r="Q394" s="23">
        <f ca="1">SUMIF(CPU!M:M,B391,CPU!R:R)</f>
        <v>2.5586400000000005</v>
      </c>
      <c r="R394" s="23">
        <f ca="1">F394*Q394</f>
        <v>6.3966000000000014E-3</v>
      </c>
    </row>
    <row r="395" spans="1:18" ht="30" customHeight="1" x14ac:dyDescent="0.3">
      <c r="A395" s="23" t="s">
        <v>1005</v>
      </c>
      <c r="B395" s="23">
        <v>43132</v>
      </c>
      <c r="C395" s="23" t="str">
        <f>VLOOKUP(B395,IF(A395="COMPOSICAO",S!$A:$E,I!$A:$E),2,FALSE)</f>
        <v>SINAPI</v>
      </c>
      <c r="D395" s="24" t="str">
        <f>VLOOKUP(B395,IF(A395="COMPOSICAO",S!$A:$E,I!$A:$E),3,FALSE)</f>
        <v>ARAME RECOZIDO 16 BWG, D = 1,65 MM (0,016 KG/M) OU 18 BWG, D = 1,25 MM (0,01 KG/M)</v>
      </c>
      <c r="E395" s="23" t="str">
        <f>VLOOKUP(B395,IF(A395="COMPOSICAO",S!$A:$E,I!$A:$E),4,FALSE)</f>
        <v>KG</v>
      </c>
      <c r="F395" s="23">
        <v>2.5000000000000001E-2</v>
      </c>
      <c r="G395" s="76">
        <f>IF(A395="COMPOSICAO",VLOOKUP("TOTAL SEM BDI - "&amp;B395,CPUAUX2!$A:$J,9,FALSE),VLOOKUP(B395,I!$A:$E,5,FALSE))</f>
        <v>22.18</v>
      </c>
      <c r="H395" s="77"/>
      <c r="I395" s="76">
        <f>TRUNC(F395*G395,2)</f>
        <v>0.55000000000000004</v>
      </c>
      <c r="J395" s="77"/>
      <c r="M395" s="23">
        <f>B395</f>
        <v>43132</v>
      </c>
      <c r="N395" s="23">
        <f>SUMIF(CPU!M:M,B391,CPU!O:O)</f>
        <v>7.6759200000000014</v>
      </c>
      <c r="O395" s="23">
        <f>F395*N395</f>
        <v>0.19189800000000004</v>
      </c>
      <c r="Q395" s="23">
        <f ca="1">SUMIF(CPU!M:M,B391,CPU!R:R)</f>
        <v>2.5586400000000005</v>
      </c>
      <c r="R395" s="23">
        <f ca="1">F395*Q395</f>
        <v>6.3966000000000009E-2</v>
      </c>
    </row>
    <row r="396" spans="1:18" ht="45" customHeight="1" x14ac:dyDescent="0.3">
      <c r="A396" s="23" t="s">
        <v>1005</v>
      </c>
      <c r="B396" s="23">
        <v>39017</v>
      </c>
      <c r="C396" s="23" t="str">
        <f>VLOOKUP(B396,IF(A396="COMPOSICAO",S!$A:$E,I!$A:$E),2,FALSE)</f>
        <v>SINAPI</v>
      </c>
      <c r="D396" s="24" t="str">
        <f>VLOOKUP(B396,IF(A396="COMPOSICAO",S!$A:$E,I!$A:$E),3,FALSE)</f>
        <v>ESPACADOR / DISTANCIADOR CIRCULAR COM ENTRADA LATERAL, EM PLASTICO, PARA VERGALHAO *4,2 A 12,5* MM, COBRIMENTO 20 MM</v>
      </c>
      <c r="E396" s="23" t="str">
        <f>VLOOKUP(B396,IF(A396="COMPOSICAO",S!$A:$E,I!$A:$E),4,FALSE)</f>
        <v>UN</v>
      </c>
      <c r="F396" s="23">
        <v>0.113</v>
      </c>
      <c r="G396" s="76">
        <f>IF(A396="COMPOSICAO",VLOOKUP("TOTAL SEM BDI - "&amp;B396,CPUAUX2!$A:$J,9,FALSE),VLOOKUP(B396,I!$A:$E,5,FALSE))</f>
        <v>0.22</v>
      </c>
      <c r="H396" s="77"/>
      <c r="I396" s="76">
        <f>TRUNC(F396*G396,2)</f>
        <v>0.02</v>
      </c>
      <c r="J396" s="77"/>
      <c r="M396" s="23">
        <f>B396</f>
        <v>39017</v>
      </c>
      <c r="N396" s="23">
        <f>SUMIF(CPU!M:M,B391,CPU!O:O)</f>
        <v>7.6759200000000014</v>
      </c>
      <c r="O396" s="23">
        <f>F396*N396</f>
        <v>0.86737896000000014</v>
      </c>
      <c r="Q396" s="23">
        <f ca="1">SUMIF(CPU!M:M,B391,CPU!R:R)</f>
        <v>2.5586400000000005</v>
      </c>
      <c r="R396" s="23">
        <f ca="1">F396*Q396</f>
        <v>0.28912632000000005</v>
      </c>
    </row>
    <row r="397" spans="1:18" x14ac:dyDescent="0.3">
      <c r="A397" s="73" t="str">
        <f>"TOTAL SEM BDI - "&amp;B391</f>
        <v>TOTAL SEM BDI - 92765</v>
      </c>
      <c r="B397" s="74"/>
      <c r="C397" s="74"/>
      <c r="D397" s="74"/>
      <c r="E397" s="74"/>
      <c r="F397" s="74"/>
      <c r="G397" s="74"/>
      <c r="H397" s="75"/>
      <c r="I397" s="76">
        <f>SUM(I391:I396)</f>
        <v>10.4</v>
      </c>
      <c r="J397" s="77"/>
    </row>
    <row r="399" spans="1:18" x14ac:dyDescent="0.3">
      <c r="A399" s="4" t="s">
        <v>1000</v>
      </c>
      <c r="B399" s="4" t="s">
        <v>170</v>
      </c>
      <c r="C399" s="4" t="s">
        <v>171</v>
      </c>
      <c r="D399" s="4" t="s">
        <v>18</v>
      </c>
      <c r="E399" s="4" t="s">
        <v>172</v>
      </c>
      <c r="F399" s="4" t="s">
        <v>507</v>
      </c>
      <c r="G399" s="45" t="s">
        <v>1001</v>
      </c>
      <c r="H399" s="46"/>
      <c r="I399" s="45" t="s">
        <v>12</v>
      </c>
      <c r="J399" s="46"/>
    </row>
    <row r="400" spans="1:18" ht="30" customHeight="1" x14ac:dyDescent="0.3">
      <c r="A400" s="15" t="s">
        <v>1080</v>
      </c>
      <c r="B400" s="15">
        <v>96543</v>
      </c>
      <c r="C400" s="15" t="str">
        <f>VLOOKUP(B400,S!$A:$G,2,FALSE)</f>
        <v>SINAPI</v>
      </c>
      <c r="D400" s="22" t="str">
        <f>VLOOKUP(B400,S!$A:$G,3,FALSE)</f>
        <v>ARMAÇÃO DE BLOCO UTILIZANDO AÇO CA-60 DE 5 MM - MONTAGEM. AF_01/2024</v>
      </c>
      <c r="E400" s="15" t="str">
        <f>VLOOKUP(B400,S!$A:$G,4,FALSE)</f>
        <v>KG</v>
      </c>
      <c r="F400" s="15"/>
      <c r="G400" s="78">
        <f>I406</f>
        <v>19.899999999999999</v>
      </c>
      <c r="H400" s="79"/>
      <c r="I400" s="78"/>
      <c r="J400" s="79"/>
      <c r="K400" s="16">
        <f>VLOOKUP(B400,S!A:G,5,FALSE)</f>
        <v>19.899999999999999</v>
      </c>
      <c r="L400" s="15" t="str">
        <f>IF(K400=G400,"OK, CONFORME TABELA",IF(G400&gt;K400,"ACIMA DA TABELA: ","ABAIXO DA TABELA: ")&amp;TRUNC((G400*100)/K400,2)&amp;" %")</f>
        <v>OK, CONFORME TABELA</v>
      </c>
    </row>
    <row r="401" spans="1:18" ht="30" customHeight="1" x14ac:dyDescent="0.3">
      <c r="A401" s="23" t="s">
        <v>1004</v>
      </c>
      <c r="B401" s="23">
        <v>92800</v>
      </c>
      <c r="C401" s="23" t="str">
        <f>VLOOKUP(B401,IF(A401="COMPOSICAO",S!$A:$E,I!$A:$E),2,FALSE)</f>
        <v>SINAPI</v>
      </c>
      <c r="D401" s="24" t="str">
        <f>VLOOKUP(B401,IF(A401="COMPOSICAO",S!$A:$E,I!$A:$E),3,FALSE)</f>
        <v>CORTE E DOBRA DE AÇO CA-60, DIÂMETRO DE 5,0 MM. AF_06/2022</v>
      </c>
      <c r="E401" s="23" t="str">
        <f>VLOOKUP(B401,IF(A401="COMPOSICAO",S!$A:$E,I!$A:$E),4,FALSE)</f>
        <v>KG</v>
      </c>
      <c r="F401" s="23">
        <v>1</v>
      </c>
      <c r="G401" s="76">
        <f>IF(A401="COMPOSICAO",VLOOKUP("TOTAL SEM BDI - "&amp;B401,CPUAUX2!$A:$J,9,FALSE),VLOOKUP(B401,I!$A:$E,5,FALSE))</f>
        <v>10.09</v>
      </c>
      <c r="H401" s="77"/>
      <c r="I401" s="76">
        <f>TRUNC(F401*G401,2)</f>
        <v>10.09</v>
      </c>
      <c r="J401" s="77"/>
      <c r="M401" s="23">
        <f>B401</f>
        <v>92800</v>
      </c>
      <c r="N401" s="23">
        <f>SUMIF(CPU!M:M,B400,CPU!O:O)</f>
        <v>0.34686000000000006</v>
      </c>
      <c r="O401" s="23">
        <f>F401*N401</f>
        <v>0.34686000000000006</v>
      </c>
      <c r="Q401" s="23">
        <f ca="1">SUMIF(CPU!M:M,B400,CPU!R:R)</f>
        <v>0.11562000000000003</v>
      </c>
      <c r="R401" s="23">
        <f ca="1">F401*Q401</f>
        <v>0.11562000000000003</v>
      </c>
    </row>
    <row r="402" spans="1:18" x14ac:dyDescent="0.3">
      <c r="A402" s="23" t="s">
        <v>1004</v>
      </c>
      <c r="B402" s="23">
        <v>88245</v>
      </c>
      <c r="C402" s="23" t="str">
        <f>VLOOKUP(B402,IF(A402="COMPOSICAO",S!$A:$E,I!$A:$E),2,FALSE)</f>
        <v>SINAPI</v>
      </c>
      <c r="D402" s="24" t="str">
        <f>VLOOKUP(B402,IF(A402="COMPOSICAO",S!$A:$E,I!$A:$E),3,FALSE)</f>
        <v>ARMADOR COM ENCARGOS COMPLEMENTARES</v>
      </c>
      <c r="E402" s="23" t="str">
        <f>VLOOKUP(B402,IF(A402="COMPOSICAO",S!$A:$E,I!$A:$E),4,FALSE)</f>
        <v>H</v>
      </c>
      <c r="F402" s="23">
        <f>0.252/pcf</f>
        <v>0.252</v>
      </c>
      <c r="G402" s="76">
        <f>IF(A402="COMPOSICAO",VLOOKUP("TOTAL SEM BDI - "&amp;B402,CPUAUX2!$A:$J,9,FALSE),VLOOKUP(B402,I!$A:$E,5,FALSE))</f>
        <v>27.189999999999998</v>
      </c>
      <c r="H402" s="77"/>
      <c r="I402" s="76">
        <f>TRUNC(F402*G402,2)</f>
        <v>6.85</v>
      </c>
      <c r="J402" s="77"/>
      <c r="M402" s="23">
        <f>B402</f>
        <v>88245</v>
      </c>
      <c r="N402" s="23">
        <f>SUMIF(CPU!M:M,B400,CPU!O:O)</f>
        <v>0.34686000000000006</v>
      </c>
      <c r="O402" s="23">
        <f>F402*N402</f>
        <v>8.7408720000000009E-2</v>
      </c>
      <c r="Q402" s="23">
        <f ca="1">SUMIF(CPU!M:M,B400,CPU!R:R)</f>
        <v>0.11562000000000003</v>
      </c>
      <c r="R402" s="23">
        <f ca="1">F402*Q402</f>
        <v>2.9136240000000008E-2</v>
      </c>
    </row>
    <row r="403" spans="1:18" ht="30" customHeight="1" x14ac:dyDescent="0.3">
      <c r="A403" s="23" t="s">
        <v>1004</v>
      </c>
      <c r="B403" s="23">
        <v>88238</v>
      </c>
      <c r="C403" s="23" t="str">
        <f>VLOOKUP(B403,IF(A403="COMPOSICAO",S!$A:$E,I!$A:$E),2,FALSE)</f>
        <v>SINAPI</v>
      </c>
      <c r="D403" s="24" t="str">
        <f>VLOOKUP(B403,IF(A403="COMPOSICAO",S!$A:$E,I!$A:$E),3,FALSE)</f>
        <v>AJUDANTE DE ARMADOR COM ENCARGOS COMPLEMENTARES</v>
      </c>
      <c r="E403" s="23" t="str">
        <f>VLOOKUP(B403,IF(A403="COMPOSICAO",S!$A:$E,I!$A:$E),4,FALSE)</f>
        <v>H</v>
      </c>
      <c r="F403" s="23">
        <f>0.097/pcf</f>
        <v>9.7000000000000003E-2</v>
      </c>
      <c r="G403" s="76">
        <f>IF(A403="COMPOSICAO",VLOOKUP("TOTAL SEM BDI - "&amp;B403,CPUAUX2!$A:$J,9,FALSE),VLOOKUP(B403,I!$A:$E,5,FALSE))</f>
        <v>22.37</v>
      </c>
      <c r="H403" s="77"/>
      <c r="I403" s="76">
        <f>TRUNC(F403*G403,2)</f>
        <v>2.16</v>
      </c>
      <c r="J403" s="77"/>
      <c r="M403" s="23">
        <f>B403</f>
        <v>88238</v>
      </c>
      <c r="N403" s="23">
        <f>SUMIF(CPU!M:M,B400,CPU!O:O)</f>
        <v>0.34686000000000006</v>
      </c>
      <c r="O403" s="23">
        <f>F403*N403</f>
        <v>3.3645420000000009E-2</v>
      </c>
      <c r="Q403" s="23">
        <f ca="1">SUMIF(CPU!M:M,B400,CPU!R:R)</f>
        <v>0.11562000000000003</v>
      </c>
      <c r="R403" s="23">
        <f ca="1">F403*Q403</f>
        <v>1.1215140000000004E-2</v>
      </c>
    </row>
    <row r="404" spans="1:18" ht="30" customHeight="1" x14ac:dyDescent="0.3">
      <c r="A404" s="23" t="s">
        <v>1005</v>
      </c>
      <c r="B404" s="23">
        <v>43132</v>
      </c>
      <c r="C404" s="23" t="str">
        <f>VLOOKUP(B404,IF(A404="COMPOSICAO",S!$A:$E,I!$A:$E),2,FALSE)</f>
        <v>SINAPI</v>
      </c>
      <c r="D404" s="24" t="str">
        <f>VLOOKUP(B404,IF(A404="COMPOSICAO",S!$A:$E,I!$A:$E),3,FALSE)</f>
        <v>ARAME RECOZIDO 16 BWG, D = 1,65 MM (0,016 KG/M) OU 18 BWG, D = 1,25 MM (0,01 KG/M)</v>
      </c>
      <c r="E404" s="23" t="str">
        <f>VLOOKUP(B404,IF(A404="COMPOSICAO",S!$A:$E,I!$A:$E),4,FALSE)</f>
        <v>KG</v>
      </c>
      <c r="F404" s="23">
        <v>2.5000000000000001E-2</v>
      </c>
      <c r="G404" s="76">
        <f>IF(A404="COMPOSICAO",VLOOKUP("TOTAL SEM BDI - "&amp;B404,CPUAUX2!$A:$J,9,FALSE),VLOOKUP(B404,I!$A:$E,5,FALSE))</f>
        <v>22.18</v>
      </c>
      <c r="H404" s="77"/>
      <c r="I404" s="76">
        <f>TRUNC(F404*G404,2)</f>
        <v>0.55000000000000004</v>
      </c>
      <c r="J404" s="77"/>
      <c r="M404" s="23">
        <f>B404</f>
        <v>43132</v>
      </c>
      <c r="N404" s="23">
        <f>SUMIF(CPU!M:M,B400,CPU!O:O)</f>
        <v>0.34686000000000006</v>
      </c>
      <c r="O404" s="23">
        <f>F404*N404</f>
        <v>8.6715000000000021E-3</v>
      </c>
      <c r="Q404" s="23">
        <f ca="1">SUMIF(CPU!M:M,B400,CPU!R:R)</f>
        <v>0.11562000000000003</v>
      </c>
      <c r="R404" s="23">
        <f ca="1">F404*Q404</f>
        <v>2.8905000000000007E-3</v>
      </c>
    </row>
    <row r="405" spans="1:18" ht="45" customHeight="1" x14ac:dyDescent="0.3">
      <c r="A405" s="23" t="s">
        <v>1005</v>
      </c>
      <c r="B405" s="23">
        <v>39017</v>
      </c>
      <c r="C405" s="23" t="str">
        <f>VLOOKUP(B405,IF(A405="COMPOSICAO",S!$A:$E,I!$A:$E),2,FALSE)</f>
        <v>SINAPI</v>
      </c>
      <c r="D405" s="24" t="str">
        <f>VLOOKUP(B405,IF(A405="COMPOSICAO",S!$A:$E,I!$A:$E),3,FALSE)</f>
        <v>ESPACADOR / DISTANCIADOR CIRCULAR COM ENTRADA LATERAL, EM PLASTICO, PARA VERGALHAO *4,2 A 12,5* MM, COBRIMENTO 20 MM</v>
      </c>
      <c r="E405" s="23" t="str">
        <f>VLOOKUP(B405,IF(A405="COMPOSICAO",S!$A:$E,I!$A:$E),4,FALSE)</f>
        <v>UN</v>
      </c>
      <c r="F405" s="23">
        <v>1.143</v>
      </c>
      <c r="G405" s="76">
        <f>IF(A405="COMPOSICAO",VLOOKUP("TOTAL SEM BDI - "&amp;B405,CPUAUX2!$A:$J,9,FALSE),VLOOKUP(B405,I!$A:$E,5,FALSE))</f>
        <v>0.22</v>
      </c>
      <c r="H405" s="77"/>
      <c r="I405" s="76">
        <f>TRUNC(F405*G405,2)</f>
        <v>0.25</v>
      </c>
      <c r="J405" s="77"/>
      <c r="M405" s="23">
        <f>B405</f>
        <v>39017</v>
      </c>
      <c r="N405" s="23">
        <f>SUMIF(CPU!M:M,B400,CPU!O:O)</f>
        <v>0.34686000000000006</v>
      </c>
      <c r="O405" s="23">
        <f>F405*N405</f>
        <v>0.39646098000000007</v>
      </c>
      <c r="Q405" s="23">
        <f ca="1">SUMIF(CPU!M:M,B400,CPU!R:R)</f>
        <v>0.11562000000000003</v>
      </c>
      <c r="R405" s="23">
        <f ca="1">F405*Q405</f>
        <v>0.13215366000000003</v>
      </c>
    </row>
    <row r="406" spans="1:18" x14ac:dyDescent="0.3">
      <c r="A406" s="73" t="str">
        <f>"TOTAL SEM BDI - "&amp;B400</f>
        <v>TOTAL SEM BDI - 96543</v>
      </c>
      <c r="B406" s="74"/>
      <c r="C406" s="74"/>
      <c r="D406" s="74"/>
      <c r="E406" s="74"/>
      <c r="F406" s="74"/>
      <c r="G406" s="74"/>
      <c r="H406" s="75"/>
      <c r="I406" s="76">
        <f>SUM(I400:I405)</f>
        <v>19.899999999999999</v>
      </c>
      <c r="J406" s="77"/>
    </row>
    <row r="408" spans="1:18" x14ac:dyDescent="0.3">
      <c r="A408" s="4" t="s">
        <v>1000</v>
      </c>
      <c r="B408" s="4" t="s">
        <v>170</v>
      </c>
      <c r="C408" s="4" t="s">
        <v>171</v>
      </c>
      <c r="D408" s="4" t="s">
        <v>18</v>
      </c>
      <c r="E408" s="4" t="s">
        <v>172</v>
      </c>
      <c r="F408" s="4" t="s">
        <v>507</v>
      </c>
      <c r="G408" s="45" t="s">
        <v>1001</v>
      </c>
      <c r="H408" s="46"/>
      <c r="I408" s="45" t="s">
        <v>12</v>
      </c>
      <c r="J408" s="46"/>
    </row>
    <row r="409" spans="1:18" ht="30" customHeight="1" x14ac:dyDescent="0.3">
      <c r="A409" s="15" t="s">
        <v>1080</v>
      </c>
      <c r="B409" s="15">
        <v>96544</v>
      </c>
      <c r="C409" s="15" t="str">
        <f>VLOOKUP(B409,S!$A:$G,2,FALSE)</f>
        <v>SINAPI</v>
      </c>
      <c r="D409" s="22" t="str">
        <f>VLOOKUP(B409,S!$A:$G,3,FALSE)</f>
        <v>ARMAÇÃO DE BLOCO UTILIZANDO AÇO CA-50 DE 6,3 MM - MONTAGEM. AF_01/2024</v>
      </c>
      <c r="E409" s="15" t="str">
        <f>VLOOKUP(B409,S!$A:$G,4,FALSE)</f>
        <v>KG</v>
      </c>
      <c r="F409" s="15"/>
      <c r="G409" s="78">
        <f>I415</f>
        <v>17.930000000000003</v>
      </c>
      <c r="H409" s="79"/>
      <c r="I409" s="78"/>
      <c r="J409" s="79"/>
      <c r="K409" s="16">
        <f>VLOOKUP(B409,S!A:G,5,FALSE)</f>
        <v>17.93</v>
      </c>
      <c r="L409" s="15" t="str">
        <f>IF(K409=G409,"OK, CONFORME TABELA",IF(G409&gt;K409,"ACIMA DA TABELA: ","ABAIXO DA TABELA: ")&amp;TRUNC((G409*100)/K409,2)&amp;" %")</f>
        <v>OK, CONFORME TABELA</v>
      </c>
    </row>
    <row r="410" spans="1:18" ht="30" customHeight="1" x14ac:dyDescent="0.3">
      <c r="A410" s="23" t="s">
        <v>1004</v>
      </c>
      <c r="B410" s="23">
        <v>92801</v>
      </c>
      <c r="C410" s="23" t="str">
        <f>VLOOKUP(B410,IF(A410="COMPOSICAO",S!$A:$E,I!$A:$E),2,FALSE)</f>
        <v>SINAPI</v>
      </c>
      <c r="D410" s="24" t="str">
        <f>VLOOKUP(B410,IF(A410="COMPOSICAO",S!$A:$E,I!$A:$E),3,FALSE)</f>
        <v>CORTE E DOBRA DE AÇO CA-50, DIÂMETRO DE 6,3 MM. AF_06/2022</v>
      </c>
      <c r="E410" s="23" t="str">
        <f>VLOOKUP(B410,IF(A410="COMPOSICAO",S!$A:$E,I!$A:$E),4,FALSE)</f>
        <v>KG</v>
      </c>
      <c r="F410" s="23">
        <v>1</v>
      </c>
      <c r="G410" s="76">
        <f>IF(A410="COMPOSICAO",VLOOKUP("TOTAL SEM BDI - "&amp;B410,CPUAUX2!$A:$J,9,FALSE),VLOOKUP(B410,I!$A:$E,5,FALSE))</f>
        <v>10.209999999999999</v>
      </c>
      <c r="H410" s="77"/>
      <c r="I410" s="76">
        <f>TRUNC(F410*G410,2)</f>
        <v>10.210000000000001</v>
      </c>
      <c r="J410" s="77"/>
      <c r="M410" s="23">
        <f>B410</f>
        <v>92801</v>
      </c>
      <c r="N410" s="23">
        <f>SUMIF(CPU!M:M,B409,CPU!O:O)</f>
        <v>0.59832000000000007</v>
      </c>
      <c r="O410" s="23">
        <f>F410*N410</f>
        <v>0.59832000000000007</v>
      </c>
      <c r="Q410" s="23">
        <f ca="1">SUMIF(CPU!M:M,B409,CPU!R:R)</f>
        <v>0.19944000000000001</v>
      </c>
      <c r="R410" s="23">
        <f ca="1">F410*Q410</f>
        <v>0.19944000000000001</v>
      </c>
    </row>
    <row r="411" spans="1:18" x14ac:dyDescent="0.3">
      <c r="A411" s="23" t="s">
        <v>1004</v>
      </c>
      <c r="B411" s="23">
        <v>88245</v>
      </c>
      <c r="C411" s="23" t="str">
        <f>VLOOKUP(B411,IF(A411="COMPOSICAO",S!$A:$E,I!$A:$E),2,FALSE)</f>
        <v>SINAPI</v>
      </c>
      <c r="D411" s="24" t="str">
        <f>VLOOKUP(B411,IF(A411="COMPOSICAO",S!$A:$E,I!$A:$E),3,FALSE)</f>
        <v>ARMADOR COM ENCARGOS COMPLEMENTARES</v>
      </c>
      <c r="E411" s="23" t="str">
        <f>VLOOKUP(B411,IF(A411="COMPOSICAO",S!$A:$E,I!$A:$E),4,FALSE)</f>
        <v>H</v>
      </c>
      <c r="F411" s="23">
        <f>0.196/pcf</f>
        <v>0.19600000000000001</v>
      </c>
      <c r="G411" s="76">
        <f>IF(A411="COMPOSICAO",VLOOKUP("TOTAL SEM BDI - "&amp;B411,CPUAUX2!$A:$J,9,FALSE),VLOOKUP(B411,I!$A:$E,5,FALSE))</f>
        <v>27.189999999999998</v>
      </c>
      <c r="H411" s="77"/>
      <c r="I411" s="76">
        <f>TRUNC(F411*G411,2)</f>
        <v>5.32</v>
      </c>
      <c r="J411" s="77"/>
      <c r="M411" s="23">
        <f>B411</f>
        <v>88245</v>
      </c>
      <c r="N411" s="23">
        <f>SUMIF(CPU!M:M,B409,CPU!O:O)</f>
        <v>0.59832000000000007</v>
      </c>
      <c r="O411" s="23">
        <f>F411*N411</f>
        <v>0.11727072000000002</v>
      </c>
      <c r="Q411" s="23">
        <f ca="1">SUMIF(CPU!M:M,B409,CPU!R:R)</f>
        <v>0.19944000000000001</v>
      </c>
      <c r="R411" s="23">
        <f ca="1">F411*Q411</f>
        <v>3.9090240000000005E-2</v>
      </c>
    </row>
    <row r="412" spans="1:18" ht="30" customHeight="1" x14ac:dyDescent="0.3">
      <c r="A412" s="23" t="s">
        <v>1004</v>
      </c>
      <c r="B412" s="23">
        <v>88238</v>
      </c>
      <c r="C412" s="23" t="str">
        <f>VLOOKUP(B412,IF(A412="COMPOSICAO",S!$A:$E,I!$A:$E),2,FALSE)</f>
        <v>SINAPI</v>
      </c>
      <c r="D412" s="24" t="str">
        <f>VLOOKUP(B412,IF(A412="COMPOSICAO",S!$A:$E,I!$A:$E),3,FALSE)</f>
        <v>AJUDANTE DE ARMADOR COM ENCARGOS COMPLEMENTARES</v>
      </c>
      <c r="E412" s="23" t="str">
        <f>VLOOKUP(B412,IF(A412="COMPOSICAO",S!$A:$E,I!$A:$E),4,FALSE)</f>
        <v>H</v>
      </c>
      <c r="F412" s="23">
        <f>0.075/pcf</f>
        <v>7.4999999999999997E-2</v>
      </c>
      <c r="G412" s="76">
        <f>IF(A412="COMPOSICAO",VLOOKUP("TOTAL SEM BDI - "&amp;B412,CPUAUX2!$A:$J,9,FALSE),VLOOKUP(B412,I!$A:$E,5,FALSE))</f>
        <v>22.37</v>
      </c>
      <c r="H412" s="77"/>
      <c r="I412" s="76">
        <f>TRUNC(F412*G412,2)</f>
        <v>1.67</v>
      </c>
      <c r="J412" s="77"/>
      <c r="M412" s="23">
        <f>B412</f>
        <v>88238</v>
      </c>
      <c r="N412" s="23">
        <f>SUMIF(CPU!M:M,B409,CPU!O:O)</f>
        <v>0.59832000000000007</v>
      </c>
      <c r="O412" s="23">
        <f>F412*N412</f>
        <v>4.4874000000000004E-2</v>
      </c>
      <c r="Q412" s="23">
        <f ca="1">SUMIF(CPU!M:M,B409,CPU!R:R)</f>
        <v>0.19944000000000001</v>
      </c>
      <c r="R412" s="23">
        <f ca="1">F412*Q412</f>
        <v>1.4957999999999999E-2</v>
      </c>
    </row>
    <row r="413" spans="1:18" ht="30" customHeight="1" x14ac:dyDescent="0.3">
      <c r="A413" s="23" t="s">
        <v>1005</v>
      </c>
      <c r="B413" s="23">
        <v>43132</v>
      </c>
      <c r="C413" s="23" t="str">
        <f>VLOOKUP(B413,IF(A413="COMPOSICAO",S!$A:$E,I!$A:$E),2,FALSE)</f>
        <v>SINAPI</v>
      </c>
      <c r="D413" s="24" t="str">
        <f>VLOOKUP(B413,IF(A413="COMPOSICAO",S!$A:$E,I!$A:$E),3,FALSE)</f>
        <v>ARAME RECOZIDO 16 BWG, D = 1,65 MM (0,016 KG/M) OU 18 BWG, D = 1,25 MM (0,01 KG/M)</v>
      </c>
      <c r="E413" s="23" t="str">
        <f>VLOOKUP(B413,IF(A413="COMPOSICAO",S!$A:$E,I!$A:$E),4,FALSE)</f>
        <v>KG</v>
      </c>
      <c r="F413" s="23">
        <v>2.5000000000000001E-2</v>
      </c>
      <c r="G413" s="76">
        <f>IF(A413="COMPOSICAO",VLOOKUP("TOTAL SEM BDI - "&amp;B413,CPUAUX2!$A:$J,9,FALSE),VLOOKUP(B413,I!$A:$E,5,FALSE))</f>
        <v>22.18</v>
      </c>
      <c r="H413" s="77"/>
      <c r="I413" s="76">
        <f>TRUNC(F413*G413,2)</f>
        <v>0.55000000000000004</v>
      </c>
      <c r="J413" s="77"/>
      <c r="M413" s="23">
        <f>B413</f>
        <v>43132</v>
      </c>
      <c r="N413" s="23">
        <f>SUMIF(CPU!M:M,B409,CPU!O:O)</f>
        <v>0.59832000000000007</v>
      </c>
      <c r="O413" s="23">
        <f>F413*N413</f>
        <v>1.4958000000000003E-2</v>
      </c>
      <c r="Q413" s="23">
        <f ca="1">SUMIF(CPU!M:M,B409,CPU!R:R)</f>
        <v>0.19944000000000001</v>
      </c>
      <c r="R413" s="23">
        <f ca="1">F413*Q413</f>
        <v>4.9860000000000008E-3</v>
      </c>
    </row>
    <row r="414" spans="1:18" ht="45" customHeight="1" x14ac:dyDescent="0.3">
      <c r="A414" s="23" t="s">
        <v>1005</v>
      </c>
      <c r="B414" s="23">
        <v>39017</v>
      </c>
      <c r="C414" s="23" t="str">
        <f>VLOOKUP(B414,IF(A414="COMPOSICAO",S!$A:$E,I!$A:$E),2,FALSE)</f>
        <v>SINAPI</v>
      </c>
      <c r="D414" s="24" t="str">
        <f>VLOOKUP(B414,IF(A414="COMPOSICAO",S!$A:$E,I!$A:$E),3,FALSE)</f>
        <v>ESPACADOR / DISTANCIADOR CIRCULAR COM ENTRADA LATERAL, EM PLASTICO, PARA VERGALHAO *4,2 A 12,5* MM, COBRIMENTO 20 MM</v>
      </c>
      <c r="E414" s="23" t="str">
        <f>VLOOKUP(B414,IF(A414="COMPOSICAO",S!$A:$E,I!$A:$E),4,FALSE)</f>
        <v>UN</v>
      </c>
      <c r="F414" s="23">
        <v>0.85599999999999998</v>
      </c>
      <c r="G414" s="76">
        <f>IF(A414="COMPOSICAO",VLOOKUP("TOTAL SEM BDI - "&amp;B414,CPUAUX2!$A:$J,9,FALSE),VLOOKUP(B414,I!$A:$E,5,FALSE))</f>
        <v>0.22</v>
      </c>
      <c r="H414" s="77"/>
      <c r="I414" s="76">
        <f>TRUNC(F414*G414,2)</f>
        <v>0.18</v>
      </c>
      <c r="J414" s="77"/>
      <c r="M414" s="23">
        <f>B414</f>
        <v>39017</v>
      </c>
      <c r="N414" s="23">
        <f>SUMIF(CPU!M:M,B409,CPU!O:O)</f>
        <v>0.59832000000000007</v>
      </c>
      <c r="O414" s="23">
        <f>F414*N414</f>
        <v>0.51216192000000005</v>
      </c>
      <c r="Q414" s="23">
        <f ca="1">SUMIF(CPU!M:M,B409,CPU!R:R)</f>
        <v>0.19944000000000001</v>
      </c>
      <c r="R414" s="23">
        <f ca="1">F414*Q414</f>
        <v>0.17072064000000001</v>
      </c>
    </row>
    <row r="415" spans="1:18" x14ac:dyDescent="0.3">
      <c r="A415" s="73" t="str">
        <f>"TOTAL SEM BDI - "&amp;B409</f>
        <v>TOTAL SEM BDI - 96544</v>
      </c>
      <c r="B415" s="74"/>
      <c r="C415" s="74"/>
      <c r="D415" s="74"/>
      <c r="E415" s="74"/>
      <c r="F415" s="74"/>
      <c r="G415" s="74"/>
      <c r="H415" s="75"/>
      <c r="I415" s="76">
        <f>SUM(I409:I414)</f>
        <v>17.930000000000003</v>
      </c>
      <c r="J415" s="77"/>
    </row>
    <row r="417" spans="1:18" x14ac:dyDescent="0.3">
      <c r="A417" s="4" t="s">
        <v>1000</v>
      </c>
      <c r="B417" s="4" t="s">
        <v>170</v>
      </c>
      <c r="C417" s="4" t="s">
        <v>171</v>
      </c>
      <c r="D417" s="4" t="s">
        <v>18</v>
      </c>
      <c r="E417" s="4" t="s">
        <v>172</v>
      </c>
      <c r="F417" s="4" t="s">
        <v>507</v>
      </c>
      <c r="G417" s="45" t="s">
        <v>1001</v>
      </c>
      <c r="H417" s="46"/>
      <c r="I417" s="45" t="s">
        <v>12</v>
      </c>
      <c r="J417" s="46"/>
    </row>
    <row r="418" spans="1:18" ht="30" customHeight="1" x14ac:dyDescent="0.3">
      <c r="A418" s="15" t="s">
        <v>1080</v>
      </c>
      <c r="B418" s="15">
        <v>96545</v>
      </c>
      <c r="C418" s="15" t="str">
        <f>VLOOKUP(B418,S!$A:$G,2,FALSE)</f>
        <v>SINAPI</v>
      </c>
      <c r="D418" s="22" t="str">
        <f>VLOOKUP(B418,S!$A:$G,3,FALSE)</f>
        <v>ARMAÇÃO DE BLOCO UTILIZANDO AÇO CA-50 DE 8 MM - MONTAGEM. AF_01/2024</v>
      </c>
      <c r="E418" s="15" t="str">
        <f>VLOOKUP(B418,S!$A:$G,4,FALSE)</f>
        <v>KG</v>
      </c>
      <c r="F418" s="15"/>
      <c r="G418" s="78">
        <f>I424</f>
        <v>16.169999999999998</v>
      </c>
      <c r="H418" s="79"/>
      <c r="I418" s="78"/>
      <c r="J418" s="79"/>
      <c r="K418" s="16">
        <f>VLOOKUP(B418,S!A:G,5,FALSE)</f>
        <v>16.170000000000002</v>
      </c>
      <c r="L418" s="15" t="str">
        <f>IF(K418=G418,"OK, CONFORME TABELA",IF(G418&gt;K418,"ACIMA DA TABELA: ","ABAIXO DA TABELA: ")&amp;TRUNC((G418*100)/K418,2)&amp;" %")</f>
        <v>OK, CONFORME TABELA</v>
      </c>
    </row>
    <row r="419" spans="1:18" ht="30" customHeight="1" x14ac:dyDescent="0.3">
      <c r="A419" s="23" t="s">
        <v>1004</v>
      </c>
      <c r="B419" s="23">
        <v>92802</v>
      </c>
      <c r="C419" s="23" t="str">
        <f>VLOOKUP(B419,IF(A419="COMPOSICAO",S!$A:$E,I!$A:$E),2,FALSE)</f>
        <v>SINAPI</v>
      </c>
      <c r="D419" s="24" t="str">
        <f>VLOOKUP(B419,IF(A419="COMPOSICAO",S!$A:$E,I!$A:$E),3,FALSE)</f>
        <v>CORTE E DOBRA DE AÇO CA-50, DIÂMETRO DE 8,0 MM. AF_06/2022</v>
      </c>
      <c r="E419" s="23" t="str">
        <f>VLOOKUP(B419,IF(A419="COMPOSICAO",S!$A:$E,I!$A:$E),4,FALSE)</f>
        <v>KG</v>
      </c>
      <c r="F419" s="23">
        <v>1</v>
      </c>
      <c r="G419" s="76">
        <f>IF(A419="COMPOSICAO",VLOOKUP("TOTAL SEM BDI - "&amp;B419,CPUAUX2!$A:$J,9,FALSE),VLOOKUP(B419,I!$A:$E,5,FALSE))</f>
        <v>10.15</v>
      </c>
      <c r="H419" s="77"/>
      <c r="I419" s="76">
        <f>TRUNC(F419*G419,2)</f>
        <v>10.15</v>
      </c>
      <c r="J419" s="77"/>
      <c r="M419" s="23">
        <f>B419</f>
        <v>92802</v>
      </c>
      <c r="N419" s="23">
        <f>SUMIF(CPU!M:M,B418,CPU!O:O)</f>
        <v>0.31554000000000004</v>
      </c>
      <c r="O419" s="23">
        <f>F419*N419</f>
        <v>0.31554000000000004</v>
      </c>
      <c r="Q419" s="23">
        <f ca="1">SUMIF(CPU!M:M,B418,CPU!R:R)</f>
        <v>0.10518000000000002</v>
      </c>
      <c r="R419" s="23">
        <f ca="1">F419*Q419</f>
        <v>0.10518000000000002</v>
      </c>
    </row>
    <row r="420" spans="1:18" x14ac:dyDescent="0.3">
      <c r="A420" s="23" t="s">
        <v>1004</v>
      </c>
      <c r="B420" s="23">
        <v>88245</v>
      </c>
      <c r="C420" s="23" t="str">
        <f>VLOOKUP(B420,IF(A420="COMPOSICAO",S!$A:$E,I!$A:$E),2,FALSE)</f>
        <v>SINAPI</v>
      </c>
      <c r="D420" s="24" t="str">
        <f>VLOOKUP(B420,IF(A420="COMPOSICAO",S!$A:$E,I!$A:$E),3,FALSE)</f>
        <v>ARMADOR COM ENCARGOS COMPLEMENTARES</v>
      </c>
      <c r="E420" s="23" t="str">
        <f>VLOOKUP(B420,IF(A420="COMPOSICAO",S!$A:$E,I!$A:$E),4,FALSE)</f>
        <v>H</v>
      </c>
      <c r="F420" s="23">
        <f>0.15/pcf</f>
        <v>0.15</v>
      </c>
      <c r="G420" s="76">
        <f>IF(A420="COMPOSICAO",VLOOKUP("TOTAL SEM BDI - "&amp;B420,CPUAUX2!$A:$J,9,FALSE),VLOOKUP(B420,I!$A:$E,5,FALSE))</f>
        <v>27.189999999999998</v>
      </c>
      <c r="H420" s="77"/>
      <c r="I420" s="76">
        <f>TRUNC(F420*G420,2)</f>
        <v>4.07</v>
      </c>
      <c r="J420" s="77"/>
      <c r="M420" s="23">
        <f>B420</f>
        <v>88245</v>
      </c>
      <c r="N420" s="23">
        <f>SUMIF(CPU!M:M,B418,CPU!O:O)</f>
        <v>0.31554000000000004</v>
      </c>
      <c r="O420" s="23">
        <f>F420*N420</f>
        <v>4.7331000000000005E-2</v>
      </c>
      <c r="Q420" s="23">
        <f ca="1">SUMIF(CPU!M:M,B418,CPU!R:R)</f>
        <v>0.10518000000000002</v>
      </c>
      <c r="R420" s="23">
        <f ca="1">F420*Q420</f>
        <v>1.5777000000000003E-2</v>
      </c>
    </row>
    <row r="421" spans="1:18" ht="30" customHeight="1" x14ac:dyDescent="0.3">
      <c r="A421" s="23" t="s">
        <v>1004</v>
      </c>
      <c r="B421" s="23">
        <v>88238</v>
      </c>
      <c r="C421" s="23" t="str">
        <f>VLOOKUP(B421,IF(A421="COMPOSICAO",S!$A:$E,I!$A:$E),2,FALSE)</f>
        <v>SINAPI</v>
      </c>
      <c r="D421" s="24" t="str">
        <f>VLOOKUP(B421,IF(A421="COMPOSICAO",S!$A:$E,I!$A:$E),3,FALSE)</f>
        <v>AJUDANTE DE ARMADOR COM ENCARGOS COMPLEMENTARES</v>
      </c>
      <c r="E421" s="23" t="str">
        <f>VLOOKUP(B421,IF(A421="COMPOSICAO",S!$A:$E,I!$A:$E),4,FALSE)</f>
        <v>H</v>
      </c>
      <c r="F421" s="23">
        <f>0.057/pcf</f>
        <v>5.7000000000000002E-2</v>
      </c>
      <c r="G421" s="76">
        <f>IF(A421="COMPOSICAO",VLOOKUP("TOTAL SEM BDI - "&amp;B421,CPUAUX2!$A:$J,9,FALSE),VLOOKUP(B421,I!$A:$E,5,FALSE))</f>
        <v>22.37</v>
      </c>
      <c r="H421" s="77"/>
      <c r="I421" s="76">
        <f>TRUNC(F421*G421,2)</f>
        <v>1.27</v>
      </c>
      <c r="J421" s="77"/>
      <c r="M421" s="23">
        <f>B421</f>
        <v>88238</v>
      </c>
      <c r="N421" s="23">
        <f>SUMIF(CPU!M:M,B418,CPU!O:O)</f>
        <v>0.31554000000000004</v>
      </c>
      <c r="O421" s="23">
        <f>F421*N421</f>
        <v>1.7985780000000003E-2</v>
      </c>
      <c r="Q421" s="23">
        <f ca="1">SUMIF(CPU!M:M,B418,CPU!R:R)</f>
        <v>0.10518000000000002</v>
      </c>
      <c r="R421" s="23">
        <f ca="1">F421*Q421</f>
        <v>5.9952600000000014E-3</v>
      </c>
    </row>
    <row r="422" spans="1:18" ht="30" customHeight="1" x14ac:dyDescent="0.3">
      <c r="A422" s="23" t="s">
        <v>1005</v>
      </c>
      <c r="B422" s="23">
        <v>43132</v>
      </c>
      <c r="C422" s="23" t="str">
        <f>VLOOKUP(B422,IF(A422="COMPOSICAO",S!$A:$E,I!$A:$E),2,FALSE)</f>
        <v>SINAPI</v>
      </c>
      <c r="D422" s="24" t="str">
        <f>VLOOKUP(B422,IF(A422="COMPOSICAO",S!$A:$E,I!$A:$E),3,FALSE)</f>
        <v>ARAME RECOZIDO 16 BWG, D = 1,65 MM (0,016 KG/M) OU 18 BWG, D = 1,25 MM (0,01 KG/M)</v>
      </c>
      <c r="E422" s="23" t="str">
        <f>VLOOKUP(B422,IF(A422="COMPOSICAO",S!$A:$E,I!$A:$E),4,FALSE)</f>
        <v>KG</v>
      </c>
      <c r="F422" s="23">
        <v>2.5000000000000001E-2</v>
      </c>
      <c r="G422" s="76">
        <f>IF(A422="COMPOSICAO",VLOOKUP("TOTAL SEM BDI - "&amp;B422,CPUAUX2!$A:$J,9,FALSE),VLOOKUP(B422,I!$A:$E,5,FALSE))</f>
        <v>22.18</v>
      </c>
      <c r="H422" s="77"/>
      <c r="I422" s="76">
        <f>TRUNC(F422*G422,2)</f>
        <v>0.55000000000000004</v>
      </c>
      <c r="J422" s="77"/>
      <c r="M422" s="23">
        <f>B422</f>
        <v>43132</v>
      </c>
      <c r="N422" s="23">
        <f>SUMIF(CPU!M:M,B418,CPU!O:O)</f>
        <v>0.31554000000000004</v>
      </c>
      <c r="O422" s="23">
        <f>F422*N422</f>
        <v>7.8885000000000014E-3</v>
      </c>
      <c r="Q422" s="23">
        <f ca="1">SUMIF(CPU!M:M,B418,CPU!R:R)</f>
        <v>0.10518000000000002</v>
      </c>
      <c r="R422" s="23">
        <f ca="1">F422*Q422</f>
        <v>2.6295000000000008E-3</v>
      </c>
    </row>
    <row r="423" spans="1:18" ht="45" customHeight="1" x14ac:dyDescent="0.3">
      <c r="A423" s="23" t="s">
        <v>1005</v>
      </c>
      <c r="B423" s="23">
        <v>39017</v>
      </c>
      <c r="C423" s="23" t="str">
        <f>VLOOKUP(B423,IF(A423="COMPOSICAO",S!$A:$E,I!$A:$E),2,FALSE)</f>
        <v>SINAPI</v>
      </c>
      <c r="D423" s="24" t="str">
        <f>VLOOKUP(B423,IF(A423="COMPOSICAO",S!$A:$E,I!$A:$E),3,FALSE)</f>
        <v>ESPACADOR / DISTANCIADOR CIRCULAR COM ENTRADA LATERAL, EM PLASTICO, PARA VERGALHAO *4,2 A 12,5* MM, COBRIMENTO 20 MM</v>
      </c>
      <c r="E423" s="23" t="str">
        <f>VLOOKUP(B423,IF(A423="COMPOSICAO",S!$A:$E,I!$A:$E),4,FALSE)</f>
        <v>UN</v>
      </c>
      <c r="F423" s="23">
        <v>0.63500000000000001</v>
      </c>
      <c r="G423" s="76">
        <f>IF(A423="COMPOSICAO",VLOOKUP("TOTAL SEM BDI - "&amp;B423,CPUAUX2!$A:$J,9,FALSE),VLOOKUP(B423,I!$A:$E,5,FALSE))</f>
        <v>0.22</v>
      </c>
      <c r="H423" s="77"/>
      <c r="I423" s="76">
        <f>TRUNC(F423*G423,2)</f>
        <v>0.13</v>
      </c>
      <c r="J423" s="77"/>
      <c r="M423" s="23">
        <f>B423</f>
        <v>39017</v>
      </c>
      <c r="N423" s="23">
        <f>SUMIF(CPU!M:M,B418,CPU!O:O)</f>
        <v>0.31554000000000004</v>
      </c>
      <c r="O423" s="23">
        <f>F423*N423</f>
        <v>0.20036790000000004</v>
      </c>
      <c r="Q423" s="23">
        <f ca="1">SUMIF(CPU!M:M,B418,CPU!R:R)</f>
        <v>0.10518000000000002</v>
      </c>
      <c r="R423" s="23">
        <f ca="1">F423*Q423</f>
        <v>6.678930000000001E-2</v>
      </c>
    </row>
    <row r="424" spans="1:18" x14ac:dyDescent="0.3">
      <c r="A424" s="73" t="str">
        <f>"TOTAL SEM BDI - "&amp;B418</f>
        <v>TOTAL SEM BDI - 96545</v>
      </c>
      <c r="B424" s="74"/>
      <c r="C424" s="74"/>
      <c r="D424" s="74"/>
      <c r="E424" s="74"/>
      <c r="F424" s="74"/>
      <c r="G424" s="74"/>
      <c r="H424" s="75"/>
      <c r="I424" s="76">
        <f>SUM(I418:I423)</f>
        <v>16.169999999999998</v>
      </c>
      <c r="J424" s="77"/>
    </row>
    <row r="426" spans="1:18" x14ac:dyDescent="0.3">
      <c r="A426" s="4" t="s">
        <v>1000</v>
      </c>
      <c r="B426" s="4" t="s">
        <v>170</v>
      </c>
      <c r="C426" s="4" t="s">
        <v>171</v>
      </c>
      <c r="D426" s="4" t="s">
        <v>18</v>
      </c>
      <c r="E426" s="4" t="s">
        <v>172</v>
      </c>
      <c r="F426" s="4" t="s">
        <v>507</v>
      </c>
      <c r="G426" s="45" t="s">
        <v>1001</v>
      </c>
      <c r="H426" s="46"/>
      <c r="I426" s="45" t="s">
        <v>12</v>
      </c>
      <c r="J426" s="46"/>
    </row>
    <row r="427" spans="1:18" ht="30" customHeight="1" x14ac:dyDescent="0.3">
      <c r="A427" s="15" t="s">
        <v>1080</v>
      </c>
      <c r="B427" s="15">
        <v>96546</v>
      </c>
      <c r="C427" s="15" t="str">
        <f>VLOOKUP(B427,S!$A:$G,2,FALSE)</f>
        <v>SINAPI</v>
      </c>
      <c r="D427" s="22" t="str">
        <f>VLOOKUP(B427,S!$A:$G,3,FALSE)</f>
        <v>ARMAÇÃO DE BLOCO UTILIZANDO AÇO CA-50 DE 10 MM - MONTAGEM. AF_01/2024</v>
      </c>
      <c r="E427" s="15" t="str">
        <f>VLOOKUP(B427,S!$A:$G,4,FALSE)</f>
        <v>KG</v>
      </c>
      <c r="F427" s="15"/>
      <c r="G427" s="78">
        <f>I433</f>
        <v>14.15</v>
      </c>
      <c r="H427" s="79"/>
      <c r="I427" s="78"/>
      <c r="J427" s="79"/>
      <c r="K427" s="16">
        <f>VLOOKUP(B427,S!A:G,5,FALSE)</f>
        <v>14.15</v>
      </c>
      <c r="L427" s="15" t="str">
        <f>IF(K427=G427,"OK, CONFORME TABELA",IF(G427&gt;K427,"ACIMA DA TABELA: ","ABAIXO DA TABELA: ")&amp;TRUNC((G427*100)/K427,2)&amp;" %")</f>
        <v>OK, CONFORME TABELA</v>
      </c>
    </row>
    <row r="428" spans="1:18" ht="30" customHeight="1" x14ac:dyDescent="0.3">
      <c r="A428" s="23" t="s">
        <v>1004</v>
      </c>
      <c r="B428" s="23">
        <v>92803</v>
      </c>
      <c r="C428" s="23" t="str">
        <f>VLOOKUP(B428,IF(A428="COMPOSICAO",S!$A:$E,I!$A:$E),2,FALSE)</f>
        <v>SINAPI</v>
      </c>
      <c r="D428" s="24" t="str">
        <f>VLOOKUP(B428,IF(A428="COMPOSICAO",S!$A:$E,I!$A:$E),3,FALSE)</f>
        <v>CORTE E DOBRA DE AÇO CA-50, DIÂMETRO DE 10,0 MM. AF_06/2022</v>
      </c>
      <c r="E428" s="23" t="str">
        <f>VLOOKUP(B428,IF(A428="COMPOSICAO",S!$A:$E,I!$A:$E),4,FALSE)</f>
        <v>KG</v>
      </c>
      <c r="F428" s="23">
        <v>1</v>
      </c>
      <c r="G428" s="76">
        <f>IF(A428="COMPOSICAO",VLOOKUP("TOTAL SEM BDI - "&amp;B428,CPUAUX2!$A:$J,9,FALSE),VLOOKUP(B428,I!$A:$E,5,FALSE))</f>
        <v>9.3699999999999992</v>
      </c>
      <c r="H428" s="77"/>
      <c r="I428" s="76">
        <f>TRUNC(F428*G428,2)</f>
        <v>9.3699999999999992</v>
      </c>
      <c r="J428" s="77"/>
      <c r="M428" s="23">
        <f>B428</f>
        <v>92803</v>
      </c>
      <c r="N428" s="23">
        <f>SUMIF(CPU!M:M,B427,CPU!O:O)</f>
        <v>4.7946600000000004</v>
      </c>
      <c r="O428" s="23">
        <f>F428*N428</f>
        <v>4.7946600000000004</v>
      </c>
      <c r="Q428" s="23">
        <f ca="1">SUMIF(CPU!M:M,B427,CPU!R:R)</f>
        <v>1.5982200000000002</v>
      </c>
      <c r="R428" s="23">
        <f ca="1">F428*Q428</f>
        <v>1.5982200000000002</v>
      </c>
    </row>
    <row r="429" spans="1:18" x14ac:dyDescent="0.3">
      <c r="A429" s="23" t="s">
        <v>1004</v>
      </c>
      <c r="B429" s="23">
        <v>88245</v>
      </c>
      <c r="C429" s="23" t="str">
        <f>VLOOKUP(B429,IF(A429="COMPOSICAO",S!$A:$E,I!$A:$E),2,FALSE)</f>
        <v>SINAPI</v>
      </c>
      <c r="D429" s="24" t="str">
        <f>VLOOKUP(B429,IF(A429="COMPOSICAO",S!$A:$E,I!$A:$E),3,FALSE)</f>
        <v>ARMADOR COM ENCARGOS COMPLEMENTARES</v>
      </c>
      <c r="E429" s="23" t="str">
        <f>VLOOKUP(B429,IF(A429="COMPOSICAO",S!$A:$E,I!$A:$E),4,FALSE)</f>
        <v>H</v>
      </c>
      <c r="F429" s="23">
        <f>0.116/pcf</f>
        <v>0.11600000000000001</v>
      </c>
      <c r="G429" s="76">
        <f>IF(A429="COMPOSICAO",VLOOKUP("TOTAL SEM BDI - "&amp;B429,CPUAUX2!$A:$J,9,FALSE),VLOOKUP(B429,I!$A:$E,5,FALSE))</f>
        <v>27.189999999999998</v>
      </c>
      <c r="H429" s="77"/>
      <c r="I429" s="76">
        <f>TRUNC(F429*G429,2)</f>
        <v>3.15</v>
      </c>
      <c r="J429" s="77"/>
      <c r="M429" s="23">
        <f>B429</f>
        <v>88245</v>
      </c>
      <c r="N429" s="23">
        <f>SUMIF(CPU!M:M,B427,CPU!O:O)</f>
        <v>4.7946600000000004</v>
      </c>
      <c r="O429" s="23">
        <f>F429*N429</f>
        <v>0.55618056000000005</v>
      </c>
      <c r="Q429" s="23">
        <f ca="1">SUMIF(CPU!M:M,B427,CPU!R:R)</f>
        <v>1.5982200000000002</v>
      </c>
      <c r="R429" s="23">
        <f ca="1">F429*Q429</f>
        <v>0.18539352000000003</v>
      </c>
    </row>
    <row r="430" spans="1:18" ht="30" customHeight="1" x14ac:dyDescent="0.3">
      <c r="A430" s="23" t="s">
        <v>1004</v>
      </c>
      <c r="B430" s="23">
        <v>88238</v>
      </c>
      <c r="C430" s="23" t="str">
        <f>VLOOKUP(B430,IF(A430="COMPOSICAO",S!$A:$E,I!$A:$E),2,FALSE)</f>
        <v>SINAPI</v>
      </c>
      <c r="D430" s="24" t="str">
        <f>VLOOKUP(B430,IF(A430="COMPOSICAO",S!$A:$E,I!$A:$E),3,FALSE)</f>
        <v>AJUDANTE DE ARMADOR COM ENCARGOS COMPLEMENTARES</v>
      </c>
      <c r="E430" s="23" t="str">
        <f>VLOOKUP(B430,IF(A430="COMPOSICAO",S!$A:$E,I!$A:$E),4,FALSE)</f>
        <v>H</v>
      </c>
      <c r="F430" s="23">
        <f>0.044/pcf</f>
        <v>4.3999999999999997E-2</v>
      </c>
      <c r="G430" s="76">
        <f>IF(A430="COMPOSICAO",VLOOKUP("TOTAL SEM BDI - "&amp;B430,CPUAUX2!$A:$J,9,FALSE),VLOOKUP(B430,I!$A:$E,5,FALSE))</f>
        <v>22.37</v>
      </c>
      <c r="H430" s="77"/>
      <c r="I430" s="76">
        <f>TRUNC(F430*G430,2)</f>
        <v>0.98</v>
      </c>
      <c r="J430" s="77"/>
      <c r="M430" s="23">
        <f>B430</f>
        <v>88238</v>
      </c>
      <c r="N430" s="23">
        <f>SUMIF(CPU!M:M,B427,CPU!O:O)</f>
        <v>4.7946600000000004</v>
      </c>
      <c r="O430" s="23">
        <f>F430*N430</f>
        <v>0.21096503999999999</v>
      </c>
      <c r="Q430" s="23">
        <f ca="1">SUMIF(CPU!M:M,B427,CPU!R:R)</f>
        <v>1.5982200000000002</v>
      </c>
      <c r="R430" s="23">
        <f ca="1">F430*Q430</f>
        <v>7.0321680000000011E-2</v>
      </c>
    </row>
    <row r="431" spans="1:18" ht="30" customHeight="1" x14ac:dyDescent="0.3">
      <c r="A431" s="23" t="s">
        <v>1005</v>
      </c>
      <c r="B431" s="23">
        <v>43132</v>
      </c>
      <c r="C431" s="23" t="str">
        <f>VLOOKUP(B431,IF(A431="COMPOSICAO",S!$A:$E,I!$A:$E),2,FALSE)</f>
        <v>SINAPI</v>
      </c>
      <c r="D431" s="24" t="str">
        <f>VLOOKUP(B431,IF(A431="COMPOSICAO",S!$A:$E,I!$A:$E),3,FALSE)</f>
        <v>ARAME RECOZIDO 16 BWG, D = 1,65 MM (0,016 KG/M) OU 18 BWG, D = 1,25 MM (0,01 KG/M)</v>
      </c>
      <c r="E431" s="23" t="str">
        <f>VLOOKUP(B431,IF(A431="COMPOSICAO",S!$A:$E,I!$A:$E),4,FALSE)</f>
        <v>KG</v>
      </c>
      <c r="F431" s="23">
        <v>2.5000000000000001E-2</v>
      </c>
      <c r="G431" s="76">
        <f>IF(A431="COMPOSICAO",VLOOKUP("TOTAL SEM BDI - "&amp;B431,CPUAUX2!$A:$J,9,FALSE),VLOOKUP(B431,I!$A:$E,5,FALSE))</f>
        <v>22.18</v>
      </c>
      <c r="H431" s="77"/>
      <c r="I431" s="76">
        <f>TRUNC(F431*G431,2)</f>
        <v>0.55000000000000004</v>
      </c>
      <c r="J431" s="77"/>
      <c r="M431" s="23">
        <f>B431</f>
        <v>43132</v>
      </c>
      <c r="N431" s="23">
        <f>SUMIF(CPU!M:M,B427,CPU!O:O)</f>
        <v>4.7946600000000004</v>
      </c>
      <c r="O431" s="23">
        <f>F431*N431</f>
        <v>0.11986650000000001</v>
      </c>
      <c r="Q431" s="23">
        <f ca="1">SUMIF(CPU!M:M,B427,CPU!R:R)</f>
        <v>1.5982200000000002</v>
      </c>
      <c r="R431" s="23">
        <f ca="1">F431*Q431</f>
        <v>3.9955500000000005E-2</v>
      </c>
    </row>
    <row r="432" spans="1:18" ht="45" customHeight="1" x14ac:dyDescent="0.3">
      <c r="A432" s="23" t="s">
        <v>1005</v>
      </c>
      <c r="B432" s="23">
        <v>39017</v>
      </c>
      <c r="C432" s="23" t="str">
        <f>VLOOKUP(B432,IF(A432="COMPOSICAO",S!$A:$E,I!$A:$E),2,FALSE)</f>
        <v>SINAPI</v>
      </c>
      <c r="D432" s="24" t="str">
        <f>VLOOKUP(B432,IF(A432="COMPOSICAO",S!$A:$E,I!$A:$E),3,FALSE)</f>
        <v>ESPACADOR / DISTANCIADOR CIRCULAR COM ENTRADA LATERAL, EM PLASTICO, PARA VERGALHAO *4,2 A 12,5* MM, COBRIMENTO 20 MM</v>
      </c>
      <c r="E432" s="23" t="str">
        <f>VLOOKUP(B432,IF(A432="COMPOSICAO",S!$A:$E,I!$A:$E),4,FALSE)</f>
        <v>UN</v>
      </c>
      <c r="F432" s="23">
        <v>0.48</v>
      </c>
      <c r="G432" s="76">
        <f>IF(A432="COMPOSICAO",VLOOKUP("TOTAL SEM BDI - "&amp;B432,CPUAUX2!$A:$J,9,FALSE),VLOOKUP(B432,I!$A:$E,5,FALSE))</f>
        <v>0.22</v>
      </c>
      <c r="H432" s="77"/>
      <c r="I432" s="76">
        <f>TRUNC(F432*G432,2)</f>
        <v>0.1</v>
      </c>
      <c r="J432" s="77"/>
      <c r="M432" s="23">
        <f>B432</f>
        <v>39017</v>
      </c>
      <c r="N432" s="23">
        <f>SUMIF(CPU!M:M,B427,CPU!O:O)</f>
        <v>4.7946600000000004</v>
      </c>
      <c r="O432" s="23">
        <f>F432*N432</f>
        <v>2.3014368000000003</v>
      </c>
      <c r="Q432" s="23">
        <f ca="1">SUMIF(CPU!M:M,B427,CPU!R:R)</f>
        <v>1.5982200000000002</v>
      </c>
      <c r="R432" s="23">
        <f ca="1">F432*Q432</f>
        <v>0.76714560000000009</v>
      </c>
    </row>
    <row r="433" spans="1:18" x14ac:dyDescent="0.3">
      <c r="A433" s="73" t="str">
        <f>"TOTAL SEM BDI - "&amp;B427</f>
        <v>TOTAL SEM BDI - 96546</v>
      </c>
      <c r="B433" s="74"/>
      <c r="C433" s="74"/>
      <c r="D433" s="74"/>
      <c r="E433" s="74"/>
      <c r="F433" s="74"/>
      <c r="G433" s="74"/>
      <c r="H433" s="75"/>
      <c r="I433" s="76">
        <f>SUM(I427:I432)</f>
        <v>14.15</v>
      </c>
      <c r="J433" s="77"/>
    </row>
    <row r="435" spans="1:18" x14ac:dyDescent="0.3">
      <c r="A435" s="4" t="s">
        <v>1000</v>
      </c>
      <c r="B435" s="4" t="s">
        <v>170</v>
      </c>
      <c r="C435" s="4" t="s">
        <v>171</v>
      </c>
      <c r="D435" s="4" t="s">
        <v>18</v>
      </c>
      <c r="E435" s="4" t="s">
        <v>172</v>
      </c>
      <c r="F435" s="4" t="s">
        <v>507</v>
      </c>
      <c r="G435" s="45" t="s">
        <v>1001</v>
      </c>
      <c r="H435" s="46"/>
      <c r="I435" s="45" t="s">
        <v>12</v>
      </c>
      <c r="J435" s="46"/>
    </row>
    <row r="436" spans="1:18" ht="45" customHeight="1" x14ac:dyDescent="0.3">
      <c r="A436" s="15" t="s">
        <v>1080</v>
      </c>
      <c r="B436" s="15">
        <v>104920</v>
      </c>
      <c r="C436" s="15" t="str">
        <f>VLOOKUP(B436,S!$A:$G,2,FALSE)</f>
        <v>SINAPI</v>
      </c>
      <c r="D436" s="22" t="str">
        <f>VLOOKUP(B436,S!$A:$G,3,FALSE)</f>
        <v>ARMAÇÃO DE BLOCO, SAPATA ISOLADA, VIGA BALDRAME E SAPATA CORRIDA UTILIZANDO AÇO CA-50 DE 12,5 MM - MONTAGEM. AF_01/2024</v>
      </c>
      <c r="E436" s="15" t="str">
        <f>VLOOKUP(B436,S!$A:$G,4,FALSE)</f>
        <v>KG</v>
      </c>
      <c r="F436" s="15"/>
      <c r="G436" s="78">
        <f>I442</f>
        <v>10.930000000000001</v>
      </c>
      <c r="H436" s="79"/>
      <c r="I436" s="78"/>
      <c r="J436" s="79"/>
      <c r="K436" s="16">
        <f>VLOOKUP(B436,S!A:G,5,FALSE)</f>
        <v>10.93</v>
      </c>
      <c r="L436" s="15" t="str">
        <f>IF(K436=G436,"OK, CONFORME TABELA",IF(G436&gt;K436,"ACIMA DA TABELA: ","ABAIXO DA TABELA: ")&amp;TRUNC((G436*100)/K436,2)&amp;" %")</f>
        <v>OK, CONFORME TABELA</v>
      </c>
    </row>
    <row r="437" spans="1:18" ht="30" customHeight="1" x14ac:dyDescent="0.3">
      <c r="A437" s="23" t="s">
        <v>1004</v>
      </c>
      <c r="B437" s="23">
        <v>92804</v>
      </c>
      <c r="C437" s="23" t="str">
        <f>VLOOKUP(B437,IF(A437="COMPOSICAO",S!$A:$E,I!$A:$E),2,FALSE)</f>
        <v>SINAPI</v>
      </c>
      <c r="D437" s="24" t="str">
        <f>VLOOKUP(B437,IF(A437="COMPOSICAO",S!$A:$E,I!$A:$E),3,FALSE)</f>
        <v>CORTE E DOBRA DE AÇO CA-50, DIÂMETRO DE 12,5 MM. AF_06/2022</v>
      </c>
      <c r="E437" s="23" t="str">
        <f>VLOOKUP(B437,IF(A437="COMPOSICAO",S!$A:$E,I!$A:$E),4,FALSE)</f>
        <v>KG</v>
      </c>
      <c r="F437" s="23">
        <v>1</v>
      </c>
      <c r="G437" s="76">
        <f>IF(A437="COMPOSICAO",VLOOKUP("TOTAL SEM BDI - "&amp;B437,CPUAUX2!$A:$J,9,FALSE),VLOOKUP(B437,I!$A:$E,5,FALSE))</f>
        <v>8.0299999999999994</v>
      </c>
      <c r="H437" s="77"/>
      <c r="I437" s="76">
        <f>TRUNC(F437*G437,2)</f>
        <v>8.0299999999999994</v>
      </c>
      <c r="J437" s="77"/>
      <c r="M437" s="23">
        <f>B437</f>
        <v>92804</v>
      </c>
      <c r="N437" s="23">
        <f>SUMIF(CPU!M:M,B436,CPU!O:O)</f>
        <v>2.6290800000000001</v>
      </c>
      <c r="O437" s="23">
        <f>F437*N437</f>
        <v>2.6290800000000001</v>
      </c>
      <c r="Q437" s="23">
        <f ca="1">SUMIF(CPU!M:M,B436,CPU!R:R)</f>
        <v>0.87636000000000003</v>
      </c>
      <c r="R437" s="23">
        <f ca="1">F437*Q437</f>
        <v>0.87636000000000003</v>
      </c>
    </row>
    <row r="438" spans="1:18" x14ac:dyDescent="0.3">
      <c r="A438" s="23" t="s">
        <v>1004</v>
      </c>
      <c r="B438" s="23">
        <v>88245</v>
      </c>
      <c r="C438" s="23" t="str">
        <f>VLOOKUP(B438,IF(A438="COMPOSICAO",S!$A:$E,I!$A:$E),2,FALSE)</f>
        <v>SINAPI</v>
      </c>
      <c r="D438" s="24" t="str">
        <f>VLOOKUP(B438,IF(A438="COMPOSICAO",S!$A:$E,I!$A:$E),3,FALSE)</f>
        <v>ARMADOR COM ENCARGOS COMPLEMENTARES</v>
      </c>
      <c r="E438" s="23" t="str">
        <f>VLOOKUP(B438,IF(A438="COMPOSICAO",S!$A:$E,I!$A:$E),4,FALSE)</f>
        <v>H</v>
      </c>
      <c r="F438" s="23">
        <f>0.064/pcf</f>
        <v>6.4000000000000001E-2</v>
      </c>
      <c r="G438" s="76">
        <f>IF(A438="COMPOSICAO",VLOOKUP("TOTAL SEM BDI - "&amp;B438,CPUAUX2!$A:$J,9,FALSE),VLOOKUP(B438,I!$A:$E,5,FALSE))</f>
        <v>27.189999999999998</v>
      </c>
      <c r="H438" s="77"/>
      <c r="I438" s="76">
        <f>TRUNC(F438*G438,2)</f>
        <v>1.74</v>
      </c>
      <c r="J438" s="77"/>
      <c r="M438" s="23">
        <f>B438</f>
        <v>88245</v>
      </c>
      <c r="N438" s="23">
        <f>SUMIF(CPU!M:M,B436,CPU!O:O)</f>
        <v>2.6290800000000001</v>
      </c>
      <c r="O438" s="23">
        <f>F438*N438</f>
        <v>0.16826112000000001</v>
      </c>
      <c r="Q438" s="23">
        <f ca="1">SUMIF(CPU!M:M,B436,CPU!R:R)</f>
        <v>0.87636000000000003</v>
      </c>
      <c r="R438" s="23">
        <f ca="1">F438*Q438</f>
        <v>5.6087040000000005E-2</v>
      </c>
    </row>
    <row r="439" spans="1:18" ht="30" customHeight="1" x14ac:dyDescent="0.3">
      <c r="A439" s="23" t="s">
        <v>1004</v>
      </c>
      <c r="B439" s="23">
        <v>88238</v>
      </c>
      <c r="C439" s="23" t="str">
        <f>VLOOKUP(B439,IF(A439="COMPOSICAO",S!$A:$E,I!$A:$E),2,FALSE)</f>
        <v>SINAPI</v>
      </c>
      <c r="D439" s="24" t="str">
        <f>VLOOKUP(B439,IF(A439="COMPOSICAO",S!$A:$E,I!$A:$E),3,FALSE)</f>
        <v>AJUDANTE DE ARMADOR COM ENCARGOS COMPLEMENTARES</v>
      </c>
      <c r="E439" s="23" t="str">
        <f>VLOOKUP(B439,IF(A439="COMPOSICAO",S!$A:$E,I!$A:$E),4,FALSE)</f>
        <v>H</v>
      </c>
      <c r="F439" s="23">
        <f>0.025/pcf</f>
        <v>2.5000000000000001E-2</v>
      </c>
      <c r="G439" s="76">
        <f>IF(A439="COMPOSICAO",VLOOKUP("TOTAL SEM BDI - "&amp;B439,CPUAUX2!$A:$J,9,FALSE),VLOOKUP(B439,I!$A:$E,5,FALSE))</f>
        <v>22.37</v>
      </c>
      <c r="H439" s="77"/>
      <c r="I439" s="76">
        <f>TRUNC(F439*G439,2)</f>
        <v>0.55000000000000004</v>
      </c>
      <c r="J439" s="77"/>
      <c r="M439" s="23">
        <f>B439</f>
        <v>88238</v>
      </c>
      <c r="N439" s="23">
        <f>SUMIF(CPU!M:M,B436,CPU!O:O)</f>
        <v>2.6290800000000001</v>
      </c>
      <c r="O439" s="23">
        <f>F439*N439</f>
        <v>6.5727000000000008E-2</v>
      </c>
      <c r="Q439" s="23">
        <f ca="1">SUMIF(CPU!M:M,B436,CPU!R:R)</f>
        <v>0.87636000000000003</v>
      </c>
      <c r="R439" s="23">
        <f ca="1">F439*Q439</f>
        <v>2.1909000000000001E-2</v>
      </c>
    </row>
    <row r="440" spans="1:18" ht="30" customHeight="1" x14ac:dyDescent="0.3">
      <c r="A440" s="23" t="s">
        <v>1005</v>
      </c>
      <c r="B440" s="23">
        <v>43132</v>
      </c>
      <c r="C440" s="23" t="str">
        <f>VLOOKUP(B440,IF(A440="COMPOSICAO",S!$A:$E,I!$A:$E),2,FALSE)</f>
        <v>SINAPI</v>
      </c>
      <c r="D440" s="24" t="str">
        <f>VLOOKUP(B440,IF(A440="COMPOSICAO",S!$A:$E,I!$A:$E),3,FALSE)</f>
        <v>ARAME RECOZIDO 16 BWG, D = 1,65 MM (0,016 KG/M) OU 18 BWG, D = 1,25 MM (0,01 KG/M)</v>
      </c>
      <c r="E440" s="23" t="str">
        <f>VLOOKUP(B440,IF(A440="COMPOSICAO",S!$A:$E,I!$A:$E),4,FALSE)</f>
        <v>KG</v>
      </c>
      <c r="F440" s="23">
        <v>2.5000000000000001E-2</v>
      </c>
      <c r="G440" s="76">
        <f>IF(A440="COMPOSICAO",VLOOKUP("TOTAL SEM BDI - "&amp;B440,CPUAUX2!$A:$J,9,FALSE),VLOOKUP(B440,I!$A:$E,5,FALSE))</f>
        <v>22.18</v>
      </c>
      <c r="H440" s="77"/>
      <c r="I440" s="76">
        <f>TRUNC(F440*G440,2)</f>
        <v>0.55000000000000004</v>
      </c>
      <c r="J440" s="77"/>
      <c r="M440" s="23">
        <f>B440</f>
        <v>43132</v>
      </c>
      <c r="N440" s="23">
        <f>SUMIF(CPU!M:M,B436,CPU!O:O)</f>
        <v>2.6290800000000001</v>
      </c>
      <c r="O440" s="23">
        <f>F440*N440</f>
        <v>6.5727000000000008E-2</v>
      </c>
      <c r="Q440" s="23">
        <f ca="1">SUMIF(CPU!M:M,B436,CPU!R:R)</f>
        <v>0.87636000000000003</v>
      </c>
      <c r="R440" s="23">
        <f ca="1">F440*Q440</f>
        <v>2.1909000000000001E-2</v>
      </c>
    </row>
    <row r="441" spans="1:18" ht="45" customHeight="1" x14ac:dyDescent="0.3">
      <c r="A441" s="23" t="s">
        <v>1005</v>
      </c>
      <c r="B441" s="23">
        <v>39017</v>
      </c>
      <c r="C441" s="23" t="str">
        <f>VLOOKUP(B441,IF(A441="COMPOSICAO",S!$A:$E,I!$A:$E),2,FALSE)</f>
        <v>SINAPI</v>
      </c>
      <c r="D441" s="24" t="str">
        <f>VLOOKUP(B441,IF(A441="COMPOSICAO",S!$A:$E,I!$A:$E),3,FALSE)</f>
        <v>ESPACADOR / DISTANCIADOR CIRCULAR COM ENTRADA LATERAL, EM PLASTICO, PARA VERGALHAO *4,2 A 12,5* MM, COBRIMENTO 20 MM</v>
      </c>
      <c r="E441" s="23" t="str">
        <f>VLOOKUP(B441,IF(A441="COMPOSICAO",S!$A:$E,I!$A:$E),4,FALSE)</f>
        <v>UN</v>
      </c>
      <c r="F441" s="23">
        <v>0.317</v>
      </c>
      <c r="G441" s="76">
        <f>IF(A441="COMPOSICAO",VLOOKUP("TOTAL SEM BDI - "&amp;B441,CPUAUX2!$A:$J,9,FALSE),VLOOKUP(B441,I!$A:$E,5,FALSE))</f>
        <v>0.22</v>
      </c>
      <c r="H441" s="77"/>
      <c r="I441" s="76">
        <f>TRUNC(F441*G441,2)</f>
        <v>0.06</v>
      </c>
      <c r="J441" s="77"/>
      <c r="M441" s="23">
        <f>B441</f>
        <v>39017</v>
      </c>
      <c r="N441" s="23">
        <f>SUMIF(CPU!M:M,B436,CPU!O:O)</f>
        <v>2.6290800000000001</v>
      </c>
      <c r="O441" s="23">
        <f>F441*N441</f>
        <v>0.83341836000000002</v>
      </c>
      <c r="Q441" s="23">
        <f ca="1">SUMIF(CPU!M:M,B436,CPU!R:R)</f>
        <v>0.87636000000000003</v>
      </c>
      <c r="R441" s="23">
        <f ca="1">F441*Q441</f>
        <v>0.27780611999999999</v>
      </c>
    </row>
    <row r="442" spans="1:18" x14ac:dyDescent="0.3">
      <c r="A442" s="73" t="str">
        <f>"TOTAL SEM BDI - "&amp;B436</f>
        <v>TOTAL SEM BDI - 104920</v>
      </c>
      <c r="B442" s="74"/>
      <c r="C442" s="74"/>
      <c r="D442" s="74"/>
      <c r="E442" s="74"/>
      <c r="F442" s="74"/>
      <c r="G442" s="74"/>
      <c r="H442" s="75"/>
      <c r="I442" s="76">
        <f>SUM(I436:I441)</f>
        <v>10.930000000000001</v>
      </c>
      <c r="J442" s="77"/>
    </row>
    <row r="444" spans="1:18" x14ac:dyDescent="0.3">
      <c r="A444" s="4" t="s">
        <v>1000</v>
      </c>
      <c r="B444" s="4" t="s">
        <v>170</v>
      </c>
      <c r="C444" s="4" t="s">
        <v>171</v>
      </c>
      <c r="D444" s="4" t="s">
        <v>18</v>
      </c>
      <c r="E444" s="4" t="s">
        <v>172</v>
      </c>
      <c r="F444" s="4" t="s">
        <v>507</v>
      </c>
      <c r="G444" s="45" t="s">
        <v>1001</v>
      </c>
      <c r="H444" s="46"/>
      <c r="I444" s="45" t="s">
        <v>12</v>
      </c>
      <c r="J444" s="46"/>
    </row>
    <row r="445" spans="1:18" ht="45" customHeight="1" x14ac:dyDescent="0.3">
      <c r="A445" s="15" t="s">
        <v>1072</v>
      </c>
      <c r="B445" s="15">
        <v>100489</v>
      </c>
      <c r="C445" s="15" t="str">
        <f>VLOOKUP(B445,S!$A:$G,2,FALSE)</f>
        <v>SINAPI</v>
      </c>
      <c r="D445" s="22" t="str">
        <f>VLOOKUP(B445,S!$A:$G,3,FALSE)</f>
        <v>ARGAMASSA TRAÇO 1:3 (EM VOLUME DE CIMENTO E AREIA MÉDIA ÚMIDA), PREPARO MECÂNICO COM BETONEIRA 600 L. AF_08/2019</v>
      </c>
      <c r="E445" s="15" t="str">
        <f>VLOOKUP(B445,S!$A:$G,4,FALSE)</f>
        <v>M3</v>
      </c>
      <c r="F445" s="15"/>
      <c r="G445" s="78">
        <f>I452</f>
        <v>669.96</v>
      </c>
      <c r="H445" s="79"/>
      <c r="I445" s="78"/>
      <c r="J445" s="79"/>
      <c r="K445" s="16">
        <f>VLOOKUP(B445,S!A:G,5,FALSE)</f>
        <v>669.96</v>
      </c>
      <c r="L445" s="15" t="str">
        <f>IF(K445=G445,"OK, CONFORME TABELA",IF(G445&gt;K445,"ACIMA DA TABELA: ","ABAIXO DA TABELA: ")&amp;TRUNC((G445*100)/K445,2)&amp;" %")</f>
        <v>OK, CONFORME TABELA</v>
      </c>
    </row>
    <row r="446" spans="1:18" ht="60" customHeight="1" x14ac:dyDescent="0.3">
      <c r="A446" s="23" t="s">
        <v>1004</v>
      </c>
      <c r="B446" s="23">
        <v>89226</v>
      </c>
      <c r="C446" s="23" t="str">
        <f>VLOOKUP(B446,IF(A446="COMPOSICAO",S!$A:$E,I!$A:$E),2,FALSE)</f>
        <v>SINAPI</v>
      </c>
      <c r="D446" s="24" t="str">
        <f>VLOOKUP(B446,IF(A446="COMPOSICAO",S!$A:$E,I!$A:$E),3,FALSE)</f>
        <v>BETONEIRA CAPACIDADE NOMINAL DE 600 L, CAPACIDADE DE MISTURA 360 L, MOTOR ELÉTRICO TRIFÁSICO POTÊNCIA DE 4 CV, SEM CARREGADOR - CHI DIURNO. AF_05/2023</v>
      </c>
      <c r="E446" s="23" t="str">
        <f>VLOOKUP(B446,IF(A446="COMPOSICAO",S!$A:$E,I!$A:$E),4,FALSE)</f>
        <v>CHI</v>
      </c>
      <c r="F446" s="23">
        <v>1.87</v>
      </c>
      <c r="G446" s="76">
        <f>IF(A446="COMPOSICAO",VLOOKUP("TOTAL SEM BDI - "&amp;B446,CPUAUX2!$A:$J,9,FALSE),VLOOKUP(B446,I!$A:$E,5,FALSE))</f>
        <v>2.04</v>
      </c>
      <c r="H446" s="77"/>
      <c r="I446" s="76">
        <f t="shared" ref="I446:I451" si="96">TRUNC(F446*G446,2)</f>
        <v>3.81</v>
      </c>
      <c r="J446" s="77"/>
      <c r="M446" s="23">
        <f t="shared" ref="M446:M451" si="97">B446</f>
        <v>89226</v>
      </c>
      <c r="N446" s="23">
        <f>SUMIF(CPU!M:M,B445,CPU!O:O)</f>
        <v>0.09</v>
      </c>
      <c r="O446" s="23">
        <f t="shared" ref="O446:O451" si="98">F446*N446</f>
        <v>0.16830000000000001</v>
      </c>
      <c r="Q446" s="23">
        <f ca="1">SUMIF(CPU!M:M,B445,CPU!R:R)</f>
        <v>0.03</v>
      </c>
      <c r="R446" s="23">
        <f t="shared" ref="R446:R451" ca="1" si="99">F446*Q446</f>
        <v>5.6100000000000004E-2</v>
      </c>
    </row>
    <row r="447" spans="1:18" ht="60" customHeight="1" x14ac:dyDescent="0.3">
      <c r="A447" s="23" t="s">
        <v>1004</v>
      </c>
      <c r="B447" s="23">
        <v>89225</v>
      </c>
      <c r="C447" s="23" t="str">
        <f>VLOOKUP(B447,IF(A447="COMPOSICAO",S!$A:$E,I!$A:$E),2,FALSE)</f>
        <v>SINAPI</v>
      </c>
      <c r="D447" s="24" t="str">
        <f>VLOOKUP(B447,IF(A447="COMPOSICAO",S!$A:$E,I!$A:$E),3,FALSE)</f>
        <v>BETONEIRA CAPACIDADE NOMINAL DE 600 L, CAPACIDADE DE MISTURA 360 L, MOTOR ELÉTRICO TRIFÁSICO POTÊNCIA DE 4 CV, SEM CARREGADOR - CHP DIURNO. AF_05/2023</v>
      </c>
      <c r="E447" s="23" t="str">
        <f>VLOOKUP(B447,IF(A447="COMPOSICAO",S!$A:$E,I!$A:$E),4,FALSE)</f>
        <v>CHP</v>
      </c>
      <c r="F447" s="23">
        <v>0.56999999999999995</v>
      </c>
      <c r="G447" s="76">
        <f>IF(A447="COMPOSICAO",VLOOKUP("TOTAL SEM BDI - "&amp;B447,CPUAUX2!$A:$J,9,FALSE),VLOOKUP(B447,I!$A:$E,5,FALSE))</f>
        <v>6.6000000000000005</v>
      </c>
      <c r="H447" s="77"/>
      <c r="I447" s="76">
        <f t="shared" si="96"/>
        <v>3.76</v>
      </c>
      <c r="J447" s="77"/>
      <c r="M447" s="23">
        <f t="shared" si="97"/>
        <v>89225</v>
      </c>
      <c r="N447" s="23">
        <f>SUMIF(CPU!M:M,B445,CPU!O:O)</f>
        <v>0.09</v>
      </c>
      <c r="O447" s="23">
        <f t="shared" si="98"/>
        <v>5.1299999999999991E-2</v>
      </c>
      <c r="Q447" s="23">
        <f ca="1">SUMIF(CPU!M:M,B445,CPU!R:R)</f>
        <v>0.03</v>
      </c>
      <c r="R447" s="23">
        <f t="shared" ca="1" si="99"/>
        <v>1.7099999999999997E-2</v>
      </c>
    </row>
    <row r="448" spans="1:18" ht="30" customHeight="1" x14ac:dyDescent="0.3">
      <c r="A448" s="23" t="s">
        <v>1004</v>
      </c>
      <c r="B448" s="23">
        <v>88377</v>
      </c>
      <c r="C448" s="23" t="str">
        <f>VLOOKUP(B448,IF(A448="COMPOSICAO",S!$A:$E,I!$A:$E),2,FALSE)</f>
        <v>SINAPI</v>
      </c>
      <c r="D448" s="24" t="str">
        <f>VLOOKUP(B448,IF(A448="COMPOSICAO",S!$A:$E,I!$A:$E),3,FALSE)</f>
        <v>OPERADOR DE BETONEIRA ESTACIONÁRIA/MISTURADOR COM ENCARGOS COMPLEMENTARES</v>
      </c>
      <c r="E448" s="23" t="str">
        <f>VLOOKUP(B448,IF(A448="COMPOSICAO",S!$A:$E,I!$A:$E),4,FALSE)</f>
        <v>H</v>
      </c>
      <c r="F448" s="23">
        <f>2.44/pcf</f>
        <v>2.44</v>
      </c>
      <c r="G448" s="76">
        <f>IF(A448="COMPOSICAO",VLOOKUP("TOTAL SEM BDI - "&amp;B448,CPUAUX2!$A:$J,9,FALSE),VLOOKUP(B448,I!$A:$E,5,FALSE))</f>
        <v>27.09</v>
      </c>
      <c r="H448" s="77"/>
      <c r="I448" s="76">
        <f t="shared" si="96"/>
        <v>66.09</v>
      </c>
      <c r="J448" s="77"/>
      <c r="M448" s="23">
        <f t="shared" si="97"/>
        <v>88377</v>
      </c>
      <c r="N448" s="23">
        <f>SUMIF(CPU!M:M,B445,CPU!O:O)</f>
        <v>0.09</v>
      </c>
      <c r="O448" s="23">
        <f t="shared" si="98"/>
        <v>0.21959999999999999</v>
      </c>
      <c r="Q448" s="23">
        <f ca="1">SUMIF(CPU!M:M,B445,CPU!R:R)</f>
        <v>0.03</v>
      </c>
      <c r="R448" s="23">
        <f t="shared" ca="1" si="99"/>
        <v>7.3200000000000001E-2</v>
      </c>
    </row>
    <row r="449" spans="1:18" x14ac:dyDescent="0.3">
      <c r="A449" s="23" t="s">
        <v>1004</v>
      </c>
      <c r="B449" s="23">
        <v>88316</v>
      </c>
      <c r="C449" s="23" t="str">
        <f>VLOOKUP(B449,IF(A449="COMPOSICAO",S!$A:$E,I!$A:$E),2,FALSE)</f>
        <v>SINAPI</v>
      </c>
      <c r="D449" s="24" t="str">
        <f>VLOOKUP(B449,IF(A449="COMPOSICAO",S!$A:$E,I!$A:$E),3,FALSE)</f>
        <v>SERVENTE COM ENCARGOS COMPLEMENTARES</v>
      </c>
      <c r="E449" s="23" t="str">
        <f>VLOOKUP(B449,IF(A449="COMPOSICAO",S!$A:$E,I!$A:$E),4,FALSE)</f>
        <v>H</v>
      </c>
      <c r="F449" s="23">
        <f>0.75/pcf</f>
        <v>0.75</v>
      </c>
      <c r="G449" s="76">
        <f>IF(A449="COMPOSICAO",VLOOKUP("TOTAL SEM BDI - "&amp;B449,CPUAUX2!$A:$J,9,FALSE),VLOOKUP(B449,I!$A:$E,5,FALSE))</f>
        <v>21.71</v>
      </c>
      <c r="H449" s="77"/>
      <c r="I449" s="76">
        <f t="shared" si="96"/>
        <v>16.28</v>
      </c>
      <c r="J449" s="77"/>
      <c r="M449" s="23">
        <f t="shared" si="97"/>
        <v>88316</v>
      </c>
      <c r="N449" s="23">
        <f>SUMIF(CPU!M:M,B445,CPU!O:O)</f>
        <v>0.09</v>
      </c>
      <c r="O449" s="23">
        <f t="shared" si="98"/>
        <v>6.7500000000000004E-2</v>
      </c>
      <c r="Q449" s="23">
        <f ca="1">SUMIF(CPU!M:M,B445,CPU!R:R)</f>
        <v>0.03</v>
      </c>
      <c r="R449" s="23">
        <f t="shared" ca="1" si="99"/>
        <v>2.2499999999999999E-2</v>
      </c>
    </row>
    <row r="450" spans="1:18" x14ac:dyDescent="0.3">
      <c r="A450" s="23" t="s">
        <v>1005</v>
      </c>
      <c r="B450" s="23">
        <v>1379</v>
      </c>
      <c r="C450" s="23" t="str">
        <f>VLOOKUP(B450,IF(A450="COMPOSICAO",S!$A:$E,I!$A:$E),2,FALSE)</f>
        <v>SINAPI</v>
      </c>
      <c r="D450" s="24" t="str">
        <f>VLOOKUP(B450,IF(A450="COMPOSICAO",S!$A:$E,I!$A:$E),3,FALSE)</f>
        <v>CIMENTO PORTLAND COMPOSTO CP II-32</v>
      </c>
      <c r="E450" s="23" t="str">
        <f>VLOOKUP(B450,IF(A450="COMPOSICAO",S!$A:$E,I!$A:$E),4,FALSE)</f>
        <v>KG</v>
      </c>
      <c r="F450" s="23">
        <v>483.72</v>
      </c>
      <c r="G450" s="76">
        <f>IF(A450="COMPOSICAO",VLOOKUP("TOTAL SEM BDI - "&amp;B450,CPUAUX2!$A:$J,9,FALSE),VLOOKUP(B450,I!$A:$E,5,FALSE))</f>
        <v>1</v>
      </c>
      <c r="H450" s="77"/>
      <c r="I450" s="76">
        <f t="shared" si="96"/>
        <v>483.72</v>
      </c>
      <c r="J450" s="77"/>
      <c r="M450" s="23">
        <f t="shared" si="97"/>
        <v>1379</v>
      </c>
      <c r="N450" s="23">
        <f>SUMIF(CPU!M:M,B445,CPU!O:O)</f>
        <v>0.09</v>
      </c>
      <c r="O450" s="23">
        <f t="shared" si="98"/>
        <v>43.534800000000004</v>
      </c>
      <c r="Q450" s="23">
        <f ca="1">SUMIF(CPU!M:M,B445,CPU!R:R)</f>
        <v>0.03</v>
      </c>
      <c r="R450" s="23">
        <f t="shared" ca="1" si="99"/>
        <v>14.5116</v>
      </c>
    </row>
    <row r="451" spans="1:18" ht="30" customHeight="1" x14ac:dyDescent="0.3">
      <c r="A451" s="23" t="s">
        <v>1005</v>
      </c>
      <c r="B451" s="23">
        <v>370</v>
      </c>
      <c r="C451" s="23" t="str">
        <f>VLOOKUP(B451,IF(A451="COMPOSICAO",S!$A:$E,I!$A:$E),2,FALSE)</f>
        <v>SINAPI</v>
      </c>
      <c r="D451" s="24" t="str">
        <f>VLOOKUP(B451,IF(A451="COMPOSICAO",S!$A:$E,I!$A:$E),3,FALSE)</f>
        <v>AREIA MEDIA - POSTO JAZIDA/FORNECEDOR (RETIRADO NA JAZIDA, SEM TRANSPORTE)</v>
      </c>
      <c r="E451" s="23" t="str">
        <f>VLOOKUP(B451,IF(A451="COMPOSICAO",S!$A:$E,I!$A:$E),4,FALSE)</f>
        <v>M3</v>
      </c>
      <c r="F451" s="23">
        <v>1.07</v>
      </c>
      <c r="G451" s="76">
        <f>IF(A451="COMPOSICAO",VLOOKUP("TOTAL SEM BDI - "&amp;B451,CPUAUX2!$A:$J,9,FALSE),VLOOKUP(B451,I!$A:$E,5,FALSE))</f>
        <v>90</v>
      </c>
      <c r="H451" s="77"/>
      <c r="I451" s="76">
        <f t="shared" si="96"/>
        <v>96.3</v>
      </c>
      <c r="J451" s="77"/>
      <c r="M451" s="23">
        <f t="shared" si="97"/>
        <v>370</v>
      </c>
      <c r="N451" s="23">
        <f>SUMIF(CPU!M:M,B445,CPU!O:O)</f>
        <v>0.09</v>
      </c>
      <c r="O451" s="23">
        <f t="shared" si="98"/>
        <v>9.6299999999999997E-2</v>
      </c>
      <c r="Q451" s="23">
        <f ca="1">SUMIF(CPU!M:M,B445,CPU!R:R)</f>
        <v>0.03</v>
      </c>
      <c r="R451" s="23">
        <f t="shared" ca="1" si="99"/>
        <v>3.2100000000000004E-2</v>
      </c>
    </row>
    <row r="452" spans="1:18" x14ac:dyDescent="0.3">
      <c r="A452" s="73" t="str">
        <f>"TOTAL SEM BDI - "&amp;B445</f>
        <v>TOTAL SEM BDI - 100489</v>
      </c>
      <c r="B452" s="74"/>
      <c r="C452" s="74"/>
      <c r="D452" s="74"/>
      <c r="E452" s="74"/>
      <c r="F452" s="74"/>
      <c r="G452" s="74"/>
      <c r="H452" s="75"/>
      <c r="I452" s="76">
        <f>SUM(I445:I451)</f>
        <v>669.96</v>
      </c>
      <c r="J452" s="77"/>
    </row>
    <row r="454" spans="1:18" x14ac:dyDescent="0.3">
      <c r="A454" s="4" t="s">
        <v>1000</v>
      </c>
      <c r="B454" s="4" t="s">
        <v>170</v>
      </c>
      <c r="C454" s="4" t="s">
        <v>171</v>
      </c>
      <c r="D454" s="4" t="s">
        <v>18</v>
      </c>
      <c r="E454" s="4" t="s">
        <v>172</v>
      </c>
      <c r="F454" s="4" t="s">
        <v>507</v>
      </c>
      <c r="G454" s="45" t="s">
        <v>1001</v>
      </c>
      <c r="H454" s="46"/>
      <c r="I454" s="45" t="s">
        <v>12</v>
      </c>
      <c r="J454" s="46"/>
    </row>
    <row r="455" spans="1:18" x14ac:dyDescent="0.3">
      <c r="A455" s="15" t="s">
        <v>1071</v>
      </c>
      <c r="B455" s="15">
        <v>88323</v>
      </c>
      <c r="C455" s="15" t="str">
        <f>VLOOKUP(B455,S!$A:$G,2,FALSE)</f>
        <v>SINAPI</v>
      </c>
      <c r="D455" s="22" t="str">
        <f>VLOOKUP(B455,S!$A:$G,3,FALSE)</f>
        <v>TELHADISTA COM ENCARGOS COMPLEMENTARES</v>
      </c>
      <c r="E455" s="15" t="str">
        <f>VLOOKUP(B455,S!$A:$G,4,FALSE)</f>
        <v>H</v>
      </c>
      <c r="F455" s="15"/>
      <c r="G455" s="78">
        <f>I464</f>
        <v>26.71</v>
      </c>
      <c r="H455" s="79"/>
      <c r="I455" s="78"/>
      <c r="J455" s="79"/>
      <c r="K455" s="16">
        <f>VLOOKUP(B455,S!A:G,5,FALSE)</f>
        <v>26.71</v>
      </c>
      <c r="L455" s="15" t="str">
        <f>IF(K455=G455,"OK, CONFORME TABELA",IF(G455&gt;K455,"ACIMA DA TABELA: ","ABAIXO DA TABELA: ")&amp;TRUNC((G455*100)/K455,2)&amp;" %")</f>
        <v>OK, CONFORME TABELA</v>
      </c>
    </row>
    <row r="456" spans="1:18" ht="30" customHeight="1" x14ac:dyDescent="0.3">
      <c r="A456" s="23" t="s">
        <v>1004</v>
      </c>
      <c r="B456" s="23">
        <v>95385</v>
      </c>
      <c r="C456" s="23" t="str">
        <f>VLOOKUP(B456,IF(A456="COMPOSICAO",S!$A:$E,I!$A:$E),2,FALSE)</f>
        <v>SINAPI</v>
      </c>
      <c r="D456" s="24" t="str">
        <f>VLOOKUP(B456,IF(A456="COMPOSICAO",S!$A:$E,I!$A:$E),3,FALSE)</f>
        <v>CURSO DE CAPACITAÇÃO PARA TELHADISTA (ENCARGOS COMPLEMENTARES) - HORISTA</v>
      </c>
      <c r="E456" s="23" t="str">
        <f>VLOOKUP(B456,IF(A456="COMPOSICAO",S!$A:$E,I!$A:$E),4,FALSE)</f>
        <v>H</v>
      </c>
      <c r="F456" s="23">
        <v>1</v>
      </c>
      <c r="G456" s="76">
        <f>IF(A456="COMPOSICAO",VLOOKUP("TOTAL SEM BDI - "&amp;B456,CPUAUX2!$A:$J,9,FALSE),VLOOKUP(B456,I!$A:$E,5,FALSE))</f>
        <v>0.23</v>
      </c>
      <c r="H456" s="77"/>
      <c r="I456" s="76">
        <f t="shared" ref="I456:I463" si="100">TRUNC(F456*G456,2)</f>
        <v>0.23</v>
      </c>
      <c r="J456" s="77"/>
      <c r="M456" s="23">
        <f t="shared" ref="M456:M463" si="101">B456</f>
        <v>95385</v>
      </c>
      <c r="N456" s="23">
        <f>SUMIF(CPU!M:M,B455,CPU!O:O)</f>
        <v>8.1635400000000011</v>
      </c>
      <c r="O456" s="23">
        <f t="shared" ref="O456:O463" si="102">F456*N456</f>
        <v>8.1635400000000011</v>
      </c>
      <c r="Q456" s="23">
        <f ca="1">SUMIF(CPU!M:M,B455,CPU!R:R)</f>
        <v>2.7211800000000004</v>
      </c>
      <c r="R456" s="23">
        <f t="shared" ref="R456:R463" ca="1" si="103">F456*Q456</f>
        <v>2.7211800000000004</v>
      </c>
    </row>
    <row r="457" spans="1:18" ht="30" customHeight="1" x14ac:dyDescent="0.3">
      <c r="A457" s="23" t="s">
        <v>1005</v>
      </c>
      <c r="B457" s="23">
        <v>43483</v>
      </c>
      <c r="C457" s="23" t="str">
        <f>VLOOKUP(B457,IF(A457="COMPOSICAO",S!$A:$E,I!$A:$E),2,FALSE)</f>
        <v>SINAPI</v>
      </c>
      <c r="D457" s="24" t="str">
        <f>VLOOKUP(B457,IF(A457="COMPOSICAO",S!$A:$E,I!$A:$E),3,FALSE)</f>
        <v>EPI - FAMILIA CARPINTEIRO DE FORMAS - HORISTA (ENCARGOS COMPLEMENTARES - COLETADO CAIXA)</v>
      </c>
      <c r="E457" s="23" t="str">
        <f>VLOOKUP(B457,IF(A457="COMPOSICAO",S!$A:$E,I!$A:$E),4,FALSE)</f>
        <v>H</v>
      </c>
      <c r="F457" s="23">
        <v>1</v>
      </c>
      <c r="G457" s="76">
        <f>IF(A457="COMPOSICAO",VLOOKUP("TOTAL SEM BDI - "&amp;B457,CPUAUX2!$A:$J,9,FALSE),VLOOKUP(B457,I!$A:$E,5,FALSE))</f>
        <v>1.43</v>
      </c>
      <c r="H457" s="77"/>
      <c r="I457" s="76">
        <f t="shared" si="100"/>
        <v>1.43</v>
      </c>
      <c r="J457" s="77"/>
      <c r="M457" s="23">
        <f t="shared" si="101"/>
        <v>43483</v>
      </c>
      <c r="N457" s="23">
        <f>SUMIF(CPU!M:M,B455,CPU!O:O)</f>
        <v>8.1635400000000011</v>
      </c>
      <c r="O457" s="23">
        <f t="shared" si="102"/>
        <v>8.1635400000000011</v>
      </c>
      <c r="Q457" s="23">
        <f ca="1">SUMIF(CPU!M:M,B455,CPU!R:R)</f>
        <v>2.7211800000000004</v>
      </c>
      <c r="R457" s="23">
        <f t="shared" ca="1" si="103"/>
        <v>2.7211800000000004</v>
      </c>
    </row>
    <row r="458" spans="1:18" ht="45" customHeight="1" x14ac:dyDescent="0.3">
      <c r="A458" s="23" t="s">
        <v>1005</v>
      </c>
      <c r="B458" s="23">
        <v>43459</v>
      </c>
      <c r="C458" s="23" t="str">
        <f>VLOOKUP(B458,IF(A458="COMPOSICAO",S!$A:$E,I!$A:$E),2,FALSE)</f>
        <v>SINAPI</v>
      </c>
      <c r="D458" s="24" t="str">
        <f>VLOOKUP(B458,IF(A458="COMPOSICAO",S!$A:$E,I!$A:$E),3,FALSE)</f>
        <v>FERRAMENTAS - FAMILIA CARPINTEIRO DE FORMAS - HORISTA (ENCARGOS COMPLEMENTARES - COLETADO CAIXA)</v>
      </c>
      <c r="E458" s="23" t="str">
        <f>VLOOKUP(B458,IF(A458="COMPOSICAO",S!$A:$E,I!$A:$E),4,FALSE)</f>
        <v>H</v>
      </c>
      <c r="F458" s="23">
        <v>1</v>
      </c>
      <c r="G458" s="76">
        <f>IF(A458="COMPOSICAO",VLOOKUP("TOTAL SEM BDI - "&amp;B458,CPUAUX2!$A:$J,9,FALSE),VLOOKUP(B458,I!$A:$E,5,FALSE))</f>
        <v>0.44</v>
      </c>
      <c r="H458" s="77"/>
      <c r="I458" s="76">
        <f t="shared" si="100"/>
        <v>0.44</v>
      </c>
      <c r="J458" s="77"/>
      <c r="M458" s="23">
        <f t="shared" si="101"/>
        <v>43459</v>
      </c>
      <c r="N458" s="23">
        <f>SUMIF(CPU!M:M,B455,CPU!O:O)</f>
        <v>8.1635400000000011</v>
      </c>
      <c r="O458" s="23">
        <f t="shared" si="102"/>
        <v>8.1635400000000011</v>
      </c>
      <c r="Q458" s="23">
        <f ca="1">SUMIF(CPU!M:M,B455,CPU!R:R)</f>
        <v>2.7211800000000004</v>
      </c>
      <c r="R458" s="23">
        <f t="shared" ca="1" si="103"/>
        <v>2.7211800000000004</v>
      </c>
    </row>
    <row r="459" spans="1:18" ht="30" customHeight="1" x14ac:dyDescent="0.3">
      <c r="A459" s="23" t="s">
        <v>1005</v>
      </c>
      <c r="B459" s="23">
        <v>37373</v>
      </c>
      <c r="C459" s="23" t="str">
        <f>VLOOKUP(B459,IF(A459="COMPOSICAO",S!$A:$E,I!$A:$E),2,FALSE)</f>
        <v>SINAPI</v>
      </c>
      <c r="D459" s="24" t="str">
        <f>VLOOKUP(B459,IF(A459="COMPOSICAO",S!$A:$E,I!$A:$E),3,FALSE)</f>
        <v>SEGURO - HORISTA (COLETADO CAIXA - ENCARGOS COMPLEMENTARES)</v>
      </c>
      <c r="E459" s="23" t="str">
        <f>VLOOKUP(B459,IF(A459="COMPOSICAO",S!$A:$E,I!$A:$E),4,FALSE)</f>
        <v>H</v>
      </c>
      <c r="F459" s="23">
        <v>1</v>
      </c>
      <c r="G459" s="76">
        <f>IF(A459="COMPOSICAO",VLOOKUP("TOTAL SEM BDI - "&amp;B459,CPUAUX2!$A:$J,9,FALSE),VLOOKUP(B459,I!$A:$E,5,FALSE))</f>
        <v>0.08</v>
      </c>
      <c r="H459" s="77"/>
      <c r="I459" s="76">
        <f t="shared" si="100"/>
        <v>0.08</v>
      </c>
      <c r="J459" s="77"/>
      <c r="M459" s="23">
        <f t="shared" si="101"/>
        <v>37373</v>
      </c>
      <c r="N459" s="23">
        <f>SUMIF(CPU!M:M,B455,CPU!O:O)</f>
        <v>8.1635400000000011</v>
      </c>
      <c r="O459" s="23">
        <f t="shared" si="102"/>
        <v>8.1635400000000011</v>
      </c>
      <c r="Q459" s="23">
        <f ca="1">SUMIF(CPU!M:M,B455,CPU!R:R)</f>
        <v>2.7211800000000004</v>
      </c>
      <c r="R459" s="23">
        <f t="shared" ca="1" si="103"/>
        <v>2.7211800000000004</v>
      </c>
    </row>
    <row r="460" spans="1:18" ht="30" customHeight="1" x14ac:dyDescent="0.3">
      <c r="A460" s="23" t="s">
        <v>1005</v>
      </c>
      <c r="B460" s="23">
        <v>37372</v>
      </c>
      <c r="C460" s="23" t="str">
        <f>VLOOKUP(B460,IF(A460="COMPOSICAO",S!$A:$E,I!$A:$E),2,FALSE)</f>
        <v>SINAPI</v>
      </c>
      <c r="D460" s="24" t="str">
        <f>VLOOKUP(B460,IF(A460="COMPOSICAO",S!$A:$E,I!$A:$E),3,FALSE)</f>
        <v>EXAMES - HORISTA (COLETADO CAIXA - ENCARGOS COMPLEMENTARES)</v>
      </c>
      <c r="E460" s="23" t="str">
        <f>VLOOKUP(B460,IF(A460="COMPOSICAO",S!$A:$E,I!$A:$E),4,FALSE)</f>
        <v>H</v>
      </c>
      <c r="F460" s="23">
        <v>1</v>
      </c>
      <c r="G460" s="76">
        <f>IF(A460="COMPOSICAO",VLOOKUP("TOTAL SEM BDI - "&amp;B460,CPUAUX2!$A:$J,9,FALSE),VLOOKUP(B460,I!$A:$E,5,FALSE))</f>
        <v>1.43</v>
      </c>
      <c r="H460" s="77"/>
      <c r="I460" s="76">
        <f t="shared" si="100"/>
        <v>1.43</v>
      </c>
      <c r="J460" s="77"/>
      <c r="M460" s="23">
        <f t="shared" si="101"/>
        <v>37372</v>
      </c>
      <c r="N460" s="23">
        <f>SUMIF(CPU!M:M,B455,CPU!O:O)</f>
        <v>8.1635400000000011</v>
      </c>
      <c r="O460" s="23">
        <f t="shared" si="102"/>
        <v>8.1635400000000011</v>
      </c>
      <c r="Q460" s="23">
        <f ca="1">SUMIF(CPU!M:M,B455,CPU!R:R)</f>
        <v>2.7211800000000004</v>
      </c>
      <c r="R460" s="23">
        <f t="shared" ca="1" si="103"/>
        <v>2.7211800000000004</v>
      </c>
    </row>
    <row r="461" spans="1:18" ht="30" customHeight="1" x14ac:dyDescent="0.3">
      <c r="A461" s="23" t="s">
        <v>1005</v>
      </c>
      <c r="B461" s="23">
        <v>37371</v>
      </c>
      <c r="C461" s="23" t="str">
        <f>VLOOKUP(B461,IF(A461="COMPOSICAO",S!$A:$E,I!$A:$E),2,FALSE)</f>
        <v>SINAPI</v>
      </c>
      <c r="D461" s="24" t="str">
        <f>VLOOKUP(B461,IF(A461="COMPOSICAO",S!$A:$E,I!$A:$E),3,FALSE)</f>
        <v>TRANSPORTE - HORISTA (COLETADO CAIXA - ENCARGOS COMPLEMENTARES)</v>
      </c>
      <c r="E461" s="23" t="str">
        <f>VLOOKUP(B461,IF(A461="COMPOSICAO",S!$A:$E,I!$A:$E),4,FALSE)</f>
        <v>H</v>
      </c>
      <c r="F461" s="23">
        <v>1</v>
      </c>
      <c r="G461" s="76">
        <f>IF(A461="COMPOSICAO",VLOOKUP("TOTAL SEM BDI - "&amp;B461,CPUAUX2!$A:$J,9,FALSE),VLOOKUP(B461,I!$A:$E,5,FALSE))</f>
        <v>0.56999999999999995</v>
      </c>
      <c r="H461" s="77"/>
      <c r="I461" s="76">
        <f t="shared" si="100"/>
        <v>0.56999999999999995</v>
      </c>
      <c r="J461" s="77"/>
      <c r="M461" s="23">
        <f t="shared" si="101"/>
        <v>37371</v>
      </c>
      <c r="N461" s="23">
        <f>SUMIF(CPU!M:M,B455,CPU!O:O)</f>
        <v>8.1635400000000011</v>
      </c>
      <c r="O461" s="23">
        <f t="shared" si="102"/>
        <v>8.1635400000000011</v>
      </c>
      <c r="Q461" s="23">
        <f ca="1">SUMIF(CPU!M:M,B455,CPU!R:R)</f>
        <v>2.7211800000000004</v>
      </c>
      <c r="R461" s="23">
        <f t="shared" ca="1" si="103"/>
        <v>2.7211800000000004</v>
      </c>
    </row>
    <row r="462" spans="1:18" ht="30" customHeight="1" x14ac:dyDescent="0.3">
      <c r="A462" s="23" t="s">
        <v>1005</v>
      </c>
      <c r="B462" s="23">
        <v>37370</v>
      </c>
      <c r="C462" s="23" t="str">
        <f>VLOOKUP(B462,IF(A462="COMPOSICAO",S!$A:$E,I!$A:$E),2,FALSE)</f>
        <v>SINAPI</v>
      </c>
      <c r="D462" s="24" t="str">
        <f>VLOOKUP(B462,IF(A462="COMPOSICAO",S!$A:$E,I!$A:$E),3,FALSE)</f>
        <v>ALIMENTACAO - HORISTA (COLETADO CAIXA - ENCARGOS COMPLEMENTARES)</v>
      </c>
      <c r="E462" s="23" t="str">
        <f>VLOOKUP(B462,IF(A462="COMPOSICAO",S!$A:$E,I!$A:$E),4,FALSE)</f>
        <v>H</v>
      </c>
      <c r="F462" s="23">
        <v>1</v>
      </c>
      <c r="G462" s="76">
        <f>IF(A462="COMPOSICAO",VLOOKUP("TOTAL SEM BDI - "&amp;B462,CPUAUX2!$A:$J,9,FALSE),VLOOKUP(B462,I!$A:$E,5,FALSE))</f>
        <v>2.46</v>
      </c>
      <c r="H462" s="77"/>
      <c r="I462" s="76">
        <f t="shared" si="100"/>
        <v>2.46</v>
      </c>
      <c r="J462" s="77"/>
      <c r="M462" s="23">
        <f t="shared" si="101"/>
        <v>37370</v>
      </c>
      <c r="N462" s="23">
        <f>SUMIF(CPU!M:M,B455,CPU!O:O)</f>
        <v>8.1635400000000011</v>
      </c>
      <c r="O462" s="23">
        <f t="shared" si="102"/>
        <v>8.1635400000000011</v>
      </c>
      <c r="Q462" s="23">
        <f ca="1">SUMIF(CPU!M:M,B455,CPU!R:R)</f>
        <v>2.7211800000000004</v>
      </c>
      <c r="R462" s="23">
        <f t="shared" ca="1" si="103"/>
        <v>2.7211800000000004</v>
      </c>
    </row>
    <row r="463" spans="1:18" x14ac:dyDescent="0.3">
      <c r="A463" s="23" t="s">
        <v>1005</v>
      </c>
      <c r="B463" s="23">
        <v>12869</v>
      </c>
      <c r="C463" s="23" t="str">
        <f>VLOOKUP(B463,IF(A463="COMPOSICAO",S!$A:$E,I!$A:$E),2,FALSE)</f>
        <v>SINAPI</v>
      </c>
      <c r="D463" s="24" t="str">
        <f>VLOOKUP(B463,IF(A463="COMPOSICAO",S!$A:$E,I!$A:$E),3,FALSE)</f>
        <v>TELHADOR / TELHADISTA (HORISTA)</v>
      </c>
      <c r="E463" s="23" t="str">
        <f>VLOOKUP(B463,IF(A463="COMPOSICAO",S!$A:$E,I!$A:$E),4,FALSE)</f>
        <v>H</v>
      </c>
      <c r="F463" s="23">
        <v>1</v>
      </c>
      <c r="G463" s="76">
        <f>IF(A463="COMPOSICAO",VLOOKUP("TOTAL SEM BDI - "&amp;B463,CPUAUX2!$A:$J,9,FALSE),VLOOKUP(B463,I!$A:$E,5,FALSE))</f>
        <v>20.07</v>
      </c>
      <c r="H463" s="77"/>
      <c r="I463" s="76">
        <f t="shared" si="100"/>
        <v>20.07</v>
      </c>
      <c r="J463" s="77"/>
      <c r="M463" s="23">
        <f t="shared" si="101"/>
        <v>12869</v>
      </c>
      <c r="N463" s="23">
        <f>SUMIF(CPU!M:M,B455,CPU!O:O)</f>
        <v>8.1635400000000011</v>
      </c>
      <c r="O463" s="23">
        <f t="shared" si="102"/>
        <v>8.1635400000000011</v>
      </c>
      <c r="Q463" s="23">
        <f ca="1">SUMIF(CPU!M:M,B455,CPU!R:R)</f>
        <v>2.7211800000000004</v>
      </c>
      <c r="R463" s="23">
        <f t="shared" ca="1" si="103"/>
        <v>2.7211800000000004</v>
      </c>
    </row>
    <row r="464" spans="1:18" x14ac:dyDescent="0.3">
      <c r="A464" s="73" t="str">
        <f>"TOTAL SEM BDI - "&amp;B455</f>
        <v>TOTAL SEM BDI - 88323</v>
      </c>
      <c r="B464" s="74"/>
      <c r="C464" s="74"/>
      <c r="D464" s="74"/>
      <c r="E464" s="74"/>
      <c r="F464" s="74"/>
      <c r="G464" s="74"/>
      <c r="H464" s="75"/>
      <c r="I464" s="76">
        <f>SUM(I455:I463)</f>
        <v>26.71</v>
      </c>
      <c r="J464" s="77"/>
    </row>
    <row r="466" spans="1:18" x14ac:dyDescent="0.3">
      <c r="A466" s="4" t="s">
        <v>1000</v>
      </c>
      <c r="B466" s="4" t="s">
        <v>170</v>
      </c>
      <c r="C466" s="4" t="s">
        <v>171</v>
      </c>
      <c r="D466" s="4" t="s">
        <v>18</v>
      </c>
      <c r="E466" s="4" t="s">
        <v>172</v>
      </c>
      <c r="F466" s="4" t="s">
        <v>507</v>
      </c>
      <c r="G466" s="45" t="s">
        <v>1001</v>
      </c>
      <c r="H466" s="46"/>
      <c r="I466" s="45" t="s">
        <v>12</v>
      </c>
      <c r="J466" s="46"/>
    </row>
    <row r="467" spans="1:18" ht="45" customHeight="1" x14ac:dyDescent="0.3">
      <c r="A467" s="15" t="s">
        <v>1072</v>
      </c>
      <c r="B467" s="15">
        <v>87298</v>
      </c>
      <c r="C467" s="15" t="str">
        <f>VLOOKUP(B467,S!$A:$G,2,FALSE)</f>
        <v>SINAPI</v>
      </c>
      <c r="D467" s="22" t="str">
        <f>VLOOKUP(B467,S!$A:$G,3,FALSE)</f>
        <v>ARGAMASSA TRAÇO 1:3 (EM VOLUME DE CIMENTO E AREIA MÉDIA ÚMIDA) PARA CONTRAPISO, PREPARO MECÂNICO COM BETONEIRA 400 L. AF_08/2019</v>
      </c>
      <c r="E467" s="15" t="str">
        <f>VLOOKUP(B467,S!$A:$G,4,FALSE)</f>
        <v>M3</v>
      </c>
      <c r="F467" s="15"/>
      <c r="G467" s="78">
        <f>I473</f>
        <v>811.66</v>
      </c>
      <c r="H467" s="79"/>
      <c r="I467" s="78"/>
      <c r="J467" s="79"/>
      <c r="K467" s="16">
        <f>VLOOKUP(B467,S!A:G,5,FALSE)</f>
        <v>811.66</v>
      </c>
      <c r="L467" s="15" t="str">
        <f>IF(K467=G467,"OK, CONFORME TABELA",IF(G467&gt;K467,"ACIMA DA TABELA: ","ABAIXO DA TABELA: ")&amp;TRUNC((G467*100)/K467,2)&amp;" %")</f>
        <v>OK, CONFORME TABELA</v>
      </c>
    </row>
    <row r="468" spans="1:18" ht="60" customHeight="1" x14ac:dyDescent="0.3">
      <c r="A468" s="23" t="s">
        <v>1004</v>
      </c>
      <c r="B468" s="23">
        <v>88831</v>
      </c>
      <c r="C468" s="23" t="str">
        <f>VLOOKUP(B468,IF(A468="COMPOSICAO",S!$A:$E,I!$A:$E),2,FALSE)</f>
        <v>SINAPI</v>
      </c>
      <c r="D468" s="24" t="str">
        <f>VLOOKUP(B468,IF(A468="COMPOSICAO",S!$A:$E,I!$A:$E),3,FALSE)</f>
        <v>BETONEIRA CAPACIDADE NOMINAL DE 400 L, CAPACIDADE DE MISTURA 280 L, MOTOR ELÉTRICO TRIFÁSICO POTÊNCIA DE 2 CV, SEM CARREGADOR - CHI DIURNO. AF_05/2023</v>
      </c>
      <c r="E468" s="23" t="str">
        <f>VLOOKUP(B468,IF(A468="COMPOSICAO",S!$A:$E,I!$A:$E),4,FALSE)</f>
        <v>CHI</v>
      </c>
      <c r="F468" s="23">
        <v>3.39</v>
      </c>
      <c r="G468" s="76">
        <f>IF(A468="COMPOSICAO",VLOOKUP("TOTAL SEM BDI - "&amp;B468,CPUAUX2!$A:$J,9,FALSE),VLOOKUP(B468,I!$A:$E,5,FALSE))</f>
        <v>0.49</v>
      </c>
      <c r="H468" s="77"/>
      <c r="I468" s="76">
        <f>TRUNC(F468*G468,2)</f>
        <v>1.66</v>
      </c>
      <c r="J468" s="77"/>
      <c r="M468" s="23">
        <f>B468</f>
        <v>88831</v>
      </c>
      <c r="N468" s="23">
        <f>SUMIF(CPU!M:M,B467,CPU!O:O)</f>
        <v>1.272</v>
      </c>
      <c r="O468" s="23">
        <f>F468*N468</f>
        <v>4.3120799999999999</v>
      </c>
      <c r="Q468" s="23">
        <f ca="1">SUMIF(CPU!M:M,B467,CPU!R:R)</f>
        <v>0.42399999999999999</v>
      </c>
      <c r="R468" s="23">
        <f ca="1">F468*Q468</f>
        <v>1.43736</v>
      </c>
    </row>
    <row r="469" spans="1:18" ht="60" customHeight="1" x14ac:dyDescent="0.3">
      <c r="A469" s="23" t="s">
        <v>1004</v>
      </c>
      <c r="B469" s="23">
        <v>88830</v>
      </c>
      <c r="C469" s="23" t="str">
        <f>VLOOKUP(B469,IF(A469="COMPOSICAO",S!$A:$E,I!$A:$E),2,FALSE)</f>
        <v>SINAPI</v>
      </c>
      <c r="D469" s="24" t="str">
        <f>VLOOKUP(B469,IF(A469="COMPOSICAO",S!$A:$E,I!$A:$E),3,FALSE)</f>
        <v>BETONEIRA CAPACIDADE NOMINAL DE 400 L, CAPACIDADE DE MISTURA 280 L, MOTOR ELÉTRICO TRIFÁSICO POTÊNCIA DE 2 CV, SEM CARREGADOR - CHP DIURNO. AF_05/2023</v>
      </c>
      <c r="E469" s="23" t="str">
        <f>VLOOKUP(B469,IF(A469="COMPOSICAO",S!$A:$E,I!$A:$E),4,FALSE)</f>
        <v>CHP</v>
      </c>
      <c r="F469" s="23">
        <v>1.03</v>
      </c>
      <c r="G469" s="76">
        <f>IF(A469="COMPOSICAO",VLOOKUP("TOTAL SEM BDI - "&amp;B469,CPUAUX2!$A:$J,9,FALSE),VLOOKUP(B469,I!$A:$E,5,FALSE))</f>
        <v>2.3000000000000003</v>
      </c>
      <c r="H469" s="77"/>
      <c r="I469" s="76">
        <f>TRUNC(F469*G469,2)</f>
        <v>2.36</v>
      </c>
      <c r="J469" s="77"/>
      <c r="M469" s="23">
        <f>B469</f>
        <v>88830</v>
      </c>
      <c r="N469" s="23">
        <f>SUMIF(CPU!M:M,B467,CPU!O:O)</f>
        <v>1.272</v>
      </c>
      <c r="O469" s="23">
        <f>F469*N469</f>
        <v>1.31016</v>
      </c>
      <c r="Q469" s="23">
        <f ca="1">SUMIF(CPU!M:M,B467,CPU!R:R)</f>
        <v>0.42399999999999999</v>
      </c>
      <c r="R469" s="23">
        <f ca="1">F469*Q469</f>
        <v>0.43672</v>
      </c>
    </row>
    <row r="470" spans="1:18" ht="30" customHeight="1" x14ac:dyDescent="0.3">
      <c r="A470" s="23" t="s">
        <v>1004</v>
      </c>
      <c r="B470" s="23">
        <v>88377</v>
      </c>
      <c r="C470" s="23" t="str">
        <f>VLOOKUP(B470,IF(A470="COMPOSICAO",S!$A:$E,I!$A:$E),2,FALSE)</f>
        <v>SINAPI</v>
      </c>
      <c r="D470" s="24" t="str">
        <f>VLOOKUP(B470,IF(A470="COMPOSICAO",S!$A:$E,I!$A:$E),3,FALSE)</f>
        <v>OPERADOR DE BETONEIRA ESTACIONÁRIA/MISTURADOR COM ENCARGOS COMPLEMENTARES</v>
      </c>
      <c r="E470" s="23" t="str">
        <f>VLOOKUP(B470,IF(A470="COMPOSICAO",S!$A:$E,I!$A:$E),4,FALSE)</f>
        <v>H</v>
      </c>
      <c r="F470" s="23">
        <f>4.42/pcf</f>
        <v>4.42</v>
      </c>
      <c r="G470" s="76">
        <f>IF(A470="COMPOSICAO",VLOOKUP("TOTAL SEM BDI - "&amp;B470,CPUAUX2!$A:$J,9,FALSE),VLOOKUP(B470,I!$A:$E,5,FALSE))</f>
        <v>27.09</v>
      </c>
      <c r="H470" s="77"/>
      <c r="I470" s="76">
        <f>TRUNC(F470*G470,2)</f>
        <v>119.73</v>
      </c>
      <c r="J470" s="77"/>
      <c r="M470" s="23">
        <f>B470</f>
        <v>88377</v>
      </c>
      <c r="N470" s="23">
        <f>SUMIF(CPU!M:M,B467,CPU!O:O)</f>
        <v>1.272</v>
      </c>
      <c r="O470" s="23">
        <f>F470*N470</f>
        <v>5.6222399999999997</v>
      </c>
      <c r="Q470" s="23">
        <f ca="1">SUMIF(CPU!M:M,B467,CPU!R:R)</f>
        <v>0.42399999999999999</v>
      </c>
      <c r="R470" s="23">
        <f ca="1">F470*Q470</f>
        <v>1.87408</v>
      </c>
    </row>
    <row r="471" spans="1:18" x14ac:dyDescent="0.3">
      <c r="A471" s="23" t="s">
        <v>1005</v>
      </c>
      <c r="B471" s="23">
        <v>1379</v>
      </c>
      <c r="C471" s="23" t="str">
        <f>VLOOKUP(B471,IF(A471="COMPOSICAO",S!$A:$E,I!$A:$E),2,FALSE)</f>
        <v>SINAPI</v>
      </c>
      <c r="D471" s="24" t="str">
        <f>VLOOKUP(B471,IF(A471="COMPOSICAO",S!$A:$E,I!$A:$E),3,FALSE)</f>
        <v>CIMENTO PORTLAND COMPOSTO CP II-32</v>
      </c>
      <c r="E471" s="23" t="str">
        <f>VLOOKUP(B471,IF(A471="COMPOSICAO",S!$A:$E,I!$A:$E),4,FALSE)</f>
        <v>KG</v>
      </c>
      <c r="F471" s="23">
        <v>573.61</v>
      </c>
      <c r="G471" s="76">
        <f>IF(A471="COMPOSICAO",VLOOKUP("TOTAL SEM BDI - "&amp;B471,CPUAUX2!$A:$J,9,FALSE),VLOOKUP(B471,I!$A:$E,5,FALSE))</f>
        <v>1</v>
      </c>
      <c r="H471" s="77"/>
      <c r="I471" s="76">
        <f>TRUNC(F471*G471,2)</f>
        <v>573.61</v>
      </c>
      <c r="J471" s="77"/>
      <c r="M471" s="23">
        <f>B471</f>
        <v>1379</v>
      </c>
      <c r="N471" s="23">
        <f>SUMIF(CPU!M:M,B467,CPU!O:O)</f>
        <v>1.272</v>
      </c>
      <c r="O471" s="23">
        <f>F471*N471</f>
        <v>729.63192000000004</v>
      </c>
      <c r="Q471" s="23">
        <f ca="1">SUMIF(CPU!M:M,B467,CPU!R:R)</f>
        <v>0.42399999999999999</v>
      </c>
      <c r="R471" s="23">
        <f ca="1">F471*Q471</f>
        <v>243.21064000000001</v>
      </c>
    </row>
    <row r="472" spans="1:18" ht="30" customHeight="1" x14ac:dyDescent="0.3">
      <c r="A472" s="23" t="s">
        <v>1005</v>
      </c>
      <c r="B472" s="23">
        <v>370</v>
      </c>
      <c r="C472" s="23" t="str">
        <f>VLOOKUP(B472,IF(A472="COMPOSICAO",S!$A:$E,I!$A:$E),2,FALSE)</f>
        <v>SINAPI</v>
      </c>
      <c r="D472" s="24" t="str">
        <f>VLOOKUP(B472,IF(A472="COMPOSICAO",S!$A:$E,I!$A:$E),3,FALSE)</f>
        <v>AREIA MEDIA - POSTO JAZIDA/FORNECEDOR (RETIRADO NA JAZIDA, SEM TRANSPORTE)</v>
      </c>
      <c r="E472" s="23" t="str">
        <f>VLOOKUP(B472,IF(A472="COMPOSICAO",S!$A:$E,I!$A:$E),4,FALSE)</f>
        <v>M3</v>
      </c>
      <c r="F472" s="23">
        <v>1.27</v>
      </c>
      <c r="G472" s="76">
        <f>IF(A472="COMPOSICAO",VLOOKUP("TOTAL SEM BDI - "&amp;B472,CPUAUX2!$A:$J,9,FALSE),VLOOKUP(B472,I!$A:$E,5,FALSE))</f>
        <v>90</v>
      </c>
      <c r="H472" s="77"/>
      <c r="I472" s="76">
        <f>TRUNC(F472*G472,2)</f>
        <v>114.3</v>
      </c>
      <c r="J472" s="77"/>
      <c r="M472" s="23">
        <f>B472</f>
        <v>370</v>
      </c>
      <c r="N472" s="23">
        <f>SUMIF(CPU!M:M,B467,CPU!O:O)</f>
        <v>1.272</v>
      </c>
      <c r="O472" s="23">
        <f>F472*N472</f>
        <v>1.61544</v>
      </c>
      <c r="Q472" s="23">
        <f ca="1">SUMIF(CPU!M:M,B467,CPU!R:R)</f>
        <v>0.42399999999999999</v>
      </c>
      <c r="R472" s="23">
        <f ca="1">F472*Q472</f>
        <v>0.53847999999999996</v>
      </c>
    </row>
    <row r="473" spans="1:18" x14ac:dyDescent="0.3">
      <c r="A473" s="73" t="str">
        <f>"TOTAL SEM BDI - "&amp;B467</f>
        <v>TOTAL SEM BDI - 87298</v>
      </c>
      <c r="B473" s="74"/>
      <c r="C473" s="74"/>
      <c r="D473" s="74"/>
      <c r="E473" s="74"/>
      <c r="F473" s="74"/>
      <c r="G473" s="74"/>
      <c r="H473" s="75"/>
      <c r="I473" s="76">
        <f>SUM(I467:I472)</f>
        <v>811.66</v>
      </c>
      <c r="J473" s="77"/>
    </row>
    <row r="475" spans="1:18" x14ac:dyDescent="0.3">
      <c r="A475" s="4" t="s">
        <v>1000</v>
      </c>
      <c r="B475" s="4" t="s">
        <v>170</v>
      </c>
      <c r="C475" s="4" t="s">
        <v>171</v>
      </c>
      <c r="D475" s="4" t="s">
        <v>18</v>
      </c>
      <c r="E475" s="4" t="s">
        <v>172</v>
      </c>
      <c r="F475" s="4" t="s">
        <v>507</v>
      </c>
      <c r="G475" s="45" t="s">
        <v>1001</v>
      </c>
      <c r="H475" s="46"/>
      <c r="I475" s="45" t="s">
        <v>12</v>
      </c>
      <c r="J475" s="46"/>
    </row>
    <row r="476" spans="1:18" ht="45" customHeight="1" x14ac:dyDescent="0.3">
      <c r="A476" s="15" t="s">
        <v>1072</v>
      </c>
      <c r="B476" s="15">
        <v>87377</v>
      </c>
      <c r="C476" s="15" t="str">
        <f>VLOOKUP(B476,S!$A:$G,2,FALSE)</f>
        <v>SINAPI</v>
      </c>
      <c r="D476" s="22" t="str">
        <f>VLOOKUP(B476,S!$A:$G,3,FALSE)</f>
        <v>ARGAMASSA TRAÇO 1:3 (EM VOLUME DE CIMENTO E AREIA GROSSA ÚMIDA) PARA CHAPISCO CONVENCIONAL, PREPARO MANUAL. AF_08/2019</v>
      </c>
      <c r="E476" s="15" t="str">
        <f>VLOOKUP(B476,S!$A:$G,4,FALSE)</f>
        <v>M3</v>
      </c>
      <c r="F476" s="15"/>
      <c r="G476" s="78">
        <f>I480</f>
        <v>747.56</v>
      </c>
      <c r="H476" s="79"/>
      <c r="I476" s="78"/>
      <c r="J476" s="79"/>
      <c r="K476" s="16">
        <f>VLOOKUP(B476,S!A:G,5,FALSE)</f>
        <v>747.56</v>
      </c>
      <c r="L476" s="15" t="str">
        <f>IF(K476=G476,"OK, CONFORME TABELA",IF(G476&gt;K476,"ACIMA DA TABELA: ","ABAIXO DA TABELA: ")&amp;TRUNC((G476*100)/K476,2)&amp;" %")</f>
        <v>OK, CONFORME TABELA</v>
      </c>
    </row>
    <row r="477" spans="1:18" x14ac:dyDescent="0.3">
      <c r="A477" s="23" t="s">
        <v>1004</v>
      </c>
      <c r="B477" s="23">
        <v>88316</v>
      </c>
      <c r="C477" s="23" t="str">
        <f>VLOOKUP(B477,IF(A477="COMPOSICAO",S!$A:$E,I!$A:$E),2,FALSE)</f>
        <v>SINAPI</v>
      </c>
      <c r="D477" s="24" t="str">
        <f>VLOOKUP(B477,IF(A477="COMPOSICAO",S!$A:$E,I!$A:$E),3,FALSE)</f>
        <v>SERVENTE COM ENCARGOS COMPLEMENTARES</v>
      </c>
      <c r="E477" s="23" t="str">
        <f>VLOOKUP(B477,IF(A477="COMPOSICAO",S!$A:$E,I!$A:$E),4,FALSE)</f>
        <v>H</v>
      </c>
      <c r="F477" s="23">
        <f>11.02/pcf</f>
        <v>11.02</v>
      </c>
      <c r="G477" s="76">
        <f>IF(A477="COMPOSICAO",VLOOKUP("TOTAL SEM BDI - "&amp;B477,CPUAUX2!$A:$J,9,FALSE),VLOOKUP(B477,I!$A:$E,5,FALSE))</f>
        <v>21.71</v>
      </c>
      <c r="H477" s="77"/>
      <c r="I477" s="76">
        <f>TRUNC(F477*G477,2)</f>
        <v>239.24</v>
      </c>
      <c r="J477" s="77"/>
      <c r="M477" s="23">
        <f>B477</f>
        <v>88316</v>
      </c>
      <c r="N477" s="23">
        <f>SUMIF(CPU!M:M,B476,CPU!O:O)</f>
        <v>0.85736400000000001</v>
      </c>
      <c r="O477" s="23">
        <f>F477*N477</f>
        <v>9.4481512799999994</v>
      </c>
      <c r="Q477" s="23">
        <f ca="1">SUMIF(CPU!M:M,B476,CPU!R:R)</f>
        <v>0.28578799999999999</v>
      </c>
      <c r="R477" s="23">
        <f ca="1">F477*Q477</f>
        <v>3.1493837599999996</v>
      </c>
    </row>
    <row r="478" spans="1:18" x14ac:dyDescent="0.3">
      <c r="A478" s="23" t="s">
        <v>1005</v>
      </c>
      <c r="B478" s="23">
        <v>1379</v>
      </c>
      <c r="C478" s="23" t="str">
        <f>VLOOKUP(B478,IF(A478="COMPOSICAO",S!$A:$E,I!$A:$E),2,FALSE)</f>
        <v>SINAPI</v>
      </c>
      <c r="D478" s="24" t="str">
        <f>VLOOKUP(B478,IF(A478="COMPOSICAO",S!$A:$E,I!$A:$E),3,FALSE)</f>
        <v>CIMENTO PORTLAND COMPOSTO CP II-32</v>
      </c>
      <c r="E478" s="23" t="str">
        <f>VLOOKUP(B478,IF(A478="COMPOSICAO",S!$A:$E,I!$A:$E),4,FALSE)</f>
        <v>KG</v>
      </c>
      <c r="F478" s="23">
        <v>422.63</v>
      </c>
      <c r="G478" s="76">
        <f>IF(A478="COMPOSICAO",VLOOKUP("TOTAL SEM BDI - "&amp;B478,CPUAUX2!$A:$J,9,FALSE),VLOOKUP(B478,I!$A:$E,5,FALSE))</f>
        <v>1</v>
      </c>
      <c r="H478" s="77"/>
      <c r="I478" s="76">
        <f>TRUNC(F478*G478,2)</f>
        <v>422.63</v>
      </c>
      <c r="J478" s="77"/>
      <c r="M478" s="23">
        <f>B478</f>
        <v>1379</v>
      </c>
      <c r="N478" s="23">
        <f>SUMIF(CPU!M:M,B476,CPU!O:O)</f>
        <v>0.85736400000000001</v>
      </c>
      <c r="O478" s="23">
        <f>F478*N478</f>
        <v>362.34774732</v>
      </c>
      <c r="Q478" s="23">
        <f ca="1">SUMIF(CPU!M:M,B476,CPU!R:R)</f>
        <v>0.28578799999999999</v>
      </c>
      <c r="R478" s="23">
        <f ca="1">F478*Q478</f>
        <v>120.78258244</v>
      </c>
    </row>
    <row r="479" spans="1:18" ht="30" customHeight="1" x14ac:dyDescent="0.3">
      <c r="A479" s="23" t="s">
        <v>1005</v>
      </c>
      <c r="B479" s="23">
        <v>367</v>
      </c>
      <c r="C479" s="23" t="str">
        <f>VLOOKUP(B479,IF(A479="COMPOSICAO",S!$A:$E,I!$A:$E),2,FALSE)</f>
        <v>SINAPI</v>
      </c>
      <c r="D479" s="24" t="str">
        <f>VLOOKUP(B479,IF(A479="COMPOSICAO",S!$A:$E,I!$A:$E),3,FALSE)</f>
        <v>AREIA GROSSA - POSTO JAZIDA/FORNECEDOR (RETIRADO NA JAZIDA, SEM TRANSPORTE)</v>
      </c>
      <c r="E479" s="23" t="str">
        <f>VLOOKUP(B479,IF(A479="COMPOSICAO",S!$A:$E,I!$A:$E),4,FALSE)</f>
        <v>M3</v>
      </c>
      <c r="F479" s="23">
        <v>0.94</v>
      </c>
      <c r="G479" s="76">
        <f>IF(A479="COMPOSICAO",VLOOKUP("TOTAL SEM BDI - "&amp;B479,CPUAUX2!$A:$J,9,FALSE),VLOOKUP(B479,I!$A:$E,5,FALSE))</f>
        <v>91.17</v>
      </c>
      <c r="H479" s="77"/>
      <c r="I479" s="76">
        <f>TRUNC(F479*G479,2)</f>
        <v>85.69</v>
      </c>
      <c r="J479" s="77"/>
      <c r="M479" s="23">
        <f>B479</f>
        <v>367</v>
      </c>
      <c r="N479" s="23">
        <f>SUMIF(CPU!M:M,B476,CPU!O:O)</f>
        <v>0.85736400000000001</v>
      </c>
      <c r="O479" s="23">
        <f>F479*N479</f>
        <v>0.80592215999999994</v>
      </c>
      <c r="Q479" s="23">
        <f ca="1">SUMIF(CPU!M:M,B476,CPU!R:R)</f>
        <v>0.28578799999999999</v>
      </c>
      <c r="R479" s="23">
        <f ca="1">F479*Q479</f>
        <v>0.26864072</v>
      </c>
    </row>
    <row r="480" spans="1:18" x14ac:dyDescent="0.3">
      <c r="A480" s="73" t="str">
        <f>"TOTAL SEM BDI - "&amp;B476</f>
        <v>TOTAL SEM BDI - 87377</v>
      </c>
      <c r="B480" s="74"/>
      <c r="C480" s="74"/>
      <c r="D480" s="74"/>
      <c r="E480" s="74"/>
      <c r="F480" s="74"/>
      <c r="G480" s="74"/>
      <c r="H480" s="75"/>
      <c r="I480" s="76">
        <f>SUM(I476:I479)</f>
        <v>747.56</v>
      </c>
      <c r="J480" s="77"/>
    </row>
    <row r="482" spans="1:18" x14ac:dyDescent="0.3">
      <c r="A482" s="4" t="s">
        <v>1000</v>
      </c>
      <c r="B482" s="4" t="s">
        <v>170</v>
      </c>
      <c r="C482" s="4" t="s">
        <v>171</v>
      </c>
      <c r="D482" s="4" t="s">
        <v>18</v>
      </c>
      <c r="E482" s="4" t="s">
        <v>172</v>
      </c>
      <c r="F482" s="4" t="s">
        <v>507</v>
      </c>
      <c r="G482" s="45" t="s">
        <v>1001</v>
      </c>
      <c r="H482" s="46"/>
      <c r="I482" s="45" t="s">
        <v>12</v>
      </c>
      <c r="J482" s="46"/>
    </row>
    <row r="483" spans="1:18" ht="45" customHeight="1" x14ac:dyDescent="0.3">
      <c r="A483" s="15" t="s">
        <v>1072</v>
      </c>
      <c r="B483" s="15">
        <v>88627</v>
      </c>
      <c r="C483" s="15" t="str">
        <f>VLOOKUP(B483,S!$A:$G,2,FALSE)</f>
        <v>SINAPI</v>
      </c>
      <c r="D483" s="22" t="str">
        <f>VLOOKUP(B483,S!$A:$G,3,FALSE)</f>
        <v>ARGAMASSA TRAÇO 1:0,5:4,5 (EM VOLUME DE CIMENTO, CAL E AREIA MÉDIA ÚMIDA) PARA ASSENTAMENTO DE ALVENARIA, PREPARO MANUAL. AF_08/2019</v>
      </c>
      <c r="E483" s="15" t="str">
        <f>VLOOKUP(B483,S!$A:$G,4,FALSE)</f>
        <v>M3</v>
      </c>
      <c r="F483" s="15"/>
      <c r="G483" s="78">
        <f>I488</f>
        <v>726.2600000000001</v>
      </c>
      <c r="H483" s="79"/>
      <c r="I483" s="78"/>
      <c r="J483" s="79"/>
      <c r="K483" s="16">
        <f>VLOOKUP(B483,S!A:G,5,FALSE)</f>
        <v>726.26</v>
      </c>
      <c r="L483" s="15" t="str">
        <f>IF(K483=G483,"OK, CONFORME TABELA",IF(G483&gt;K483,"ACIMA DA TABELA: ","ABAIXO DA TABELA: ")&amp;TRUNC((G483*100)/K483,2)&amp;" %")</f>
        <v>OK, CONFORME TABELA</v>
      </c>
    </row>
    <row r="484" spans="1:18" x14ac:dyDescent="0.3">
      <c r="A484" s="23" t="s">
        <v>1004</v>
      </c>
      <c r="B484" s="23">
        <v>88316</v>
      </c>
      <c r="C484" s="23" t="str">
        <f>VLOOKUP(B484,IF(A484="COMPOSICAO",S!$A:$E,I!$A:$E),2,FALSE)</f>
        <v>SINAPI</v>
      </c>
      <c r="D484" s="24" t="str">
        <f>VLOOKUP(B484,IF(A484="COMPOSICAO",S!$A:$E,I!$A:$E),3,FALSE)</f>
        <v>SERVENTE COM ENCARGOS COMPLEMENTARES</v>
      </c>
      <c r="E484" s="23" t="str">
        <f>VLOOKUP(B484,IF(A484="COMPOSICAO",S!$A:$E,I!$A:$E),4,FALSE)</f>
        <v>H</v>
      </c>
      <c r="F484" s="23">
        <f>8.78/pcf</f>
        <v>8.7799999999999994</v>
      </c>
      <c r="G484" s="76">
        <f>IF(A484="COMPOSICAO",VLOOKUP("TOTAL SEM BDI - "&amp;B484,CPUAUX2!$A:$J,9,FALSE),VLOOKUP(B484,I!$A:$E,5,FALSE))</f>
        <v>21.71</v>
      </c>
      <c r="H484" s="77"/>
      <c r="I484" s="76">
        <f>TRUNC(F484*G484,2)</f>
        <v>190.61</v>
      </c>
      <c r="J484" s="77"/>
      <c r="M484" s="23">
        <f>B484</f>
        <v>88316</v>
      </c>
      <c r="N484" s="23">
        <f>SUMIF(CPU!M:M,B483,CPU!O:O)</f>
        <v>0.12096</v>
      </c>
      <c r="O484" s="23">
        <f>F484*N484</f>
        <v>1.0620288</v>
      </c>
      <c r="Q484" s="23">
        <f ca="1">SUMIF(CPU!M:M,B483,CPU!R:R)</f>
        <v>4.0320000000000002E-2</v>
      </c>
      <c r="R484" s="23">
        <f ca="1">F484*Q484</f>
        <v>0.35400959999999998</v>
      </c>
    </row>
    <row r="485" spans="1:18" x14ac:dyDescent="0.3">
      <c r="A485" s="23" t="s">
        <v>1005</v>
      </c>
      <c r="B485" s="23">
        <v>1379</v>
      </c>
      <c r="C485" s="23" t="str">
        <f>VLOOKUP(B485,IF(A485="COMPOSICAO",S!$A:$E,I!$A:$E),2,FALSE)</f>
        <v>SINAPI</v>
      </c>
      <c r="D485" s="24" t="str">
        <f>VLOOKUP(B485,IF(A485="COMPOSICAO",S!$A:$E,I!$A:$E),3,FALSE)</f>
        <v>CIMENTO PORTLAND COMPOSTO CP II-32</v>
      </c>
      <c r="E485" s="23" t="str">
        <f>VLOOKUP(B485,IF(A485="COMPOSICAO",S!$A:$E,I!$A:$E),4,FALSE)</f>
        <v>KG</v>
      </c>
      <c r="F485" s="23">
        <v>339.62</v>
      </c>
      <c r="G485" s="76">
        <f>IF(A485="COMPOSICAO",VLOOKUP("TOTAL SEM BDI - "&amp;B485,CPUAUX2!$A:$J,9,FALSE),VLOOKUP(B485,I!$A:$E,5,FALSE))</f>
        <v>1</v>
      </c>
      <c r="H485" s="77"/>
      <c r="I485" s="76">
        <f>TRUNC(F485*G485,2)</f>
        <v>339.62</v>
      </c>
      <c r="J485" s="77"/>
      <c r="M485" s="23">
        <f>B485</f>
        <v>1379</v>
      </c>
      <c r="N485" s="23">
        <f>SUMIF(CPU!M:M,B483,CPU!O:O)</f>
        <v>0.12096</v>
      </c>
      <c r="O485" s="23">
        <f>F485*N485</f>
        <v>41.080435199999997</v>
      </c>
      <c r="Q485" s="23">
        <f ca="1">SUMIF(CPU!M:M,B483,CPU!R:R)</f>
        <v>4.0320000000000002E-2</v>
      </c>
      <c r="R485" s="23">
        <f ca="1">F485*Q485</f>
        <v>13.6934784</v>
      </c>
    </row>
    <row r="486" spans="1:18" x14ac:dyDescent="0.3">
      <c r="A486" s="23" t="s">
        <v>1005</v>
      </c>
      <c r="B486" s="23">
        <v>1106</v>
      </c>
      <c r="C486" s="23" t="str">
        <f>VLOOKUP(B486,IF(A486="COMPOSICAO",S!$A:$E,I!$A:$E),2,FALSE)</f>
        <v>SINAPI</v>
      </c>
      <c r="D486" s="24" t="str">
        <f>VLOOKUP(B486,IF(A486="COMPOSICAO",S!$A:$E,I!$A:$E),3,FALSE)</f>
        <v>CAL HIDRATADA CH-I PARA ARGAMASSAS</v>
      </c>
      <c r="E486" s="23" t="str">
        <f>VLOOKUP(B486,IF(A486="COMPOSICAO",S!$A:$E,I!$A:$E),4,FALSE)</f>
        <v>KG</v>
      </c>
      <c r="F486" s="23">
        <v>75.47</v>
      </c>
      <c r="G486" s="76">
        <f>IF(A486="COMPOSICAO",VLOOKUP("TOTAL SEM BDI - "&amp;B486,CPUAUX2!$A:$J,9,FALSE),VLOOKUP(B486,I!$A:$E,5,FALSE))</f>
        <v>1.25</v>
      </c>
      <c r="H486" s="77"/>
      <c r="I486" s="76">
        <f>TRUNC(F486*G486,2)</f>
        <v>94.33</v>
      </c>
      <c r="J486" s="77"/>
      <c r="M486" s="23">
        <f>B486</f>
        <v>1106</v>
      </c>
      <c r="N486" s="23">
        <f>SUMIF(CPU!M:M,B483,CPU!O:O)</f>
        <v>0.12096</v>
      </c>
      <c r="O486" s="23">
        <f>F486*N486</f>
        <v>9.1288511999999997</v>
      </c>
      <c r="Q486" s="23">
        <f ca="1">SUMIF(CPU!M:M,B483,CPU!R:R)</f>
        <v>4.0320000000000002E-2</v>
      </c>
      <c r="R486" s="23">
        <f ca="1">F486*Q486</f>
        <v>3.0429504000000001</v>
      </c>
    </row>
    <row r="487" spans="1:18" ht="30" customHeight="1" x14ac:dyDescent="0.3">
      <c r="A487" s="23" t="s">
        <v>1005</v>
      </c>
      <c r="B487" s="23">
        <v>370</v>
      </c>
      <c r="C487" s="23" t="str">
        <f>VLOOKUP(B487,IF(A487="COMPOSICAO",S!$A:$E,I!$A:$E),2,FALSE)</f>
        <v>SINAPI</v>
      </c>
      <c r="D487" s="24" t="str">
        <f>VLOOKUP(B487,IF(A487="COMPOSICAO",S!$A:$E,I!$A:$E),3,FALSE)</f>
        <v>AREIA MEDIA - POSTO JAZIDA/FORNECEDOR (RETIRADO NA JAZIDA, SEM TRANSPORTE)</v>
      </c>
      <c r="E487" s="23" t="str">
        <f>VLOOKUP(B487,IF(A487="COMPOSICAO",S!$A:$E,I!$A:$E),4,FALSE)</f>
        <v>M3</v>
      </c>
      <c r="F487" s="23">
        <v>1.1299999999999999</v>
      </c>
      <c r="G487" s="76">
        <f>IF(A487="COMPOSICAO",VLOOKUP("TOTAL SEM BDI - "&amp;B487,CPUAUX2!$A:$J,9,FALSE),VLOOKUP(B487,I!$A:$E,5,FALSE))</f>
        <v>90</v>
      </c>
      <c r="H487" s="77"/>
      <c r="I487" s="76">
        <f>TRUNC(F487*G487,2)</f>
        <v>101.7</v>
      </c>
      <c r="J487" s="77"/>
      <c r="M487" s="23">
        <f>B487</f>
        <v>370</v>
      </c>
      <c r="N487" s="23">
        <f>SUMIF(CPU!M:M,B483,CPU!O:O)</f>
        <v>0.12096</v>
      </c>
      <c r="O487" s="23">
        <f>F487*N487</f>
        <v>0.1366848</v>
      </c>
      <c r="Q487" s="23">
        <f ca="1">SUMIF(CPU!M:M,B483,CPU!R:R)</f>
        <v>4.0320000000000002E-2</v>
      </c>
      <c r="R487" s="23">
        <f ca="1">F487*Q487</f>
        <v>4.5561600000000001E-2</v>
      </c>
    </row>
    <row r="488" spans="1:18" x14ac:dyDescent="0.3">
      <c r="A488" s="73" t="str">
        <f>"TOTAL SEM BDI - "&amp;B483</f>
        <v>TOTAL SEM BDI - 88627</v>
      </c>
      <c r="B488" s="74"/>
      <c r="C488" s="74"/>
      <c r="D488" s="74"/>
      <c r="E488" s="74"/>
      <c r="F488" s="74"/>
      <c r="G488" s="74"/>
      <c r="H488" s="75"/>
      <c r="I488" s="76">
        <f>SUM(I483:I487)</f>
        <v>726.2600000000001</v>
      </c>
      <c r="J488" s="77"/>
    </row>
    <row r="490" spans="1:18" x14ac:dyDescent="0.3">
      <c r="A490" s="4" t="s">
        <v>1000</v>
      </c>
      <c r="B490" s="4" t="s">
        <v>170</v>
      </c>
      <c r="C490" s="4" t="s">
        <v>171</v>
      </c>
      <c r="D490" s="4" t="s">
        <v>18</v>
      </c>
      <c r="E490" s="4" t="s">
        <v>172</v>
      </c>
      <c r="F490" s="4" t="s">
        <v>507</v>
      </c>
      <c r="G490" s="45" t="s">
        <v>1001</v>
      </c>
      <c r="H490" s="46"/>
      <c r="I490" s="45" t="s">
        <v>12</v>
      </c>
      <c r="J490" s="46"/>
    </row>
    <row r="491" spans="1:18" x14ac:dyDescent="0.3">
      <c r="A491" s="15" t="s">
        <v>1071</v>
      </c>
      <c r="B491" s="15">
        <v>88310</v>
      </c>
      <c r="C491" s="15" t="str">
        <f>VLOOKUP(B491,S!$A:$G,2,FALSE)</f>
        <v>SINAPI</v>
      </c>
      <c r="D491" s="22" t="str">
        <f>VLOOKUP(B491,S!$A:$G,3,FALSE)</f>
        <v>PINTOR COM ENCARGOS COMPLEMENTARES</v>
      </c>
      <c r="E491" s="15" t="str">
        <f>VLOOKUP(B491,S!$A:$G,4,FALSE)</f>
        <v>H</v>
      </c>
      <c r="F491" s="15"/>
      <c r="G491" s="78">
        <f>I500</f>
        <v>29.069999999999997</v>
      </c>
      <c r="H491" s="79"/>
      <c r="I491" s="78"/>
      <c r="J491" s="79"/>
      <c r="K491" s="16">
        <f>VLOOKUP(B491,S!A:G,5,FALSE)</f>
        <v>29.07</v>
      </c>
      <c r="L491" s="15" t="str">
        <f>IF(K491=G491,"OK, CONFORME TABELA",IF(G491&gt;K491,"ACIMA DA TABELA: ","ABAIXO DA TABELA: ")&amp;TRUNC((G491*100)/K491,2)&amp;" %")</f>
        <v>OK, CONFORME TABELA</v>
      </c>
    </row>
    <row r="492" spans="1:18" ht="30" customHeight="1" x14ac:dyDescent="0.3">
      <c r="A492" s="23" t="s">
        <v>1004</v>
      </c>
      <c r="B492" s="23">
        <v>95372</v>
      </c>
      <c r="C492" s="23" t="str">
        <f>VLOOKUP(B492,IF(A492="COMPOSICAO",S!$A:$E,I!$A:$E),2,FALSE)</f>
        <v>SINAPI</v>
      </c>
      <c r="D492" s="24" t="str">
        <f>VLOOKUP(B492,IF(A492="COMPOSICAO",S!$A:$E,I!$A:$E),3,FALSE)</f>
        <v>CURSO DE CAPACITAÇÃO PARA PINTOR (ENCARGOS COMPLEMENTARES) - HORISTA</v>
      </c>
      <c r="E492" s="23" t="str">
        <f>VLOOKUP(B492,IF(A492="COMPOSICAO",S!$A:$E,I!$A:$E),4,FALSE)</f>
        <v>H</v>
      </c>
      <c r="F492" s="23">
        <v>1</v>
      </c>
      <c r="G492" s="76">
        <f>IF(A492="COMPOSICAO",VLOOKUP("TOTAL SEM BDI - "&amp;B492,CPUAUX2!$A:$J,9,FALSE),VLOOKUP(B492,I!$A:$E,5,FALSE))</f>
        <v>0.3</v>
      </c>
      <c r="H492" s="77"/>
      <c r="I492" s="76">
        <f t="shared" ref="I492:I499" si="104">TRUNC(F492*G492,2)</f>
        <v>0.3</v>
      </c>
      <c r="J492" s="77"/>
      <c r="M492" s="23">
        <f t="shared" ref="M492:M499" si="105">B492</f>
        <v>95372</v>
      </c>
      <c r="N492" s="23">
        <f>SUMIF(CPU!M:M,B491,CPU!O:O)</f>
        <v>96.850943999999998</v>
      </c>
      <c r="O492" s="23">
        <f t="shared" ref="O492:O499" si="106">F492*N492</f>
        <v>96.850943999999998</v>
      </c>
      <c r="Q492" s="23">
        <f ca="1">SUMIF(CPU!M:M,B491,CPU!R:R)</f>
        <v>32.283647999999999</v>
      </c>
      <c r="R492" s="23">
        <f t="shared" ref="R492:R499" ca="1" si="107">F492*Q492</f>
        <v>32.283647999999999</v>
      </c>
    </row>
    <row r="493" spans="1:18" ht="30" customHeight="1" x14ac:dyDescent="0.3">
      <c r="A493" s="23" t="s">
        <v>1005</v>
      </c>
      <c r="B493" s="23">
        <v>43490</v>
      </c>
      <c r="C493" s="23" t="str">
        <f>VLOOKUP(B493,IF(A493="COMPOSICAO",S!$A:$E,I!$A:$E),2,FALSE)</f>
        <v>SINAPI</v>
      </c>
      <c r="D493" s="24" t="str">
        <f>VLOOKUP(B493,IF(A493="COMPOSICAO",S!$A:$E,I!$A:$E),3,FALSE)</f>
        <v>EPI - FAMILIA PINTOR - HORISTA (ENCARGOS COMPLEMENTARES - COLETADO CAIXA)</v>
      </c>
      <c r="E493" s="23" t="str">
        <f>VLOOKUP(B493,IF(A493="COMPOSICAO",S!$A:$E,I!$A:$E),4,FALSE)</f>
        <v>H</v>
      </c>
      <c r="F493" s="23">
        <v>1</v>
      </c>
      <c r="G493" s="76">
        <f>IF(A493="COMPOSICAO",VLOOKUP("TOTAL SEM BDI - "&amp;B493,CPUAUX2!$A:$J,9,FALSE),VLOOKUP(B493,I!$A:$E,5,FALSE))</f>
        <v>1.85</v>
      </c>
      <c r="H493" s="77"/>
      <c r="I493" s="76">
        <f t="shared" si="104"/>
        <v>1.85</v>
      </c>
      <c r="J493" s="77"/>
      <c r="M493" s="23">
        <f t="shared" si="105"/>
        <v>43490</v>
      </c>
      <c r="N493" s="23">
        <f>SUMIF(CPU!M:M,B491,CPU!O:O)</f>
        <v>96.850943999999998</v>
      </c>
      <c r="O493" s="23">
        <f t="shared" si="106"/>
        <v>96.850943999999998</v>
      </c>
      <c r="Q493" s="23">
        <f ca="1">SUMIF(CPU!M:M,B491,CPU!R:R)</f>
        <v>32.283647999999999</v>
      </c>
      <c r="R493" s="23">
        <f t="shared" ca="1" si="107"/>
        <v>32.283647999999999</v>
      </c>
    </row>
    <row r="494" spans="1:18" ht="30" customHeight="1" x14ac:dyDescent="0.3">
      <c r="A494" s="23" t="s">
        <v>1005</v>
      </c>
      <c r="B494" s="23">
        <v>43466</v>
      </c>
      <c r="C494" s="23" t="str">
        <f>VLOOKUP(B494,IF(A494="COMPOSICAO",S!$A:$E,I!$A:$E),2,FALSE)</f>
        <v>SINAPI</v>
      </c>
      <c r="D494" s="24" t="str">
        <f>VLOOKUP(B494,IF(A494="COMPOSICAO",S!$A:$E,I!$A:$E),3,FALSE)</f>
        <v>FERRAMENTAS - FAMILIA PINTOR - HORISTA (ENCARGOS COMPLEMENTARES - COLETADO CAIXA)</v>
      </c>
      <c r="E494" s="23" t="str">
        <f>VLOOKUP(B494,IF(A494="COMPOSICAO",S!$A:$E,I!$A:$E),4,FALSE)</f>
        <v>H</v>
      </c>
      <c r="F494" s="23">
        <v>1</v>
      </c>
      <c r="G494" s="76">
        <f>IF(A494="COMPOSICAO",VLOOKUP("TOTAL SEM BDI - "&amp;B494,CPUAUX2!$A:$J,9,FALSE),VLOOKUP(B494,I!$A:$E,5,FALSE))</f>
        <v>2.0499999999999998</v>
      </c>
      <c r="H494" s="77"/>
      <c r="I494" s="76">
        <f t="shared" si="104"/>
        <v>2.0499999999999998</v>
      </c>
      <c r="J494" s="77"/>
      <c r="M494" s="23">
        <f t="shared" si="105"/>
        <v>43466</v>
      </c>
      <c r="N494" s="23">
        <f>SUMIF(CPU!M:M,B491,CPU!O:O)</f>
        <v>96.850943999999998</v>
      </c>
      <c r="O494" s="23">
        <f t="shared" si="106"/>
        <v>96.850943999999998</v>
      </c>
      <c r="Q494" s="23">
        <f ca="1">SUMIF(CPU!M:M,B491,CPU!R:R)</f>
        <v>32.283647999999999</v>
      </c>
      <c r="R494" s="23">
        <f t="shared" ca="1" si="107"/>
        <v>32.283647999999999</v>
      </c>
    </row>
    <row r="495" spans="1:18" ht="30" customHeight="1" x14ac:dyDescent="0.3">
      <c r="A495" s="23" t="s">
        <v>1005</v>
      </c>
      <c r="B495" s="23">
        <v>37373</v>
      </c>
      <c r="C495" s="23" t="str">
        <f>VLOOKUP(B495,IF(A495="COMPOSICAO",S!$A:$E,I!$A:$E),2,FALSE)</f>
        <v>SINAPI</v>
      </c>
      <c r="D495" s="24" t="str">
        <f>VLOOKUP(B495,IF(A495="COMPOSICAO",S!$A:$E,I!$A:$E),3,FALSE)</f>
        <v>SEGURO - HORISTA (COLETADO CAIXA - ENCARGOS COMPLEMENTARES)</v>
      </c>
      <c r="E495" s="23" t="str">
        <f>VLOOKUP(B495,IF(A495="COMPOSICAO",S!$A:$E,I!$A:$E),4,FALSE)</f>
        <v>H</v>
      </c>
      <c r="F495" s="23">
        <v>1</v>
      </c>
      <c r="G495" s="76">
        <f>IF(A495="COMPOSICAO",VLOOKUP("TOTAL SEM BDI - "&amp;B495,CPUAUX2!$A:$J,9,FALSE),VLOOKUP(B495,I!$A:$E,5,FALSE))</f>
        <v>0.08</v>
      </c>
      <c r="H495" s="77"/>
      <c r="I495" s="76">
        <f t="shared" si="104"/>
        <v>0.08</v>
      </c>
      <c r="J495" s="77"/>
      <c r="M495" s="23">
        <f t="shared" si="105"/>
        <v>37373</v>
      </c>
      <c r="N495" s="23">
        <f>SUMIF(CPU!M:M,B491,CPU!O:O)</f>
        <v>96.850943999999998</v>
      </c>
      <c r="O495" s="23">
        <f t="shared" si="106"/>
        <v>96.850943999999998</v>
      </c>
      <c r="Q495" s="23">
        <f ca="1">SUMIF(CPU!M:M,B491,CPU!R:R)</f>
        <v>32.283647999999999</v>
      </c>
      <c r="R495" s="23">
        <f t="shared" ca="1" si="107"/>
        <v>32.283647999999999</v>
      </c>
    </row>
    <row r="496" spans="1:18" ht="30" customHeight="1" x14ac:dyDescent="0.3">
      <c r="A496" s="23" t="s">
        <v>1005</v>
      </c>
      <c r="B496" s="23">
        <v>37372</v>
      </c>
      <c r="C496" s="23" t="str">
        <f>VLOOKUP(B496,IF(A496="COMPOSICAO",S!$A:$E,I!$A:$E),2,FALSE)</f>
        <v>SINAPI</v>
      </c>
      <c r="D496" s="24" t="str">
        <f>VLOOKUP(B496,IF(A496="COMPOSICAO",S!$A:$E,I!$A:$E),3,FALSE)</f>
        <v>EXAMES - HORISTA (COLETADO CAIXA - ENCARGOS COMPLEMENTARES)</v>
      </c>
      <c r="E496" s="23" t="str">
        <f>VLOOKUP(B496,IF(A496="COMPOSICAO",S!$A:$E,I!$A:$E),4,FALSE)</f>
        <v>H</v>
      </c>
      <c r="F496" s="23">
        <v>1</v>
      </c>
      <c r="G496" s="76">
        <f>IF(A496="COMPOSICAO",VLOOKUP("TOTAL SEM BDI - "&amp;B496,CPUAUX2!$A:$J,9,FALSE),VLOOKUP(B496,I!$A:$E,5,FALSE))</f>
        <v>1.43</v>
      </c>
      <c r="H496" s="77"/>
      <c r="I496" s="76">
        <f t="shared" si="104"/>
        <v>1.43</v>
      </c>
      <c r="J496" s="77"/>
      <c r="M496" s="23">
        <f t="shared" si="105"/>
        <v>37372</v>
      </c>
      <c r="N496" s="23">
        <f>SUMIF(CPU!M:M,B491,CPU!O:O)</f>
        <v>96.850943999999998</v>
      </c>
      <c r="O496" s="23">
        <f t="shared" si="106"/>
        <v>96.850943999999998</v>
      </c>
      <c r="Q496" s="23">
        <f ca="1">SUMIF(CPU!M:M,B491,CPU!R:R)</f>
        <v>32.283647999999999</v>
      </c>
      <c r="R496" s="23">
        <f t="shared" ca="1" si="107"/>
        <v>32.283647999999999</v>
      </c>
    </row>
    <row r="497" spans="1:18" ht="30" customHeight="1" x14ac:dyDescent="0.3">
      <c r="A497" s="23" t="s">
        <v>1005</v>
      </c>
      <c r="B497" s="23">
        <v>37371</v>
      </c>
      <c r="C497" s="23" t="str">
        <f>VLOOKUP(B497,IF(A497="COMPOSICAO",S!$A:$E,I!$A:$E),2,FALSE)</f>
        <v>SINAPI</v>
      </c>
      <c r="D497" s="24" t="str">
        <f>VLOOKUP(B497,IF(A497="COMPOSICAO",S!$A:$E,I!$A:$E),3,FALSE)</f>
        <v>TRANSPORTE - HORISTA (COLETADO CAIXA - ENCARGOS COMPLEMENTARES)</v>
      </c>
      <c r="E497" s="23" t="str">
        <f>VLOOKUP(B497,IF(A497="COMPOSICAO",S!$A:$E,I!$A:$E),4,FALSE)</f>
        <v>H</v>
      </c>
      <c r="F497" s="23">
        <v>1</v>
      </c>
      <c r="G497" s="76">
        <f>IF(A497="COMPOSICAO",VLOOKUP("TOTAL SEM BDI - "&amp;B497,CPUAUX2!$A:$J,9,FALSE),VLOOKUP(B497,I!$A:$E,5,FALSE))</f>
        <v>0.56999999999999995</v>
      </c>
      <c r="H497" s="77"/>
      <c r="I497" s="76">
        <f t="shared" si="104"/>
        <v>0.56999999999999995</v>
      </c>
      <c r="J497" s="77"/>
      <c r="M497" s="23">
        <f t="shared" si="105"/>
        <v>37371</v>
      </c>
      <c r="N497" s="23">
        <f>SUMIF(CPU!M:M,B491,CPU!O:O)</f>
        <v>96.850943999999998</v>
      </c>
      <c r="O497" s="23">
        <f t="shared" si="106"/>
        <v>96.850943999999998</v>
      </c>
      <c r="Q497" s="23">
        <f ca="1">SUMIF(CPU!M:M,B491,CPU!R:R)</f>
        <v>32.283647999999999</v>
      </c>
      <c r="R497" s="23">
        <f t="shared" ca="1" si="107"/>
        <v>32.283647999999999</v>
      </c>
    </row>
    <row r="498" spans="1:18" ht="30" customHeight="1" x14ac:dyDescent="0.3">
      <c r="A498" s="23" t="s">
        <v>1005</v>
      </c>
      <c r="B498" s="23">
        <v>37370</v>
      </c>
      <c r="C498" s="23" t="str">
        <f>VLOOKUP(B498,IF(A498="COMPOSICAO",S!$A:$E,I!$A:$E),2,FALSE)</f>
        <v>SINAPI</v>
      </c>
      <c r="D498" s="24" t="str">
        <f>VLOOKUP(B498,IF(A498="COMPOSICAO",S!$A:$E,I!$A:$E),3,FALSE)</f>
        <v>ALIMENTACAO - HORISTA (COLETADO CAIXA - ENCARGOS COMPLEMENTARES)</v>
      </c>
      <c r="E498" s="23" t="str">
        <f>VLOOKUP(B498,IF(A498="COMPOSICAO",S!$A:$E,I!$A:$E),4,FALSE)</f>
        <v>H</v>
      </c>
      <c r="F498" s="23">
        <v>1</v>
      </c>
      <c r="G498" s="76">
        <f>IF(A498="COMPOSICAO",VLOOKUP("TOTAL SEM BDI - "&amp;B498,CPUAUX2!$A:$J,9,FALSE),VLOOKUP(B498,I!$A:$E,5,FALSE))</f>
        <v>2.46</v>
      </c>
      <c r="H498" s="77"/>
      <c r="I498" s="76">
        <f t="shared" si="104"/>
        <v>2.46</v>
      </c>
      <c r="J498" s="77"/>
      <c r="M498" s="23">
        <f t="shared" si="105"/>
        <v>37370</v>
      </c>
      <c r="N498" s="23">
        <f>SUMIF(CPU!M:M,B491,CPU!O:O)</f>
        <v>96.850943999999998</v>
      </c>
      <c r="O498" s="23">
        <f t="shared" si="106"/>
        <v>96.850943999999998</v>
      </c>
      <c r="Q498" s="23">
        <f ca="1">SUMIF(CPU!M:M,B491,CPU!R:R)</f>
        <v>32.283647999999999</v>
      </c>
      <c r="R498" s="23">
        <f t="shared" ca="1" si="107"/>
        <v>32.283647999999999</v>
      </c>
    </row>
    <row r="499" spans="1:18" x14ac:dyDescent="0.3">
      <c r="A499" s="23" t="s">
        <v>1005</v>
      </c>
      <c r="B499" s="23">
        <v>4783</v>
      </c>
      <c r="C499" s="23" t="str">
        <f>VLOOKUP(B499,IF(A499="COMPOSICAO",S!$A:$E,I!$A:$E),2,FALSE)</f>
        <v>SINAPI</v>
      </c>
      <c r="D499" s="24" t="str">
        <f>VLOOKUP(B499,IF(A499="COMPOSICAO",S!$A:$E,I!$A:$E),3,FALSE)</f>
        <v>PINTOR (HORISTA)</v>
      </c>
      <c r="E499" s="23" t="str">
        <f>VLOOKUP(B499,IF(A499="COMPOSICAO",S!$A:$E,I!$A:$E),4,FALSE)</f>
        <v>H</v>
      </c>
      <c r="F499" s="23">
        <v>1</v>
      </c>
      <c r="G499" s="76">
        <f>IF(A499="COMPOSICAO",VLOOKUP("TOTAL SEM BDI - "&amp;B499,CPUAUX2!$A:$J,9,FALSE),VLOOKUP(B499,I!$A:$E,5,FALSE))</f>
        <v>20.329999999999998</v>
      </c>
      <c r="H499" s="77"/>
      <c r="I499" s="76">
        <f t="shared" si="104"/>
        <v>20.329999999999998</v>
      </c>
      <c r="J499" s="77"/>
      <c r="M499" s="23">
        <f t="shared" si="105"/>
        <v>4783</v>
      </c>
      <c r="N499" s="23">
        <f>SUMIF(CPU!M:M,B491,CPU!O:O)</f>
        <v>96.850943999999998</v>
      </c>
      <c r="O499" s="23">
        <f t="shared" si="106"/>
        <v>96.850943999999998</v>
      </c>
      <c r="Q499" s="23">
        <f ca="1">SUMIF(CPU!M:M,B491,CPU!R:R)</f>
        <v>32.283647999999999</v>
      </c>
      <c r="R499" s="23">
        <f t="shared" ca="1" si="107"/>
        <v>32.283647999999999</v>
      </c>
    </row>
    <row r="500" spans="1:18" x14ac:dyDescent="0.3">
      <c r="A500" s="73" t="str">
        <f>"TOTAL SEM BDI - "&amp;B491</f>
        <v>TOTAL SEM BDI - 88310</v>
      </c>
      <c r="B500" s="74"/>
      <c r="C500" s="74"/>
      <c r="D500" s="74"/>
      <c r="E500" s="74"/>
      <c r="F500" s="74"/>
      <c r="G500" s="74"/>
      <c r="H500" s="75"/>
      <c r="I500" s="76">
        <f>SUM(I491:I499)</f>
        <v>29.069999999999997</v>
      </c>
      <c r="J500" s="77"/>
    </row>
    <row r="502" spans="1:18" x14ac:dyDescent="0.3">
      <c r="A502" s="4" t="s">
        <v>1000</v>
      </c>
      <c r="B502" s="4" t="s">
        <v>170</v>
      </c>
      <c r="C502" s="4" t="s">
        <v>171</v>
      </c>
      <c r="D502" s="4" t="s">
        <v>18</v>
      </c>
      <c r="E502" s="4" t="s">
        <v>172</v>
      </c>
      <c r="F502" s="4" t="s">
        <v>507</v>
      </c>
      <c r="G502" s="45" t="s">
        <v>1001</v>
      </c>
      <c r="H502" s="46"/>
      <c r="I502" s="45" t="s">
        <v>12</v>
      </c>
      <c r="J502" s="46"/>
    </row>
    <row r="503" spans="1:18" ht="60" customHeight="1" x14ac:dyDescent="0.3">
      <c r="A503" s="15" t="s">
        <v>1073</v>
      </c>
      <c r="B503" s="15">
        <v>94962</v>
      </c>
      <c r="C503" s="15" t="str">
        <f>VLOOKUP(B503,S!$A:$G,2,FALSE)</f>
        <v>SINAPI</v>
      </c>
      <c r="D503" s="22" t="str">
        <f>VLOOKUP(B503,S!$A:$G,3,FALSE)</f>
        <v>CONCRETO MAGRO PARA LASTRO, TRAÇO 1:4,5:4,5 (EM MASSA SECA DE CIMENTO/ AREIA MÉDIA/ BRITA 1) - PREPARO MECÂNICO COM BETONEIRA 400 L. AF_05/2021</v>
      </c>
      <c r="E503" s="15" t="str">
        <f>VLOOKUP(B503,S!$A:$G,4,FALSE)</f>
        <v>M3</v>
      </c>
      <c r="F503" s="15"/>
      <c r="G503" s="78">
        <f>I511</f>
        <v>515.14</v>
      </c>
      <c r="H503" s="79"/>
      <c r="I503" s="78"/>
      <c r="J503" s="79"/>
      <c r="K503" s="16">
        <f>VLOOKUP(B503,S!A:G,5,FALSE)</f>
        <v>515.14</v>
      </c>
      <c r="L503" s="15" t="str">
        <f>IF(K503=G503,"OK, CONFORME TABELA",IF(G503&gt;K503,"ACIMA DA TABELA: ","ABAIXO DA TABELA: ")&amp;TRUNC((G503*100)/K503,2)&amp;" %")</f>
        <v>OK, CONFORME TABELA</v>
      </c>
    </row>
    <row r="504" spans="1:18" ht="60" customHeight="1" x14ac:dyDescent="0.3">
      <c r="A504" s="23" t="s">
        <v>1004</v>
      </c>
      <c r="B504" s="23">
        <v>88831</v>
      </c>
      <c r="C504" s="23" t="str">
        <f>VLOOKUP(B504,IF(A504="COMPOSICAO",S!$A:$E,I!$A:$E),2,FALSE)</f>
        <v>SINAPI</v>
      </c>
      <c r="D504" s="24" t="str">
        <f>VLOOKUP(B504,IF(A504="COMPOSICAO",S!$A:$E,I!$A:$E),3,FALSE)</f>
        <v>BETONEIRA CAPACIDADE NOMINAL DE 400 L, CAPACIDADE DE MISTURA 280 L, MOTOR ELÉTRICO TRIFÁSICO POTÊNCIA DE 2 CV, SEM CARREGADOR - CHI DIURNO. AF_05/2023</v>
      </c>
      <c r="E504" s="23" t="str">
        <f>VLOOKUP(B504,IF(A504="COMPOSICAO",S!$A:$E,I!$A:$E),4,FALSE)</f>
        <v>CHI</v>
      </c>
      <c r="F504" s="23">
        <v>0.71879999999999999</v>
      </c>
      <c r="G504" s="76">
        <f>IF(A504="COMPOSICAO",VLOOKUP("TOTAL SEM BDI - "&amp;B504,CPUAUX2!$A:$J,9,FALSE),VLOOKUP(B504,I!$A:$E,5,FALSE))</f>
        <v>0.49</v>
      </c>
      <c r="H504" s="77"/>
      <c r="I504" s="76">
        <f t="shared" ref="I504:I510" si="108">TRUNC(F504*G504,2)</f>
        <v>0.35</v>
      </c>
      <c r="J504" s="77"/>
      <c r="M504" s="23">
        <f t="shared" ref="M504:M510" si="109">B504</f>
        <v>88831</v>
      </c>
      <c r="N504" s="23">
        <f>SUMIF(CPU!M:M,B503,CPU!O:O)</f>
        <v>19.98</v>
      </c>
      <c r="O504" s="23">
        <f t="shared" ref="O504:O510" si="110">F504*N504</f>
        <v>14.361624000000001</v>
      </c>
      <c r="Q504" s="23">
        <f ca="1">SUMIF(CPU!M:M,B503,CPU!R:R)</f>
        <v>6.66</v>
      </c>
      <c r="R504" s="23">
        <f t="shared" ref="R504:R510" ca="1" si="111">F504*Q504</f>
        <v>4.7872079999999997</v>
      </c>
    </row>
    <row r="505" spans="1:18" ht="60" customHeight="1" x14ac:dyDescent="0.3">
      <c r="A505" s="23" t="s">
        <v>1004</v>
      </c>
      <c r="B505" s="23">
        <v>88830</v>
      </c>
      <c r="C505" s="23" t="str">
        <f>VLOOKUP(B505,IF(A505="COMPOSICAO",S!$A:$E,I!$A:$E),2,FALSE)</f>
        <v>SINAPI</v>
      </c>
      <c r="D505" s="24" t="str">
        <f>VLOOKUP(B505,IF(A505="COMPOSICAO",S!$A:$E,I!$A:$E),3,FALSE)</f>
        <v>BETONEIRA CAPACIDADE NOMINAL DE 400 L, CAPACIDADE DE MISTURA 280 L, MOTOR ELÉTRICO TRIFÁSICO POTÊNCIA DE 2 CV, SEM CARREGADOR - CHP DIURNO. AF_05/2023</v>
      </c>
      <c r="E505" s="23" t="str">
        <f>VLOOKUP(B505,IF(A505="COMPOSICAO",S!$A:$E,I!$A:$E),4,FALSE)</f>
        <v>CHP</v>
      </c>
      <c r="F505" s="23">
        <v>0.76229999999999998</v>
      </c>
      <c r="G505" s="76">
        <f>IF(A505="COMPOSICAO",VLOOKUP("TOTAL SEM BDI - "&amp;B505,CPUAUX2!$A:$J,9,FALSE),VLOOKUP(B505,I!$A:$E,5,FALSE))</f>
        <v>2.3000000000000003</v>
      </c>
      <c r="H505" s="77"/>
      <c r="I505" s="76">
        <f t="shared" si="108"/>
        <v>1.75</v>
      </c>
      <c r="J505" s="77"/>
      <c r="M505" s="23">
        <f t="shared" si="109"/>
        <v>88830</v>
      </c>
      <c r="N505" s="23">
        <f>SUMIF(CPU!M:M,B503,CPU!O:O)</f>
        <v>19.98</v>
      </c>
      <c r="O505" s="23">
        <f t="shared" si="110"/>
        <v>15.230753999999999</v>
      </c>
      <c r="Q505" s="23">
        <f ca="1">SUMIF(CPU!M:M,B503,CPU!R:R)</f>
        <v>6.66</v>
      </c>
      <c r="R505" s="23">
        <f t="shared" ca="1" si="111"/>
        <v>5.076918</v>
      </c>
    </row>
    <row r="506" spans="1:18" ht="30" customHeight="1" x14ac:dyDescent="0.3">
      <c r="A506" s="23" t="s">
        <v>1004</v>
      </c>
      <c r="B506" s="23">
        <v>88377</v>
      </c>
      <c r="C506" s="23" t="str">
        <f>VLOOKUP(B506,IF(A506="COMPOSICAO",S!$A:$E,I!$A:$E),2,FALSE)</f>
        <v>SINAPI</v>
      </c>
      <c r="D506" s="24" t="str">
        <f>VLOOKUP(B506,IF(A506="COMPOSICAO",S!$A:$E,I!$A:$E),3,FALSE)</f>
        <v>OPERADOR DE BETONEIRA ESTACIONÁRIA/MISTURADOR COM ENCARGOS COMPLEMENTARES</v>
      </c>
      <c r="E506" s="23" t="str">
        <f>VLOOKUP(B506,IF(A506="COMPOSICAO",S!$A:$E,I!$A:$E),4,FALSE)</f>
        <v>H</v>
      </c>
      <c r="F506" s="23">
        <f>1.4811/pcf</f>
        <v>1.4811000000000001</v>
      </c>
      <c r="G506" s="76">
        <f>IF(A506="COMPOSICAO",VLOOKUP("TOTAL SEM BDI - "&amp;B506,CPUAUX2!$A:$J,9,FALSE),VLOOKUP(B506,I!$A:$E,5,FALSE))</f>
        <v>27.09</v>
      </c>
      <c r="H506" s="77"/>
      <c r="I506" s="76">
        <f t="shared" si="108"/>
        <v>40.119999999999997</v>
      </c>
      <c r="J506" s="77"/>
      <c r="M506" s="23">
        <f t="shared" si="109"/>
        <v>88377</v>
      </c>
      <c r="N506" s="23">
        <f>SUMIF(CPU!M:M,B503,CPU!O:O)</f>
        <v>19.98</v>
      </c>
      <c r="O506" s="23">
        <f t="shared" si="110"/>
        <v>29.592378000000004</v>
      </c>
      <c r="Q506" s="23">
        <f ca="1">SUMIF(CPU!M:M,B503,CPU!R:R)</f>
        <v>6.66</v>
      </c>
      <c r="R506" s="23">
        <f t="shared" ca="1" si="111"/>
        <v>9.8641260000000006</v>
      </c>
    </row>
    <row r="507" spans="1:18" x14ac:dyDescent="0.3">
      <c r="A507" s="23" t="s">
        <v>1004</v>
      </c>
      <c r="B507" s="23">
        <v>88316</v>
      </c>
      <c r="C507" s="23" t="str">
        <f>VLOOKUP(B507,IF(A507="COMPOSICAO",S!$A:$E,I!$A:$E),2,FALSE)</f>
        <v>SINAPI</v>
      </c>
      <c r="D507" s="24" t="str">
        <f>VLOOKUP(B507,IF(A507="COMPOSICAO",S!$A:$E,I!$A:$E),3,FALSE)</f>
        <v>SERVENTE COM ENCARGOS COMPLEMENTARES</v>
      </c>
      <c r="E507" s="23" t="str">
        <f>VLOOKUP(B507,IF(A507="COMPOSICAO",S!$A:$E,I!$A:$E),4,FALSE)</f>
        <v>H</v>
      </c>
      <c r="F507" s="23">
        <f>2.3433/pcf</f>
        <v>2.3433000000000002</v>
      </c>
      <c r="G507" s="76">
        <f>IF(A507="COMPOSICAO",VLOOKUP("TOTAL SEM BDI - "&amp;B507,CPUAUX2!$A:$J,9,FALSE),VLOOKUP(B507,I!$A:$E,5,FALSE))</f>
        <v>21.71</v>
      </c>
      <c r="H507" s="77"/>
      <c r="I507" s="76">
        <f t="shared" si="108"/>
        <v>50.87</v>
      </c>
      <c r="J507" s="77"/>
      <c r="M507" s="23">
        <f t="shared" si="109"/>
        <v>88316</v>
      </c>
      <c r="N507" s="23">
        <f>SUMIF(CPU!M:M,B503,CPU!O:O)</f>
        <v>19.98</v>
      </c>
      <c r="O507" s="23">
        <f t="shared" si="110"/>
        <v>46.819134000000005</v>
      </c>
      <c r="Q507" s="23">
        <f ca="1">SUMIF(CPU!M:M,B503,CPU!R:R)</f>
        <v>6.66</v>
      </c>
      <c r="R507" s="23">
        <f t="shared" ca="1" si="111"/>
        <v>15.606378000000001</v>
      </c>
    </row>
    <row r="508" spans="1:18" ht="30" customHeight="1" x14ac:dyDescent="0.3">
      <c r="A508" s="23" t="s">
        <v>1005</v>
      </c>
      <c r="B508" s="23">
        <v>4721</v>
      </c>
      <c r="C508" s="23" t="str">
        <f>VLOOKUP(B508,IF(A508="COMPOSICAO",S!$A:$E,I!$A:$E),2,FALSE)</f>
        <v>SINAPI</v>
      </c>
      <c r="D508" s="24" t="str">
        <f>VLOOKUP(B508,IF(A508="COMPOSICAO",S!$A:$E,I!$A:$E),3,FALSE)</f>
        <v>PEDRA BRITADA N. 1 (9,5 A 19 MM) POSTO PEDREIRA/FORNECEDOR, SEM FRETE</v>
      </c>
      <c r="E508" s="23" t="str">
        <f>VLOOKUP(B508,IF(A508="COMPOSICAO",S!$A:$E,I!$A:$E),4,FALSE)</f>
        <v>M3</v>
      </c>
      <c r="F508" s="23">
        <v>0.57820000000000005</v>
      </c>
      <c r="G508" s="76">
        <f>IF(A508="COMPOSICAO",VLOOKUP("TOTAL SEM BDI - "&amp;B508,CPUAUX2!$A:$J,9,FALSE),VLOOKUP(B508,I!$A:$E,5,FALSE))</f>
        <v>234.56</v>
      </c>
      <c r="H508" s="77"/>
      <c r="I508" s="76">
        <f t="shared" si="108"/>
        <v>135.62</v>
      </c>
      <c r="J508" s="77"/>
      <c r="M508" s="23">
        <f t="shared" si="109"/>
        <v>4721</v>
      </c>
      <c r="N508" s="23">
        <f>SUMIF(CPU!M:M,B503,CPU!O:O)</f>
        <v>19.98</v>
      </c>
      <c r="O508" s="23">
        <f t="shared" si="110"/>
        <v>11.552436000000002</v>
      </c>
      <c r="Q508" s="23">
        <f ca="1">SUMIF(CPU!M:M,B503,CPU!R:R)</f>
        <v>6.66</v>
      </c>
      <c r="R508" s="23">
        <f t="shared" ca="1" si="111"/>
        <v>3.8508120000000003</v>
      </c>
    </row>
    <row r="509" spans="1:18" x14ac:dyDescent="0.3">
      <c r="A509" s="23" t="s">
        <v>1005</v>
      </c>
      <c r="B509" s="23">
        <v>1379</v>
      </c>
      <c r="C509" s="23" t="str">
        <f>VLOOKUP(B509,IF(A509="COMPOSICAO",S!$A:$E,I!$A:$E),2,FALSE)</f>
        <v>SINAPI</v>
      </c>
      <c r="D509" s="24" t="str">
        <f>VLOOKUP(B509,IF(A509="COMPOSICAO",S!$A:$E,I!$A:$E),3,FALSE)</f>
        <v>CIMENTO PORTLAND COMPOSTO CP II-32</v>
      </c>
      <c r="E509" s="23" t="str">
        <f>VLOOKUP(B509,IF(A509="COMPOSICAO",S!$A:$E,I!$A:$E),4,FALSE)</f>
        <v>KG</v>
      </c>
      <c r="F509" s="23">
        <v>212.01939999999999</v>
      </c>
      <c r="G509" s="76">
        <f>IF(A509="COMPOSICAO",VLOOKUP("TOTAL SEM BDI - "&amp;B509,CPUAUX2!$A:$J,9,FALSE),VLOOKUP(B509,I!$A:$E,5,FALSE))</f>
        <v>1</v>
      </c>
      <c r="H509" s="77"/>
      <c r="I509" s="76">
        <f t="shared" si="108"/>
        <v>212.01</v>
      </c>
      <c r="J509" s="77"/>
      <c r="M509" s="23">
        <f t="shared" si="109"/>
        <v>1379</v>
      </c>
      <c r="N509" s="23">
        <f>SUMIF(CPU!M:M,B503,CPU!O:O)</f>
        <v>19.98</v>
      </c>
      <c r="O509" s="23">
        <f t="shared" si="110"/>
        <v>4236.1476119999998</v>
      </c>
      <c r="Q509" s="23">
        <f ca="1">SUMIF(CPU!M:M,B503,CPU!R:R)</f>
        <v>6.66</v>
      </c>
      <c r="R509" s="23">
        <f t="shared" ca="1" si="111"/>
        <v>1412.0492039999999</v>
      </c>
    </row>
    <row r="510" spans="1:18" ht="30" customHeight="1" x14ac:dyDescent="0.3">
      <c r="A510" s="23" t="s">
        <v>1005</v>
      </c>
      <c r="B510" s="23">
        <v>370</v>
      </c>
      <c r="C510" s="23" t="str">
        <f>VLOOKUP(B510,IF(A510="COMPOSICAO",S!$A:$E,I!$A:$E),2,FALSE)</f>
        <v>SINAPI</v>
      </c>
      <c r="D510" s="24" t="str">
        <f>VLOOKUP(B510,IF(A510="COMPOSICAO",S!$A:$E,I!$A:$E),3,FALSE)</f>
        <v>AREIA MEDIA - POSTO JAZIDA/FORNECEDOR (RETIRADO NA JAZIDA, SEM TRANSPORTE)</v>
      </c>
      <c r="E510" s="23" t="str">
        <f>VLOOKUP(B510,IF(A510="COMPOSICAO",S!$A:$E,I!$A:$E),4,FALSE)</f>
        <v>M3</v>
      </c>
      <c r="F510" s="23">
        <v>0.82689999999999997</v>
      </c>
      <c r="G510" s="76">
        <f>IF(A510="COMPOSICAO",VLOOKUP("TOTAL SEM BDI - "&amp;B510,CPUAUX2!$A:$J,9,FALSE),VLOOKUP(B510,I!$A:$E,5,FALSE))</f>
        <v>90</v>
      </c>
      <c r="H510" s="77"/>
      <c r="I510" s="76">
        <f t="shared" si="108"/>
        <v>74.42</v>
      </c>
      <c r="J510" s="77"/>
      <c r="M510" s="23">
        <f t="shared" si="109"/>
        <v>370</v>
      </c>
      <c r="N510" s="23">
        <f>SUMIF(CPU!M:M,B503,CPU!O:O)</f>
        <v>19.98</v>
      </c>
      <c r="O510" s="23">
        <f t="shared" si="110"/>
        <v>16.521462</v>
      </c>
      <c r="Q510" s="23">
        <f ca="1">SUMIF(CPU!M:M,B503,CPU!R:R)</f>
        <v>6.66</v>
      </c>
      <c r="R510" s="23">
        <f t="shared" ca="1" si="111"/>
        <v>5.5071539999999999</v>
      </c>
    </row>
    <row r="511" spans="1:18" x14ac:dyDescent="0.3">
      <c r="A511" s="73" t="str">
        <f>"TOTAL SEM BDI - "&amp;B503</f>
        <v>TOTAL SEM BDI - 94962</v>
      </c>
      <c r="B511" s="74"/>
      <c r="C511" s="74"/>
      <c r="D511" s="74"/>
      <c r="E511" s="74"/>
      <c r="F511" s="74"/>
      <c r="G511" s="74"/>
      <c r="H511" s="75"/>
      <c r="I511" s="76">
        <f>SUM(I503:I510)</f>
        <v>515.14</v>
      </c>
      <c r="J511" s="77"/>
    </row>
    <row r="513" spans="1:18" x14ac:dyDescent="0.3">
      <c r="A513" s="4" t="s">
        <v>1000</v>
      </c>
      <c r="B513" s="4" t="s">
        <v>170</v>
      </c>
      <c r="C513" s="4" t="s">
        <v>171</v>
      </c>
      <c r="D513" s="4" t="s">
        <v>18</v>
      </c>
      <c r="E513" s="4" t="s">
        <v>172</v>
      </c>
      <c r="F513" s="4" t="s">
        <v>507</v>
      </c>
      <c r="G513" s="45" t="s">
        <v>1001</v>
      </c>
      <c r="H513" s="46"/>
      <c r="I513" s="45" t="s">
        <v>12</v>
      </c>
      <c r="J513" s="46"/>
    </row>
    <row r="514" spans="1:18" ht="48" customHeight="1" x14ac:dyDescent="0.3">
      <c r="A514" s="15" t="s">
        <v>1081</v>
      </c>
      <c r="B514" s="15" t="s">
        <v>1082</v>
      </c>
      <c r="C514" s="15" t="str">
        <f>VLOOKUP(B514,S!$A:$G,2,FALSE)</f>
        <v>PRÓPRIA</v>
      </c>
      <c r="D514" s="22" t="str">
        <f>VLOOKUP(B514,S!$A:$G,3,FALSE)</f>
        <v>FORNECIMENTO E INSTALAÇÃO DE ESTRUTURA TIPO SOLO PARA PAINEIS, INCLUSO FRETE, PERFIS E CANTONEIRAS EM ALUMÍNIO E CONECTORES</v>
      </c>
      <c r="E514" s="15" t="str">
        <f>VLOOKUP(B514,S!$A:$G,4,FALSE)</f>
        <v>UND</v>
      </c>
      <c r="F514" s="15"/>
      <c r="G514" s="78">
        <f>I521</f>
        <v>1777.34</v>
      </c>
      <c r="H514" s="79"/>
      <c r="I514" s="78"/>
      <c r="J514" s="79"/>
      <c r="K514" s="16">
        <f>VLOOKUP(B514,S!A:G,5,FALSE)</f>
        <v>0</v>
      </c>
      <c r="L514" s="15" t="s">
        <v>1003</v>
      </c>
    </row>
    <row r="515" spans="1:18" ht="30" customHeight="1" x14ac:dyDescent="0.3">
      <c r="A515" s="23" t="s">
        <v>1005</v>
      </c>
      <c r="B515" s="23" t="s">
        <v>1083</v>
      </c>
      <c r="C515" s="23" t="str">
        <f>VLOOKUP(B515,IF(A515="COMPOSICAO",S!$A:$E,I!$A:$E),2,FALSE)</f>
        <v>ORSE</v>
      </c>
      <c r="D515" s="24" t="str">
        <f>VLOOKUP(B515,IF(A515="COMPOSICAO",S!$A:$E,I!$A:$E),3,FALSE)</f>
        <v>PERFIL ALUMÍNIO, "U" 25,4MM X 3,2MM X 0,604KG/M</v>
      </c>
      <c r="E515" s="23" t="str">
        <f>VLOOKUP(B515,IF(A515="COMPOSICAO",S!$A:$E,I!$A:$E),4,FALSE)</f>
        <v>M</v>
      </c>
      <c r="F515" s="23">
        <v>23.25</v>
      </c>
      <c r="G515" s="76">
        <f>IF(A515="COMPOSICAO",VLOOKUP("TOTAL SEM BDI - "&amp;B515,CPUAUX2!$A:$J,9,FALSE),VLOOKUP(B515,I!$A:$E,5,FALSE))</f>
        <v>25.65</v>
      </c>
      <c r="H515" s="77"/>
      <c r="I515" s="76">
        <f t="shared" ref="I515:I520" si="112">TRUNC(F515*G515,2)</f>
        <v>596.36</v>
      </c>
      <c r="J515" s="77"/>
      <c r="M515" s="23" t="str">
        <f t="shared" ref="M515:M520" si="113">B515</f>
        <v>10217/ORSE</v>
      </c>
      <c r="N515" s="23">
        <f>SUMIF(CPU!M:M,B514,CPU!O:O)</f>
        <v>6</v>
      </c>
      <c r="O515" s="23">
        <f t="shared" ref="O515:O520" si="114">F515*N515</f>
        <v>139.5</v>
      </c>
      <c r="Q515" s="23">
        <f ca="1">SUMIF(CPU!M:M,B514,CPU!R:R)</f>
        <v>2</v>
      </c>
      <c r="R515" s="23">
        <f t="shared" ref="R515:R520" ca="1" si="115">F515*Q515</f>
        <v>46.5</v>
      </c>
    </row>
    <row r="516" spans="1:18" ht="30" customHeight="1" x14ac:dyDescent="0.3">
      <c r="A516" s="23" t="s">
        <v>1005</v>
      </c>
      <c r="B516" s="23" t="s">
        <v>1084</v>
      </c>
      <c r="C516" s="23" t="str">
        <f>VLOOKUP(B516,IF(A516="COMPOSICAO",S!$A:$E,I!$A:$E),2,FALSE)</f>
        <v>ORSE</v>
      </c>
      <c r="D516" s="24" t="str">
        <f>VLOOKUP(B516,IF(A516="COMPOSICAO",S!$A:$E,I!$A:$E),3,FALSE)</f>
        <v>PERFIL ALUMÍNIO, CANTONEIRA ANODIZADA, 25,40MM X 4,80MM X 0,598KG/M</v>
      </c>
      <c r="E516" s="23" t="str">
        <f>VLOOKUP(B516,IF(A516="COMPOSICAO",S!$A:$E,I!$A:$E),4,FALSE)</f>
        <v>M</v>
      </c>
      <c r="F516" s="23">
        <v>21.35</v>
      </c>
      <c r="G516" s="76">
        <f>IF(A516="COMPOSICAO",VLOOKUP("TOTAL SEM BDI - "&amp;B516,CPUAUX2!$A:$J,9,FALSE),VLOOKUP(B516,I!$A:$E,5,FALSE))</f>
        <v>25.47</v>
      </c>
      <c r="H516" s="77"/>
      <c r="I516" s="76">
        <f t="shared" si="112"/>
        <v>543.78</v>
      </c>
      <c r="J516" s="77"/>
      <c r="M516" s="23" t="str">
        <f t="shared" si="113"/>
        <v>13143/ORSE</v>
      </c>
      <c r="N516" s="23">
        <f>SUMIF(CPU!M:M,B514,CPU!O:O)</f>
        <v>6</v>
      </c>
      <c r="O516" s="23">
        <f t="shared" si="114"/>
        <v>128.10000000000002</v>
      </c>
      <c r="Q516" s="23">
        <f ca="1">SUMIF(CPU!M:M,B514,CPU!R:R)</f>
        <v>2</v>
      </c>
      <c r="R516" s="23">
        <f t="shared" ca="1" si="115"/>
        <v>42.7</v>
      </c>
    </row>
    <row r="517" spans="1:18" ht="30" customHeight="1" x14ac:dyDescent="0.3">
      <c r="A517" s="23" t="s">
        <v>1005</v>
      </c>
      <c r="B517" s="23" t="s">
        <v>1085</v>
      </c>
      <c r="C517" s="23" t="str">
        <f>VLOOKUP(B517,IF(A517="COMPOSICAO",S!$A:$E,I!$A:$E),2,FALSE)</f>
        <v>ORSE</v>
      </c>
      <c r="D517" s="24" t="str">
        <f>VLOOKUP(B517,IF(A517="COMPOSICAO",S!$A:$E,I!$A:$E),3,FALSE)</f>
        <v>PERFIL ALUMÍNIO, TUBO RETANGULAR 76,20MM X 25,40MM X 1,58MM (0,842KG/M)</v>
      </c>
      <c r="E517" s="23" t="str">
        <f>VLOOKUP(B517,IF(A517="COMPOSICAO",S!$A:$E,I!$A:$E),4,FALSE)</f>
        <v>M</v>
      </c>
      <c r="F517" s="23">
        <v>8.4</v>
      </c>
      <c r="G517" s="76">
        <f>IF(A517="COMPOSICAO",VLOOKUP("TOTAL SEM BDI - "&amp;B517,CPUAUX2!$A:$J,9,FALSE),VLOOKUP(B517,I!$A:$E,5,FALSE))</f>
        <v>35.78</v>
      </c>
      <c r="H517" s="77"/>
      <c r="I517" s="76">
        <f t="shared" si="112"/>
        <v>300.55</v>
      </c>
      <c r="J517" s="77"/>
      <c r="M517" s="23" t="str">
        <f t="shared" si="113"/>
        <v>12991/ORSE</v>
      </c>
      <c r="N517" s="23">
        <f>SUMIF(CPU!M:M,B514,CPU!O:O)</f>
        <v>6</v>
      </c>
      <c r="O517" s="23">
        <f t="shared" si="114"/>
        <v>50.400000000000006</v>
      </c>
      <c r="Q517" s="23">
        <f ca="1">SUMIF(CPU!M:M,B514,CPU!R:R)</f>
        <v>2</v>
      </c>
      <c r="R517" s="23">
        <f t="shared" ca="1" si="115"/>
        <v>16.8</v>
      </c>
    </row>
    <row r="518" spans="1:18" x14ac:dyDescent="0.3">
      <c r="A518" s="23" t="s">
        <v>1005</v>
      </c>
      <c r="B518" s="23" t="s">
        <v>1086</v>
      </c>
      <c r="C518" s="23" t="str">
        <f>VLOOKUP(B518,IF(A518="COMPOSICAO",S!$A:$E,I!$A:$E),2,FALSE)</f>
        <v>ORSE</v>
      </c>
      <c r="D518" s="24" t="str">
        <f>VLOOKUP(B518,IF(A518="COMPOSICAO",S!$A:$E,I!$A:$E),3,FALSE)</f>
        <v>PARAFUSO C/ PORCA E ARRUELA 3/8"</v>
      </c>
      <c r="E518" s="23" t="str">
        <f>VLOOKUP(B518,IF(A518="COMPOSICAO",S!$A:$E,I!$A:$E),4,FALSE)</f>
        <v>UN</v>
      </c>
      <c r="F518" s="23">
        <v>63</v>
      </c>
      <c r="G518" s="76">
        <f>IF(A518="COMPOSICAO",VLOOKUP("TOTAL SEM BDI - "&amp;B518,CPUAUX2!$A:$J,9,FALSE),VLOOKUP(B518,I!$A:$E,5,FALSE))</f>
        <v>2.84</v>
      </c>
      <c r="H518" s="77"/>
      <c r="I518" s="76">
        <f t="shared" si="112"/>
        <v>178.92</v>
      </c>
      <c r="J518" s="77"/>
      <c r="M518" s="23" t="str">
        <f t="shared" si="113"/>
        <v>05014/ORSE</v>
      </c>
      <c r="N518" s="23">
        <f>SUMIF(CPU!M:M,B514,CPU!O:O)</f>
        <v>6</v>
      </c>
      <c r="O518" s="23">
        <f t="shared" si="114"/>
        <v>378</v>
      </c>
      <c r="Q518" s="23">
        <f ca="1">SUMIF(CPU!M:M,B514,CPU!R:R)</f>
        <v>2</v>
      </c>
      <c r="R518" s="23">
        <f t="shared" ca="1" si="115"/>
        <v>126</v>
      </c>
    </row>
    <row r="519" spans="1:18" x14ac:dyDescent="0.3">
      <c r="A519" s="23" t="s">
        <v>1004</v>
      </c>
      <c r="B519" s="23">
        <v>93358</v>
      </c>
      <c r="C519" s="23" t="str">
        <f>VLOOKUP(B519,IF(A519="COMPOSICAO",S!$A:$E,I!$A:$E),2,FALSE)</f>
        <v>SINAPI</v>
      </c>
      <c r="D519" s="24" t="str">
        <f>VLOOKUP(B519,IF(A519="COMPOSICAO",S!$A:$E,I!$A:$E),3,FALSE)</f>
        <v>ESCAVAÇÃO MANUAL DE VALA. AF_09/2024</v>
      </c>
      <c r="E519" s="23" t="str">
        <f>VLOOKUP(B519,IF(A519="COMPOSICAO",S!$A:$E,I!$A:$E),4,FALSE)</f>
        <v>M3</v>
      </c>
      <c r="F519" s="23">
        <v>0.189</v>
      </c>
      <c r="G519" s="76">
        <f>IF(A519="COMPOSICAO",VLOOKUP("TOTAL SEM BDI - "&amp;B519,CPUAUX2!$A:$J,9,FALSE),VLOOKUP(B519,I!$A:$E,5,FALSE))</f>
        <v>85.87</v>
      </c>
      <c r="H519" s="77"/>
      <c r="I519" s="76">
        <f t="shared" si="112"/>
        <v>16.22</v>
      </c>
      <c r="J519" s="77"/>
      <c r="M519" s="23">
        <f t="shared" si="113"/>
        <v>93358</v>
      </c>
      <c r="N519" s="23">
        <f>SUMIF(CPU!M:M,B514,CPU!O:O)</f>
        <v>6</v>
      </c>
      <c r="O519" s="23">
        <f t="shared" si="114"/>
        <v>1.1339999999999999</v>
      </c>
      <c r="Q519" s="23">
        <f ca="1">SUMIF(CPU!M:M,B514,CPU!R:R)</f>
        <v>2</v>
      </c>
      <c r="R519" s="23">
        <f t="shared" ca="1" si="115"/>
        <v>0.378</v>
      </c>
    </row>
    <row r="520" spans="1:18" ht="45" customHeight="1" x14ac:dyDescent="0.3">
      <c r="A520" s="23" t="s">
        <v>1004</v>
      </c>
      <c r="B520" s="23">
        <v>102487</v>
      </c>
      <c r="C520" s="23" t="str">
        <f>VLOOKUP(B520,IF(A520="COMPOSICAO",S!$A:$E,I!$A:$E),2,FALSE)</f>
        <v>SINAPI</v>
      </c>
      <c r="D520" s="24" t="str">
        <f>VLOOKUP(B520,IF(A520="COMPOSICAO",S!$A:$E,I!$A:$E),3,FALSE)</f>
        <v>CONCRETO CICLÓPICO FCK = 15MPA, 30% PEDRA DE MÃO EM VOLUME REAL, INCLUSIVE LANÇAMENTO. AF_05/2021</v>
      </c>
      <c r="E520" s="23" t="str">
        <f>VLOOKUP(B520,IF(A520="COMPOSICAO",S!$A:$E,I!$A:$E),4,FALSE)</f>
        <v>M3</v>
      </c>
      <c r="F520" s="23">
        <v>0.189</v>
      </c>
      <c r="G520" s="76">
        <f>IF(A520="COMPOSICAO",VLOOKUP("TOTAL SEM BDI - "&amp;B520,CPUAUX2!$A:$J,9,FALSE),VLOOKUP(B520,I!$A:$E,5,FALSE))</f>
        <v>748.75</v>
      </c>
      <c r="H520" s="77"/>
      <c r="I520" s="76">
        <f t="shared" si="112"/>
        <v>141.51</v>
      </c>
      <c r="J520" s="77"/>
      <c r="M520" s="23">
        <f t="shared" si="113"/>
        <v>102487</v>
      </c>
      <c r="N520" s="23">
        <f>SUMIF(CPU!M:M,B514,CPU!O:O)</f>
        <v>6</v>
      </c>
      <c r="O520" s="23">
        <f t="shared" si="114"/>
        <v>1.1339999999999999</v>
      </c>
      <c r="Q520" s="23">
        <f ca="1">SUMIF(CPU!M:M,B514,CPU!R:R)</f>
        <v>2</v>
      </c>
      <c r="R520" s="23">
        <f t="shared" ca="1" si="115"/>
        <v>0.378</v>
      </c>
    </row>
    <row r="521" spans="1:18" x14ac:dyDescent="0.3">
      <c r="A521" s="73" t="str">
        <f>"TOTAL SEM BDI - "&amp;B514</f>
        <v>TOTAL SEM BDI - COMP196</v>
      </c>
      <c r="B521" s="74"/>
      <c r="C521" s="74"/>
      <c r="D521" s="74"/>
      <c r="E521" s="74"/>
      <c r="F521" s="74"/>
      <c r="G521" s="74"/>
      <c r="H521" s="75"/>
      <c r="I521" s="76">
        <f>SUM(I514:I520)</f>
        <v>1777.34</v>
      </c>
      <c r="J521" s="77"/>
    </row>
    <row r="523" spans="1:18" x14ac:dyDescent="0.3">
      <c r="A523" s="4" t="s">
        <v>1000</v>
      </c>
      <c r="B523" s="4" t="s">
        <v>170</v>
      </c>
      <c r="C523" s="4" t="s">
        <v>171</v>
      </c>
      <c r="D523" s="4" t="s">
        <v>18</v>
      </c>
      <c r="E523" s="4" t="s">
        <v>172</v>
      </c>
      <c r="F523" s="4" t="s">
        <v>507</v>
      </c>
      <c r="G523" s="45" t="s">
        <v>1001</v>
      </c>
      <c r="H523" s="46"/>
      <c r="I523" s="45" t="s">
        <v>12</v>
      </c>
      <c r="J523" s="46"/>
    </row>
    <row r="524" spans="1:18" ht="30" customHeight="1" x14ac:dyDescent="0.3">
      <c r="A524" s="15" t="s">
        <v>517</v>
      </c>
      <c r="B524" s="15" t="s">
        <v>1061</v>
      </c>
      <c r="C524" s="15" t="str">
        <f>VLOOKUP(B524,S!$A:$G,2,FALSE)</f>
        <v>PRÓPRIA</v>
      </c>
      <c r="D524" s="22" t="str">
        <f>VLOOKUP(B524,S!$A:$G,3,FALSE)</f>
        <v>CONCRETO P/VIBR., FCK 10 MPA COM AGREGADO ADQUIRIDO (REF: C0838-SEINFRA 28)</v>
      </c>
      <c r="E524" s="15" t="str">
        <f>VLOOKUP(B524,S!$A:$G,4,FALSE)</f>
        <v>M3</v>
      </c>
      <c r="F524" s="15"/>
      <c r="G524" s="78">
        <f>I530</f>
        <v>491.16999999999996</v>
      </c>
      <c r="H524" s="79"/>
      <c r="I524" s="78"/>
      <c r="J524" s="79"/>
      <c r="K524" s="16">
        <f>VLOOKUP(B524,S!A:G,5,FALSE)</f>
        <v>0</v>
      </c>
      <c r="L524" s="15" t="s">
        <v>1003</v>
      </c>
    </row>
    <row r="525" spans="1:18" x14ac:dyDescent="0.3">
      <c r="A525" s="23" t="s">
        <v>1005</v>
      </c>
      <c r="B525" s="23" t="s">
        <v>1087</v>
      </c>
      <c r="C525" s="23" t="str">
        <f>VLOOKUP(B525,IF(A525="COMPOSICAO",S!$A:$E,I!$A:$E),2,FALSE)</f>
        <v>SEINFRA</v>
      </c>
      <c r="D525" s="24" t="str">
        <f>VLOOKUP(B525,IF(A525="COMPOSICAO",S!$A:$E,I!$A:$E),3,FALSE)</f>
        <v>BETONEIRA ELÉTRICA 580L (CHP)</v>
      </c>
      <c r="E525" s="23" t="str">
        <f>VLOOKUP(B525,IF(A525="COMPOSICAO",S!$A:$E,I!$A:$E),4,FALSE)</f>
        <v>H</v>
      </c>
      <c r="F525" s="23">
        <f>0.714/pcf</f>
        <v>0.71399999999999997</v>
      </c>
      <c r="G525" s="76">
        <f>IF(A525="COMPOSICAO",VLOOKUP("TOTAL SEM BDI - "&amp;B525,CPUAUX2!$A:$J,9,FALSE),VLOOKUP(B525,I!$A:$E,5,FALSE))</f>
        <v>27.6</v>
      </c>
      <c r="H525" s="77"/>
      <c r="I525" s="76">
        <f>TRUNC(F525*G525,2)</f>
        <v>19.7</v>
      </c>
      <c r="J525" s="77"/>
      <c r="M525" s="23" t="str">
        <f>B525</f>
        <v>I0682</v>
      </c>
      <c r="N525" s="23">
        <f>SUMIF(CPU!M:M,B524,CPU!O:O)</f>
        <v>1.56</v>
      </c>
      <c r="O525" s="23">
        <f>F525*N525</f>
        <v>1.1138399999999999</v>
      </c>
      <c r="Q525" s="23">
        <f ca="1">SUMIF(CPU!M:M,B524,CPU!R:R)</f>
        <v>0.52</v>
      </c>
      <c r="R525" s="23">
        <f ca="1">F525*Q525</f>
        <v>0.37128</v>
      </c>
    </row>
    <row r="526" spans="1:18" x14ac:dyDescent="0.3">
      <c r="A526" s="23" t="s">
        <v>1005</v>
      </c>
      <c r="B526" s="23" t="s">
        <v>1088</v>
      </c>
      <c r="C526" s="23" t="str">
        <f>VLOOKUP(B526,IF(A526="COMPOSICAO",S!$A:$E,I!$A:$E),2,FALSE)</f>
        <v>SEINFRA</v>
      </c>
      <c r="D526" s="24" t="str">
        <f>VLOOKUP(B526,IF(A526="COMPOSICAO",S!$A:$E,I!$A:$E),3,FALSE)</f>
        <v>AREIA MEDIA</v>
      </c>
      <c r="E526" s="23" t="str">
        <f>VLOOKUP(B526,IF(A526="COMPOSICAO",S!$A:$E,I!$A:$E),4,FALSE)</f>
        <v>M3</v>
      </c>
      <c r="F526" s="23">
        <v>0.91969999999999996</v>
      </c>
      <c r="G526" s="76">
        <f>IF(A526="COMPOSICAO",VLOOKUP("TOTAL SEM BDI - "&amp;B526,CPUAUX2!$A:$J,9,FALSE),VLOOKUP(B526,I!$A:$E,5,FALSE))</f>
        <v>83.58</v>
      </c>
      <c r="H526" s="77"/>
      <c r="I526" s="76">
        <f>TRUNC(F526*G526,2)</f>
        <v>76.86</v>
      </c>
      <c r="J526" s="77"/>
      <c r="M526" s="23" t="str">
        <f>B526</f>
        <v>I0109</v>
      </c>
      <c r="N526" s="23">
        <f>SUMIF(CPU!M:M,B524,CPU!O:O)</f>
        <v>1.56</v>
      </c>
      <c r="O526" s="23">
        <f>F526*N526</f>
        <v>1.4347319999999999</v>
      </c>
      <c r="Q526" s="23">
        <f ca="1">SUMIF(CPU!M:M,B524,CPU!R:R)</f>
        <v>0.52</v>
      </c>
      <c r="R526" s="23">
        <f ca="1">F526*Q526</f>
        <v>0.478244</v>
      </c>
    </row>
    <row r="527" spans="1:18" x14ac:dyDescent="0.3">
      <c r="A527" s="23" t="s">
        <v>1005</v>
      </c>
      <c r="B527" s="23" t="s">
        <v>1043</v>
      </c>
      <c r="C527" s="23" t="str">
        <f>VLOOKUP(B527,IF(A527="COMPOSICAO",S!$A:$E,I!$A:$E),2,FALSE)</f>
        <v>SEINFRA</v>
      </c>
      <c r="D527" s="24" t="str">
        <f>VLOOKUP(B527,IF(A527="COMPOSICAO",S!$A:$E,I!$A:$E),3,FALSE)</f>
        <v>CIMENTO PORTLAND</v>
      </c>
      <c r="E527" s="23" t="str">
        <f>VLOOKUP(B527,IF(A527="COMPOSICAO",S!$A:$E,I!$A:$E),4,FALSE)</f>
        <v>KG</v>
      </c>
      <c r="F527" s="23">
        <v>254</v>
      </c>
      <c r="G527" s="76">
        <f>IF(A527="COMPOSICAO",VLOOKUP("TOTAL SEM BDI - "&amp;B527,CPUAUX2!$A:$J,9,FALSE),VLOOKUP(B527,I!$A:$E,5,FALSE))</f>
        <v>0.71</v>
      </c>
      <c r="H527" s="77"/>
      <c r="I527" s="76">
        <f>TRUNC(F527*G527,2)</f>
        <v>180.34</v>
      </c>
      <c r="J527" s="77"/>
      <c r="M527" s="23" t="str">
        <f>B527</f>
        <v>I0805</v>
      </c>
      <c r="N527" s="23">
        <f>SUMIF(CPU!M:M,B524,CPU!O:O)</f>
        <v>1.56</v>
      </c>
      <c r="O527" s="23">
        <f>F527*N527</f>
        <v>396.24</v>
      </c>
      <c r="Q527" s="23">
        <f ca="1">SUMIF(CPU!M:M,B524,CPU!R:R)</f>
        <v>0.52</v>
      </c>
      <c r="R527" s="23">
        <f ca="1">F527*Q527</f>
        <v>132.08000000000001</v>
      </c>
    </row>
    <row r="528" spans="1:18" x14ac:dyDescent="0.3">
      <c r="A528" s="23" t="s">
        <v>1005</v>
      </c>
      <c r="B528" s="23" t="s">
        <v>1089</v>
      </c>
      <c r="C528" s="23" t="str">
        <f>VLOOKUP(B528,IF(A528="COMPOSICAO",S!$A:$E,I!$A:$E),2,FALSE)</f>
        <v>SEINFRA</v>
      </c>
      <c r="D528" s="24" t="str">
        <f>VLOOKUP(B528,IF(A528="COMPOSICAO",S!$A:$E,I!$A:$E),3,FALSE)</f>
        <v>PEDRISCO</v>
      </c>
      <c r="E528" s="23" t="str">
        <f>VLOOKUP(B528,IF(A528="COMPOSICAO",S!$A:$E,I!$A:$E),4,FALSE)</f>
        <v>M3</v>
      </c>
      <c r="F528" s="23">
        <v>0.83599999999999997</v>
      </c>
      <c r="G528" s="76">
        <f>IF(A528="COMPOSICAO",VLOOKUP("TOTAL SEM BDI - "&amp;B528,CPUAUX2!$A:$J,9,FALSE),VLOOKUP(B528,I!$A:$E,5,FALSE))</f>
        <v>100.5</v>
      </c>
      <c r="H528" s="77"/>
      <c r="I528" s="76">
        <f>TRUNC(F528*G528,2)</f>
        <v>84.01</v>
      </c>
      <c r="J528" s="77"/>
      <c r="M528" s="23" t="str">
        <f>B528</f>
        <v>I1605</v>
      </c>
      <c r="N528" s="23">
        <f>SUMIF(CPU!M:M,B524,CPU!O:O)</f>
        <v>1.56</v>
      </c>
      <c r="O528" s="23">
        <f>F528*N528</f>
        <v>1.30416</v>
      </c>
      <c r="Q528" s="23">
        <f ca="1">SUMIF(CPU!M:M,B524,CPU!R:R)</f>
        <v>0.52</v>
      </c>
      <c r="R528" s="23">
        <f ca="1">F528*Q528</f>
        <v>0.43472</v>
      </c>
    </row>
    <row r="529" spans="1:18" x14ac:dyDescent="0.3">
      <c r="A529" s="23" t="s">
        <v>1004</v>
      </c>
      <c r="B529" s="23">
        <v>88316</v>
      </c>
      <c r="C529" s="23" t="str">
        <f>VLOOKUP(B529,IF(A529="COMPOSICAO",S!$A:$E,I!$A:$E),2,FALSE)</f>
        <v>SINAPI</v>
      </c>
      <c r="D529" s="24" t="str">
        <f>VLOOKUP(B529,IF(A529="COMPOSICAO",S!$A:$E,I!$A:$E),3,FALSE)</f>
        <v>SERVENTE COM ENCARGOS COMPLEMENTARES</v>
      </c>
      <c r="E529" s="23" t="str">
        <f>VLOOKUP(B529,IF(A529="COMPOSICAO",S!$A:$E,I!$A:$E),4,FALSE)</f>
        <v>H</v>
      </c>
      <c r="F529" s="23">
        <f>6/pcf</f>
        <v>6</v>
      </c>
      <c r="G529" s="76">
        <f>IF(A529="COMPOSICAO",VLOOKUP("TOTAL SEM BDI - "&amp;B529,CPUAUX2!$A:$J,9,FALSE),VLOOKUP(B529,I!$A:$E,5,FALSE))</f>
        <v>21.71</v>
      </c>
      <c r="H529" s="77"/>
      <c r="I529" s="76">
        <f>TRUNC(F529*G529,2)</f>
        <v>130.26</v>
      </c>
      <c r="J529" s="77"/>
      <c r="M529" s="23">
        <f>B529</f>
        <v>88316</v>
      </c>
      <c r="N529" s="23">
        <f>SUMIF(CPU!M:M,B524,CPU!O:O)</f>
        <v>1.56</v>
      </c>
      <c r="O529" s="23">
        <f>F529*N529</f>
        <v>9.36</v>
      </c>
      <c r="Q529" s="23">
        <f ca="1">SUMIF(CPU!M:M,B524,CPU!R:R)</f>
        <v>0.52</v>
      </c>
      <c r="R529" s="23">
        <f ca="1">F529*Q529</f>
        <v>3.12</v>
      </c>
    </row>
    <row r="530" spans="1:18" x14ac:dyDescent="0.3">
      <c r="A530" s="73" t="str">
        <f>"TOTAL SEM BDI - "&amp;B524</f>
        <v>TOTAL SEM BDI - COMP214</v>
      </c>
      <c r="B530" s="74"/>
      <c r="C530" s="74"/>
      <c r="D530" s="74"/>
      <c r="E530" s="74"/>
      <c r="F530" s="74"/>
      <c r="G530" s="74"/>
      <c r="H530" s="75"/>
      <c r="I530" s="76">
        <f>SUM(I524:I529)</f>
        <v>491.16999999999996</v>
      </c>
      <c r="J530" s="77"/>
    </row>
    <row r="532" spans="1:18" x14ac:dyDescent="0.3">
      <c r="A532" s="4" t="s">
        <v>1000</v>
      </c>
      <c r="B532" s="4" t="s">
        <v>170</v>
      </c>
      <c r="C532" s="4" t="s">
        <v>171</v>
      </c>
      <c r="D532" s="4" t="s">
        <v>18</v>
      </c>
      <c r="E532" s="4" t="s">
        <v>172</v>
      </c>
      <c r="F532" s="4" t="s">
        <v>507</v>
      </c>
      <c r="G532" s="45" t="s">
        <v>1001</v>
      </c>
      <c r="H532" s="46"/>
      <c r="I532" s="45" t="s">
        <v>12</v>
      </c>
      <c r="J532" s="46"/>
    </row>
    <row r="533" spans="1:18" ht="30" customHeight="1" x14ac:dyDescent="0.3">
      <c r="A533" s="15" t="s">
        <v>517</v>
      </c>
      <c r="B533" s="15" t="s">
        <v>1062</v>
      </c>
      <c r="C533" s="15" t="str">
        <f>VLOOKUP(B533,S!$A:$G,2,FALSE)</f>
        <v>PRÓPRIA</v>
      </c>
      <c r="D533" s="22" t="str">
        <f>VLOOKUP(B533,S!$A:$G,3,FALSE)</f>
        <v>FORMA DE TÁBUAS DE 1" DE 3A. P/FUNDAÇÕES UTIL. 5 X (REF: C1400-SEINFRA 28)</v>
      </c>
      <c r="E533" s="15" t="str">
        <f>VLOOKUP(B533,S!$A:$G,4,FALSE)</f>
        <v>M2</v>
      </c>
      <c r="F533" s="15"/>
      <c r="G533" s="78">
        <f>I540</f>
        <v>85.22</v>
      </c>
      <c r="H533" s="79"/>
      <c r="I533" s="78"/>
      <c r="J533" s="79"/>
      <c r="K533" s="16">
        <f>VLOOKUP(B533,S!A:G,5,FALSE)</f>
        <v>0</v>
      </c>
      <c r="L533" s="15" t="s">
        <v>1003</v>
      </c>
    </row>
    <row r="534" spans="1:18" x14ac:dyDescent="0.3">
      <c r="A534" s="23" t="s">
        <v>1005</v>
      </c>
      <c r="B534" s="23" t="s">
        <v>1090</v>
      </c>
      <c r="C534" s="23" t="str">
        <f>VLOOKUP(B534,IF(A534="COMPOSICAO",S!$A:$E,I!$A:$E),2,FALSE)</f>
        <v>SEINFRA</v>
      </c>
      <c r="D534" s="24" t="str">
        <f>VLOOKUP(B534,IF(A534="COMPOSICAO",S!$A:$E,I!$A:$E),3,FALSE)</f>
        <v>DESMOLDANTE PARA FORMAS</v>
      </c>
      <c r="E534" s="23" t="str">
        <f>VLOOKUP(B534,IF(A534="COMPOSICAO",S!$A:$E,I!$A:$E),4,FALSE)</f>
        <v>L</v>
      </c>
      <c r="F534" s="23">
        <v>0.4</v>
      </c>
      <c r="G534" s="76">
        <f>IF(A534="COMPOSICAO",VLOOKUP("TOTAL SEM BDI - "&amp;B534,CPUAUX2!$A:$J,9,FALSE),VLOOKUP(B534,I!$A:$E,5,FALSE))</f>
        <v>8.4499999999999993</v>
      </c>
      <c r="H534" s="77"/>
      <c r="I534" s="76">
        <f t="shared" ref="I534:I539" si="116">TRUNC(F534*G534,2)</f>
        <v>3.38</v>
      </c>
      <c r="J534" s="77"/>
      <c r="M534" s="23" t="str">
        <f t="shared" ref="M534:M539" si="117">B534</f>
        <v>I0965</v>
      </c>
      <c r="N534" s="23">
        <f>SUMIF(CPU!M:M,B533,CPU!O:O)</f>
        <v>6.24</v>
      </c>
      <c r="O534" s="23">
        <f t="shared" ref="O534:O539" si="118">F534*N534</f>
        <v>2.4960000000000004</v>
      </c>
      <c r="Q534" s="23">
        <f ca="1">SUMIF(CPU!M:M,B533,CPU!R:R)</f>
        <v>2.08</v>
      </c>
      <c r="R534" s="23">
        <f t="shared" ref="R534:R539" ca="1" si="119">F534*Q534</f>
        <v>0.83200000000000007</v>
      </c>
    </row>
    <row r="535" spans="1:18" ht="30" customHeight="1" x14ac:dyDescent="0.3">
      <c r="A535" s="23" t="s">
        <v>1005</v>
      </c>
      <c r="B535" s="23" t="s">
        <v>1091</v>
      </c>
      <c r="C535" s="23" t="str">
        <f>VLOOKUP(B535,IF(A535="COMPOSICAO",S!$A:$E,I!$A:$E),2,FALSE)</f>
        <v>SEINFRA</v>
      </c>
      <c r="D535" s="24" t="str">
        <f>VLOOKUP(B535,IF(A535="COMPOSICAO",S!$A:$E,I!$A:$E),3,FALSE)</f>
        <v>PREGO 18X27 (2.1/2" X 10) (APROXIMADAMENTE 198UN/KG)</v>
      </c>
      <c r="E535" s="23" t="str">
        <f>VLOOKUP(B535,IF(A535="COMPOSICAO",S!$A:$E,I!$A:$E),4,FALSE)</f>
        <v>KG</v>
      </c>
      <c r="F535" s="23">
        <v>0.15</v>
      </c>
      <c r="G535" s="76">
        <f>IF(A535="COMPOSICAO",VLOOKUP("TOTAL SEM BDI - "&amp;B535,CPUAUX2!$A:$J,9,FALSE),VLOOKUP(B535,I!$A:$E,5,FALSE))</f>
        <v>14.2</v>
      </c>
      <c r="H535" s="77"/>
      <c r="I535" s="76">
        <f t="shared" si="116"/>
        <v>2.13</v>
      </c>
      <c r="J535" s="77"/>
      <c r="M535" s="23" t="str">
        <f t="shared" si="117"/>
        <v>I1728</v>
      </c>
      <c r="N535" s="23">
        <f>SUMIF(CPU!M:M,B533,CPU!O:O)</f>
        <v>6.24</v>
      </c>
      <c r="O535" s="23">
        <f t="shared" si="118"/>
        <v>0.93599999999999994</v>
      </c>
      <c r="Q535" s="23">
        <f ca="1">SUMIF(CPU!M:M,B533,CPU!R:R)</f>
        <v>2.08</v>
      </c>
      <c r="R535" s="23">
        <f t="shared" ca="1" si="119"/>
        <v>0.312</v>
      </c>
    </row>
    <row r="536" spans="1:18" x14ac:dyDescent="0.3">
      <c r="A536" s="23" t="s">
        <v>1005</v>
      </c>
      <c r="B536" s="23" t="s">
        <v>1092</v>
      </c>
      <c r="C536" s="23" t="str">
        <f>VLOOKUP(B536,IF(A536="COMPOSICAO",S!$A:$E,I!$A:$E),2,FALSE)</f>
        <v>SEINFRA</v>
      </c>
      <c r="D536" s="24" t="str">
        <f>VLOOKUP(B536,IF(A536="COMPOSICAO",S!$A:$E,I!$A:$E),3,FALSE)</f>
        <v>SARRAFO DE 1"X4"</v>
      </c>
      <c r="E536" s="23" t="str">
        <f>VLOOKUP(B536,IF(A536="COMPOSICAO",S!$A:$E,I!$A:$E),4,FALSE)</f>
        <v>M</v>
      </c>
      <c r="F536" s="23">
        <v>0.5</v>
      </c>
      <c r="G536" s="76">
        <f>IF(A536="COMPOSICAO",VLOOKUP("TOTAL SEM BDI - "&amp;B536,CPUAUX2!$A:$J,9,FALSE),VLOOKUP(B536,I!$A:$E,5,FALSE))</f>
        <v>6.05</v>
      </c>
      <c r="H536" s="77"/>
      <c r="I536" s="76">
        <f t="shared" si="116"/>
        <v>3.02</v>
      </c>
      <c r="J536" s="77"/>
      <c r="M536" s="23" t="str">
        <f t="shared" si="117"/>
        <v>I1846</v>
      </c>
      <c r="N536" s="23">
        <f>SUMIF(CPU!M:M,B533,CPU!O:O)</f>
        <v>6.24</v>
      </c>
      <c r="O536" s="23">
        <f t="shared" si="118"/>
        <v>3.12</v>
      </c>
      <c r="Q536" s="23">
        <f ca="1">SUMIF(CPU!M:M,B533,CPU!R:R)</f>
        <v>2.08</v>
      </c>
      <c r="R536" s="23">
        <f t="shared" ca="1" si="119"/>
        <v>1.04</v>
      </c>
    </row>
    <row r="537" spans="1:18" x14ac:dyDescent="0.3">
      <c r="A537" s="23" t="s">
        <v>1005</v>
      </c>
      <c r="B537" s="23" t="s">
        <v>1093</v>
      </c>
      <c r="C537" s="23" t="str">
        <f>VLOOKUP(B537,IF(A537="COMPOSICAO",S!$A:$E,I!$A:$E),2,FALSE)</f>
        <v>SEINFRA</v>
      </c>
      <c r="D537" s="24" t="str">
        <f>VLOOKUP(B537,IF(A537="COMPOSICAO",S!$A:$E,I!$A:$E),3,FALSE)</f>
        <v>TABUA DE 1" DE 3A. - L = 30CM</v>
      </c>
      <c r="E537" s="23" t="str">
        <f>VLOOKUP(B537,IF(A537="COMPOSICAO",S!$A:$E,I!$A:$E),4,FALSE)</f>
        <v>M</v>
      </c>
      <c r="F537" s="23">
        <v>1</v>
      </c>
      <c r="G537" s="76">
        <f>IF(A537="COMPOSICAO",VLOOKUP("TOTAL SEM BDI - "&amp;B537,CPUAUX2!$A:$J,9,FALSE),VLOOKUP(B537,I!$A:$E,5,FALSE))</f>
        <v>12.77</v>
      </c>
      <c r="H537" s="77"/>
      <c r="I537" s="76">
        <f t="shared" si="116"/>
        <v>12.77</v>
      </c>
      <c r="J537" s="77"/>
      <c r="M537" s="23" t="str">
        <f t="shared" si="117"/>
        <v>I1916</v>
      </c>
      <c r="N537" s="23">
        <f>SUMIF(CPU!M:M,B533,CPU!O:O)</f>
        <v>6.24</v>
      </c>
      <c r="O537" s="23">
        <f t="shared" si="118"/>
        <v>6.24</v>
      </c>
      <c r="Q537" s="23">
        <f ca="1">SUMIF(CPU!M:M,B533,CPU!R:R)</f>
        <v>2.08</v>
      </c>
      <c r="R537" s="23">
        <f t="shared" ca="1" si="119"/>
        <v>2.08</v>
      </c>
    </row>
    <row r="538" spans="1:18" ht="30" customHeight="1" x14ac:dyDescent="0.3">
      <c r="A538" s="23" t="s">
        <v>1004</v>
      </c>
      <c r="B538" s="23">
        <v>88262</v>
      </c>
      <c r="C538" s="23" t="str">
        <f>VLOOKUP(B538,IF(A538="COMPOSICAO",S!$A:$E,I!$A:$E),2,FALSE)</f>
        <v>SINAPI</v>
      </c>
      <c r="D538" s="24" t="str">
        <f>VLOOKUP(B538,IF(A538="COMPOSICAO",S!$A:$E,I!$A:$E),3,FALSE)</f>
        <v>CARPINTEIRO DE FORMAS COM ENCARGOS COMPLEMENTARES</v>
      </c>
      <c r="E538" s="23" t="str">
        <f>VLOOKUP(B538,IF(A538="COMPOSICAO",S!$A:$E,I!$A:$E),4,FALSE)</f>
        <v>H</v>
      </c>
      <c r="F538" s="23">
        <f>1.3/pcf</f>
        <v>1.3</v>
      </c>
      <c r="G538" s="76">
        <f>IF(A538="COMPOSICAO",VLOOKUP("TOTAL SEM BDI - "&amp;B538,CPUAUX2!$A:$J,9,FALSE),VLOOKUP(B538,I!$A:$E,5,FALSE))</f>
        <v>26.97</v>
      </c>
      <c r="H538" s="77"/>
      <c r="I538" s="76">
        <f t="shared" si="116"/>
        <v>35.06</v>
      </c>
      <c r="J538" s="77"/>
      <c r="M538" s="23">
        <f t="shared" si="117"/>
        <v>88262</v>
      </c>
      <c r="N538" s="23">
        <f>SUMIF(CPU!M:M,B533,CPU!O:O)</f>
        <v>6.24</v>
      </c>
      <c r="O538" s="23">
        <f t="shared" si="118"/>
        <v>8.1120000000000001</v>
      </c>
      <c r="Q538" s="23">
        <f ca="1">SUMIF(CPU!M:M,B533,CPU!R:R)</f>
        <v>2.08</v>
      </c>
      <c r="R538" s="23">
        <f t="shared" ca="1" si="119"/>
        <v>2.7040000000000002</v>
      </c>
    </row>
    <row r="539" spans="1:18" ht="30" customHeight="1" x14ac:dyDescent="0.3">
      <c r="A539" s="23" t="s">
        <v>1004</v>
      </c>
      <c r="B539" s="23">
        <v>88239</v>
      </c>
      <c r="C539" s="23" t="str">
        <f>VLOOKUP(B539,IF(A539="COMPOSICAO",S!$A:$E,I!$A:$E),2,FALSE)</f>
        <v>SINAPI</v>
      </c>
      <c r="D539" s="24" t="str">
        <f>VLOOKUP(B539,IF(A539="COMPOSICAO",S!$A:$E,I!$A:$E),3,FALSE)</f>
        <v>AJUDANTE DE CARPINTEIRO COM ENCARGOS COMPLEMENTARES</v>
      </c>
      <c r="E539" s="23" t="str">
        <f>VLOOKUP(B539,IF(A539="COMPOSICAO",S!$A:$E,I!$A:$E),4,FALSE)</f>
        <v>H</v>
      </c>
      <c r="F539" s="23">
        <f>1.3/pcf</f>
        <v>1.3</v>
      </c>
      <c r="G539" s="76">
        <f>IF(A539="COMPOSICAO",VLOOKUP("TOTAL SEM BDI - "&amp;B539,CPUAUX2!$A:$J,9,FALSE),VLOOKUP(B539,I!$A:$E,5,FALSE))</f>
        <v>22.2</v>
      </c>
      <c r="H539" s="77"/>
      <c r="I539" s="76">
        <f t="shared" si="116"/>
        <v>28.86</v>
      </c>
      <c r="J539" s="77"/>
      <c r="M539" s="23">
        <f t="shared" si="117"/>
        <v>88239</v>
      </c>
      <c r="N539" s="23">
        <f>SUMIF(CPU!M:M,B533,CPU!O:O)</f>
        <v>6.24</v>
      </c>
      <c r="O539" s="23">
        <f t="shared" si="118"/>
        <v>8.1120000000000001</v>
      </c>
      <c r="Q539" s="23">
        <f ca="1">SUMIF(CPU!M:M,B533,CPU!R:R)</f>
        <v>2.08</v>
      </c>
      <c r="R539" s="23">
        <f t="shared" ca="1" si="119"/>
        <v>2.7040000000000002</v>
      </c>
    </row>
    <row r="540" spans="1:18" x14ac:dyDescent="0.3">
      <c r="A540" s="73" t="str">
        <f>"TOTAL SEM BDI - "&amp;B533</f>
        <v>TOTAL SEM BDI - COMP215</v>
      </c>
      <c r="B540" s="74"/>
      <c r="C540" s="74"/>
      <c r="D540" s="74"/>
      <c r="E540" s="74"/>
      <c r="F540" s="74"/>
      <c r="G540" s="74"/>
      <c r="H540" s="75"/>
      <c r="I540" s="76">
        <f>SUM(I533:I539)</f>
        <v>85.22</v>
      </c>
      <c r="J540" s="77"/>
    </row>
    <row r="542" spans="1:18" x14ac:dyDescent="0.3">
      <c r="A542" s="4" t="s">
        <v>1000</v>
      </c>
      <c r="B542" s="4" t="s">
        <v>170</v>
      </c>
      <c r="C542" s="4" t="s">
        <v>171</v>
      </c>
      <c r="D542" s="4" t="s">
        <v>18</v>
      </c>
      <c r="E542" s="4" t="s">
        <v>172</v>
      </c>
      <c r="F542" s="4" t="s">
        <v>507</v>
      </c>
      <c r="G542" s="45" t="s">
        <v>1001</v>
      </c>
      <c r="H542" s="46"/>
      <c r="I542" s="45" t="s">
        <v>12</v>
      </c>
      <c r="J542" s="46"/>
    </row>
    <row r="543" spans="1:18" ht="30" customHeight="1" x14ac:dyDescent="0.3">
      <c r="A543" s="15" t="s">
        <v>1071</v>
      </c>
      <c r="B543" s="15">
        <v>88246</v>
      </c>
      <c r="C543" s="15" t="str">
        <f>VLOOKUP(B543,S!$A:$G,2,FALSE)</f>
        <v>SINAPI</v>
      </c>
      <c r="D543" s="22" t="str">
        <f>VLOOKUP(B543,S!$A:$G,3,FALSE)</f>
        <v>ASSENTADOR DE TUBOS COM ENCARGOS COMPLEMENTARES</v>
      </c>
      <c r="E543" s="15" t="str">
        <f>VLOOKUP(B543,S!$A:$G,4,FALSE)</f>
        <v>H</v>
      </c>
      <c r="F543" s="15"/>
      <c r="G543" s="78">
        <f>I552</f>
        <v>19.630000000000003</v>
      </c>
      <c r="H543" s="79"/>
      <c r="I543" s="78"/>
      <c r="J543" s="79"/>
      <c r="K543" s="16">
        <f>VLOOKUP(B543,S!A:G,5,FALSE)</f>
        <v>19.63</v>
      </c>
      <c r="L543" s="15" t="str">
        <f>IF(K543=G543,"OK, CONFORME TABELA",IF(G543&gt;K543,"ACIMA DA TABELA: ","ABAIXO DA TABELA: ")&amp;TRUNC((G543*100)/K543,2)&amp;" %")</f>
        <v>OK, CONFORME TABELA</v>
      </c>
    </row>
    <row r="544" spans="1:18" ht="30" customHeight="1" x14ac:dyDescent="0.3">
      <c r="A544" s="23" t="s">
        <v>1004</v>
      </c>
      <c r="B544" s="23">
        <v>95315</v>
      </c>
      <c r="C544" s="23" t="str">
        <f>VLOOKUP(B544,IF(A544="COMPOSICAO",S!$A:$E,I!$A:$E),2,FALSE)</f>
        <v>SINAPI</v>
      </c>
      <c r="D544" s="24" t="str">
        <f>VLOOKUP(B544,IF(A544="COMPOSICAO",S!$A:$E,I!$A:$E),3,FALSE)</f>
        <v>CURSO DE CAPACITAÇÃO PARA ASSENTADOR DE TUBOS (ENCARGOS COMPLEMENTARES) - HORISTA</v>
      </c>
      <c r="E544" s="23" t="str">
        <f>VLOOKUP(B544,IF(A544="COMPOSICAO",S!$A:$E,I!$A:$E),4,FALSE)</f>
        <v>H</v>
      </c>
      <c r="F544" s="23">
        <v>1</v>
      </c>
      <c r="G544" s="76">
        <f>IF(A544="COMPOSICAO",VLOOKUP("TOTAL SEM BDI - "&amp;B544,CPUAUX2!$A:$J,9,FALSE),VLOOKUP(B544,I!$A:$E,5,FALSE))</f>
        <v>0.2</v>
      </c>
      <c r="H544" s="77"/>
      <c r="I544" s="76">
        <f t="shared" ref="I544:I551" si="120">TRUNC(F544*G544,2)</f>
        <v>0.2</v>
      </c>
      <c r="J544" s="77"/>
      <c r="M544" s="23">
        <f t="shared" ref="M544:M551" si="121">B544</f>
        <v>95315</v>
      </c>
      <c r="N544" s="23">
        <f>SUMIF(CPU!M:M,B543,CPU!O:O)</f>
        <v>486.59700000000004</v>
      </c>
      <c r="O544" s="23">
        <f t="shared" ref="O544:O551" si="122">F544*N544</f>
        <v>486.59700000000004</v>
      </c>
      <c r="Q544" s="23">
        <f ca="1">SUMIF(CPU!M:M,B543,CPU!R:R)</f>
        <v>128.54999999999998</v>
      </c>
      <c r="R544" s="23">
        <f t="shared" ref="R544:R551" ca="1" si="123">F544*Q544</f>
        <v>128.54999999999998</v>
      </c>
    </row>
    <row r="545" spans="1:18" ht="30" customHeight="1" x14ac:dyDescent="0.3">
      <c r="A545" s="23" t="s">
        <v>1005</v>
      </c>
      <c r="B545" s="23">
        <v>43488</v>
      </c>
      <c r="C545" s="23" t="str">
        <f>VLOOKUP(B545,IF(A545="COMPOSICAO",S!$A:$E,I!$A:$E),2,FALSE)</f>
        <v>SINAPI</v>
      </c>
      <c r="D545" s="24" t="str">
        <f>VLOOKUP(B545,IF(A545="COMPOSICAO",S!$A:$E,I!$A:$E),3,FALSE)</f>
        <v>EPI - FAMILIA OPERADOR ESCAVADEIRA - HORISTA (ENCARGOS COMPLEMENTARES - COLETADO CAIXA)</v>
      </c>
      <c r="E545" s="23" t="str">
        <f>VLOOKUP(B545,IF(A545="COMPOSICAO",S!$A:$E,I!$A:$E),4,FALSE)</f>
        <v>H</v>
      </c>
      <c r="F545" s="23">
        <v>1</v>
      </c>
      <c r="G545" s="76">
        <f>IF(A545="COMPOSICAO",VLOOKUP("TOTAL SEM BDI - "&amp;B545,CPUAUX2!$A:$J,9,FALSE),VLOOKUP(B545,I!$A:$E,5,FALSE))</f>
        <v>0.89</v>
      </c>
      <c r="H545" s="77"/>
      <c r="I545" s="76">
        <f t="shared" si="120"/>
        <v>0.89</v>
      </c>
      <c r="J545" s="77"/>
      <c r="M545" s="23">
        <f t="shared" si="121"/>
        <v>43488</v>
      </c>
      <c r="N545" s="23">
        <f>SUMIF(CPU!M:M,B543,CPU!O:O)</f>
        <v>486.59700000000004</v>
      </c>
      <c r="O545" s="23">
        <f t="shared" si="122"/>
        <v>486.59700000000004</v>
      </c>
      <c r="Q545" s="23">
        <f ca="1">SUMIF(CPU!M:M,B543,CPU!R:R)</f>
        <v>128.54999999999998</v>
      </c>
      <c r="R545" s="23">
        <f t="shared" ca="1" si="123"/>
        <v>128.54999999999998</v>
      </c>
    </row>
    <row r="546" spans="1:18" ht="45" customHeight="1" x14ac:dyDescent="0.3">
      <c r="A546" s="23" t="s">
        <v>1005</v>
      </c>
      <c r="B546" s="23">
        <v>43464</v>
      </c>
      <c r="C546" s="23" t="str">
        <f>VLOOKUP(B546,IF(A546="COMPOSICAO",S!$A:$E,I!$A:$E),2,FALSE)</f>
        <v>SINAPI</v>
      </c>
      <c r="D546" s="24" t="str">
        <f>VLOOKUP(B546,IF(A546="COMPOSICAO",S!$A:$E,I!$A:$E),3,FALSE)</f>
        <v>FERRAMENTAS - FAMILIA OPERADOR ESCAVADEIRA - HORISTA (ENCARGOS COMPLEMENTARES - COLETADO CAIXA)</v>
      </c>
      <c r="E546" s="23" t="str">
        <f>VLOOKUP(B546,IF(A546="COMPOSICAO",S!$A:$E,I!$A:$E),4,FALSE)</f>
        <v>H</v>
      </c>
      <c r="F546" s="23">
        <v>1</v>
      </c>
      <c r="G546" s="76">
        <f>IF(A546="COMPOSICAO",VLOOKUP("TOTAL SEM BDI - "&amp;B546,CPUAUX2!$A:$J,9,FALSE),VLOOKUP(B546,I!$A:$E,5,FALSE))</f>
        <v>0.01</v>
      </c>
      <c r="H546" s="77"/>
      <c r="I546" s="76">
        <f t="shared" si="120"/>
        <v>0.01</v>
      </c>
      <c r="J546" s="77"/>
      <c r="M546" s="23">
        <f t="shared" si="121"/>
        <v>43464</v>
      </c>
      <c r="N546" s="23">
        <f>SUMIF(CPU!M:M,B543,CPU!O:O)</f>
        <v>486.59700000000004</v>
      </c>
      <c r="O546" s="23">
        <f t="shared" si="122"/>
        <v>486.59700000000004</v>
      </c>
      <c r="Q546" s="23">
        <f ca="1">SUMIF(CPU!M:M,B543,CPU!R:R)</f>
        <v>128.54999999999998</v>
      </c>
      <c r="R546" s="23">
        <f t="shared" ca="1" si="123"/>
        <v>128.54999999999998</v>
      </c>
    </row>
    <row r="547" spans="1:18" x14ac:dyDescent="0.3">
      <c r="A547" s="23" t="s">
        <v>1005</v>
      </c>
      <c r="B547" s="23">
        <v>40331</v>
      </c>
      <c r="C547" s="23" t="str">
        <f>VLOOKUP(B547,IF(A547="COMPOSICAO",S!$A:$E,I!$A:$E),2,FALSE)</f>
        <v>SINAPI</v>
      </c>
      <c r="D547" s="24" t="str">
        <f>VLOOKUP(B547,IF(A547="COMPOSICAO",S!$A:$E,I!$A:$E),3,FALSE)</f>
        <v>ASSENTADOR DE MANILHAS (HORISTA)</v>
      </c>
      <c r="E547" s="23" t="str">
        <f>VLOOKUP(B547,IF(A547="COMPOSICAO",S!$A:$E,I!$A:$E),4,FALSE)</f>
        <v>H</v>
      </c>
      <c r="F547" s="23">
        <v>1</v>
      </c>
      <c r="G547" s="76">
        <f>IF(A547="COMPOSICAO",VLOOKUP("TOTAL SEM BDI - "&amp;B547,CPUAUX2!$A:$J,9,FALSE),VLOOKUP(B547,I!$A:$E,5,FALSE))</f>
        <v>13.99</v>
      </c>
      <c r="H547" s="77"/>
      <c r="I547" s="76">
        <f t="shared" si="120"/>
        <v>13.99</v>
      </c>
      <c r="J547" s="77"/>
      <c r="M547" s="23">
        <f t="shared" si="121"/>
        <v>40331</v>
      </c>
      <c r="N547" s="23">
        <f>SUMIF(CPU!M:M,B543,CPU!O:O)</f>
        <v>486.59700000000004</v>
      </c>
      <c r="O547" s="23">
        <f t="shared" si="122"/>
        <v>486.59700000000004</v>
      </c>
      <c r="Q547" s="23">
        <f ca="1">SUMIF(CPU!M:M,B543,CPU!R:R)</f>
        <v>128.54999999999998</v>
      </c>
      <c r="R547" s="23">
        <f t="shared" ca="1" si="123"/>
        <v>128.54999999999998</v>
      </c>
    </row>
    <row r="548" spans="1:18" ht="30" customHeight="1" x14ac:dyDescent="0.3">
      <c r="A548" s="23" t="s">
        <v>1005</v>
      </c>
      <c r="B548" s="23">
        <v>37373</v>
      </c>
      <c r="C548" s="23" t="str">
        <f>VLOOKUP(B548,IF(A548="COMPOSICAO",S!$A:$E,I!$A:$E),2,FALSE)</f>
        <v>SINAPI</v>
      </c>
      <c r="D548" s="24" t="str">
        <f>VLOOKUP(B548,IF(A548="COMPOSICAO",S!$A:$E,I!$A:$E),3,FALSE)</f>
        <v>SEGURO - HORISTA (COLETADO CAIXA - ENCARGOS COMPLEMENTARES)</v>
      </c>
      <c r="E548" s="23" t="str">
        <f>VLOOKUP(B548,IF(A548="COMPOSICAO",S!$A:$E,I!$A:$E),4,FALSE)</f>
        <v>H</v>
      </c>
      <c r="F548" s="23">
        <v>1</v>
      </c>
      <c r="G548" s="76">
        <f>IF(A548="COMPOSICAO",VLOOKUP("TOTAL SEM BDI - "&amp;B548,CPUAUX2!$A:$J,9,FALSE),VLOOKUP(B548,I!$A:$E,5,FALSE))</f>
        <v>0.08</v>
      </c>
      <c r="H548" s="77"/>
      <c r="I548" s="76">
        <f t="shared" si="120"/>
        <v>0.08</v>
      </c>
      <c r="J548" s="77"/>
      <c r="M548" s="23">
        <f t="shared" si="121"/>
        <v>37373</v>
      </c>
      <c r="N548" s="23">
        <f>SUMIF(CPU!M:M,B543,CPU!O:O)</f>
        <v>486.59700000000004</v>
      </c>
      <c r="O548" s="23">
        <f t="shared" si="122"/>
        <v>486.59700000000004</v>
      </c>
      <c r="Q548" s="23">
        <f ca="1">SUMIF(CPU!M:M,B543,CPU!R:R)</f>
        <v>128.54999999999998</v>
      </c>
      <c r="R548" s="23">
        <f t="shared" ca="1" si="123"/>
        <v>128.54999999999998</v>
      </c>
    </row>
    <row r="549" spans="1:18" ht="30" customHeight="1" x14ac:dyDescent="0.3">
      <c r="A549" s="23" t="s">
        <v>1005</v>
      </c>
      <c r="B549" s="23">
        <v>37372</v>
      </c>
      <c r="C549" s="23" t="str">
        <f>VLOOKUP(B549,IF(A549="COMPOSICAO",S!$A:$E,I!$A:$E),2,FALSE)</f>
        <v>SINAPI</v>
      </c>
      <c r="D549" s="24" t="str">
        <f>VLOOKUP(B549,IF(A549="COMPOSICAO",S!$A:$E,I!$A:$E),3,FALSE)</f>
        <v>EXAMES - HORISTA (COLETADO CAIXA - ENCARGOS COMPLEMENTARES)</v>
      </c>
      <c r="E549" s="23" t="str">
        <f>VLOOKUP(B549,IF(A549="COMPOSICAO",S!$A:$E,I!$A:$E),4,FALSE)</f>
        <v>H</v>
      </c>
      <c r="F549" s="23">
        <v>1</v>
      </c>
      <c r="G549" s="76">
        <f>IF(A549="COMPOSICAO",VLOOKUP("TOTAL SEM BDI - "&amp;B549,CPUAUX2!$A:$J,9,FALSE),VLOOKUP(B549,I!$A:$E,5,FALSE))</f>
        <v>1.43</v>
      </c>
      <c r="H549" s="77"/>
      <c r="I549" s="76">
        <f t="shared" si="120"/>
        <v>1.43</v>
      </c>
      <c r="J549" s="77"/>
      <c r="M549" s="23">
        <f t="shared" si="121"/>
        <v>37372</v>
      </c>
      <c r="N549" s="23">
        <f>SUMIF(CPU!M:M,B543,CPU!O:O)</f>
        <v>486.59700000000004</v>
      </c>
      <c r="O549" s="23">
        <f t="shared" si="122"/>
        <v>486.59700000000004</v>
      </c>
      <c r="Q549" s="23">
        <f ca="1">SUMIF(CPU!M:M,B543,CPU!R:R)</f>
        <v>128.54999999999998</v>
      </c>
      <c r="R549" s="23">
        <f t="shared" ca="1" si="123"/>
        <v>128.54999999999998</v>
      </c>
    </row>
    <row r="550" spans="1:18" ht="30" customHeight="1" x14ac:dyDescent="0.3">
      <c r="A550" s="23" t="s">
        <v>1005</v>
      </c>
      <c r="B550" s="23">
        <v>37371</v>
      </c>
      <c r="C550" s="23" t="str">
        <f>VLOOKUP(B550,IF(A550="COMPOSICAO",S!$A:$E,I!$A:$E),2,FALSE)</f>
        <v>SINAPI</v>
      </c>
      <c r="D550" s="24" t="str">
        <f>VLOOKUP(B550,IF(A550="COMPOSICAO",S!$A:$E,I!$A:$E),3,FALSE)</f>
        <v>TRANSPORTE - HORISTA (COLETADO CAIXA - ENCARGOS COMPLEMENTARES)</v>
      </c>
      <c r="E550" s="23" t="str">
        <f>VLOOKUP(B550,IF(A550="COMPOSICAO",S!$A:$E,I!$A:$E),4,FALSE)</f>
        <v>H</v>
      </c>
      <c r="F550" s="23">
        <v>1</v>
      </c>
      <c r="G550" s="76">
        <f>IF(A550="COMPOSICAO",VLOOKUP("TOTAL SEM BDI - "&amp;B550,CPUAUX2!$A:$J,9,FALSE),VLOOKUP(B550,I!$A:$E,5,FALSE))</f>
        <v>0.56999999999999995</v>
      </c>
      <c r="H550" s="77"/>
      <c r="I550" s="76">
        <f t="shared" si="120"/>
        <v>0.56999999999999995</v>
      </c>
      <c r="J550" s="77"/>
      <c r="M550" s="23">
        <f t="shared" si="121"/>
        <v>37371</v>
      </c>
      <c r="N550" s="23">
        <f>SUMIF(CPU!M:M,B543,CPU!O:O)</f>
        <v>486.59700000000004</v>
      </c>
      <c r="O550" s="23">
        <f t="shared" si="122"/>
        <v>486.59700000000004</v>
      </c>
      <c r="Q550" s="23">
        <f ca="1">SUMIF(CPU!M:M,B543,CPU!R:R)</f>
        <v>128.54999999999998</v>
      </c>
      <c r="R550" s="23">
        <f t="shared" ca="1" si="123"/>
        <v>128.54999999999998</v>
      </c>
    </row>
    <row r="551" spans="1:18" ht="30" customHeight="1" x14ac:dyDescent="0.3">
      <c r="A551" s="23" t="s">
        <v>1005</v>
      </c>
      <c r="B551" s="23">
        <v>37370</v>
      </c>
      <c r="C551" s="23" t="str">
        <f>VLOOKUP(B551,IF(A551="COMPOSICAO",S!$A:$E,I!$A:$E),2,FALSE)</f>
        <v>SINAPI</v>
      </c>
      <c r="D551" s="24" t="str">
        <f>VLOOKUP(B551,IF(A551="COMPOSICAO",S!$A:$E,I!$A:$E),3,FALSE)</f>
        <v>ALIMENTACAO - HORISTA (COLETADO CAIXA - ENCARGOS COMPLEMENTARES)</v>
      </c>
      <c r="E551" s="23" t="str">
        <f>VLOOKUP(B551,IF(A551="COMPOSICAO",S!$A:$E,I!$A:$E),4,FALSE)</f>
        <v>H</v>
      </c>
      <c r="F551" s="23">
        <v>1</v>
      </c>
      <c r="G551" s="76">
        <f>IF(A551="COMPOSICAO",VLOOKUP("TOTAL SEM BDI - "&amp;B551,CPUAUX2!$A:$J,9,FALSE),VLOOKUP(B551,I!$A:$E,5,FALSE))</f>
        <v>2.46</v>
      </c>
      <c r="H551" s="77"/>
      <c r="I551" s="76">
        <f t="shared" si="120"/>
        <v>2.46</v>
      </c>
      <c r="J551" s="77"/>
      <c r="M551" s="23">
        <f t="shared" si="121"/>
        <v>37370</v>
      </c>
      <c r="N551" s="23">
        <f>SUMIF(CPU!M:M,B543,CPU!O:O)</f>
        <v>486.59700000000004</v>
      </c>
      <c r="O551" s="23">
        <f t="shared" si="122"/>
        <v>486.59700000000004</v>
      </c>
      <c r="Q551" s="23">
        <f ca="1">SUMIF(CPU!M:M,B543,CPU!R:R)</f>
        <v>128.54999999999998</v>
      </c>
      <c r="R551" s="23">
        <f t="shared" ca="1" si="123"/>
        <v>128.54999999999998</v>
      </c>
    </row>
    <row r="552" spans="1:18" x14ac:dyDescent="0.3">
      <c r="A552" s="73" t="str">
        <f>"TOTAL SEM BDI - "&amp;B543</f>
        <v>TOTAL SEM BDI - 88246</v>
      </c>
      <c r="B552" s="74"/>
      <c r="C552" s="74"/>
      <c r="D552" s="74"/>
      <c r="E552" s="74"/>
      <c r="F552" s="74"/>
      <c r="G552" s="74"/>
      <c r="H552" s="75"/>
      <c r="I552" s="76">
        <f>SUM(I543:I551)</f>
        <v>19.630000000000003</v>
      </c>
      <c r="J552" s="77"/>
    </row>
    <row r="554" spans="1:18" x14ac:dyDescent="0.3">
      <c r="A554" s="4" t="s">
        <v>1000</v>
      </c>
      <c r="B554" s="4" t="s">
        <v>170</v>
      </c>
      <c r="C554" s="4" t="s">
        <v>171</v>
      </c>
      <c r="D554" s="4" t="s">
        <v>18</v>
      </c>
      <c r="E554" s="4" t="s">
        <v>172</v>
      </c>
      <c r="F554" s="4" t="s">
        <v>507</v>
      </c>
      <c r="G554" s="45" t="s">
        <v>1001</v>
      </c>
      <c r="H554" s="46"/>
      <c r="I554" s="45" t="s">
        <v>12</v>
      </c>
      <c r="J554" s="46"/>
    </row>
    <row r="555" spans="1:18" ht="30" customHeight="1" x14ac:dyDescent="0.3">
      <c r="A555" s="15" t="s">
        <v>1094</v>
      </c>
      <c r="B555" s="15" t="s">
        <v>1066</v>
      </c>
      <c r="C555" s="15" t="str">
        <f>VLOOKUP(B555,S!$A:$G,2,FALSE)</f>
        <v>PRÓPRIA</v>
      </c>
      <c r="D555" s="22" t="str">
        <f>VLOOKUP(B555,S!$A:$G,3,FALSE)</f>
        <v>PINTURA LOGOTIPO DA SECRETARIA EM RESERVATÓRIO DE FIBRA DE VIDRO</v>
      </c>
      <c r="E555" s="15" t="str">
        <f>VLOOKUP(B555,S!$A:$G,4,FALSE)</f>
        <v>UND</v>
      </c>
      <c r="F555" s="15"/>
      <c r="G555" s="78">
        <f>I560</f>
        <v>84.94</v>
      </c>
      <c r="H555" s="79"/>
      <c r="I555" s="78"/>
      <c r="J555" s="79"/>
      <c r="K555" s="16">
        <f>VLOOKUP(B555,S!A:G,5,FALSE)</f>
        <v>0</v>
      </c>
      <c r="L555" s="15" t="s">
        <v>1003</v>
      </c>
    </row>
    <row r="556" spans="1:18" x14ac:dyDescent="0.3">
      <c r="A556" s="23" t="s">
        <v>1004</v>
      </c>
      <c r="B556" s="23">
        <v>88316</v>
      </c>
      <c r="C556" s="23" t="str">
        <f>VLOOKUP(B556,IF(A556="COMPOSICAO",S!$A:$E,I!$A:$E),2,FALSE)</f>
        <v>SINAPI</v>
      </c>
      <c r="D556" s="24" t="str">
        <f>VLOOKUP(B556,IF(A556="COMPOSICAO",S!$A:$E,I!$A:$E),3,FALSE)</f>
        <v>SERVENTE COM ENCARGOS COMPLEMENTARES</v>
      </c>
      <c r="E556" s="23" t="str">
        <f>VLOOKUP(B556,IF(A556="COMPOSICAO",S!$A:$E,I!$A:$E),4,FALSE)</f>
        <v>H</v>
      </c>
      <c r="F556" s="23">
        <f>1/pcf</f>
        <v>1</v>
      </c>
      <c r="G556" s="76">
        <f>IF(A556="COMPOSICAO",VLOOKUP("TOTAL SEM BDI - "&amp;B556,CPUAUX2!$A:$J,9,FALSE),VLOOKUP(B556,I!$A:$E,5,FALSE))</f>
        <v>21.71</v>
      </c>
      <c r="H556" s="77"/>
      <c r="I556" s="76">
        <f>TRUNC(F556*G556,2)</f>
        <v>21.71</v>
      </c>
      <c r="J556" s="77"/>
      <c r="M556" s="23">
        <f>B556</f>
        <v>88316</v>
      </c>
      <c r="N556" s="23">
        <f>SUMIF(CPU!M:M,B555,CPU!O:O)</f>
        <v>7</v>
      </c>
      <c r="O556" s="23">
        <f>F556*N556</f>
        <v>7</v>
      </c>
      <c r="Q556" s="23">
        <f ca="1">SUMIF(CPU!M:M,B555,CPU!R:R)</f>
        <v>3</v>
      </c>
      <c r="R556" s="23">
        <f ca="1">F556*Q556</f>
        <v>3</v>
      </c>
    </row>
    <row r="557" spans="1:18" x14ac:dyDescent="0.3">
      <c r="A557" s="23" t="s">
        <v>1004</v>
      </c>
      <c r="B557" s="23">
        <v>88310</v>
      </c>
      <c r="C557" s="23" t="str">
        <f>VLOOKUP(B557,IF(A557="COMPOSICAO",S!$A:$E,I!$A:$E),2,FALSE)</f>
        <v>SINAPI</v>
      </c>
      <c r="D557" s="24" t="str">
        <f>VLOOKUP(B557,IF(A557="COMPOSICAO",S!$A:$E,I!$A:$E),3,FALSE)</f>
        <v>PINTOR COM ENCARGOS COMPLEMENTARES</v>
      </c>
      <c r="E557" s="23" t="str">
        <f>VLOOKUP(B557,IF(A557="COMPOSICAO",S!$A:$E,I!$A:$E),4,FALSE)</f>
        <v>H</v>
      </c>
      <c r="F557" s="23">
        <f>2/pcf</f>
        <v>2</v>
      </c>
      <c r="G557" s="76">
        <f>IF(A557="COMPOSICAO",VLOOKUP("TOTAL SEM BDI - "&amp;B557,CPUAUX2!$A:$J,9,FALSE),VLOOKUP(B557,I!$A:$E,5,FALSE))</f>
        <v>29.069999999999997</v>
      </c>
      <c r="H557" s="77"/>
      <c r="I557" s="76">
        <f>TRUNC(F557*G557,2)</f>
        <v>58.14</v>
      </c>
      <c r="J557" s="77"/>
      <c r="M557" s="23">
        <f>B557</f>
        <v>88310</v>
      </c>
      <c r="N557" s="23">
        <f>SUMIF(CPU!M:M,B555,CPU!O:O)</f>
        <v>7</v>
      </c>
      <c r="O557" s="23">
        <f>F557*N557</f>
        <v>14</v>
      </c>
      <c r="Q557" s="23">
        <f ca="1">SUMIF(CPU!M:M,B555,CPU!R:R)</f>
        <v>3</v>
      </c>
      <c r="R557" s="23">
        <f ca="1">F557*Q557</f>
        <v>6</v>
      </c>
    </row>
    <row r="558" spans="1:18" ht="30" customHeight="1" x14ac:dyDescent="0.3">
      <c r="A558" s="23" t="s">
        <v>1005</v>
      </c>
      <c r="B558" s="23">
        <v>43776</v>
      </c>
      <c r="C558" s="23" t="str">
        <f>VLOOKUP(B558,IF(A558="COMPOSICAO",S!$A:$E,I!$A:$E),2,FALSE)</f>
        <v>SINAPI</v>
      </c>
      <c r="D558" s="24" t="str">
        <f>VLOOKUP(B558,IF(A558="COMPOSICAO",S!$A:$E,I!$A:$E),3,FALSE)</f>
        <v>TINTA A OLEO BRILHANTE, PARA MADEIRAS E METAIS</v>
      </c>
      <c r="E558" s="23" t="str">
        <f>VLOOKUP(B558,IF(A558="COMPOSICAO",S!$A:$E,I!$A:$E),4,FALSE)</f>
        <v>L</v>
      </c>
      <c r="F558" s="23">
        <v>0.17</v>
      </c>
      <c r="G558" s="76">
        <f>IF(A558="COMPOSICAO",VLOOKUP("TOTAL SEM BDI - "&amp;B558,CPUAUX2!$A:$J,9,FALSE),VLOOKUP(B558,I!$A:$E,5,FALSE))</f>
        <v>26.79</v>
      </c>
      <c r="H558" s="77"/>
      <c r="I558" s="76">
        <f>TRUNC(F558*G558,2)</f>
        <v>4.55</v>
      </c>
      <c r="J558" s="77"/>
      <c r="M558" s="23">
        <f>B558</f>
        <v>43776</v>
      </c>
      <c r="N558" s="23">
        <f>SUMIF(CPU!M:M,B555,CPU!O:O)</f>
        <v>7</v>
      </c>
      <c r="O558" s="23">
        <f>F558*N558</f>
        <v>1.1900000000000002</v>
      </c>
      <c r="Q558" s="23">
        <f ca="1">SUMIF(CPU!M:M,B555,CPU!R:R)</f>
        <v>3</v>
      </c>
      <c r="R558" s="23">
        <f ca="1">F558*Q558</f>
        <v>0.51</v>
      </c>
    </row>
    <row r="559" spans="1:18" x14ac:dyDescent="0.3">
      <c r="A559" s="23" t="s">
        <v>1005</v>
      </c>
      <c r="B559" s="23">
        <v>5318</v>
      </c>
      <c r="C559" s="23" t="str">
        <f>VLOOKUP(B559,IF(A559="COMPOSICAO",S!$A:$E,I!$A:$E),2,FALSE)</f>
        <v>SINAPI</v>
      </c>
      <c r="D559" s="24" t="str">
        <f>VLOOKUP(B559,IF(A559="COMPOSICAO",S!$A:$E,I!$A:$E),3,FALSE)</f>
        <v>DILUENTE AGUARRAS</v>
      </c>
      <c r="E559" s="23" t="str">
        <f>VLOOKUP(B559,IF(A559="COMPOSICAO",S!$A:$E,I!$A:$E),4,FALSE)</f>
        <v>L</v>
      </c>
      <c r="F559" s="23">
        <v>1.7000000000000001E-2</v>
      </c>
      <c r="G559" s="76">
        <f>IF(A559="COMPOSICAO",VLOOKUP("TOTAL SEM BDI - "&amp;B559,CPUAUX2!$A:$J,9,FALSE),VLOOKUP(B559,I!$A:$E,5,FALSE))</f>
        <v>31.92</v>
      </c>
      <c r="H559" s="77"/>
      <c r="I559" s="76">
        <f>TRUNC(F559*G559,2)</f>
        <v>0.54</v>
      </c>
      <c r="J559" s="77"/>
      <c r="M559" s="23">
        <f>B559</f>
        <v>5318</v>
      </c>
      <c r="N559" s="23">
        <f>SUMIF(CPU!M:M,B555,CPU!O:O)</f>
        <v>7</v>
      </c>
      <c r="O559" s="23">
        <f>F559*N559</f>
        <v>0.11900000000000001</v>
      </c>
      <c r="Q559" s="23">
        <f ca="1">SUMIF(CPU!M:M,B555,CPU!R:R)</f>
        <v>3</v>
      </c>
      <c r="R559" s="23">
        <f ca="1">F559*Q559</f>
        <v>5.1000000000000004E-2</v>
      </c>
    </row>
    <row r="560" spans="1:18" x14ac:dyDescent="0.3">
      <c r="A560" s="73" t="str">
        <f>"TOTAL SEM BDI - "&amp;B555</f>
        <v>TOTAL SEM BDI - COMPOS33</v>
      </c>
      <c r="B560" s="74"/>
      <c r="C560" s="74"/>
      <c r="D560" s="74"/>
      <c r="E560" s="74"/>
      <c r="F560" s="74"/>
      <c r="G560" s="74"/>
      <c r="H560" s="75"/>
      <c r="I560" s="76">
        <f>SUM(I555:I559)</f>
        <v>84.94</v>
      </c>
      <c r="J560" s="77"/>
    </row>
    <row r="562" spans="1:18" x14ac:dyDescent="0.3">
      <c r="A562" s="4" t="s">
        <v>1000</v>
      </c>
      <c r="B562" s="4" t="s">
        <v>170</v>
      </c>
      <c r="C562" s="4" t="s">
        <v>171</v>
      </c>
      <c r="D562" s="4" t="s">
        <v>18</v>
      </c>
      <c r="E562" s="4" t="s">
        <v>172</v>
      </c>
      <c r="F562" s="4" t="s">
        <v>507</v>
      </c>
      <c r="G562" s="45" t="s">
        <v>1001</v>
      </c>
      <c r="H562" s="46"/>
      <c r="I562" s="45" t="s">
        <v>12</v>
      </c>
      <c r="J562" s="46"/>
    </row>
    <row r="563" spans="1:18" ht="45" customHeight="1" x14ac:dyDescent="0.3">
      <c r="A563" s="15" t="s">
        <v>1076</v>
      </c>
      <c r="B563" s="15">
        <v>5632</v>
      </c>
      <c r="C563" s="15" t="str">
        <f>VLOOKUP(B563,S!$A:$G,2,FALSE)</f>
        <v>SINAPI</v>
      </c>
      <c r="D563" s="22" t="str">
        <f>VLOOKUP(B563,S!$A:$G,3,FALSE)</f>
        <v>ESCAVADEIRA HIDRÁULICA SOBRE ESTEIRAS, CAÇAMBA 0,80 M3, PESO OPERACIONAL 17 T, POTENCIA BRUTA 111 HP - CHI DIURNO. AF_06/2014</v>
      </c>
      <c r="E563" s="15" t="str">
        <f>VLOOKUP(B563,S!$A:$G,4,FALSE)</f>
        <v>CHI</v>
      </c>
      <c r="F563" s="15"/>
      <c r="G563" s="78">
        <f>I567</f>
        <v>91.12</v>
      </c>
      <c r="H563" s="79"/>
      <c r="I563" s="78"/>
      <c r="J563" s="79"/>
      <c r="K563" s="16">
        <f>VLOOKUP(B563,S!A:G,5,FALSE)</f>
        <v>91.12</v>
      </c>
      <c r="L563" s="15" t="str">
        <f>IF(K563=G563,"OK, CONFORME TABELA",IF(G563&gt;K563,"ACIMA DA TABELA: ","ABAIXO DA TABELA: ")&amp;TRUNC((G563*100)/K563,2)&amp;" %")</f>
        <v>OK, CONFORME TABELA</v>
      </c>
    </row>
    <row r="564" spans="1:18" ht="30" customHeight="1" x14ac:dyDescent="0.3">
      <c r="A564" s="23" t="s">
        <v>1004</v>
      </c>
      <c r="B564" s="23">
        <v>88294</v>
      </c>
      <c r="C564" s="23" t="str">
        <f>VLOOKUP(B564,IF(A564="COMPOSICAO",S!$A:$E,I!$A:$E),2,FALSE)</f>
        <v>SINAPI</v>
      </c>
      <c r="D564" s="24" t="str">
        <f>VLOOKUP(B564,IF(A564="COMPOSICAO",S!$A:$E,I!$A:$E),3,FALSE)</f>
        <v>OPERADOR DE ESCAVADEIRA COM ENCARGOS COMPLEMENTARES</v>
      </c>
      <c r="E564" s="23" t="str">
        <f>VLOOKUP(B564,IF(A564="COMPOSICAO",S!$A:$E,I!$A:$E),4,FALSE)</f>
        <v>H</v>
      </c>
      <c r="F564" s="23">
        <v>1</v>
      </c>
      <c r="G564" s="76">
        <f>IF(A564="COMPOSICAO",VLOOKUP("TOTAL SEM BDI - "&amp;B564,CPUAUX2!$A:$J,9,FALSE),VLOOKUP(B564,I!$A:$E,5,FALSE))</f>
        <v>30.25</v>
      </c>
      <c r="H564" s="77"/>
      <c r="I564" s="76">
        <f>TRUNC(F564*G564,2)</f>
        <v>30.25</v>
      </c>
      <c r="J564" s="77"/>
      <c r="M564" s="23">
        <f>B564</f>
        <v>88294</v>
      </c>
      <c r="N564" s="23">
        <f>SUMIF(CPU!M:M,B563,CPU!O:O)</f>
        <v>135.27821132399998</v>
      </c>
      <c r="O564" s="23">
        <f>F564*N564</f>
        <v>135.27821132399998</v>
      </c>
      <c r="Q564" s="23">
        <f ca="1">SUMIF(CPU!M:M,B563,CPU!R:R)</f>
        <v>35.191594272000003</v>
      </c>
      <c r="R564" s="23">
        <f ca="1">F564*Q564</f>
        <v>35.191594272000003</v>
      </c>
    </row>
    <row r="565" spans="1:18" ht="45" customHeight="1" x14ac:dyDescent="0.3">
      <c r="A565" s="23" t="s">
        <v>1004</v>
      </c>
      <c r="B565" s="23">
        <v>5628</v>
      </c>
      <c r="C565" s="23" t="str">
        <f>VLOOKUP(B565,IF(A565="COMPOSICAO",S!$A:$E,I!$A:$E),2,FALSE)</f>
        <v>SINAPI</v>
      </c>
      <c r="D565" s="24" t="str">
        <f>VLOOKUP(B565,IF(A565="COMPOSICAO",S!$A:$E,I!$A:$E),3,FALSE)</f>
        <v>ESCAVADEIRA HIDRÁULICA SOBRE ESTEIRAS, CAÇAMBA 0,80 M3, PESO OPERACIONAL 17 T, POTENCIA BRUTA 111 HP - JUROS. AF_06/2014</v>
      </c>
      <c r="E565" s="23" t="str">
        <f>VLOOKUP(B565,IF(A565="COMPOSICAO",S!$A:$E,I!$A:$E),4,FALSE)</f>
        <v>H</v>
      </c>
      <c r="F565" s="23">
        <v>1</v>
      </c>
      <c r="G565" s="76">
        <f>IF(A565="COMPOSICAO",VLOOKUP("TOTAL SEM BDI - "&amp;B565,CPUAUX2!$A:$J,9,FALSE),VLOOKUP(B565,I!$A:$E,5,FALSE))</f>
        <v>12.72</v>
      </c>
      <c r="H565" s="77"/>
      <c r="I565" s="76">
        <f>TRUNC(F565*G565,2)</f>
        <v>12.72</v>
      </c>
      <c r="J565" s="77"/>
      <c r="M565" s="23">
        <f>B565</f>
        <v>5628</v>
      </c>
      <c r="N565" s="23">
        <f>SUMIF(CPU!M:M,B563,CPU!O:O)</f>
        <v>135.27821132399998</v>
      </c>
      <c r="O565" s="23">
        <f>F565*N565</f>
        <v>135.27821132399998</v>
      </c>
      <c r="Q565" s="23">
        <f ca="1">SUMIF(CPU!M:M,B563,CPU!R:R)</f>
        <v>35.191594272000003</v>
      </c>
      <c r="R565" s="23">
        <f ca="1">F565*Q565</f>
        <v>35.191594272000003</v>
      </c>
    </row>
    <row r="566" spans="1:18" ht="45" customHeight="1" x14ac:dyDescent="0.3">
      <c r="A566" s="23" t="s">
        <v>1004</v>
      </c>
      <c r="B566" s="23">
        <v>5627</v>
      </c>
      <c r="C566" s="23" t="str">
        <f>VLOOKUP(B566,IF(A566="COMPOSICAO",S!$A:$E,I!$A:$E),2,FALSE)</f>
        <v>SINAPI</v>
      </c>
      <c r="D566" s="24" t="str">
        <f>VLOOKUP(B566,IF(A566="COMPOSICAO",S!$A:$E,I!$A:$E),3,FALSE)</f>
        <v>ESCAVADEIRA HIDRÁULICA SOBRE ESTEIRAS, CAÇAMBA 0,80 M3, PESO OPERACIONAL 17 T, POTENCIA BRUTA 111 HP - DEPRECIAÇÃO. AF_06/2014</v>
      </c>
      <c r="E566" s="23" t="str">
        <f>VLOOKUP(B566,IF(A566="COMPOSICAO",S!$A:$E,I!$A:$E),4,FALSE)</f>
        <v>H</v>
      </c>
      <c r="F566" s="23">
        <v>1</v>
      </c>
      <c r="G566" s="76">
        <f>IF(A566="COMPOSICAO",VLOOKUP("TOTAL SEM BDI - "&amp;B566,CPUAUX2!$A:$J,9,FALSE),VLOOKUP(B566,I!$A:$E,5,FALSE))</f>
        <v>48.15</v>
      </c>
      <c r="H566" s="77"/>
      <c r="I566" s="76">
        <f>TRUNC(F566*G566,2)</f>
        <v>48.15</v>
      </c>
      <c r="J566" s="77"/>
      <c r="M566" s="23">
        <f>B566</f>
        <v>5627</v>
      </c>
      <c r="N566" s="23">
        <f>SUMIF(CPU!M:M,B563,CPU!O:O)</f>
        <v>135.27821132399998</v>
      </c>
      <c r="O566" s="23">
        <f>F566*N566</f>
        <v>135.27821132399998</v>
      </c>
      <c r="Q566" s="23">
        <f ca="1">SUMIF(CPU!M:M,B563,CPU!R:R)</f>
        <v>35.191594272000003</v>
      </c>
      <c r="R566" s="23">
        <f ca="1">F566*Q566</f>
        <v>35.191594272000003</v>
      </c>
    </row>
    <row r="567" spans="1:18" x14ac:dyDescent="0.3">
      <c r="A567" s="73" t="str">
        <f>"TOTAL SEM BDI - "&amp;B563</f>
        <v>TOTAL SEM BDI - 5632</v>
      </c>
      <c r="B567" s="74"/>
      <c r="C567" s="74"/>
      <c r="D567" s="74"/>
      <c r="E567" s="74"/>
      <c r="F567" s="74"/>
      <c r="G567" s="74"/>
      <c r="H567" s="75"/>
      <c r="I567" s="76">
        <f>SUM(I563:I566)</f>
        <v>91.12</v>
      </c>
      <c r="J567" s="77"/>
    </row>
    <row r="569" spans="1:18" x14ac:dyDescent="0.3">
      <c r="A569" s="4" t="s">
        <v>1000</v>
      </c>
      <c r="B569" s="4" t="s">
        <v>170</v>
      </c>
      <c r="C569" s="4" t="s">
        <v>171</v>
      </c>
      <c r="D569" s="4" t="s">
        <v>18</v>
      </c>
      <c r="E569" s="4" t="s">
        <v>172</v>
      </c>
      <c r="F569" s="4" t="s">
        <v>507</v>
      </c>
      <c r="G569" s="45" t="s">
        <v>1001</v>
      </c>
      <c r="H569" s="46"/>
      <c r="I569" s="45" t="s">
        <v>12</v>
      </c>
      <c r="J569" s="46"/>
    </row>
    <row r="570" spans="1:18" ht="45" customHeight="1" x14ac:dyDescent="0.3">
      <c r="A570" s="15" t="s">
        <v>1076</v>
      </c>
      <c r="B570" s="15">
        <v>5631</v>
      </c>
      <c r="C570" s="15" t="str">
        <f>VLOOKUP(B570,S!$A:$G,2,FALSE)</f>
        <v>SINAPI</v>
      </c>
      <c r="D570" s="22" t="str">
        <f>VLOOKUP(B570,S!$A:$G,3,FALSE)</f>
        <v>ESCAVADEIRA HIDRÁULICA SOBRE ESTEIRAS, CAÇAMBA 0,80 M3, PESO OPERACIONAL 17 T, POTENCIA BRUTA 111 HP - CHP DIURNO. AF_06/2014</v>
      </c>
      <c r="E570" s="15" t="str">
        <f>VLOOKUP(B570,S!$A:$G,4,FALSE)</f>
        <v>CHP</v>
      </c>
      <c r="F570" s="15"/>
      <c r="G570" s="78">
        <f>I576</f>
        <v>214.63</v>
      </c>
      <c r="H570" s="79"/>
      <c r="I570" s="78"/>
      <c r="J570" s="79"/>
      <c r="K570" s="16">
        <f>VLOOKUP(B570,S!A:G,5,FALSE)</f>
        <v>214.63</v>
      </c>
      <c r="L570" s="15" t="str">
        <f>IF(K570=G570,"OK, CONFORME TABELA",IF(G570&gt;K570,"ACIMA DA TABELA: ","ABAIXO DA TABELA: ")&amp;TRUNC((G570*100)/K570,2)&amp;" %")</f>
        <v>OK, CONFORME TABELA</v>
      </c>
    </row>
    <row r="571" spans="1:18" ht="30" customHeight="1" x14ac:dyDescent="0.3">
      <c r="A571" s="23" t="s">
        <v>1004</v>
      </c>
      <c r="B571" s="23">
        <v>88294</v>
      </c>
      <c r="C571" s="23" t="str">
        <f>VLOOKUP(B571,IF(A571="COMPOSICAO",S!$A:$E,I!$A:$E),2,FALSE)</f>
        <v>SINAPI</v>
      </c>
      <c r="D571" s="24" t="str">
        <f>VLOOKUP(B571,IF(A571="COMPOSICAO",S!$A:$E,I!$A:$E),3,FALSE)</f>
        <v>OPERADOR DE ESCAVADEIRA COM ENCARGOS COMPLEMENTARES</v>
      </c>
      <c r="E571" s="23" t="str">
        <f>VLOOKUP(B571,IF(A571="COMPOSICAO",S!$A:$E,I!$A:$E),4,FALSE)</f>
        <v>H</v>
      </c>
      <c r="F571" s="23">
        <v>1</v>
      </c>
      <c r="G571" s="76">
        <f>IF(A571="COMPOSICAO",VLOOKUP("TOTAL SEM BDI - "&amp;B571,CPUAUX2!$A:$J,9,FALSE),VLOOKUP(B571,I!$A:$E,5,FALSE))</f>
        <v>30.25</v>
      </c>
      <c r="H571" s="77"/>
      <c r="I571" s="76">
        <f>TRUNC(F571*G571,2)</f>
        <v>30.25</v>
      </c>
      <c r="J571" s="77"/>
      <c r="M571" s="23">
        <f>B571</f>
        <v>88294</v>
      </c>
      <c r="N571" s="23">
        <f>SUMIF(CPU!M:M,B570,CPU!O:O)</f>
        <v>171.73606666799995</v>
      </c>
      <c r="O571" s="23">
        <f>F571*N571</f>
        <v>171.73606666799995</v>
      </c>
      <c r="Q571" s="23">
        <f ca="1">SUMIF(CPU!M:M,B570,CPU!R:R)</f>
        <v>44.675827104</v>
      </c>
      <c r="R571" s="23">
        <f ca="1">F571*Q571</f>
        <v>44.675827104</v>
      </c>
    </row>
    <row r="572" spans="1:18" ht="60" customHeight="1" x14ac:dyDescent="0.3">
      <c r="A572" s="23" t="s">
        <v>1004</v>
      </c>
      <c r="B572" s="23">
        <v>5630</v>
      </c>
      <c r="C572" s="23" t="str">
        <f>VLOOKUP(B572,IF(A572="COMPOSICAO",S!$A:$E,I!$A:$E),2,FALSE)</f>
        <v>SINAPI</v>
      </c>
      <c r="D572" s="24" t="str">
        <f>VLOOKUP(B572,IF(A572="COMPOSICAO",S!$A:$E,I!$A:$E),3,FALSE)</f>
        <v>ESCAVADEIRA HIDRÁULICA SOBRE ESTEIRAS, CAÇAMBA 0,80 M3, PESO OPERACIONAL 17 T, POTENCIA BRUTA 111 HP - MATERIAIS NA OPERAÇÃO. AF_06/2014</v>
      </c>
      <c r="E572" s="23" t="str">
        <f>VLOOKUP(B572,IF(A572="COMPOSICAO",S!$A:$E,I!$A:$E),4,FALSE)</f>
        <v>H</v>
      </c>
      <c r="F572" s="23">
        <v>1</v>
      </c>
      <c r="G572" s="76">
        <f>IF(A572="COMPOSICAO",VLOOKUP("TOTAL SEM BDI - "&amp;B572,CPUAUX2!$A:$J,9,FALSE),VLOOKUP(B572,I!$A:$E,5,FALSE))</f>
        <v>63.32</v>
      </c>
      <c r="H572" s="77"/>
      <c r="I572" s="76">
        <f>TRUNC(F572*G572,2)</f>
        <v>63.32</v>
      </c>
      <c r="J572" s="77"/>
      <c r="M572" s="23">
        <f>B572</f>
        <v>5630</v>
      </c>
      <c r="N572" s="23">
        <f>SUMIF(CPU!M:M,B570,CPU!O:O)</f>
        <v>171.73606666799995</v>
      </c>
      <c r="O572" s="23">
        <f>F572*N572</f>
        <v>171.73606666799995</v>
      </c>
      <c r="Q572" s="23">
        <f ca="1">SUMIF(CPU!M:M,B570,CPU!R:R)</f>
        <v>44.675827104</v>
      </c>
      <c r="R572" s="23">
        <f ca="1">F572*Q572</f>
        <v>44.675827104</v>
      </c>
    </row>
    <row r="573" spans="1:18" ht="45" customHeight="1" x14ac:dyDescent="0.3">
      <c r="A573" s="23" t="s">
        <v>1004</v>
      </c>
      <c r="B573" s="23">
        <v>5629</v>
      </c>
      <c r="C573" s="23" t="str">
        <f>VLOOKUP(B573,IF(A573="COMPOSICAO",S!$A:$E,I!$A:$E),2,FALSE)</f>
        <v>SINAPI</v>
      </c>
      <c r="D573" s="24" t="str">
        <f>VLOOKUP(B573,IF(A573="COMPOSICAO",S!$A:$E,I!$A:$E),3,FALSE)</f>
        <v>ESCAVADEIRA HIDRÁULICA SOBRE ESTEIRAS, CAÇAMBA 0,80 M3, PESO OPERACIONAL 17 T, POTENCIA BRUTA 111 HP - MANUTENÇÃO. AF_06/2014</v>
      </c>
      <c r="E573" s="23" t="str">
        <f>VLOOKUP(B573,IF(A573="COMPOSICAO",S!$A:$E,I!$A:$E),4,FALSE)</f>
        <v>H</v>
      </c>
      <c r="F573" s="23">
        <v>1</v>
      </c>
      <c r="G573" s="76">
        <f>IF(A573="COMPOSICAO",VLOOKUP("TOTAL SEM BDI - "&amp;B573,CPUAUX2!$A:$J,9,FALSE),VLOOKUP(B573,I!$A:$E,5,FALSE))</f>
        <v>60.19</v>
      </c>
      <c r="H573" s="77"/>
      <c r="I573" s="76">
        <f>TRUNC(F573*G573,2)</f>
        <v>60.19</v>
      </c>
      <c r="J573" s="77"/>
      <c r="M573" s="23">
        <f>B573</f>
        <v>5629</v>
      </c>
      <c r="N573" s="23">
        <f>SUMIF(CPU!M:M,B570,CPU!O:O)</f>
        <v>171.73606666799995</v>
      </c>
      <c r="O573" s="23">
        <f>F573*N573</f>
        <v>171.73606666799995</v>
      </c>
      <c r="Q573" s="23">
        <f ca="1">SUMIF(CPU!M:M,B570,CPU!R:R)</f>
        <v>44.675827104</v>
      </c>
      <c r="R573" s="23">
        <f ca="1">F573*Q573</f>
        <v>44.675827104</v>
      </c>
    </row>
    <row r="574" spans="1:18" ht="45" customHeight="1" x14ac:dyDescent="0.3">
      <c r="A574" s="23" t="s">
        <v>1004</v>
      </c>
      <c r="B574" s="23">
        <v>5628</v>
      </c>
      <c r="C574" s="23" t="str">
        <f>VLOOKUP(B574,IF(A574="COMPOSICAO",S!$A:$E,I!$A:$E),2,FALSE)</f>
        <v>SINAPI</v>
      </c>
      <c r="D574" s="24" t="str">
        <f>VLOOKUP(B574,IF(A574="COMPOSICAO",S!$A:$E,I!$A:$E),3,FALSE)</f>
        <v>ESCAVADEIRA HIDRÁULICA SOBRE ESTEIRAS, CAÇAMBA 0,80 M3, PESO OPERACIONAL 17 T, POTENCIA BRUTA 111 HP - JUROS. AF_06/2014</v>
      </c>
      <c r="E574" s="23" t="str">
        <f>VLOOKUP(B574,IF(A574="COMPOSICAO",S!$A:$E,I!$A:$E),4,FALSE)</f>
        <v>H</v>
      </c>
      <c r="F574" s="23">
        <v>1</v>
      </c>
      <c r="G574" s="76">
        <f>IF(A574="COMPOSICAO",VLOOKUP("TOTAL SEM BDI - "&amp;B574,CPUAUX2!$A:$J,9,FALSE),VLOOKUP(B574,I!$A:$E,5,FALSE))</f>
        <v>12.72</v>
      </c>
      <c r="H574" s="77"/>
      <c r="I574" s="76">
        <f>TRUNC(F574*G574,2)</f>
        <v>12.72</v>
      </c>
      <c r="J574" s="77"/>
      <c r="M574" s="23">
        <f>B574</f>
        <v>5628</v>
      </c>
      <c r="N574" s="23">
        <f>SUMIF(CPU!M:M,B570,CPU!O:O)</f>
        <v>171.73606666799995</v>
      </c>
      <c r="O574" s="23">
        <f>F574*N574</f>
        <v>171.73606666799995</v>
      </c>
      <c r="Q574" s="23">
        <f ca="1">SUMIF(CPU!M:M,B570,CPU!R:R)</f>
        <v>44.675827104</v>
      </c>
      <c r="R574" s="23">
        <f ca="1">F574*Q574</f>
        <v>44.675827104</v>
      </c>
    </row>
    <row r="575" spans="1:18" ht="45" customHeight="1" x14ac:dyDescent="0.3">
      <c r="A575" s="23" t="s">
        <v>1004</v>
      </c>
      <c r="B575" s="23">
        <v>5627</v>
      </c>
      <c r="C575" s="23" t="str">
        <f>VLOOKUP(B575,IF(A575="COMPOSICAO",S!$A:$E,I!$A:$E),2,FALSE)</f>
        <v>SINAPI</v>
      </c>
      <c r="D575" s="24" t="str">
        <f>VLOOKUP(B575,IF(A575="COMPOSICAO",S!$A:$E,I!$A:$E),3,FALSE)</f>
        <v>ESCAVADEIRA HIDRÁULICA SOBRE ESTEIRAS, CAÇAMBA 0,80 M3, PESO OPERACIONAL 17 T, POTENCIA BRUTA 111 HP - DEPRECIAÇÃO. AF_06/2014</v>
      </c>
      <c r="E575" s="23" t="str">
        <f>VLOOKUP(B575,IF(A575="COMPOSICAO",S!$A:$E,I!$A:$E),4,FALSE)</f>
        <v>H</v>
      </c>
      <c r="F575" s="23">
        <v>1</v>
      </c>
      <c r="G575" s="76">
        <f>IF(A575="COMPOSICAO",VLOOKUP("TOTAL SEM BDI - "&amp;B575,CPUAUX2!$A:$J,9,FALSE),VLOOKUP(B575,I!$A:$E,5,FALSE))</f>
        <v>48.15</v>
      </c>
      <c r="H575" s="77"/>
      <c r="I575" s="76">
        <f>TRUNC(F575*G575,2)</f>
        <v>48.15</v>
      </c>
      <c r="J575" s="77"/>
      <c r="M575" s="23">
        <f>B575</f>
        <v>5627</v>
      </c>
      <c r="N575" s="23">
        <f>SUMIF(CPU!M:M,B570,CPU!O:O)</f>
        <v>171.73606666799995</v>
      </c>
      <c r="O575" s="23">
        <f>F575*N575</f>
        <v>171.73606666799995</v>
      </c>
      <c r="Q575" s="23">
        <f ca="1">SUMIF(CPU!M:M,B570,CPU!R:R)</f>
        <v>44.675827104</v>
      </c>
      <c r="R575" s="23">
        <f ca="1">F575*Q575</f>
        <v>44.675827104</v>
      </c>
    </row>
    <row r="576" spans="1:18" x14ac:dyDescent="0.3">
      <c r="A576" s="73" t="str">
        <f>"TOTAL SEM BDI - "&amp;B570</f>
        <v>TOTAL SEM BDI - 5631</v>
      </c>
      <c r="B576" s="74"/>
      <c r="C576" s="74"/>
      <c r="D576" s="74"/>
      <c r="E576" s="74"/>
      <c r="F576" s="74"/>
      <c r="G576" s="74"/>
      <c r="H576" s="75"/>
      <c r="I576" s="76">
        <f>SUM(I570:I575)</f>
        <v>214.63</v>
      </c>
      <c r="J576" s="77"/>
    </row>
    <row r="578" spans="1:18" x14ac:dyDescent="0.3">
      <c r="A578" s="4" t="s">
        <v>1000</v>
      </c>
      <c r="B578" s="4" t="s">
        <v>170</v>
      </c>
      <c r="C578" s="4" t="s">
        <v>171</v>
      </c>
      <c r="D578" s="4" t="s">
        <v>18</v>
      </c>
      <c r="E578" s="4" t="s">
        <v>172</v>
      </c>
      <c r="F578" s="4" t="s">
        <v>507</v>
      </c>
      <c r="G578" s="45" t="s">
        <v>1001</v>
      </c>
      <c r="H578" s="46"/>
      <c r="I578" s="45" t="s">
        <v>12</v>
      </c>
      <c r="J578" s="46"/>
    </row>
    <row r="579" spans="1:18" ht="90" customHeight="1" x14ac:dyDescent="0.3">
      <c r="A579" s="15" t="s">
        <v>1076</v>
      </c>
      <c r="B579" s="15">
        <v>5679</v>
      </c>
      <c r="C579" s="15" t="str">
        <f>VLOOKUP(B579,S!$A:$G,2,FALSE)</f>
        <v>SINAPI</v>
      </c>
      <c r="D579" s="22" t="str">
        <f>VLOOKUP(B579,S!$A:$G,3,FALSE)</f>
        <v>RETROESCAVADEIRA SOBRE RODAS COM CARREGADEIRA, TRAÇÃO 4X4, POTÊNCIA LÍQ. 88 HP, CAÇAMBA CARREG. CAP. MÍN. 1 M3, CAÇAMBA RETRO CAP. 0,26 M3, PESO OPERACIONAL MÍN. 6.674 KG, PROFUNDIDADE ESCAVAÇÃO MÁX. 4,37 M - CHI DIURNO. AF_06/2014</v>
      </c>
      <c r="E579" s="15" t="str">
        <f>VLOOKUP(B579,S!$A:$G,4,FALSE)</f>
        <v>CHI</v>
      </c>
      <c r="F579" s="15"/>
      <c r="G579" s="78">
        <f>I583</f>
        <v>63.27</v>
      </c>
      <c r="H579" s="79"/>
      <c r="I579" s="78"/>
      <c r="J579" s="79"/>
      <c r="K579" s="16">
        <f>VLOOKUP(B579,S!A:G,5,FALSE)</f>
        <v>63.27</v>
      </c>
      <c r="L579" s="15" t="str">
        <f>IF(K579=G579,"OK, CONFORME TABELA",IF(G579&gt;K579,"ACIMA DA TABELA: ","ABAIXO DA TABELA: ")&amp;TRUNC((G579*100)/K579,2)&amp;" %")</f>
        <v>OK, CONFORME TABELA</v>
      </c>
    </row>
    <row r="580" spans="1:18" ht="90" customHeight="1" x14ac:dyDescent="0.3">
      <c r="A580" s="23" t="s">
        <v>1004</v>
      </c>
      <c r="B580" s="23">
        <v>88858</v>
      </c>
      <c r="C580" s="23" t="str">
        <f>VLOOKUP(B580,IF(A580="COMPOSICAO",S!$A:$E,I!$A:$E),2,FALSE)</f>
        <v>SINAPI</v>
      </c>
      <c r="D580" s="24" t="str">
        <f>VLOOKUP(B580,IF(A580="COMPOSICAO",S!$A:$E,I!$A:$E),3,FALSE)</f>
        <v>RETROESCAVADEIRA SOBRE RODAS COM CARREGADEIRA, TRAÇÃO 4X4, POTÊNCIA LÍQ. 88 HP, CAÇAMBA CARREG. CAP. MÍN. 1 M3, CAÇAMBA RETRO CAP. 0,26 M3, PESO OPERACIONAL MÍN. 6.674 KG, PROFUNDIDADE ESCAVAÇÃO MÁX. 4,37 M - JUROS. AF_06/2014</v>
      </c>
      <c r="E580" s="23" t="str">
        <f>VLOOKUP(B580,IF(A580="COMPOSICAO",S!$A:$E,I!$A:$E),4,FALSE)</f>
        <v>H</v>
      </c>
      <c r="F580" s="23">
        <v>1</v>
      </c>
      <c r="G580" s="76">
        <f>IF(A580="COMPOSICAO",VLOOKUP("TOTAL SEM BDI - "&amp;B580,CPUAUX2!$A:$J,9,FALSE),VLOOKUP(B580,I!$A:$E,5,FALSE))</f>
        <v>6.9</v>
      </c>
      <c r="H580" s="77"/>
      <c r="I580" s="76">
        <f>TRUNC(F580*G580,2)</f>
        <v>6.9</v>
      </c>
      <c r="J580" s="77"/>
      <c r="M580" s="23">
        <f>B580</f>
        <v>88858</v>
      </c>
      <c r="N580" s="23">
        <f>SUMIF(CPU!M:M,B579,CPU!O:O)</f>
        <v>509.52862799999991</v>
      </c>
      <c r="O580" s="23">
        <f>F580*N580</f>
        <v>509.52862799999991</v>
      </c>
      <c r="Q580" s="23">
        <f ca="1">SUMIF(CPU!M:M,B579,CPU!R:R)</f>
        <v>132.54998400000002</v>
      </c>
      <c r="R580" s="23">
        <f ca="1">F580*Q580</f>
        <v>132.54998400000002</v>
      </c>
    </row>
    <row r="581" spans="1:18" ht="90" customHeight="1" x14ac:dyDescent="0.3">
      <c r="A581" s="23" t="s">
        <v>1004</v>
      </c>
      <c r="B581" s="23">
        <v>88857</v>
      </c>
      <c r="C581" s="23" t="str">
        <f>VLOOKUP(B581,IF(A581="COMPOSICAO",S!$A:$E,I!$A:$E),2,FALSE)</f>
        <v>SINAPI</v>
      </c>
      <c r="D581" s="24" t="str">
        <f>VLOOKUP(B581,IF(A581="COMPOSICAO",S!$A:$E,I!$A:$E),3,FALSE)</f>
        <v>RETROESCAVADEIRA SOBRE RODAS COM CARREGADEIRA, TRAÇÃO 4X4, POTÊNCIA LÍQ. 88 HP, CAÇAMBA CARREG. CAP. MÍN. 1 M3, CAÇAMBA RETRO CAP. 0,26 M3, PESO OPERACIONAL MÍN. 6.674 KG, PROFUNDIDADE ESCAVAÇÃO MÁX. 4,37 M - DEPRECIAÇÃO. AF_06/2014</v>
      </c>
      <c r="E581" s="23" t="str">
        <f>VLOOKUP(B581,IF(A581="COMPOSICAO",S!$A:$E,I!$A:$E),4,FALSE)</f>
        <v>H</v>
      </c>
      <c r="F581" s="23">
        <v>1</v>
      </c>
      <c r="G581" s="76">
        <f>IF(A581="COMPOSICAO",VLOOKUP("TOTAL SEM BDI - "&amp;B581,CPUAUX2!$A:$J,9,FALSE),VLOOKUP(B581,I!$A:$E,5,FALSE))</f>
        <v>26.12</v>
      </c>
      <c r="H581" s="77"/>
      <c r="I581" s="76">
        <f>TRUNC(F581*G581,2)</f>
        <v>26.12</v>
      </c>
      <c r="J581" s="77"/>
      <c r="M581" s="23">
        <f>B581</f>
        <v>88857</v>
      </c>
      <c r="N581" s="23">
        <f>SUMIF(CPU!M:M,B579,CPU!O:O)</f>
        <v>509.52862799999991</v>
      </c>
      <c r="O581" s="23">
        <f>F581*N581</f>
        <v>509.52862799999991</v>
      </c>
      <c r="Q581" s="23">
        <f ca="1">SUMIF(CPU!M:M,B579,CPU!R:R)</f>
        <v>132.54998400000002</v>
      </c>
      <c r="R581" s="23">
        <f ca="1">F581*Q581</f>
        <v>132.54998400000002</v>
      </c>
    </row>
    <row r="582" spans="1:18" ht="30" customHeight="1" x14ac:dyDescent="0.3">
      <c r="A582" s="23" t="s">
        <v>1004</v>
      </c>
      <c r="B582" s="23">
        <v>88294</v>
      </c>
      <c r="C582" s="23" t="str">
        <f>VLOOKUP(B582,IF(A582="COMPOSICAO",S!$A:$E,I!$A:$E),2,FALSE)</f>
        <v>SINAPI</v>
      </c>
      <c r="D582" s="24" t="str">
        <f>VLOOKUP(B582,IF(A582="COMPOSICAO",S!$A:$E,I!$A:$E),3,FALSE)</f>
        <v>OPERADOR DE ESCAVADEIRA COM ENCARGOS COMPLEMENTARES</v>
      </c>
      <c r="E582" s="23" t="str">
        <f>VLOOKUP(B582,IF(A582="COMPOSICAO",S!$A:$E,I!$A:$E),4,FALSE)</f>
        <v>H</v>
      </c>
      <c r="F582" s="23">
        <v>1</v>
      </c>
      <c r="G582" s="76">
        <f>IF(A582="COMPOSICAO",VLOOKUP("TOTAL SEM BDI - "&amp;B582,CPUAUX2!$A:$J,9,FALSE),VLOOKUP(B582,I!$A:$E,5,FALSE))</f>
        <v>30.25</v>
      </c>
      <c r="H582" s="77"/>
      <c r="I582" s="76">
        <f>TRUNC(F582*G582,2)</f>
        <v>30.25</v>
      </c>
      <c r="J582" s="77"/>
      <c r="M582" s="23">
        <f>B582</f>
        <v>88294</v>
      </c>
      <c r="N582" s="23">
        <f>SUMIF(CPU!M:M,B579,CPU!O:O)</f>
        <v>509.52862799999991</v>
      </c>
      <c r="O582" s="23">
        <f>F582*N582</f>
        <v>509.52862799999991</v>
      </c>
      <c r="Q582" s="23">
        <f ca="1">SUMIF(CPU!M:M,B579,CPU!R:R)</f>
        <v>132.54998400000002</v>
      </c>
      <c r="R582" s="23">
        <f ca="1">F582*Q582</f>
        <v>132.54998400000002</v>
      </c>
    </row>
    <row r="583" spans="1:18" x14ac:dyDescent="0.3">
      <c r="A583" s="73" t="str">
        <f>"TOTAL SEM BDI - "&amp;B579</f>
        <v>TOTAL SEM BDI - 5679</v>
      </c>
      <c r="B583" s="74"/>
      <c r="C583" s="74"/>
      <c r="D583" s="74"/>
      <c r="E583" s="74"/>
      <c r="F583" s="74"/>
      <c r="G583" s="74"/>
      <c r="H583" s="75"/>
      <c r="I583" s="76">
        <f>SUM(I579:I582)</f>
        <v>63.27</v>
      </c>
      <c r="J583" s="77"/>
    </row>
    <row r="585" spans="1:18" x14ac:dyDescent="0.3">
      <c r="A585" s="4" t="s">
        <v>1000</v>
      </c>
      <c r="B585" s="4" t="s">
        <v>170</v>
      </c>
      <c r="C585" s="4" t="s">
        <v>171</v>
      </c>
      <c r="D585" s="4" t="s">
        <v>18</v>
      </c>
      <c r="E585" s="4" t="s">
        <v>172</v>
      </c>
      <c r="F585" s="4" t="s">
        <v>507</v>
      </c>
      <c r="G585" s="45" t="s">
        <v>1001</v>
      </c>
      <c r="H585" s="46"/>
      <c r="I585" s="45" t="s">
        <v>12</v>
      </c>
      <c r="J585" s="46"/>
    </row>
    <row r="586" spans="1:18" ht="90" customHeight="1" x14ac:dyDescent="0.3">
      <c r="A586" s="15" t="s">
        <v>1076</v>
      </c>
      <c r="B586" s="15">
        <v>5678</v>
      </c>
      <c r="C586" s="15" t="str">
        <f>VLOOKUP(B586,S!$A:$G,2,FALSE)</f>
        <v>SINAPI</v>
      </c>
      <c r="D586" s="22" t="str">
        <f>VLOOKUP(B586,S!$A:$G,3,FALSE)</f>
        <v>RETROESCAVADEIRA SOBRE RODAS COM CARREGADEIRA, TRAÇÃO 4X4, POTÊNCIA LÍQ. 88 HP, CAÇAMBA CARREG. CAP. MÍN. 1 M3, CAÇAMBA RETRO CAP. 0,26 M3, PESO OPERACIONAL MÍN. 6.674 KG, PROFUNDIDADE ESCAVAÇÃO MÁX. 4,37 M - CHP DIURNO. AF_06/2014</v>
      </c>
      <c r="E586" s="15" t="str">
        <f>VLOOKUP(B586,S!$A:$G,4,FALSE)</f>
        <v>CHP</v>
      </c>
      <c r="F586" s="15"/>
      <c r="G586" s="78">
        <f>I592</f>
        <v>146.07</v>
      </c>
      <c r="H586" s="79"/>
      <c r="I586" s="78"/>
      <c r="J586" s="79"/>
      <c r="K586" s="16">
        <f>VLOOKUP(B586,S!A:G,5,FALSE)</f>
        <v>146.07</v>
      </c>
      <c r="L586" s="15" t="str">
        <f>IF(K586=G586,"OK, CONFORME TABELA",IF(G586&gt;K586,"ACIMA DA TABELA: ","ABAIXO DA TABELA: ")&amp;TRUNC((G586*100)/K586,2)&amp;" %")</f>
        <v>OK, CONFORME TABELA</v>
      </c>
    </row>
    <row r="587" spans="1:18" ht="90" customHeight="1" x14ac:dyDescent="0.3">
      <c r="A587" s="23" t="s">
        <v>1004</v>
      </c>
      <c r="B587" s="23">
        <v>88858</v>
      </c>
      <c r="C587" s="23" t="str">
        <f>VLOOKUP(B587,IF(A587="COMPOSICAO",S!$A:$E,I!$A:$E),2,FALSE)</f>
        <v>SINAPI</v>
      </c>
      <c r="D587" s="24" t="str">
        <f>VLOOKUP(B587,IF(A587="COMPOSICAO",S!$A:$E,I!$A:$E),3,FALSE)</f>
        <v>RETROESCAVADEIRA SOBRE RODAS COM CARREGADEIRA, TRAÇÃO 4X4, POTÊNCIA LÍQ. 88 HP, CAÇAMBA CARREG. CAP. MÍN. 1 M3, CAÇAMBA RETRO CAP. 0,26 M3, PESO OPERACIONAL MÍN. 6.674 KG, PROFUNDIDADE ESCAVAÇÃO MÁX. 4,37 M - JUROS. AF_06/2014</v>
      </c>
      <c r="E587" s="23" t="str">
        <f>VLOOKUP(B587,IF(A587="COMPOSICAO",S!$A:$E,I!$A:$E),4,FALSE)</f>
        <v>H</v>
      </c>
      <c r="F587" s="23">
        <v>1</v>
      </c>
      <c r="G587" s="76">
        <f>IF(A587="COMPOSICAO",VLOOKUP("TOTAL SEM BDI - "&amp;B587,CPUAUX2!$A:$J,9,FALSE),VLOOKUP(B587,I!$A:$E,5,FALSE))</f>
        <v>6.9</v>
      </c>
      <c r="H587" s="77"/>
      <c r="I587" s="76">
        <f>TRUNC(F587*G587,2)</f>
        <v>6.9</v>
      </c>
      <c r="J587" s="77"/>
      <c r="M587" s="23">
        <f>B587</f>
        <v>88858</v>
      </c>
      <c r="N587" s="23">
        <f>SUMIF(CPU!M:M,B586,CPU!O:O)</f>
        <v>352.80103199999991</v>
      </c>
      <c r="O587" s="23">
        <f>F587*N587</f>
        <v>352.80103199999991</v>
      </c>
      <c r="Q587" s="23">
        <f ca="1">SUMIF(CPU!M:M,B586,CPU!R:R)</f>
        <v>91.778496000000004</v>
      </c>
      <c r="R587" s="23">
        <f ca="1">F587*Q587</f>
        <v>91.778496000000004</v>
      </c>
    </row>
    <row r="588" spans="1:18" ht="90" customHeight="1" x14ac:dyDescent="0.3">
      <c r="A588" s="23" t="s">
        <v>1004</v>
      </c>
      <c r="B588" s="23">
        <v>88857</v>
      </c>
      <c r="C588" s="23" t="str">
        <f>VLOOKUP(B588,IF(A588="COMPOSICAO",S!$A:$E,I!$A:$E),2,FALSE)</f>
        <v>SINAPI</v>
      </c>
      <c r="D588" s="24" t="str">
        <f>VLOOKUP(B588,IF(A588="COMPOSICAO",S!$A:$E,I!$A:$E),3,FALSE)</f>
        <v>RETROESCAVADEIRA SOBRE RODAS COM CARREGADEIRA, TRAÇÃO 4X4, POTÊNCIA LÍQ. 88 HP, CAÇAMBA CARREG. CAP. MÍN. 1 M3, CAÇAMBA RETRO CAP. 0,26 M3, PESO OPERACIONAL MÍN. 6.674 KG, PROFUNDIDADE ESCAVAÇÃO MÁX. 4,37 M - DEPRECIAÇÃO. AF_06/2014</v>
      </c>
      <c r="E588" s="23" t="str">
        <f>VLOOKUP(B588,IF(A588="COMPOSICAO",S!$A:$E,I!$A:$E),4,FALSE)</f>
        <v>H</v>
      </c>
      <c r="F588" s="23">
        <v>1</v>
      </c>
      <c r="G588" s="76">
        <f>IF(A588="COMPOSICAO",VLOOKUP("TOTAL SEM BDI - "&amp;B588,CPUAUX2!$A:$J,9,FALSE),VLOOKUP(B588,I!$A:$E,5,FALSE))</f>
        <v>26.12</v>
      </c>
      <c r="H588" s="77"/>
      <c r="I588" s="76">
        <f>TRUNC(F588*G588,2)</f>
        <v>26.12</v>
      </c>
      <c r="J588" s="77"/>
      <c r="M588" s="23">
        <f>B588</f>
        <v>88857</v>
      </c>
      <c r="N588" s="23">
        <f>SUMIF(CPU!M:M,B586,CPU!O:O)</f>
        <v>352.80103199999991</v>
      </c>
      <c r="O588" s="23">
        <f>F588*N588</f>
        <v>352.80103199999991</v>
      </c>
      <c r="Q588" s="23">
        <f ca="1">SUMIF(CPU!M:M,B586,CPU!R:R)</f>
        <v>91.778496000000004</v>
      </c>
      <c r="R588" s="23">
        <f ca="1">F588*Q588</f>
        <v>91.778496000000004</v>
      </c>
    </row>
    <row r="589" spans="1:18" ht="30" customHeight="1" x14ac:dyDescent="0.3">
      <c r="A589" s="23" t="s">
        <v>1004</v>
      </c>
      <c r="B589" s="23">
        <v>88294</v>
      </c>
      <c r="C589" s="23" t="str">
        <f>VLOOKUP(B589,IF(A589="COMPOSICAO",S!$A:$E,I!$A:$E),2,FALSE)</f>
        <v>SINAPI</v>
      </c>
      <c r="D589" s="24" t="str">
        <f>VLOOKUP(B589,IF(A589="COMPOSICAO",S!$A:$E,I!$A:$E),3,FALSE)</f>
        <v>OPERADOR DE ESCAVADEIRA COM ENCARGOS COMPLEMENTARES</v>
      </c>
      <c r="E589" s="23" t="str">
        <f>VLOOKUP(B589,IF(A589="COMPOSICAO",S!$A:$E,I!$A:$E),4,FALSE)</f>
        <v>H</v>
      </c>
      <c r="F589" s="23">
        <v>1</v>
      </c>
      <c r="G589" s="76">
        <f>IF(A589="COMPOSICAO",VLOOKUP("TOTAL SEM BDI - "&amp;B589,CPUAUX2!$A:$J,9,FALSE),VLOOKUP(B589,I!$A:$E,5,FALSE))</f>
        <v>30.25</v>
      </c>
      <c r="H589" s="77"/>
      <c r="I589" s="76">
        <f>TRUNC(F589*G589,2)</f>
        <v>30.25</v>
      </c>
      <c r="J589" s="77"/>
      <c r="M589" s="23">
        <f>B589</f>
        <v>88294</v>
      </c>
      <c r="N589" s="23">
        <f>SUMIF(CPU!M:M,B586,CPU!O:O)</f>
        <v>352.80103199999991</v>
      </c>
      <c r="O589" s="23">
        <f>F589*N589</f>
        <v>352.80103199999991</v>
      </c>
      <c r="Q589" s="23">
        <f ca="1">SUMIF(CPU!M:M,B586,CPU!R:R)</f>
        <v>91.778496000000004</v>
      </c>
      <c r="R589" s="23">
        <f ca="1">F589*Q589</f>
        <v>91.778496000000004</v>
      </c>
    </row>
    <row r="590" spans="1:18" ht="90" customHeight="1" x14ac:dyDescent="0.3">
      <c r="A590" s="23" t="s">
        <v>1004</v>
      </c>
      <c r="B590" s="23">
        <v>53786</v>
      </c>
      <c r="C590" s="23" t="str">
        <f>VLOOKUP(B590,IF(A590="COMPOSICAO",S!$A:$E,I!$A:$E),2,FALSE)</f>
        <v>SINAPI</v>
      </c>
      <c r="D590" s="24" t="str">
        <f>VLOOKUP(B590,IF(A590="COMPOSICAO",S!$A:$E,I!$A:$E),3,FALSE)</f>
        <v>RETROESCAVADEIRA SOBRE RODAS COM CARREGADEIRA, TRAÇÃO 4X4, POTÊNCIA LÍQ. 88 HP, CAÇAMBA CARREG. CAP. MÍN. 1 M3, CAÇAMBA RETRO CAP. 0,26 M3, PESO OPERACIONAL MÍN. 6.674 KG, PROFUNDIDADE ESCAVAÇÃO MÁX. 4,37 M - MATERIAIS NA OPERAÇÃO. AF_06/2014</v>
      </c>
      <c r="E590" s="23" t="str">
        <f>VLOOKUP(B590,IF(A590="COMPOSICAO",S!$A:$E,I!$A:$E),4,FALSE)</f>
        <v>H</v>
      </c>
      <c r="F590" s="23">
        <v>1</v>
      </c>
      <c r="G590" s="76">
        <f>IF(A590="COMPOSICAO",VLOOKUP("TOTAL SEM BDI - "&amp;B590,CPUAUX2!$A:$J,9,FALSE),VLOOKUP(B590,I!$A:$E,5,FALSE))</f>
        <v>50.15</v>
      </c>
      <c r="H590" s="77"/>
      <c r="I590" s="76">
        <f>TRUNC(F590*G590,2)</f>
        <v>50.15</v>
      </c>
      <c r="J590" s="77"/>
      <c r="M590" s="23">
        <f>B590</f>
        <v>53786</v>
      </c>
      <c r="N590" s="23">
        <f>SUMIF(CPU!M:M,B586,CPU!O:O)</f>
        <v>352.80103199999991</v>
      </c>
      <c r="O590" s="23">
        <f>F590*N590</f>
        <v>352.80103199999991</v>
      </c>
      <c r="Q590" s="23">
        <f ca="1">SUMIF(CPU!M:M,B586,CPU!R:R)</f>
        <v>91.778496000000004</v>
      </c>
      <c r="R590" s="23">
        <f ca="1">F590*Q590</f>
        <v>91.778496000000004</v>
      </c>
    </row>
    <row r="591" spans="1:18" ht="90" customHeight="1" x14ac:dyDescent="0.3">
      <c r="A591" s="23" t="s">
        <v>1004</v>
      </c>
      <c r="B591" s="23">
        <v>5664</v>
      </c>
      <c r="C591" s="23" t="str">
        <f>VLOOKUP(B591,IF(A591="COMPOSICAO",S!$A:$E,I!$A:$E),2,FALSE)</f>
        <v>SINAPI</v>
      </c>
      <c r="D591" s="24" t="str">
        <f>VLOOKUP(B591,IF(A591="COMPOSICAO",S!$A:$E,I!$A:$E),3,FALSE)</f>
        <v>RETROESCAVADEIRA SOBRE RODAS COM CARREGADEIRA, TRAÇÃO 4X4, POTÊNCIA LÍQ. 88 HP, CAÇAMBA CARREG. CAP. MÍN. 1 M3, CAÇAMBA RETRO CAP. 0,26 M3, PESO OPERACIONAL MÍN. 6.674 KG, PROFUNDIDADE ESCAVAÇÃO MÁX. 4,37 M - MANUTENÇÃO. AF_06/2014</v>
      </c>
      <c r="E591" s="23" t="str">
        <f>VLOOKUP(B591,IF(A591="COMPOSICAO",S!$A:$E,I!$A:$E),4,FALSE)</f>
        <v>H</v>
      </c>
      <c r="F591" s="23">
        <v>1</v>
      </c>
      <c r="G591" s="76">
        <f>IF(A591="COMPOSICAO",VLOOKUP("TOTAL SEM BDI - "&amp;B591,CPUAUX2!$A:$J,9,FALSE),VLOOKUP(B591,I!$A:$E,5,FALSE))</f>
        <v>32.65</v>
      </c>
      <c r="H591" s="77"/>
      <c r="I591" s="76">
        <f>TRUNC(F591*G591,2)</f>
        <v>32.65</v>
      </c>
      <c r="J591" s="77"/>
      <c r="M591" s="23">
        <f>B591</f>
        <v>5664</v>
      </c>
      <c r="N591" s="23">
        <f>SUMIF(CPU!M:M,B586,CPU!O:O)</f>
        <v>352.80103199999991</v>
      </c>
      <c r="O591" s="23">
        <f>F591*N591</f>
        <v>352.80103199999991</v>
      </c>
      <c r="Q591" s="23">
        <f ca="1">SUMIF(CPU!M:M,B586,CPU!R:R)</f>
        <v>91.778496000000004</v>
      </c>
      <c r="R591" s="23">
        <f ca="1">F591*Q591</f>
        <v>91.778496000000004</v>
      </c>
    </row>
    <row r="592" spans="1:18" x14ac:dyDescent="0.3">
      <c r="A592" s="73" t="str">
        <f>"TOTAL SEM BDI - "&amp;B586</f>
        <v>TOTAL SEM BDI - 5678</v>
      </c>
      <c r="B592" s="74"/>
      <c r="C592" s="74"/>
      <c r="D592" s="74"/>
      <c r="E592" s="74"/>
      <c r="F592" s="74"/>
      <c r="G592" s="74"/>
      <c r="H592" s="75"/>
      <c r="I592" s="76">
        <f>SUM(I586:I591)</f>
        <v>146.07</v>
      </c>
      <c r="J592" s="77"/>
    </row>
  </sheetData>
  <mergeCells count="1061">
    <mergeCell ref="G7:H7"/>
    <mergeCell ref="I7:J7"/>
    <mergeCell ref="G8:H8"/>
    <mergeCell ref="I8:J8"/>
    <mergeCell ref="G9:H9"/>
    <mergeCell ref="I9:J9"/>
    <mergeCell ref="A1:J1"/>
    <mergeCell ref="A2:J2"/>
    <mergeCell ref="A3:J3"/>
    <mergeCell ref="N4:P4"/>
    <mergeCell ref="Q4:S4"/>
    <mergeCell ref="G6:H6"/>
    <mergeCell ref="I6:J6"/>
    <mergeCell ref="G17:H17"/>
    <mergeCell ref="I17:J17"/>
    <mergeCell ref="G18:H18"/>
    <mergeCell ref="I18:J18"/>
    <mergeCell ref="G19:H19"/>
    <mergeCell ref="I19:J19"/>
    <mergeCell ref="G13:H13"/>
    <mergeCell ref="I13:J13"/>
    <mergeCell ref="A14:H14"/>
    <mergeCell ref="I14:J14"/>
    <mergeCell ref="G16:H16"/>
    <mergeCell ref="I16:J16"/>
    <mergeCell ref="G10:H10"/>
    <mergeCell ref="I10:J10"/>
    <mergeCell ref="G11:H11"/>
    <mergeCell ref="I11:J11"/>
    <mergeCell ref="G12:H12"/>
    <mergeCell ref="I12:J12"/>
    <mergeCell ref="G27:H27"/>
    <mergeCell ref="I27:J27"/>
    <mergeCell ref="G28:H28"/>
    <mergeCell ref="I28:J28"/>
    <mergeCell ref="G29:H29"/>
    <mergeCell ref="I29:J29"/>
    <mergeCell ref="G23:H23"/>
    <mergeCell ref="I23:J23"/>
    <mergeCell ref="A24:H24"/>
    <mergeCell ref="I24:J24"/>
    <mergeCell ref="G26:H26"/>
    <mergeCell ref="I26:J26"/>
    <mergeCell ref="G20:H20"/>
    <mergeCell ref="I20:J20"/>
    <mergeCell ref="G21:H21"/>
    <mergeCell ref="I21:J21"/>
    <mergeCell ref="G22:H22"/>
    <mergeCell ref="I22:J22"/>
    <mergeCell ref="G37:H37"/>
    <mergeCell ref="I37:J37"/>
    <mergeCell ref="G38:H38"/>
    <mergeCell ref="I38:J38"/>
    <mergeCell ref="G39:H39"/>
    <mergeCell ref="I39:J39"/>
    <mergeCell ref="G33:H33"/>
    <mergeCell ref="I33:J33"/>
    <mergeCell ref="A34:H34"/>
    <mergeCell ref="I34:J34"/>
    <mergeCell ref="G36:H36"/>
    <mergeCell ref="I36:J36"/>
    <mergeCell ref="G30:H30"/>
    <mergeCell ref="I30:J30"/>
    <mergeCell ref="G31:H31"/>
    <mergeCell ref="I31:J31"/>
    <mergeCell ref="G32:H32"/>
    <mergeCell ref="I32:J32"/>
    <mergeCell ref="A46:H46"/>
    <mergeCell ref="I46:J46"/>
    <mergeCell ref="G48:H48"/>
    <mergeCell ref="I48:J48"/>
    <mergeCell ref="G49:H49"/>
    <mergeCell ref="I49:J49"/>
    <mergeCell ref="G43:H43"/>
    <mergeCell ref="I43:J43"/>
    <mergeCell ref="G44:H44"/>
    <mergeCell ref="I44:J44"/>
    <mergeCell ref="G45:H45"/>
    <mergeCell ref="I45:J45"/>
    <mergeCell ref="G40:H40"/>
    <mergeCell ref="I40:J40"/>
    <mergeCell ref="G41:H41"/>
    <mergeCell ref="I41:J41"/>
    <mergeCell ref="G42:H42"/>
    <mergeCell ref="I42:J42"/>
    <mergeCell ref="A56:H56"/>
    <mergeCell ref="I56:J56"/>
    <mergeCell ref="G58:H58"/>
    <mergeCell ref="I58:J58"/>
    <mergeCell ref="G59:H59"/>
    <mergeCell ref="I59:J59"/>
    <mergeCell ref="G53:H53"/>
    <mergeCell ref="I53:J53"/>
    <mergeCell ref="G54:H54"/>
    <mergeCell ref="I54:J54"/>
    <mergeCell ref="G55:H55"/>
    <mergeCell ref="I55:J55"/>
    <mergeCell ref="G50:H50"/>
    <mergeCell ref="I50:J50"/>
    <mergeCell ref="G51:H51"/>
    <mergeCell ref="I51:J51"/>
    <mergeCell ref="G52:H52"/>
    <mergeCell ref="I52:J52"/>
    <mergeCell ref="A66:H66"/>
    <mergeCell ref="I66:J66"/>
    <mergeCell ref="G68:H68"/>
    <mergeCell ref="I68:J68"/>
    <mergeCell ref="G69:H69"/>
    <mergeCell ref="I69:J69"/>
    <mergeCell ref="G63:H63"/>
    <mergeCell ref="I63:J63"/>
    <mergeCell ref="G64:H64"/>
    <mergeCell ref="I64:J64"/>
    <mergeCell ref="G65:H65"/>
    <mergeCell ref="I65:J65"/>
    <mergeCell ref="G60:H60"/>
    <mergeCell ref="I60:J60"/>
    <mergeCell ref="G61:H61"/>
    <mergeCell ref="I61:J61"/>
    <mergeCell ref="G62:H62"/>
    <mergeCell ref="I62:J62"/>
    <mergeCell ref="G76:H76"/>
    <mergeCell ref="I76:J76"/>
    <mergeCell ref="G77:H77"/>
    <mergeCell ref="I77:J77"/>
    <mergeCell ref="A78:H78"/>
    <mergeCell ref="I78:J78"/>
    <mergeCell ref="G73:H73"/>
    <mergeCell ref="I73:J73"/>
    <mergeCell ref="G74:H74"/>
    <mergeCell ref="I74:J74"/>
    <mergeCell ref="G75:H75"/>
    <mergeCell ref="I75:J75"/>
    <mergeCell ref="G70:H70"/>
    <mergeCell ref="I70:J70"/>
    <mergeCell ref="G71:H71"/>
    <mergeCell ref="I71:J71"/>
    <mergeCell ref="G72:H72"/>
    <mergeCell ref="I72:J72"/>
    <mergeCell ref="G86:H86"/>
    <mergeCell ref="I86:J86"/>
    <mergeCell ref="G87:H87"/>
    <mergeCell ref="I87:J87"/>
    <mergeCell ref="G88:H88"/>
    <mergeCell ref="I88:J88"/>
    <mergeCell ref="G83:H83"/>
    <mergeCell ref="I83:J83"/>
    <mergeCell ref="G84:H84"/>
    <mergeCell ref="I84:J84"/>
    <mergeCell ref="G85:H85"/>
    <mergeCell ref="I85:J85"/>
    <mergeCell ref="G80:H80"/>
    <mergeCell ref="I80:J80"/>
    <mergeCell ref="G81:H81"/>
    <mergeCell ref="I81:J81"/>
    <mergeCell ref="G82:H82"/>
    <mergeCell ref="I82:J82"/>
    <mergeCell ref="G96:H96"/>
    <mergeCell ref="I96:J96"/>
    <mergeCell ref="G97:H97"/>
    <mergeCell ref="I97:J97"/>
    <mergeCell ref="G98:H98"/>
    <mergeCell ref="I98:J98"/>
    <mergeCell ref="G93:H93"/>
    <mergeCell ref="I93:J93"/>
    <mergeCell ref="G94:H94"/>
    <mergeCell ref="I94:J94"/>
    <mergeCell ref="G95:H95"/>
    <mergeCell ref="I95:J95"/>
    <mergeCell ref="G89:H89"/>
    <mergeCell ref="I89:J89"/>
    <mergeCell ref="A90:H90"/>
    <mergeCell ref="I90:J90"/>
    <mergeCell ref="G92:H92"/>
    <mergeCell ref="I92:J92"/>
    <mergeCell ref="G106:H106"/>
    <mergeCell ref="I106:J106"/>
    <mergeCell ref="G107:H107"/>
    <mergeCell ref="I107:J107"/>
    <mergeCell ref="G108:H108"/>
    <mergeCell ref="I108:J108"/>
    <mergeCell ref="G103:H103"/>
    <mergeCell ref="I103:J103"/>
    <mergeCell ref="G104:H104"/>
    <mergeCell ref="I104:J104"/>
    <mergeCell ref="G105:H105"/>
    <mergeCell ref="I105:J105"/>
    <mergeCell ref="A99:H99"/>
    <mergeCell ref="I99:J99"/>
    <mergeCell ref="G101:H101"/>
    <mergeCell ref="I101:J101"/>
    <mergeCell ref="G102:H102"/>
    <mergeCell ref="I102:J102"/>
    <mergeCell ref="G116:H116"/>
    <mergeCell ref="I116:J116"/>
    <mergeCell ref="G117:H117"/>
    <mergeCell ref="I117:J117"/>
    <mergeCell ref="G118:H118"/>
    <mergeCell ref="I118:J118"/>
    <mergeCell ref="G113:H113"/>
    <mergeCell ref="I113:J113"/>
    <mergeCell ref="G114:H114"/>
    <mergeCell ref="I114:J114"/>
    <mergeCell ref="G115:H115"/>
    <mergeCell ref="I115:J115"/>
    <mergeCell ref="G109:H109"/>
    <mergeCell ref="I109:J109"/>
    <mergeCell ref="A110:H110"/>
    <mergeCell ref="I110:J110"/>
    <mergeCell ref="G112:H112"/>
    <mergeCell ref="I112:J112"/>
    <mergeCell ref="G126:H126"/>
    <mergeCell ref="I126:J126"/>
    <mergeCell ref="G127:H127"/>
    <mergeCell ref="I127:J127"/>
    <mergeCell ref="G128:H128"/>
    <mergeCell ref="I128:J128"/>
    <mergeCell ref="G123:H123"/>
    <mergeCell ref="I123:J123"/>
    <mergeCell ref="G124:H124"/>
    <mergeCell ref="I124:J124"/>
    <mergeCell ref="G125:H125"/>
    <mergeCell ref="I125:J125"/>
    <mergeCell ref="G119:H119"/>
    <mergeCell ref="I119:J119"/>
    <mergeCell ref="G120:H120"/>
    <mergeCell ref="I120:J120"/>
    <mergeCell ref="A121:H121"/>
    <mergeCell ref="I121:J121"/>
    <mergeCell ref="G136:H136"/>
    <mergeCell ref="I136:J136"/>
    <mergeCell ref="G137:H137"/>
    <mergeCell ref="I137:J137"/>
    <mergeCell ref="G138:H138"/>
    <mergeCell ref="I138:J138"/>
    <mergeCell ref="G132:H132"/>
    <mergeCell ref="I132:J132"/>
    <mergeCell ref="A133:H133"/>
    <mergeCell ref="I133:J133"/>
    <mergeCell ref="G135:H135"/>
    <mergeCell ref="I135:J135"/>
    <mergeCell ref="G129:H129"/>
    <mergeCell ref="I129:J129"/>
    <mergeCell ref="G130:H130"/>
    <mergeCell ref="I130:J130"/>
    <mergeCell ref="G131:H131"/>
    <mergeCell ref="I131:J131"/>
    <mergeCell ref="A145:H145"/>
    <mergeCell ref="I145:J145"/>
    <mergeCell ref="G147:H147"/>
    <mergeCell ref="I147:J147"/>
    <mergeCell ref="G148:H148"/>
    <mergeCell ref="I148:J148"/>
    <mergeCell ref="G142:H142"/>
    <mergeCell ref="I142:J142"/>
    <mergeCell ref="G143:H143"/>
    <mergeCell ref="I143:J143"/>
    <mergeCell ref="G144:H144"/>
    <mergeCell ref="I144:J144"/>
    <mergeCell ref="G139:H139"/>
    <mergeCell ref="I139:J139"/>
    <mergeCell ref="G140:H140"/>
    <mergeCell ref="I140:J140"/>
    <mergeCell ref="G141:H141"/>
    <mergeCell ref="I141:J141"/>
    <mergeCell ref="G156:H156"/>
    <mergeCell ref="I156:J156"/>
    <mergeCell ref="G157:H157"/>
    <mergeCell ref="I157:J157"/>
    <mergeCell ref="G158:H158"/>
    <mergeCell ref="I158:J158"/>
    <mergeCell ref="G153:H153"/>
    <mergeCell ref="I153:J153"/>
    <mergeCell ref="G154:H154"/>
    <mergeCell ref="I154:J154"/>
    <mergeCell ref="G155:H155"/>
    <mergeCell ref="I155:J155"/>
    <mergeCell ref="G149:H149"/>
    <mergeCell ref="I149:J149"/>
    <mergeCell ref="A150:H150"/>
    <mergeCell ref="I150:J150"/>
    <mergeCell ref="G152:H152"/>
    <mergeCell ref="I152:J152"/>
    <mergeCell ref="G166:H166"/>
    <mergeCell ref="I166:J166"/>
    <mergeCell ref="G167:H167"/>
    <mergeCell ref="I167:J167"/>
    <mergeCell ref="G168:H168"/>
    <mergeCell ref="I168:J168"/>
    <mergeCell ref="A162:H162"/>
    <mergeCell ref="I162:J162"/>
    <mergeCell ref="G164:H164"/>
    <mergeCell ref="I164:J164"/>
    <mergeCell ref="G165:H165"/>
    <mergeCell ref="I165:J165"/>
    <mergeCell ref="G159:H159"/>
    <mergeCell ref="I159:J159"/>
    <mergeCell ref="G160:H160"/>
    <mergeCell ref="I160:J160"/>
    <mergeCell ref="G161:H161"/>
    <mergeCell ref="I161:J161"/>
    <mergeCell ref="G176:H176"/>
    <mergeCell ref="I176:J176"/>
    <mergeCell ref="G177:H177"/>
    <mergeCell ref="I177:J177"/>
    <mergeCell ref="G178:H178"/>
    <mergeCell ref="I178:J178"/>
    <mergeCell ref="G172:H172"/>
    <mergeCell ref="I172:J172"/>
    <mergeCell ref="G173:H173"/>
    <mergeCell ref="I173:J173"/>
    <mergeCell ref="A174:H174"/>
    <mergeCell ref="I174:J174"/>
    <mergeCell ref="G169:H169"/>
    <mergeCell ref="I169:J169"/>
    <mergeCell ref="G170:H170"/>
    <mergeCell ref="I170:J170"/>
    <mergeCell ref="G171:H171"/>
    <mergeCell ref="I171:J171"/>
    <mergeCell ref="G185:H185"/>
    <mergeCell ref="I185:J185"/>
    <mergeCell ref="A186:H186"/>
    <mergeCell ref="I186:J186"/>
    <mergeCell ref="G188:H188"/>
    <mergeCell ref="I188:J188"/>
    <mergeCell ref="G182:H182"/>
    <mergeCell ref="I182:J182"/>
    <mergeCell ref="G183:H183"/>
    <mergeCell ref="I183:J183"/>
    <mergeCell ref="G184:H184"/>
    <mergeCell ref="I184:J184"/>
    <mergeCell ref="G179:H179"/>
    <mergeCell ref="I179:J179"/>
    <mergeCell ref="G180:H180"/>
    <mergeCell ref="I180:J180"/>
    <mergeCell ref="G181:H181"/>
    <mergeCell ref="I181:J181"/>
    <mergeCell ref="G195:H195"/>
    <mergeCell ref="I195:J195"/>
    <mergeCell ref="G196:H196"/>
    <mergeCell ref="I196:J196"/>
    <mergeCell ref="G197:H197"/>
    <mergeCell ref="I197:J197"/>
    <mergeCell ref="G192:H192"/>
    <mergeCell ref="I192:J192"/>
    <mergeCell ref="G193:H193"/>
    <mergeCell ref="I193:J193"/>
    <mergeCell ref="G194:H194"/>
    <mergeCell ref="I194:J194"/>
    <mergeCell ref="G189:H189"/>
    <mergeCell ref="I189:J189"/>
    <mergeCell ref="G190:H190"/>
    <mergeCell ref="I190:J190"/>
    <mergeCell ref="G191:H191"/>
    <mergeCell ref="I191:J191"/>
    <mergeCell ref="G205:H205"/>
    <mergeCell ref="I205:J205"/>
    <mergeCell ref="A206:H206"/>
    <mergeCell ref="I206:J206"/>
    <mergeCell ref="G208:H208"/>
    <mergeCell ref="I208:J208"/>
    <mergeCell ref="G202:H202"/>
    <mergeCell ref="I202:J202"/>
    <mergeCell ref="G203:H203"/>
    <mergeCell ref="I203:J203"/>
    <mergeCell ref="G204:H204"/>
    <mergeCell ref="I204:J204"/>
    <mergeCell ref="A198:H198"/>
    <mergeCell ref="I198:J198"/>
    <mergeCell ref="G200:H200"/>
    <mergeCell ref="I200:J200"/>
    <mergeCell ref="G201:H201"/>
    <mergeCell ref="I201:J201"/>
    <mergeCell ref="G216:H216"/>
    <mergeCell ref="I216:J216"/>
    <mergeCell ref="G217:H217"/>
    <mergeCell ref="I217:J217"/>
    <mergeCell ref="G218:H218"/>
    <mergeCell ref="I218:J218"/>
    <mergeCell ref="G212:H212"/>
    <mergeCell ref="I212:J212"/>
    <mergeCell ref="A213:H213"/>
    <mergeCell ref="I213:J213"/>
    <mergeCell ref="G215:H215"/>
    <mergeCell ref="I215:J215"/>
    <mergeCell ref="G209:H209"/>
    <mergeCell ref="I209:J209"/>
    <mergeCell ref="G210:H210"/>
    <mergeCell ref="I210:J210"/>
    <mergeCell ref="G211:H211"/>
    <mergeCell ref="I211:J211"/>
    <mergeCell ref="G226:H226"/>
    <mergeCell ref="I226:J226"/>
    <mergeCell ref="G227:H227"/>
    <mergeCell ref="I227:J227"/>
    <mergeCell ref="G228:H228"/>
    <mergeCell ref="I228:J228"/>
    <mergeCell ref="A222:H222"/>
    <mergeCell ref="I222:J222"/>
    <mergeCell ref="G224:H224"/>
    <mergeCell ref="I224:J224"/>
    <mergeCell ref="G225:H225"/>
    <mergeCell ref="I225:J225"/>
    <mergeCell ref="G219:H219"/>
    <mergeCell ref="I219:J219"/>
    <mergeCell ref="G220:H220"/>
    <mergeCell ref="I220:J220"/>
    <mergeCell ref="G221:H221"/>
    <mergeCell ref="I221:J221"/>
    <mergeCell ref="G236:H236"/>
    <mergeCell ref="I236:J236"/>
    <mergeCell ref="G237:H237"/>
    <mergeCell ref="I237:J237"/>
    <mergeCell ref="G238:H238"/>
    <mergeCell ref="I238:J238"/>
    <mergeCell ref="G232:H232"/>
    <mergeCell ref="I232:J232"/>
    <mergeCell ref="G233:H233"/>
    <mergeCell ref="I233:J233"/>
    <mergeCell ref="A234:H234"/>
    <mergeCell ref="I234:J234"/>
    <mergeCell ref="G229:H229"/>
    <mergeCell ref="I229:J229"/>
    <mergeCell ref="G230:H230"/>
    <mergeCell ref="I230:J230"/>
    <mergeCell ref="G231:H231"/>
    <mergeCell ref="I231:J231"/>
    <mergeCell ref="G245:H245"/>
    <mergeCell ref="I245:J245"/>
    <mergeCell ref="A246:H246"/>
    <mergeCell ref="I246:J246"/>
    <mergeCell ref="G248:H248"/>
    <mergeCell ref="I248:J248"/>
    <mergeCell ref="G242:H242"/>
    <mergeCell ref="I242:J242"/>
    <mergeCell ref="G243:H243"/>
    <mergeCell ref="I243:J243"/>
    <mergeCell ref="G244:H244"/>
    <mergeCell ref="I244:J244"/>
    <mergeCell ref="G239:H239"/>
    <mergeCell ref="I239:J239"/>
    <mergeCell ref="G240:H240"/>
    <mergeCell ref="I240:J240"/>
    <mergeCell ref="G241:H241"/>
    <mergeCell ref="I241:J241"/>
    <mergeCell ref="G255:H255"/>
    <mergeCell ref="I255:J255"/>
    <mergeCell ref="G256:H256"/>
    <mergeCell ref="I256:J256"/>
    <mergeCell ref="A257:H257"/>
    <mergeCell ref="I257:J257"/>
    <mergeCell ref="G252:H252"/>
    <mergeCell ref="I252:J252"/>
    <mergeCell ref="G253:H253"/>
    <mergeCell ref="I253:J253"/>
    <mergeCell ref="G254:H254"/>
    <mergeCell ref="I254:J254"/>
    <mergeCell ref="G249:H249"/>
    <mergeCell ref="I249:J249"/>
    <mergeCell ref="G250:H250"/>
    <mergeCell ref="I250:J250"/>
    <mergeCell ref="G251:H251"/>
    <mergeCell ref="I251:J251"/>
    <mergeCell ref="G266:H266"/>
    <mergeCell ref="I266:J266"/>
    <mergeCell ref="G267:H267"/>
    <mergeCell ref="I267:J267"/>
    <mergeCell ref="G268:H268"/>
    <mergeCell ref="I268:J268"/>
    <mergeCell ref="G262:H262"/>
    <mergeCell ref="I262:J262"/>
    <mergeCell ref="G263:H263"/>
    <mergeCell ref="I263:J263"/>
    <mergeCell ref="A264:H264"/>
    <mergeCell ref="I264:J264"/>
    <mergeCell ref="G259:H259"/>
    <mergeCell ref="I259:J259"/>
    <mergeCell ref="G260:H260"/>
    <mergeCell ref="I260:J260"/>
    <mergeCell ref="G261:H261"/>
    <mergeCell ref="I261:J261"/>
    <mergeCell ref="G276:H276"/>
    <mergeCell ref="I276:J276"/>
    <mergeCell ref="G277:H277"/>
    <mergeCell ref="I277:J277"/>
    <mergeCell ref="G278:H278"/>
    <mergeCell ref="I278:J278"/>
    <mergeCell ref="A272:H272"/>
    <mergeCell ref="I272:J272"/>
    <mergeCell ref="G274:H274"/>
    <mergeCell ref="I274:J274"/>
    <mergeCell ref="G275:H275"/>
    <mergeCell ref="I275:J275"/>
    <mergeCell ref="G269:H269"/>
    <mergeCell ref="I269:J269"/>
    <mergeCell ref="G270:H270"/>
    <mergeCell ref="I270:J270"/>
    <mergeCell ref="G271:H271"/>
    <mergeCell ref="I271:J271"/>
    <mergeCell ref="G286:H286"/>
    <mergeCell ref="I286:J286"/>
    <mergeCell ref="G287:H287"/>
    <mergeCell ref="I287:J287"/>
    <mergeCell ref="G288:H288"/>
    <mergeCell ref="I288:J288"/>
    <mergeCell ref="G282:H282"/>
    <mergeCell ref="I282:J282"/>
    <mergeCell ref="A283:H283"/>
    <mergeCell ref="I283:J283"/>
    <mergeCell ref="G285:H285"/>
    <mergeCell ref="I285:J285"/>
    <mergeCell ref="G279:H279"/>
    <mergeCell ref="I279:J279"/>
    <mergeCell ref="G280:H280"/>
    <mergeCell ref="I280:J280"/>
    <mergeCell ref="G281:H281"/>
    <mergeCell ref="I281:J281"/>
    <mergeCell ref="G296:H296"/>
    <mergeCell ref="I296:J296"/>
    <mergeCell ref="G297:H297"/>
    <mergeCell ref="I297:J297"/>
    <mergeCell ref="G298:H298"/>
    <mergeCell ref="I298:J298"/>
    <mergeCell ref="G293:H293"/>
    <mergeCell ref="I293:J293"/>
    <mergeCell ref="G294:H294"/>
    <mergeCell ref="I294:J294"/>
    <mergeCell ref="G295:H295"/>
    <mergeCell ref="I295:J295"/>
    <mergeCell ref="G289:H289"/>
    <mergeCell ref="I289:J289"/>
    <mergeCell ref="A290:H290"/>
    <mergeCell ref="I290:J290"/>
    <mergeCell ref="G292:H292"/>
    <mergeCell ref="I292:J292"/>
    <mergeCell ref="G306:H306"/>
    <mergeCell ref="I306:J306"/>
    <mergeCell ref="G307:H307"/>
    <mergeCell ref="I307:J307"/>
    <mergeCell ref="G308:H308"/>
    <mergeCell ref="I308:J308"/>
    <mergeCell ref="G303:H303"/>
    <mergeCell ref="I303:J303"/>
    <mergeCell ref="G304:H304"/>
    <mergeCell ref="I304:J304"/>
    <mergeCell ref="G305:H305"/>
    <mergeCell ref="I305:J305"/>
    <mergeCell ref="G299:H299"/>
    <mergeCell ref="I299:J299"/>
    <mergeCell ref="G300:H300"/>
    <mergeCell ref="I300:J300"/>
    <mergeCell ref="A301:H301"/>
    <mergeCell ref="I301:J301"/>
    <mergeCell ref="G316:H316"/>
    <mergeCell ref="I316:J316"/>
    <mergeCell ref="G317:H317"/>
    <mergeCell ref="I317:J317"/>
    <mergeCell ref="G318:H318"/>
    <mergeCell ref="I318:J318"/>
    <mergeCell ref="G313:H313"/>
    <mergeCell ref="I313:J313"/>
    <mergeCell ref="G314:H314"/>
    <mergeCell ref="I314:J314"/>
    <mergeCell ref="G315:H315"/>
    <mergeCell ref="I315:J315"/>
    <mergeCell ref="G309:H309"/>
    <mergeCell ref="I309:J309"/>
    <mergeCell ref="G310:H310"/>
    <mergeCell ref="I310:J310"/>
    <mergeCell ref="A311:H311"/>
    <mergeCell ref="I311:J311"/>
    <mergeCell ref="G326:H326"/>
    <mergeCell ref="I326:J326"/>
    <mergeCell ref="G327:H327"/>
    <mergeCell ref="I327:J327"/>
    <mergeCell ref="G328:H328"/>
    <mergeCell ref="I328:J328"/>
    <mergeCell ref="G322:H322"/>
    <mergeCell ref="I322:J322"/>
    <mergeCell ref="A323:H323"/>
    <mergeCell ref="I323:J323"/>
    <mergeCell ref="G325:H325"/>
    <mergeCell ref="I325:J325"/>
    <mergeCell ref="G319:H319"/>
    <mergeCell ref="I319:J319"/>
    <mergeCell ref="G320:H320"/>
    <mergeCell ref="I320:J320"/>
    <mergeCell ref="G321:H321"/>
    <mergeCell ref="I321:J321"/>
    <mergeCell ref="G336:H336"/>
    <mergeCell ref="I336:J336"/>
    <mergeCell ref="G337:H337"/>
    <mergeCell ref="I337:J337"/>
    <mergeCell ref="G338:H338"/>
    <mergeCell ref="I338:J338"/>
    <mergeCell ref="G332:H332"/>
    <mergeCell ref="I332:J332"/>
    <mergeCell ref="G333:H333"/>
    <mergeCell ref="I333:J333"/>
    <mergeCell ref="A334:H334"/>
    <mergeCell ref="I334:J334"/>
    <mergeCell ref="G329:H329"/>
    <mergeCell ref="I329:J329"/>
    <mergeCell ref="G330:H330"/>
    <mergeCell ref="I330:J330"/>
    <mergeCell ref="G331:H331"/>
    <mergeCell ref="I331:J331"/>
    <mergeCell ref="G346:H346"/>
    <mergeCell ref="I346:J346"/>
    <mergeCell ref="G347:H347"/>
    <mergeCell ref="I347:J347"/>
    <mergeCell ref="G348:H348"/>
    <mergeCell ref="I348:J348"/>
    <mergeCell ref="G342:H342"/>
    <mergeCell ref="I342:J342"/>
    <mergeCell ref="A343:H343"/>
    <mergeCell ref="I343:J343"/>
    <mergeCell ref="G345:H345"/>
    <mergeCell ref="I345:J345"/>
    <mergeCell ref="G339:H339"/>
    <mergeCell ref="I339:J339"/>
    <mergeCell ref="G340:H340"/>
    <mergeCell ref="I340:J340"/>
    <mergeCell ref="G341:H341"/>
    <mergeCell ref="I341:J341"/>
    <mergeCell ref="G356:H356"/>
    <mergeCell ref="I356:J356"/>
    <mergeCell ref="G357:H357"/>
    <mergeCell ref="I357:J357"/>
    <mergeCell ref="G358:H358"/>
    <mergeCell ref="I358:J358"/>
    <mergeCell ref="A352:H352"/>
    <mergeCell ref="I352:J352"/>
    <mergeCell ref="G354:H354"/>
    <mergeCell ref="I354:J354"/>
    <mergeCell ref="G355:H355"/>
    <mergeCell ref="I355:J355"/>
    <mergeCell ref="G349:H349"/>
    <mergeCell ref="I349:J349"/>
    <mergeCell ref="G350:H350"/>
    <mergeCell ref="I350:J350"/>
    <mergeCell ref="G351:H351"/>
    <mergeCell ref="I351:J351"/>
    <mergeCell ref="G366:H366"/>
    <mergeCell ref="I366:J366"/>
    <mergeCell ref="G367:H367"/>
    <mergeCell ref="I367:J367"/>
    <mergeCell ref="G368:H368"/>
    <mergeCell ref="I368:J368"/>
    <mergeCell ref="G363:H363"/>
    <mergeCell ref="I363:J363"/>
    <mergeCell ref="G364:H364"/>
    <mergeCell ref="I364:J364"/>
    <mergeCell ref="G365:H365"/>
    <mergeCell ref="I365:J365"/>
    <mergeCell ref="G359:H359"/>
    <mergeCell ref="I359:J359"/>
    <mergeCell ref="G360:H360"/>
    <mergeCell ref="I360:J360"/>
    <mergeCell ref="A361:H361"/>
    <mergeCell ref="I361:J361"/>
    <mergeCell ref="G376:H376"/>
    <mergeCell ref="I376:J376"/>
    <mergeCell ref="G377:H377"/>
    <mergeCell ref="I377:J377"/>
    <mergeCell ref="G378:H378"/>
    <mergeCell ref="I378:J378"/>
    <mergeCell ref="G373:H373"/>
    <mergeCell ref="I373:J373"/>
    <mergeCell ref="G374:H374"/>
    <mergeCell ref="I374:J374"/>
    <mergeCell ref="G375:H375"/>
    <mergeCell ref="I375:J375"/>
    <mergeCell ref="G369:H369"/>
    <mergeCell ref="I369:J369"/>
    <mergeCell ref="A370:H370"/>
    <mergeCell ref="I370:J370"/>
    <mergeCell ref="G372:H372"/>
    <mergeCell ref="I372:J372"/>
    <mergeCell ref="G386:H386"/>
    <mergeCell ref="I386:J386"/>
    <mergeCell ref="G387:H387"/>
    <mergeCell ref="I387:J387"/>
    <mergeCell ref="A388:H388"/>
    <mergeCell ref="I388:J388"/>
    <mergeCell ref="G383:H383"/>
    <mergeCell ref="I383:J383"/>
    <mergeCell ref="G384:H384"/>
    <mergeCell ref="I384:J384"/>
    <mergeCell ref="G385:H385"/>
    <mergeCell ref="I385:J385"/>
    <mergeCell ref="A379:H379"/>
    <mergeCell ref="I379:J379"/>
    <mergeCell ref="G381:H381"/>
    <mergeCell ref="I381:J381"/>
    <mergeCell ref="G382:H382"/>
    <mergeCell ref="I382:J382"/>
    <mergeCell ref="G396:H396"/>
    <mergeCell ref="I396:J396"/>
    <mergeCell ref="A397:H397"/>
    <mergeCell ref="I397:J397"/>
    <mergeCell ref="G399:H399"/>
    <mergeCell ref="I399:J399"/>
    <mergeCell ref="G393:H393"/>
    <mergeCell ref="I393:J393"/>
    <mergeCell ref="G394:H394"/>
    <mergeCell ref="I394:J394"/>
    <mergeCell ref="G395:H395"/>
    <mergeCell ref="I395:J395"/>
    <mergeCell ref="G390:H390"/>
    <mergeCell ref="I390:J390"/>
    <mergeCell ref="G391:H391"/>
    <mergeCell ref="I391:J391"/>
    <mergeCell ref="G392:H392"/>
    <mergeCell ref="I392:J392"/>
    <mergeCell ref="A406:H406"/>
    <mergeCell ref="I406:J406"/>
    <mergeCell ref="G408:H408"/>
    <mergeCell ref="I408:J408"/>
    <mergeCell ref="G409:H409"/>
    <mergeCell ref="I409:J409"/>
    <mergeCell ref="G403:H403"/>
    <mergeCell ref="I403:J403"/>
    <mergeCell ref="G404:H404"/>
    <mergeCell ref="I404:J404"/>
    <mergeCell ref="G405:H405"/>
    <mergeCell ref="I405:J405"/>
    <mergeCell ref="G400:H400"/>
    <mergeCell ref="I400:J400"/>
    <mergeCell ref="G401:H401"/>
    <mergeCell ref="I401:J401"/>
    <mergeCell ref="G402:H402"/>
    <mergeCell ref="I402:J402"/>
    <mergeCell ref="G417:H417"/>
    <mergeCell ref="I417:J417"/>
    <mergeCell ref="G418:H418"/>
    <mergeCell ref="I418:J418"/>
    <mergeCell ref="G419:H419"/>
    <mergeCell ref="I419:J419"/>
    <mergeCell ref="G413:H413"/>
    <mergeCell ref="I413:J413"/>
    <mergeCell ref="G414:H414"/>
    <mergeCell ref="I414:J414"/>
    <mergeCell ref="A415:H415"/>
    <mergeCell ref="I415:J415"/>
    <mergeCell ref="G410:H410"/>
    <mergeCell ref="I410:J410"/>
    <mergeCell ref="G411:H411"/>
    <mergeCell ref="I411:J411"/>
    <mergeCell ref="G412:H412"/>
    <mergeCell ref="I412:J412"/>
    <mergeCell ref="G427:H427"/>
    <mergeCell ref="I427:J427"/>
    <mergeCell ref="G428:H428"/>
    <mergeCell ref="I428:J428"/>
    <mergeCell ref="G429:H429"/>
    <mergeCell ref="I429:J429"/>
    <mergeCell ref="G423:H423"/>
    <mergeCell ref="I423:J423"/>
    <mergeCell ref="A424:H424"/>
    <mergeCell ref="I424:J424"/>
    <mergeCell ref="G426:H426"/>
    <mergeCell ref="I426:J426"/>
    <mergeCell ref="G420:H420"/>
    <mergeCell ref="I420:J420"/>
    <mergeCell ref="G421:H421"/>
    <mergeCell ref="I421:J421"/>
    <mergeCell ref="G422:H422"/>
    <mergeCell ref="I422:J422"/>
    <mergeCell ref="G437:H437"/>
    <mergeCell ref="I437:J437"/>
    <mergeCell ref="G438:H438"/>
    <mergeCell ref="I438:J438"/>
    <mergeCell ref="G439:H439"/>
    <mergeCell ref="I439:J439"/>
    <mergeCell ref="A433:H433"/>
    <mergeCell ref="I433:J433"/>
    <mergeCell ref="G435:H435"/>
    <mergeCell ref="I435:J435"/>
    <mergeCell ref="G436:H436"/>
    <mergeCell ref="I436:J436"/>
    <mergeCell ref="G430:H430"/>
    <mergeCell ref="I430:J430"/>
    <mergeCell ref="G431:H431"/>
    <mergeCell ref="I431:J431"/>
    <mergeCell ref="G432:H432"/>
    <mergeCell ref="I432:J432"/>
    <mergeCell ref="G447:H447"/>
    <mergeCell ref="I447:J447"/>
    <mergeCell ref="G448:H448"/>
    <mergeCell ref="I448:J448"/>
    <mergeCell ref="G449:H449"/>
    <mergeCell ref="I449:J449"/>
    <mergeCell ref="G444:H444"/>
    <mergeCell ref="I444:J444"/>
    <mergeCell ref="G445:H445"/>
    <mergeCell ref="I445:J445"/>
    <mergeCell ref="G446:H446"/>
    <mergeCell ref="I446:J446"/>
    <mergeCell ref="G440:H440"/>
    <mergeCell ref="I440:J440"/>
    <mergeCell ref="G441:H441"/>
    <mergeCell ref="I441:J441"/>
    <mergeCell ref="A442:H442"/>
    <mergeCell ref="I442:J442"/>
    <mergeCell ref="G457:H457"/>
    <mergeCell ref="I457:J457"/>
    <mergeCell ref="G458:H458"/>
    <mergeCell ref="I458:J458"/>
    <mergeCell ref="G459:H459"/>
    <mergeCell ref="I459:J459"/>
    <mergeCell ref="G454:H454"/>
    <mergeCell ref="I454:J454"/>
    <mergeCell ref="G455:H455"/>
    <mergeCell ref="I455:J455"/>
    <mergeCell ref="G456:H456"/>
    <mergeCell ref="I456:J456"/>
    <mergeCell ref="G450:H450"/>
    <mergeCell ref="I450:J450"/>
    <mergeCell ref="G451:H451"/>
    <mergeCell ref="I451:J451"/>
    <mergeCell ref="A452:H452"/>
    <mergeCell ref="I452:J452"/>
    <mergeCell ref="G467:H467"/>
    <mergeCell ref="I467:J467"/>
    <mergeCell ref="G468:H468"/>
    <mergeCell ref="I468:J468"/>
    <mergeCell ref="G469:H469"/>
    <mergeCell ref="I469:J469"/>
    <mergeCell ref="G463:H463"/>
    <mergeCell ref="I463:J463"/>
    <mergeCell ref="A464:H464"/>
    <mergeCell ref="I464:J464"/>
    <mergeCell ref="G466:H466"/>
    <mergeCell ref="I466:J466"/>
    <mergeCell ref="G460:H460"/>
    <mergeCell ref="I460:J460"/>
    <mergeCell ref="G461:H461"/>
    <mergeCell ref="I461:J461"/>
    <mergeCell ref="G462:H462"/>
    <mergeCell ref="I462:J462"/>
    <mergeCell ref="G477:H477"/>
    <mergeCell ref="I477:J477"/>
    <mergeCell ref="G478:H478"/>
    <mergeCell ref="I478:J478"/>
    <mergeCell ref="G479:H479"/>
    <mergeCell ref="I479:J479"/>
    <mergeCell ref="A473:H473"/>
    <mergeCell ref="I473:J473"/>
    <mergeCell ref="G475:H475"/>
    <mergeCell ref="I475:J475"/>
    <mergeCell ref="G476:H476"/>
    <mergeCell ref="I476:J476"/>
    <mergeCell ref="G470:H470"/>
    <mergeCell ref="I470:J470"/>
    <mergeCell ref="G471:H471"/>
    <mergeCell ref="I471:J471"/>
    <mergeCell ref="G472:H472"/>
    <mergeCell ref="I472:J472"/>
    <mergeCell ref="G487:H487"/>
    <mergeCell ref="I487:J487"/>
    <mergeCell ref="A488:H488"/>
    <mergeCell ref="I488:J488"/>
    <mergeCell ref="G490:H490"/>
    <mergeCell ref="I490:J490"/>
    <mergeCell ref="G484:H484"/>
    <mergeCell ref="I484:J484"/>
    <mergeCell ref="G485:H485"/>
    <mergeCell ref="I485:J485"/>
    <mergeCell ref="G486:H486"/>
    <mergeCell ref="I486:J486"/>
    <mergeCell ref="A480:H480"/>
    <mergeCell ref="I480:J480"/>
    <mergeCell ref="G482:H482"/>
    <mergeCell ref="I482:J482"/>
    <mergeCell ref="G483:H483"/>
    <mergeCell ref="I483:J483"/>
    <mergeCell ref="G497:H497"/>
    <mergeCell ref="I497:J497"/>
    <mergeCell ref="G498:H498"/>
    <mergeCell ref="I498:J498"/>
    <mergeCell ref="G499:H499"/>
    <mergeCell ref="I499:J499"/>
    <mergeCell ref="G494:H494"/>
    <mergeCell ref="I494:J494"/>
    <mergeCell ref="G495:H495"/>
    <mergeCell ref="I495:J495"/>
    <mergeCell ref="G496:H496"/>
    <mergeCell ref="I496:J496"/>
    <mergeCell ref="G491:H491"/>
    <mergeCell ref="I491:J491"/>
    <mergeCell ref="G492:H492"/>
    <mergeCell ref="I492:J492"/>
    <mergeCell ref="G493:H493"/>
    <mergeCell ref="I493:J493"/>
    <mergeCell ref="G507:H507"/>
    <mergeCell ref="I507:J507"/>
    <mergeCell ref="G508:H508"/>
    <mergeCell ref="I508:J508"/>
    <mergeCell ref="G509:H509"/>
    <mergeCell ref="I509:J509"/>
    <mergeCell ref="G504:H504"/>
    <mergeCell ref="I504:J504"/>
    <mergeCell ref="G505:H505"/>
    <mergeCell ref="I505:J505"/>
    <mergeCell ref="G506:H506"/>
    <mergeCell ref="I506:J506"/>
    <mergeCell ref="A500:H500"/>
    <mergeCell ref="I500:J500"/>
    <mergeCell ref="G502:H502"/>
    <mergeCell ref="I502:J502"/>
    <mergeCell ref="G503:H503"/>
    <mergeCell ref="I503:J503"/>
    <mergeCell ref="G517:H517"/>
    <mergeCell ref="I517:J517"/>
    <mergeCell ref="G518:H518"/>
    <mergeCell ref="I518:J518"/>
    <mergeCell ref="G519:H519"/>
    <mergeCell ref="I519:J519"/>
    <mergeCell ref="G514:H514"/>
    <mergeCell ref="I514:J514"/>
    <mergeCell ref="G515:H515"/>
    <mergeCell ref="I515:J515"/>
    <mergeCell ref="G516:H516"/>
    <mergeCell ref="I516:J516"/>
    <mergeCell ref="G510:H510"/>
    <mergeCell ref="I510:J510"/>
    <mergeCell ref="A511:H511"/>
    <mergeCell ref="I511:J511"/>
    <mergeCell ref="G513:H513"/>
    <mergeCell ref="I513:J513"/>
    <mergeCell ref="G527:H527"/>
    <mergeCell ref="I527:J527"/>
    <mergeCell ref="G528:H528"/>
    <mergeCell ref="I528:J528"/>
    <mergeCell ref="G529:H529"/>
    <mergeCell ref="I529:J529"/>
    <mergeCell ref="G524:H524"/>
    <mergeCell ref="I524:J524"/>
    <mergeCell ref="G525:H525"/>
    <mergeCell ref="I525:J525"/>
    <mergeCell ref="G526:H526"/>
    <mergeCell ref="I526:J526"/>
    <mergeCell ref="G520:H520"/>
    <mergeCell ref="I520:J520"/>
    <mergeCell ref="A521:H521"/>
    <mergeCell ref="I521:J521"/>
    <mergeCell ref="G523:H523"/>
    <mergeCell ref="I523:J523"/>
    <mergeCell ref="G537:H537"/>
    <mergeCell ref="I537:J537"/>
    <mergeCell ref="G538:H538"/>
    <mergeCell ref="I538:J538"/>
    <mergeCell ref="G539:H539"/>
    <mergeCell ref="I539:J539"/>
    <mergeCell ref="G534:H534"/>
    <mergeCell ref="I534:J534"/>
    <mergeCell ref="G535:H535"/>
    <mergeCell ref="I535:J535"/>
    <mergeCell ref="G536:H536"/>
    <mergeCell ref="I536:J536"/>
    <mergeCell ref="A530:H530"/>
    <mergeCell ref="I530:J530"/>
    <mergeCell ref="G532:H532"/>
    <mergeCell ref="I532:J532"/>
    <mergeCell ref="G533:H533"/>
    <mergeCell ref="I533:J533"/>
    <mergeCell ref="G547:H547"/>
    <mergeCell ref="I547:J547"/>
    <mergeCell ref="G548:H548"/>
    <mergeCell ref="I548:J548"/>
    <mergeCell ref="G549:H549"/>
    <mergeCell ref="I549:J549"/>
    <mergeCell ref="G544:H544"/>
    <mergeCell ref="I544:J544"/>
    <mergeCell ref="G545:H545"/>
    <mergeCell ref="I545:J545"/>
    <mergeCell ref="G546:H546"/>
    <mergeCell ref="I546:J546"/>
    <mergeCell ref="A540:H540"/>
    <mergeCell ref="I540:J540"/>
    <mergeCell ref="G542:H542"/>
    <mergeCell ref="I542:J542"/>
    <mergeCell ref="G543:H543"/>
    <mergeCell ref="I543:J543"/>
    <mergeCell ref="G557:H557"/>
    <mergeCell ref="I557:J557"/>
    <mergeCell ref="G558:H558"/>
    <mergeCell ref="I558:J558"/>
    <mergeCell ref="G559:H559"/>
    <mergeCell ref="I559:J559"/>
    <mergeCell ref="G554:H554"/>
    <mergeCell ref="I554:J554"/>
    <mergeCell ref="G555:H555"/>
    <mergeCell ref="I555:J555"/>
    <mergeCell ref="G556:H556"/>
    <mergeCell ref="I556:J556"/>
    <mergeCell ref="G550:H550"/>
    <mergeCell ref="I550:J550"/>
    <mergeCell ref="G551:H551"/>
    <mergeCell ref="I551:J551"/>
    <mergeCell ref="A552:H552"/>
    <mergeCell ref="I552:J552"/>
    <mergeCell ref="A567:H567"/>
    <mergeCell ref="I567:J567"/>
    <mergeCell ref="G569:H569"/>
    <mergeCell ref="I569:J569"/>
    <mergeCell ref="G570:H570"/>
    <mergeCell ref="I570:J570"/>
    <mergeCell ref="G564:H564"/>
    <mergeCell ref="I564:J564"/>
    <mergeCell ref="G565:H565"/>
    <mergeCell ref="I565:J565"/>
    <mergeCell ref="G566:H566"/>
    <mergeCell ref="I566:J566"/>
    <mergeCell ref="A560:H560"/>
    <mergeCell ref="I560:J560"/>
    <mergeCell ref="G562:H562"/>
    <mergeCell ref="I562:J562"/>
    <mergeCell ref="G563:H563"/>
    <mergeCell ref="I563:J563"/>
    <mergeCell ref="G578:H578"/>
    <mergeCell ref="I578:J578"/>
    <mergeCell ref="G579:H579"/>
    <mergeCell ref="I579:J579"/>
    <mergeCell ref="G574:H574"/>
    <mergeCell ref="I574:J574"/>
    <mergeCell ref="G575:H575"/>
    <mergeCell ref="I575:J575"/>
    <mergeCell ref="A576:H576"/>
    <mergeCell ref="I576:J576"/>
    <mergeCell ref="G571:H571"/>
    <mergeCell ref="I571:J571"/>
    <mergeCell ref="G572:H572"/>
    <mergeCell ref="I572:J572"/>
    <mergeCell ref="G573:H573"/>
    <mergeCell ref="I573:J573"/>
    <mergeCell ref="G580:H580"/>
    <mergeCell ref="I580:J580"/>
    <mergeCell ref="G591:H591"/>
    <mergeCell ref="I591:J591"/>
    <mergeCell ref="A592:H592"/>
    <mergeCell ref="I592:J592"/>
    <mergeCell ref="G588:H588"/>
    <mergeCell ref="I588:J588"/>
    <mergeCell ref="G589:H589"/>
    <mergeCell ref="I589:J589"/>
    <mergeCell ref="G590:H590"/>
    <mergeCell ref="I590:J590"/>
    <mergeCell ref="G585:H585"/>
    <mergeCell ref="I585:J585"/>
    <mergeCell ref="G586:H586"/>
    <mergeCell ref="I586:J586"/>
    <mergeCell ref="G587:H587"/>
    <mergeCell ref="I587:J587"/>
    <mergeCell ref="G581:H581"/>
    <mergeCell ref="I581:J581"/>
    <mergeCell ref="G582:H582"/>
    <mergeCell ref="I582:J582"/>
    <mergeCell ref="A583:H583"/>
    <mergeCell ref="I583:J583"/>
  </mergeCells>
  <pageMargins left="0.78740157480314965" right="0.39370078740157483" top="1.1811023622047245" bottom="0.78740157480314965" header="0.31496062992125984" footer="0.31496062992125984"/>
  <pageSetup paperSize="9" scale="44" fitToHeight="0" orientation="portrait" r:id="rId1"/>
  <headerFooter>
    <oddHeader>&amp;C&amp;G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624B5-EB3D-4184-AC10-C76E7CF4C098}">
  <sheetPr>
    <pageSetUpPr fitToPage="1"/>
  </sheetPr>
  <dimension ref="A1:S434"/>
  <sheetViews>
    <sheetView showGridLines="0" topLeftCell="A166" workbookViewId="0">
      <selection sqref="A1:J1"/>
    </sheetView>
  </sheetViews>
  <sheetFormatPr defaultRowHeight="14.4" x14ac:dyDescent="0.3"/>
  <cols>
    <col min="1" max="3" width="13.88671875" bestFit="1" customWidth="1"/>
    <col min="4" max="4" width="55.5546875" bestFit="1" customWidth="1"/>
    <col min="5" max="10" width="17.5546875" bestFit="1" customWidth="1"/>
    <col min="11" max="11" width="12" bestFit="1" customWidth="1"/>
    <col min="12" max="12" width="33.33203125" bestFit="1" customWidth="1"/>
    <col min="13" max="19" width="14.77734375" bestFit="1" customWidth="1"/>
  </cols>
  <sheetData>
    <row r="1" spans="1:19" x14ac:dyDescent="0.3">
      <c r="A1" s="44" t="str">
        <f>CIDADE</f>
        <v>MUNICÍPIOS DE PARNAGUÁ - PI E ANÍSIO DE ABREU-PI</v>
      </c>
      <c r="B1" s="44"/>
      <c r="C1" s="44"/>
      <c r="D1" s="44"/>
      <c r="E1" s="44"/>
      <c r="F1" s="44"/>
      <c r="G1" s="44"/>
      <c r="H1" s="44"/>
      <c r="I1" s="44"/>
      <c r="J1" s="44"/>
    </row>
    <row r="2" spans="1:19" x14ac:dyDescent="0.3">
      <c r="A2" s="44" t="str">
        <f>OBRA</f>
        <v>IMPLANTAÇÃO DE 6 (SEIS) SISTEMAS DE ABASTECIMENTO DE ÁGUA EM COMUNIDADES RURAIS NOS MUNICÍPIOS DE PARNAGUÁ-PI E ANÍSIO DE ABREU-PI (TC 967175/2024)</v>
      </c>
      <c r="B2" s="44"/>
      <c r="C2" s="44"/>
      <c r="D2" s="44"/>
      <c r="E2" s="44"/>
      <c r="F2" s="44"/>
      <c r="G2" s="44"/>
      <c r="H2" s="44"/>
      <c r="I2" s="44"/>
      <c r="J2" s="44"/>
    </row>
    <row r="3" spans="1:19" x14ac:dyDescent="0.3">
      <c r="A3" s="44" t="s">
        <v>1095</v>
      </c>
      <c r="B3" s="44"/>
      <c r="C3" s="44"/>
      <c r="D3" s="44"/>
      <c r="E3" s="44"/>
      <c r="F3" s="44"/>
      <c r="G3" s="44"/>
      <c r="H3" s="44"/>
      <c r="I3" s="44"/>
      <c r="J3" s="44"/>
    </row>
    <row r="4" spans="1:19" x14ac:dyDescent="0.3">
      <c r="N4" s="45" t="s">
        <v>996</v>
      </c>
      <c r="O4" s="47"/>
      <c r="P4" s="46"/>
      <c r="Q4" s="45" t="s">
        <v>997</v>
      </c>
      <c r="R4" s="47"/>
      <c r="S4" s="46"/>
    </row>
    <row r="5" spans="1:19" x14ac:dyDescent="0.3">
      <c r="A5" s="1" t="s">
        <v>1</v>
      </c>
      <c r="B5" s="7" t="str">
        <f>FONTE&amp;FOLHA</f>
        <v>SINAPI PI 07/2025, SEINFRA CE 28, ORSE SE 06/2025, CAESB 10/2024SEM DESONERAÇÃO</v>
      </c>
      <c r="C5" s="3"/>
      <c r="D5" s="3"/>
      <c r="E5" s="3"/>
      <c r="F5" s="3"/>
      <c r="G5" s="27" t="s">
        <v>7</v>
      </c>
      <c r="H5" s="8">
        <f>LEI</f>
        <v>113.33</v>
      </c>
      <c r="I5" s="1" t="s">
        <v>16</v>
      </c>
      <c r="J5" s="8">
        <f>BDI</f>
        <v>22.33</v>
      </c>
      <c r="M5" s="4" t="s">
        <v>170</v>
      </c>
      <c r="N5" s="4" t="s">
        <v>998</v>
      </c>
      <c r="O5" s="4" t="s">
        <v>158</v>
      </c>
      <c r="P5" s="4" t="s">
        <v>999</v>
      </c>
      <c r="Q5" s="4" t="s">
        <v>998</v>
      </c>
      <c r="R5" s="4" t="s">
        <v>158</v>
      </c>
      <c r="S5" s="4" t="s">
        <v>999</v>
      </c>
    </row>
    <row r="6" spans="1:19" x14ac:dyDescent="0.3">
      <c r="A6" s="4" t="s">
        <v>1000</v>
      </c>
      <c r="B6" s="4" t="s">
        <v>170</v>
      </c>
      <c r="C6" s="4" t="s">
        <v>171</v>
      </c>
      <c r="D6" s="4" t="s">
        <v>18</v>
      </c>
      <c r="E6" s="4" t="s">
        <v>172</v>
      </c>
      <c r="F6" s="4" t="s">
        <v>507</v>
      </c>
      <c r="G6" s="45" t="s">
        <v>1001</v>
      </c>
      <c r="H6" s="46"/>
      <c r="I6" s="45" t="s">
        <v>12</v>
      </c>
      <c r="J6" s="46"/>
    </row>
    <row r="7" spans="1:19" ht="45" customHeight="1" x14ac:dyDescent="0.3">
      <c r="A7" s="15" t="s">
        <v>1071</v>
      </c>
      <c r="B7" s="15">
        <v>95402</v>
      </c>
      <c r="C7" s="15" t="str">
        <f>VLOOKUP(B7,S!$A:$G,2,FALSE)</f>
        <v>SINAPI</v>
      </c>
      <c r="D7" s="22" t="str">
        <f>VLOOKUP(B7,S!$A:$G,3,FALSE)</f>
        <v>CURSO DE CAPACITAÇÃO PARA ENGENHEIRO CIVIL DE OBRA JÚNIOR (ENCARGOS COMPLEMENTARES) - HORISTA</v>
      </c>
      <c r="E7" s="15" t="str">
        <f>VLOOKUP(B7,S!$A:$G,4,FALSE)</f>
        <v>H</v>
      </c>
      <c r="F7" s="15"/>
      <c r="G7" s="78">
        <f>I9</f>
        <v>1.84</v>
      </c>
      <c r="H7" s="79"/>
      <c r="I7" s="78"/>
      <c r="J7" s="79"/>
      <c r="K7" s="16">
        <f>VLOOKUP(B7,S!A:G,5,FALSE)</f>
        <v>1.84</v>
      </c>
      <c r="L7" s="15" t="str">
        <f>IF(K7=G7,"OK, CONFORME TABELA",IF(G7&gt;K7,"ACIMA DA TABELA: ","ABAIXO DA TABELA: ")&amp;TRUNC((G7*100)/K7,2)&amp;" %")</f>
        <v>OK, CONFORME TABELA</v>
      </c>
    </row>
    <row r="8" spans="1:19" x14ac:dyDescent="0.3">
      <c r="A8" s="23" t="s">
        <v>1005</v>
      </c>
      <c r="B8" s="23">
        <v>2706</v>
      </c>
      <c r="C8" s="23" t="str">
        <f>VLOOKUP(B8,IF(A8="COMPOSICAO",S!$A:$E,I!$A:$E),2,FALSE)</f>
        <v>SINAPI</v>
      </c>
      <c r="D8" s="24" t="str">
        <f>VLOOKUP(B8,IF(A8="COMPOSICAO",S!$A:$E,I!$A:$E),3,FALSE)</f>
        <v>ENGENHEIRO CIVIL DE OBRA JUNIOR (HORISTA)</v>
      </c>
      <c r="E8" s="23" t="str">
        <f>VLOOKUP(B8,IF(A8="COMPOSICAO",S!$A:$E,I!$A:$E),4,FALSE)</f>
        <v>H</v>
      </c>
      <c r="F8" s="23">
        <v>1.4760000000000001E-2</v>
      </c>
      <c r="G8" s="76">
        <f>IF(A8="COMPOSICAO",VLOOKUP("TOTAL SEM BDI - "&amp;B8,CPUAUX3!$A:$J,9,FALSE),VLOOKUP(B8,I!$A:$E,5,FALSE))</f>
        <v>125.11</v>
      </c>
      <c r="H8" s="77"/>
      <c r="I8" s="76">
        <f>TRUNC(F8*G8,2)</f>
        <v>1.84</v>
      </c>
      <c r="J8" s="77"/>
      <c r="M8" s="23">
        <f>B8</f>
        <v>2706</v>
      </c>
      <c r="N8" s="23">
        <f>SUMIF(CPUAUX1!M:M,B7,CPUAUX1!O:O)</f>
        <v>300</v>
      </c>
      <c r="O8" s="23">
        <f>F8*N8</f>
        <v>4.4279999999999999</v>
      </c>
      <c r="Q8" s="23">
        <f ca="1">SUMIF(CPUAUX1!M:M,B7,CPUAUX1!R:R)</f>
        <v>95.4</v>
      </c>
      <c r="R8" s="23">
        <f ca="1">F8*Q8</f>
        <v>1.4081040000000002</v>
      </c>
    </row>
    <row r="9" spans="1:19" x14ac:dyDescent="0.3">
      <c r="A9" s="73" t="str">
        <f>"TOTAL SEM BDI - "&amp;B7</f>
        <v>TOTAL SEM BDI - 95402</v>
      </c>
      <c r="B9" s="74"/>
      <c r="C9" s="74"/>
      <c r="D9" s="74"/>
      <c r="E9" s="74"/>
      <c r="F9" s="74"/>
      <c r="G9" s="74"/>
      <c r="H9" s="75"/>
      <c r="I9" s="76">
        <f>SUM(I7:I8)</f>
        <v>1.84</v>
      </c>
      <c r="J9" s="77"/>
    </row>
    <row r="11" spans="1:19" x14ac:dyDescent="0.3">
      <c r="A11" s="4" t="s">
        <v>1000</v>
      </c>
      <c r="B11" s="4" t="s">
        <v>170</v>
      </c>
      <c r="C11" s="4" t="s">
        <v>171</v>
      </c>
      <c r="D11" s="4" t="s">
        <v>18</v>
      </c>
      <c r="E11" s="4" t="s">
        <v>172</v>
      </c>
      <c r="F11" s="4" t="s">
        <v>507</v>
      </c>
      <c r="G11" s="45" t="s">
        <v>1001</v>
      </c>
      <c r="H11" s="46"/>
      <c r="I11" s="45" t="s">
        <v>12</v>
      </c>
      <c r="J11" s="46"/>
    </row>
    <row r="12" spans="1:19" ht="30" customHeight="1" x14ac:dyDescent="0.3">
      <c r="A12" s="15" t="s">
        <v>1071</v>
      </c>
      <c r="B12" s="15">
        <v>95401</v>
      </c>
      <c r="C12" s="15" t="str">
        <f>VLOOKUP(B12,S!$A:$G,2,FALSE)</f>
        <v>SINAPI</v>
      </c>
      <c r="D12" s="22" t="str">
        <f>VLOOKUP(B12,S!$A:$G,3,FALSE)</f>
        <v>CURSO DE CAPACITAÇÃO PARA ENCARREGADO GERAL (ENCARGOS COMPLEMENTARES) - HORISTA</v>
      </c>
      <c r="E12" s="15" t="str">
        <f>VLOOKUP(B12,S!$A:$G,4,FALSE)</f>
        <v>H</v>
      </c>
      <c r="F12" s="15"/>
      <c r="G12" s="78">
        <f>I14</f>
        <v>0.67</v>
      </c>
      <c r="H12" s="79"/>
      <c r="I12" s="78"/>
      <c r="J12" s="79"/>
      <c r="K12" s="16">
        <f>VLOOKUP(B12,S!A:G,5,FALSE)</f>
        <v>0.67</v>
      </c>
      <c r="L12" s="15" t="str">
        <f>IF(K12=G12,"OK, CONFORME TABELA",IF(G12&gt;K12,"ACIMA DA TABELA: ","ABAIXO DA TABELA: ")&amp;TRUNC((G12*100)/K12,2)&amp;" %")</f>
        <v>OK, CONFORME TABELA</v>
      </c>
    </row>
    <row r="13" spans="1:19" x14ac:dyDescent="0.3">
      <c r="A13" s="23" t="s">
        <v>1005</v>
      </c>
      <c r="B13" s="23">
        <v>4083</v>
      </c>
      <c r="C13" s="23" t="str">
        <f>VLOOKUP(B13,IF(A13="COMPOSICAO",S!$A:$E,I!$A:$E),2,FALSE)</f>
        <v>SINAPI</v>
      </c>
      <c r="D13" s="24" t="str">
        <f>VLOOKUP(B13,IF(A13="COMPOSICAO",S!$A:$E,I!$A:$E),3,FALSE)</f>
        <v>ENCARREGADO GERAL DE OBRAS (HORISTA)</v>
      </c>
      <c r="E13" s="23" t="str">
        <f>VLOOKUP(B13,IF(A13="COMPOSICAO",S!$A:$E,I!$A:$E),4,FALSE)</f>
        <v>H</v>
      </c>
      <c r="F13" s="23">
        <v>2.12E-2</v>
      </c>
      <c r="G13" s="76">
        <f>IF(A13="COMPOSICAO",VLOOKUP("TOTAL SEM BDI - "&amp;B13,CPUAUX3!$A:$J,9,FALSE),VLOOKUP(B13,I!$A:$E,5,FALSE))</f>
        <v>31.85</v>
      </c>
      <c r="H13" s="77"/>
      <c r="I13" s="76">
        <f>TRUNC(F13*G13,2)</f>
        <v>0.67</v>
      </c>
      <c r="J13" s="77"/>
      <c r="M13" s="23">
        <f>B13</f>
        <v>4083</v>
      </c>
      <c r="N13" s="23">
        <f>SUMIF(CPUAUX1!M:M,B12,CPUAUX1!O:O)</f>
        <v>500</v>
      </c>
      <c r="O13" s="23">
        <f>F13*N13</f>
        <v>10.6</v>
      </c>
      <c r="Q13" s="23">
        <f ca="1">SUMIF(CPUAUX1!M:M,B12,CPUAUX1!R:R)</f>
        <v>159</v>
      </c>
      <c r="R13" s="23">
        <f ca="1">F13*Q13</f>
        <v>3.3708</v>
      </c>
    </row>
    <row r="14" spans="1:19" x14ac:dyDescent="0.3">
      <c r="A14" s="73" t="str">
        <f>"TOTAL SEM BDI - "&amp;B12</f>
        <v>TOTAL SEM BDI - 95401</v>
      </c>
      <c r="B14" s="74"/>
      <c r="C14" s="74"/>
      <c r="D14" s="74"/>
      <c r="E14" s="74"/>
      <c r="F14" s="74"/>
      <c r="G14" s="74"/>
      <c r="H14" s="75"/>
      <c r="I14" s="76">
        <f>SUM(I12:I13)</f>
        <v>0.67</v>
      </c>
      <c r="J14" s="77"/>
    </row>
    <row r="16" spans="1:19" x14ac:dyDescent="0.3">
      <c r="A16" s="4" t="s">
        <v>1000</v>
      </c>
      <c r="B16" s="4" t="s">
        <v>170</v>
      </c>
      <c r="C16" s="4" t="s">
        <v>171</v>
      </c>
      <c r="D16" s="4" t="s">
        <v>18</v>
      </c>
      <c r="E16" s="4" t="s">
        <v>172</v>
      </c>
      <c r="F16" s="4" t="s">
        <v>507</v>
      </c>
      <c r="G16" s="45" t="s">
        <v>1001</v>
      </c>
      <c r="H16" s="46"/>
      <c r="I16" s="45" t="s">
        <v>12</v>
      </c>
      <c r="J16" s="46"/>
    </row>
    <row r="17" spans="1:18" ht="30" customHeight="1" x14ac:dyDescent="0.3">
      <c r="A17" s="15" t="s">
        <v>1071</v>
      </c>
      <c r="B17" s="15">
        <v>95398</v>
      </c>
      <c r="C17" s="15" t="str">
        <f>VLOOKUP(B17,S!$A:$G,2,FALSE)</f>
        <v>SINAPI</v>
      </c>
      <c r="D17" s="22" t="str">
        <f>VLOOKUP(B17,S!$A:$G,3,FALSE)</f>
        <v>CURSO DE CAPACITAÇÃO PARA AUXILIAR DE ESCRITÓRIO (ENCARGOS COMPLEMENTARES) - HORISTA</v>
      </c>
      <c r="E17" s="15" t="str">
        <f>VLOOKUP(B17,S!$A:$G,4,FALSE)</f>
        <v>H</v>
      </c>
      <c r="F17" s="15"/>
      <c r="G17" s="78">
        <f>I19</f>
        <v>0.09</v>
      </c>
      <c r="H17" s="79"/>
      <c r="I17" s="78"/>
      <c r="J17" s="79"/>
      <c r="K17" s="16">
        <f>VLOOKUP(B17,S!A:G,5,FALSE)</f>
        <v>0.09</v>
      </c>
      <c r="L17" s="15" t="str">
        <f>IF(K17=G17,"OK, CONFORME TABELA",IF(G17&gt;K17,"ACIMA DA TABELA: ","ABAIXO DA TABELA: ")&amp;TRUNC((G17*100)/K17,2)&amp;" %")</f>
        <v>OK, CONFORME TABELA</v>
      </c>
    </row>
    <row r="18" spans="1:18" x14ac:dyDescent="0.3">
      <c r="A18" s="23" t="s">
        <v>1005</v>
      </c>
      <c r="B18" s="23">
        <v>2350</v>
      </c>
      <c r="C18" s="23" t="str">
        <f>VLOOKUP(B18,IF(A18="COMPOSICAO",S!$A:$E,I!$A:$E),2,FALSE)</f>
        <v>SINAPI</v>
      </c>
      <c r="D18" s="24" t="str">
        <f>VLOOKUP(B18,IF(A18="COMPOSICAO",S!$A:$E,I!$A:$E),3,FALSE)</f>
        <v>AUXILIAR DE ESCRITORIO (HORISTA)</v>
      </c>
      <c r="E18" s="23" t="str">
        <f>VLOOKUP(B18,IF(A18="COMPOSICAO",S!$A:$E,I!$A:$E),4,FALSE)</f>
        <v>H</v>
      </c>
      <c r="F18" s="23">
        <v>5.0899999999999999E-3</v>
      </c>
      <c r="G18" s="76">
        <f>IF(A18="COMPOSICAO",VLOOKUP("TOTAL SEM BDI - "&amp;B18,CPUAUX3!$A:$J,9,FALSE),VLOOKUP(B18,I!$A:$E,5,FALSE))</f>
        <v>19.07</v>
      </c>
      <c r="H18" s="77"/>
      <c r="I18" s="76">
        <f>TRUNC(F18*G18,2)</f>
        <v>0.09</v>
      </c>
      <c r="J18" s="77"/>
      <c r="M18" s="23">
        <f>B18</f>
        <v>2350</v>
      </c>
      <c r="N18" s="23">
        <f>SUMIF(CPUAUX1!M:M,B17,CPUAUX1!O:O)</f>
        <v>500</v>
      </c>
      <c r="O18" s="23">
        <f>F18*N18</f>
        <v>2.5449999999999999</v>
      </c>
      <c r="Q18" s="23">
        <f ca="1">SUMIF(CPUAUX1!M:M,B17,CPUAUX1!R:R)</f>
        <v>159</v>
      </c>
      <c r="R18" s="23">
        <f ca="1">F18*Q18</f>
        <v>0.80930999999999997</v>
      </c>
    </row>
    <row r="19" spans="1:18" x14ac:dyDescent="0.3">
      <c r="A19" s="73" t="str">
        <f>"TOTAL SEM BDI - "&amp;B17</f>
        <v>TOTAL SEM BDI - 95398</v>
      </c>
      <c r="B19" s="74"/>
      <c r="C19" s="74"/>
      <c r="D19" s="74"/>
      <c r="E19" s="74"/>
      <c r="F19" s="74"/>
      <c r="G19" s="74"/>
      <c r="H19" s="75"/>
      <c r="I19" s="76">
        <f>SUM(I17:I18)</f>
        <v>0.09</v>
      </c>
      <c r="J19" s="77"/>
    </row>
    <row r="21" spans="1:18" x14ac:dyDescent="0.3">
      <c r="A21" s="4" t="s">
        <v>1000</v>
      </c>
      <c r="B21" s="4" t="s">
        <v>170</v>
      </c>
      <c r="C21" s="4" t="s">
        <v>171</v>
      </c>
      <c r="D21" s="4" t="s">
        <v>18</v>
      </c>
      <c r="E21" s="4" t="s">
        <v>172</v>
      </c>
      <c r="F21" s="4" t="s">
        <v>507</v>
      </c>
      <c r="G21" s="45" t="s">
        <v>1001</v>
      </c>
      <c r="H21" s="46"/>
      <c r="I21" s="45" t="s">
        <v>12</v>
      </c>
      <c r="J21" s="46"/>
    </row>
    <row r="22" spans="1:18" ht="30" customHeight="1" x14ac:dyDescent="0.3">
      <c r="A22" s="15" t="s">
        <v>1071</v>
      </c>
      <c r="B22" s="15">
        <v>95378</v>
      </c>
      <c r="C22" s="15" t="str">
        <f>VLOOKUP(B22,S!$A:$G,2,FALSE)</f>
        <v>SINAPI</v>
      </c>
      <c r="D22" s="22" t="str">
        <f>VLOOKUP(B22,S!$A:$G,3,FALSE)</f>
        <v>CURSO DE CAPACITAÇÃO PARA SERVENTE (ENCARGOS COMPLEMENTARES) - HORISTA</v>
      </c>
      <c r="E22" s="15" t="str">
        <f>VLOOKUP(B22,S!$A:$G,4,FALSE)</f>
        <v>H</v>
      </c>
      <c r="F22" s="15"/>
      <c r="G22" s="78">
        <f>I24</f>
        <v>0.31</v>
      </c>
      <c r="H22" s="79"/>
      <c r="I22" s="78"/>
      <c r="J22" s="79"/>
      <c r="K22" s="16">
        <f>VLOOKUP(B22,S!A:G,5,FALSE)</f>
        <v>0.31</v>
      </c>
      <c r="L22" s="15" t="str">
        <f>IF(K22=G22,"OK, CONFORME TABELA",IF(G22&gt;K22,"ACIMA DA TABELA: ","ABAIXO DA TABELA: ")&amp;TRUNC((G22*100)/K22,2)&amp;" %")</f>
        <v>OK, CONFORME TABELA</v>
      </c>
    </row>
    <row r="23" spans="1:18" x14ac:dyDescent="0.3">
      <c r="A23" s="23" t="s">
        <v>1005</v>
      </c>
      <c r="B23" s="23">
        <v>6111</v>
      </c>
      <c r="C23" s="23" t="str">
        <f>VLOOKUP(B23,IF(A23="COMPOSICAO",S!$A:$E,I!$A:$E),2,FALSE)</f>
        <v>SINAPI</v>
      </c>
      <c r="D23" s="24" t="str">
        <f>VLOOKUP(B23,IF(A23="COMPOSICAO",S!$A:$E,I!$A:$E),3,FALSE)</f>
        <v>SERVENTE DE OBRAS (HORISTA)</v>
      </c>
      <c r="E23" s="23" t="str">
        <f>VLOOKUP(B23,IF(A23="COMPOSICAO",S!$A:$E,I!$A:$E),4,FALSE)</f>
        <v>H</v>
      </c>
      <c r="F23" s="23">
        <v>2.12E-2</v>
      </c>
      <c r="G23" s="76">
        <f>IF(A23="COMPOSICAO",VLOOKUP("TOTAL SEM BDI - "&amp;B23,CPUAUX3!$A:$J,9,FALSE),VLOOKUP(B23,I!$A:$E,5,FALSE))</f>
        <v>14.86</v>
      </c>
      <c r="H23" s="77"/>
      <c r="I23" s="76">
        <f>TRUNC(F23*G23,2)</f>
        <v>0.31</v>
      </c>
      <c r="J23" s="77"/>
      <c r="M23" s="23">
        <f>B23</f>
        <v>6111</v>
      </c>
      <c r="N23" s="23">
        <f>SUMIF(CPUAUX1!M:M,B22,CPUAUX1!O:O)</f>
        <v>2730.9883429460001</v>
      </c>
      <c r="O23" s="23">
        <f>F23*N23</f>
        <v>57.896952870455202</v>
      </c>
      <c r="Q23" s="23">
        <f ca="1">SUMIF(CPUAUX1!M:M,B22,CPUAUX1!R:R)</f>
        <v>725.91505969400009</v>
      </c>
      <c r="R23" s="23">
        <f ca="1">F23*Q23</f>
        <v>15.389399265512802</v>
      </c>
    </row>
    <row r="24" spans="1:18" x14ac:dyDescent="0.3">
      <c r="A24" s="73" t="str">
        <f>"TOTAL SEM BDI - "&amp;B22</f>
        <v>TOTAL SEM BDI - 95378</v>
      </c>
      <c r="B24" s="74"/>
      <c r="C24" s="74"/>
      <c r="D24" s="74"/>
      <c r="E24" s="74"/>
      <c r="F24" s="74"/>
      <c r="G24" s="74"/>
      <c r="H24" s="75"/>
      <c r="I24" s="76">
        <f>SUM(I22:I23)</f>
        <v>0.31</v>
      </c>
      <c r="J24" s="77"/>
    </row>
    <row r="26" spans="1:18" x14ac:dyDescent="0.3">
      <c r="A26" s="4" t="s">
        <v>1000</v>
      </c>
      <c r="B26" s="4" t="s">
        <v>170</v>
      </c>
      <c r="C26" s="4" t="s">
        <v>171</v>
      </c>
      <c r="D26" s="4" t="s">
        <v>18</v>
      </c>
      <c r="E26" s="4" t="s">
        <v>172</v>
      </c>
      <c r="F26" s="4" t="s">
        <v>507</v>
      </c>
      <c r="G26" s="45" t="s">
        <v>1001</v>
      </c>
      <c r="H26" s="46"/>
      <c r="I26" s="45" t="s">
        <v>12</v>
      </c>
      <c r="J26" s="46"/>
    </row>
    <row r="27" spans="1:18" ht="45" customHeight="1" x14ac:dyDescent="0.3">
      <c r="A27" s="15" t="s">
        <v>1071</v>
      </c>
      <c r="B27" s="15">
        <v>95323</v>
      </c>
      <c r="C27" s="15" t="str">
        <f>VLOOKUP(B27,S!$A:$G,2,FALSE)</f>
        <v>SINAPI</v>
      </c>
      <c r="D27" s="22" t="str">
        <f>VLOOKUP(B27,S!$A:$G,3,FALSE)</f>
        <v>CURSO DE CAPACITAÇÃO PARA AUXILIAR TÉCNICO DE ENGENHARIA (ENCARGOS COMPLEMENTARES) - HORISTA</v>
      </c>
      <c r="E27" s="15" t="str">
        <f>VLOOKUP(B27,S!$A:$G,4,FALSE)</f>
        <v>H</v>
      </c>
      <c r="F27" s="15"/>
      <c r="G27" s="78">
        <f>I29</f>
        <v>0.19</v>
      </c>
      <c r="H27" s="79"/>
      <c r="I27" s="78"/>
      <c r="J27" s="79"/>
      <c r="K27" s="16">
        <f>VLOOKUP(B27,S!A:G,5,FALSE)</f>
        <v>0.19</v>
      </c>
      <c r="L27" s="15" t="str">
        <f>IF(K27=G27,"OK, CONFORME TABELA",IF(G27&gt;K27,"ACIMA DA TABELA: ","ABAIXO DA TABELA: ")&amp;TRUNC((G27*100)/K27,2)&amp;" %")</f>
        <v>OK, CONFORME TABELA</v>
      </c>
    </row>
    <row r="28" spans="1:18" ht="30" customHeight="1" x14ac:dyDescent="0.3">
      <c r="A28" s="23" t="s">
        <v>1005</v>
      </c>
      <c r="B28" s="23">
        <v>532</v>
      </c>
      <c r="C28" s="23" t="str">
        <f>VLOOKUP(B28,IF(A28="COMPOSICAO",S!$A:$E,I!$A:$E),2,FALSE)</f>
        <v>SINAPI</v>
      </c>
      <c r="D28" s="24" t="str">
        <f>VLOOKUP(B28,IF(A28="COMPOSICAO",S!$A:$E,I!$A:$E),3,FALSE)</f>
        <v>AUXILIAR TECNICO / ASSISTENTE DE ENGENHARIA (HORISTA)</v>
      </c>
      <c r="E28" s="23" t="str">
        <f>VLOOKUP(B28,IF(A28="COMPOSICAO",S!$A:$E,I!$A:$E),4,FALSE)</f>
        <v>H</v>
      </c>
      <c r="F28" s="23">
        <v>8.3099999999999997E-3</v>
      </c>
      <c r="G28" s="76">
        <f>IF(A28="COMPOSICAO",VLOOKUP("TOTAL SEM BDI - "&amp;B28,CPUAUX3!$A:$J,9,FALSE),VLOOKUP(B28,I!$A:$E,5,FALSE))</f>
        <v>24.06</v>
      </c>
      <c r="H28" s="77"/>
      <c r="I28" s="76">
        <f>TRUNC(F28*G28,2)</f>
        <v>0.19</v>
      </c>
      <c r="J28" s="77"/>
      <c r="M28" s="23">
        <f>B28</f>
        <v>532</v>
      </c>
      <c r="N28" s="23">
        <f>SUMIF(CPUAUX1!M:M,B27,CPUAUX1!O:O)</f>
        <v>120</v>
      </c>
      <c r="O28" s="23">
        <f>F28*N28</f>
        <v>0.99719999999999998</v>
      </c>
      <c r="Q28" s="23">
        <f ca="1">SUMIF(CPUAUX1!M:M,B27,CPUAUX1!R:R)</f>
        <v>40</v>
      </c>
      <c r="R28" s="23">
        <f ca="1">F28*Q28</f>
        <v>0.33239999999999997</v>
      </c>
    </row>
    <row r="29" spans="1:18" x14ac:dyDescent="0.3">
      <c r="A29" s="73" t="str">
        <f>"TOTAL SEM BDI - "&amp;B27</f>
        <v>TOTAL SEM BDI - 95323</v>
      </c>
      <c r="B29" s="74"/>
      <c r="C29" s="74"/>
      <c r="D29" s="74"/>
      <c r="E29" s="74"/>
      <c r="F29" s="74"/>
      <c r="G29" s="74"/>
      <c r="H29" s="75"/>
      <c r="I29" s="76">
        <f>SUM(I27:I28)</f>
        <v>0.19</v>
      </c>
      <c r="J29" s="77"/>
    </row>
    <row r="31" spans="1:18" x14ac:dyDescent="0.3">
      <c r="A31" s="4" t="s">
        <v>1000</v>
      </c>
      <c r="B31" s="4" t="s">
        <v>170</v>
      </c>
      <c r="C31" s="4" t="s">
        <v>171</v>
      </c>
      <c r="D31" s="4" t="s">
        <v>18</v>
      </c>
      <c r="E31" s="4" t="s">
        <v>172</v>
      </c>
      <c r="F31" s="4" t="s">
        <v>507</v>
      </c>
      <c r="G31" s="45" t="s">
        <v>1001</v>
      </c>
      <c r="H31" s="46"/>
      <c r="I31" s="45" t="s">
        <v>12</v>
      </c>
      <c r="J31" s="46"/>
    </row>
    <row r="32" spans="1:18" ht="45" customHeight="1" x14ac:dyDescent="0.3">
      <c r="A32" s="15" t="s">
        <v>1071</v>
      </c>
      <c r="B32" s="15">
        <v>95404</v>
      </c>
      <c r="C32" s="15" t="str">
        <f>VLOOKUP(B32,S!$A:$G,2,FALSE)</f>
        <v>SINAPI</v>
      </c>
      <c r="D32" s="22" t="str">
        <f>VLOOKUP(B32,S!$A:$G,3,FALSE)</f>
        <v>CURSO DE CAPACITAÇÃO PARA ENGENHEIRO CIVIL DE OBRA SÊNIOR (ENCARGOS COMPLEMENTARES) - HORISTA</v>
      </c>
      <c r="E32" s="15" t="str">
        <f>VLOOKUP(B32,S!$A:$G,4,FALSE)</f>
        <v>H</v>
      </c>
      <c r="F32" s="15"/>
      <c r="G32" s="78">
        <f>I34</f>
        <v>2.17</v>
      </c>
      <c r="H32" s="79"/>
      <c r="I32" s="78"/>
      <c r="J32" s="79"/>
      <c r="K32" s="16">
        <f>VLOOKUP(B32,S!A:G,5,FALSE)</f>
        <v>2.17</v>
      </c>
      <c r="L32" s="15" t="str">
        <f>IF(K32=G32,"OK, CONFORME TABELA",IF(G32&gt;K32,"ACIMA DA TABELA: ","ABAIXO DA TABELA: ")&amp;TRUNC((G32*100)/K32,2)&amp;" %")</f>
        <v>OK, CONFORME TABELA</v>
      </c>
    </row>
    <row r="33" spans="1:18" x14ac:dyDescent="0.3">
      <c r="A33" s="23" t="s">
        <v>1005</v>
      </c>
      <c r="B33" s="23">
        <v>2708</v>
      </c>
      <c r="C33" s="23" t="str">
        <f>VLOOKUP(B33,IF(A33="COMPOSICAO",S!$A:$E,I!$A:$E),2,FALSE)</f>
        <v>SINAPI</v>
      </c>
      <c r="D33" s="24" t="str">
        <f>VLOOKUP(B33,IF(A33="COMPOSICAO",S!$A:$E,I!$A:$E),3,FALSE)</f>
        <v>ENGENHEIRO CIVIL DE OBRA SENIOR (HORISTA)</v>
      </c>
      <c r="E33" s="23" t="str">
        <f>VLOOKUP(B33,IF(A33="COMPOSICAO",S!$A:$E,I!$A:$E),4,FALSE)</f>
        <v>H</v>
      </c>
      <c r="F33" s="23">
        <v>1.4760000000000001E-2</v>
      </c>
      <c r="G33" s="76">
        <f>IF(A33="COMPOSICAO",VLOOKUP("TOTAL SEM BDI - "&amp;B33,CPUAUX3!$A:$J,9,FALSE),VLOOKUP(B33,I!$A:$E,5,FALSE))</f>
        <v>147.6</v>
      </c>
      <c r="H33" s="77"/>
      <c r="I33" s="76">
        <f>TRUNC(F33*G33,2)</f>
        <v>2.17</v>
      </c>
      <c r="J33" s="77"/>
      <c r="M33" s="23">
        <f>B33</f>
        <v>2708</v>
      </c>
      <c r="N33" s="23">
        <f>SUMIF(CPUAUX1!M:M,B32,CPUAUX1!O:O)</f>
        <v>48</v>
      </c>
      <c r="O33" s="23">
        <f>F33*N33</f>
        <v>0.70848</v>
      </c>
      <c r="Q33" s="23">
        <f ca="1">SUMIF(CPUAUX1!M:M,B32,CPUAUX1!R:R)</f>
        <v>16</v>
      </c>
      <c r="R33" s="23">
        <f ca="1">F33*Q33</f>
        <v>0.23616000000000001</v>
      </c>
    </row>
    <row r="34" spans="1:18" x14ac:dyDescent="0.3">
      <c r="A34" s="73" t="str">
        <f>"TOTAL SEM BDI - "&amp;B32</f>
        <v>TOTAL SEM BDI - 95404</v>
      </c>
      <c r="B34" s="74"/>
      <c r="C34" s="74"/>
      <c r="D34" s="74"/>
      <c r="E34" s="74"/>
      <c r="F34" s="74"/>
      <c r="G34" s="74"/>
      <c r="H34" s="75"/>
      <c r="I34" s="76">
        <f>SUM(I32:I33)</f>
        <v>2.17</v>
      </c>
      <c r="J34" s="77"/>
    </row>
    <row r="36" spans="1:18" x14ac:dyDescent="0.3">
      <c r="A36" s="4" t="s">
        <v>1000</v>
      </c>
      <c r="B36" s="4" t="s">
        <v>170</v>
      </c>
      <c r="C36" s="4" t="s">
        <v>171</v>
      </c>
      <c r="D36" s="4" t="s">
        <v>18</v>
      </c>
      <c r="E36" s="4" t="s">
        <v>172</v>
      </c>
      <c r="F36" s="4" t="s">
        <v>507</v>
      </c>
      <c r="G36" s="45" t="s">
        <v>1001</v>
      </c>
      <c r="H36" s="46"/>
      <c r="I36" s="45" t="s">
        <v>12</v>
      </c>
      <c r="J36" s="46"/>
    </row>
    <row r="37" spans="1:18" ht="30" customHeight="1" x14ac:dyDescent="0.3">
      <c r="A37" s="15" t="s">
        <v>1071</v>
      </c>
      <c r="B37" s="15">
        <v>95371</v>
      </c>
      <c r="C37" s="15" t="str">
        <f>VLOOKUP(B37,S!$A:$G,2,FALSE)</f>
        <v>SINAPI</v>
      </c>
      <c r="D37" s="22" t="str">
        <f>VLOOKUP(B37,S!$A:$G,3,FALSE)</f>
        <v>CURSO DE CAPACITAÇÃO PARA PEDREIRO (ENCARGOS COMPLEMENTARES) - HORISTA</v>
      </c>
      <c r="E37" s="15" t="str">
        <f>VLOOKUP(B37,S!$A:$G,4,FALSE)</f>
        <v>H</v>
      </c>
      <c r="F37" s="15"/>
      <c r="G37" s="78">
        <f>I39</f>
        <v>0.43</v>
      </c>
      <c r="H37" s="79"/>
      <c r="I37" s="78"/>
      <c r="J37" s="79"/>
      <c r="K37" s="16">
        <f>VLOOKUP(B37,S!A:G,5,FALSE)</f>
        <v>0.43</v>
      </c>
      <c r="L37" s="15" t="str">
        <f>IF(K37=G37,"OK, CONFORME TABELA",IF(G37&gt;K37,"ACIMA DA TABELA: ","ABAIXO DA TABELA: ")&amp;TRUNC((G37*100)/K37,2)&amp;" %")</f>
        <v>OK, CONFORME TABELA</v>
      </c>
    </row>
    <row r="38" spans="1:18" x14ac:dyDescent="0.3">
      <c r="A38" s="23" t="s">
        <v>1005</v>
      </c>
      <c r="B38" s="23">
        <v>4750</v>
      </c>
      <c r="C38" s="23" t="str">
        <f>VLOOKUP(B38,IF(A38="COMPOSICAO",S!$A:$E,I!$A:$E),2,FALSE)</f>
        <v>SINAPI</v>
      </c>
      <c r="D38" s="24" t="str">
        <f>VLOOKUP(B38,IF(A38="COMPOSICAO",S!$A:$E,I!$A:$E),3,FALSE)</f>
        <v>PEDREIRO (HORISTA)</v>
      </c>
      <c r="E38" s="23" t="str">
        <f>VLOOKUP(B38,IF(A38="COMPOSICAO",S!$A:$E,I!$A:$E),4,FALSE)</f>
        <v>H</v>
      </c>
      <c r="F38" s="23">
        <v>2.12E-2</v>
      </c>
      <c r="G38" s="76">
        <f>IF(A38="COMPOSICAO",VLOOKUP("TOTAL SEM BDI - "&amp;B38,CPUAUX3!$A:$J,9,FALSE),VLOOKUP(B38,I!$A:$E,5,FALSE))</f>
        <v>20.329999999999998</v>
      </c>
      <c r="H38" s="77"/>
      <c r="I38" s="76">
        <f>TRUNC(F38*G38,2)</f>
        <v>0.43</v>
      </c>
      <c r="J38" s="77"/>
      <c r="M38" s="23">
        <f>B38</f>
        <v>4750</v>
      </c>
      <c r="N38" s="23">
        <f>SUMIF(CPUAUX1!M:M,B37,CPUAUX1!O:O)</f>
        <v>656.87065200000006</v>
      </c>
      <c r="O38" s="23">
        <f>F38*N38</f>
        <v>13.925657822400002</v>
      </c>
      <c r="Q38" s="23">
        <f ca="1">SUMIF(CPUAUX1!M:M,B37,CPUAUX1!R:R)</f>
        <v>218.956884</v>
      </c>
      <c r="R38" s="23">
        <f ca="1">F38*Q38</f>
        <v>4.6418859407999999</v>
      </c>
    </row>
    <row r="39" spans="1:18" x14ac:dyDescent="0.3">
      <c r="A39" s="73" t="str">
        <f>"TOTAL SEM BDI - "&amp;B37</f>
        <v>TOTAL SEM BDI - 95371</v>
      </c>
      <c r="B39" s="74"/>
      <c r="C39" s="74"/>
      <c r="D39" s="74"/>
      <c r="E39" s="74"/>
      <c r="F39" s="74"/>
      <c r="G39" s="74"/>
      <c r="H39" s="75"/>
      <c r="I39" s="76">
        <f>SUM(I37:I38)</f>
        <v>0.43</v>
      </c>
      <c r="J39" s="77"/>
    </row>
    <row r="41" spans="1:18" x14ac:dyDescent="0.3">
      <c r="A41" s="4" t="s">
        <v>1000</v>
      </c>
      <c r="B41" s="4" t="s">
        <v>170</v>
      </c>
      <c r="C41" s="4" t="s">
        <v>171</v>
      </c>
      <c r="D41" s="4" t="s">
        <v>18</v>
      </c>
      <c r="E41" s="4" t="s">
        <v>172</v>
      </c>
      <c r="F41" s="4" t="s">
        <v>507</v>
      </c>
      <c r="G41" s="45" t="s">
        <v>1001</v>
      </c>
      <c r="H41" s="46"/>
      <c r="I41" s="45" t="s">
        <v>12</v>
      </c>
      <c r="J41" s="46"/>
    </row>
    <row r="42" spans="1:18" ht="30" customHeight="1" x14ac:dyDescent="0.3">
      <c r="A42" s="15" t="s">
        <v>1071</v>
      </c>
      <c r="B42" s="15">
        <v>95312</v>
      </c>
      <c r="C42" s="15" t="str">
        <f>VLOOKUP(B42,S!$A:$G,2,FALSE)</f>
        <v>SINAPI</v>
      </c>
      <c r="D42" s="22" t="str">
        <f>VLOOKUP(B42,S!$A:$G,3,FALSE)</f>
        <v>CURSO DE CAPACITAÇÃO PARA AJUDANTE DE PEDREIRO (ENCARGOS COMPLEMENTARES) - HORISTA</v>
      </c>
      <c r="E42" s="15" t="str">
        <f>VLOOKUP(B42,S!$A:$G,4,FALSE)</f>
        <v>H</v>
      </c>
      <c r="F42" s="15"/>
      <c r="G42" s="78">
        <f>I44</f>
        <v>0.22</v>
      </c>
      <c r="H42" s="79"/>
      <c r="I42" s="78"/>
      <c r="J42" s="79"/>
      <c r="K42" s="16">
        <f>VLOOKUP(B42,S!A:G,5,FALSE)</f>
        <v>0.22</v>
      </c>
      <c r="L42" s="15" t="str">
        <f>IF(K42=G42,"OK, CONFORME TABELA",IF(G42&gt;K42,"ACIMA DA TABELA: ","ABAIXO DA TABELA: ")&amp;TRUNC((G42*100)/K42,2)&amp;" %")</f>
        <v>OK, CONFORME TABELA</v>
      </c>
    </row>
    <row r="43" spans="1:18" x14ac:dyDescent="0.3">
      <c r="A43" s="23" t="s">
        <v>1005</v>
      </c>
      <c r="B43" s="23">
        <v>6127</v>
      </c>
      <c r="C43" s="23" t="str">
        <f>VLOOKUP(B43,IF(A43="COMPOSICAO",S!$A:$E,I!$A:$E),2,FALSE)</f>
        <v>SINAPI</v>
      </c>
      <c r="D43" s="24" t="str">
        <f>VLOOKUP(B43,IF(A43="COMPOSICAO",S!$A:$E,I!$A:$E),3,FALSE)</f>
        <v>AUXILIAR DE PEDREIRO (HORISTA)</v>
      </c>
      <c r="E43" s="23" t="str">
        <f>VLOOKUP(B43,IF(A43="COMPOSICAO",S!$A:$E,I!$A:$E),4,FALSE)</f>
        <v>H</v>
      </c>
      <c r="F43" s="23">
        <v>1.4760000000000001E-2</v>
      </c>
      <c r="G43" s="76">
        <f>IF(A43="COMPOSICAO",VLOOKUP("TOTAL SEM BDI - "&amp;B43,CPUAUX3!$A:$J,9,FALSE),VLOOKUP(B43,I!$A:$E,5,FALSE))</f>
        <v>15.57</v>
      </c>
      <c r="H43" s="77"/>
      <c r="I43" s="76">
        <f>TRUNC(F43*G43,2)</f>
        <v>0.22</v>
      </c>
      <c r="J43" s="77"/>
      <c r="M43" s="23">
        <f>B43</f>
        <v>6127</v>
      </c>
      <c r="N43" s="23">
        <f>SUMIF(CPUAUX1!M:M,B42,CPUAUX1!O:O)</f>
        <v>14.850239999999999</v>
      </c>
      <c r="O43" s="23">
        <f>F43*N43</f>
        <v>0.21918954239999999</v>
      </c>
      <c r="Q43" s="23">
        <f ca="1">SUMIF(CPUAUX1!M:M,B42,CPUAUX1!R:R)</f>
        <v>4.9500799999999998</v>
      </c>
      <c r="R43" s="23">
        <f ca="1">F43*Q43</f>
        <v>7.3063180800000002E-2</v>
      </c>
    </row>
    <row r="44" spans="1:18" x14ac:dyDescent="0.3">
      <c r="A44" s="73" t="str">
        <f>"TOTAL SEM BDI - "&amp;B42</f>
        <v>TOTAL SEM BDI - 95312</v>
      </c>
      <c r="B44" s="74"/>
      <c r="C44" s="74"/>
      <c r="D44" s="74"/>
      <c r="E44" s="74"/>
      <c r="F44" s="74"/>
      <c r="G44" s="74"/>
      <c r="H44" s="75"/>
      <c r="I44" s="76">
        <f>SUM(I42:I43)</f>
        <v>0.22</v>
      </c>
      <c r="J44" s="77"/>
    </row>
    <row r="46" spans="1:18" x14ac:dyDescent="0.3">
      <c r="A46" s="4" t="s">
        <v>1000</v>
      </c>
      <c r="B46" s="4" t="s">
        <v>170</v>
      </c>
      <c r="C46" s="4" t="s">
        <v>171</v>
      </c>
      <c r="D46" s="4" t="s">
        <v>18</v>
      </c>
      <c r="E46" s="4" t="s">
        <v>172</v>
      </c>
      <c r="F46" s="4" t="s">
        <v>507</v>
      </c>
      <c r="G46" s="45" t="s">
        <v>1001</v>
      </c>
      <c r="H46" s="46"/>
      <c r="I46" s="45" t="s">
        <v>12</v>
      </c>
      <c r="J46" s="46"/>
    </row>
    <row r="47" spans="1:18" ht="60" customHeight="1" x14ac:dyDescent="0.3">
      <c r="A47" s="15" t="s">
        <v>1076</v>
      </c>
      <c r="B47" s="15">
        <v>88831</v>
      </c>
      <c r="C47" s="15" t="str">
        <f>VLOOKUP(B47,S!$A:$G,2,FALSE)</f>
        <v>SINAPI</v>
      </c>
      <c r="D47" s="22" t="str">
        <f>VLOOKUP(B47,S!$A:$G,3,FALSE)</f>
        <v>BETONEIRA CAPACIDADE NOMINAL DE 400 L, CAPACIDADE DE MISTURA 280 L, MOTOR ELÉTRICO TRIFÁSICO POTÊNCIA DE 2 CV, SEM CARREGADOR - CHI DIURNO. AF_05/2023</v>
      </c>
      <c r="E47" s="15" t="str">
        <f>VLOOKUP(B47,S!$A:$G,4,FALSE)</f>
        <v>CHI</v>
      </c>
      <c r="F47" s="15"/>
      <c r="G47" s="78">
        <f>I50</f>
        <v>0.49</v>
      </c>
      <c r="H47" s="79"/>
      <c r="I47" s="78"/>
      <c r="J47" s="79"/>
      <c r="K47" s="16">
        <f>VLOOKUP(B47,S!A:G,5,FALSE)</f>
        <v>0.49</v>
      </c>
      <c r="L47" s="15" t="str">
        <f>IF(K47=G47,"OK, CONFORME TABELA",IF(G47&gt;K47,"ACIMA DA TABELA: ","ABAIXO DA TABELA: ")&amp;TRUNC((G47*100)/K47,2)&amp;" %")</f>
        <v>OK, CONFORME TABELA</v>
      </c>
    </row>
    <row r="48" spans="1:18" ht="60" customHeight="1" x14ac:dyDescent="0.3">
      <c r="A48" s="23" t="s">
        <v>1004</v>
      </c>
      <c r="B48" s="23">
        <v>88827</v>
      </c>
      <c r="C48" s="23" t="str">
        <f>VLOOKUP(B48,IF(A48="COMPOSICAO",S!$A:$E,I!$A:$E),2,FALSE)</f>
        <v>SINAPI</v>
      </c>
      <c r="D48" s="24" t="str">
        <f>VLOOKUP(B48,IF(A48="COMPOSICAO",S!$A:$E,I!$A:$E),3,FALSE)</f>
        <v>BETONEIRA CAPACIDADE NOMINAL DE 400 L, CAPACIDADE DE MISTURA 280 L, MOTOR ELÉTRICO TRIFÁSICO POTÊNCIA DE 2 CV, SEM CARREGADOR - JUROS. AF_05/2023</v>
      </c>
      <c r="E48" s="23" t="str">
        <f>VLOOKUP(B48,IF(A48="COMPOSICAO",S!$A:$E,I!$A:$E),4,FALSE)</f>
        <v>H</v>
      </c>
      <c r="F48" s="23">
        <v>1</v>
      </c>
      <c r="G48" s="76">
        <f>IF(A48="COMPOSICAO",VLOOKUP("TOTAL SEM BDI - "&amp;B48,CPUAUX3!$A:$J,9,FALSE),VLOOKUP(B48,I!$A:$E,5,FALSE))</f>
        <v>0.09</v>
      </c>
      <c r="H48" s="77"/>
      <c r="I48" s="76">
        <f>TRUNC(F48*G48,2)</f>
        <v>0.09</v>
      </c>
      <c r="J48" s="77"/>
      <c r="M48" s="23">
        <f>B48</f>
        <v>88827</v>
      </c>
      <c r="N48" s="23">
        <f>SUMIF(CPUAUX1!M:M,B47,CPUAUX1!O:O)</f>
        <v>42.387719520000005</v>
      </c>
      <c r="O48" s="23">
        <f>F48*N48</f>
        <v>42.387719520000005</v>
      </c>
      <c r="Q48" s="23">
        <f ca="1">SUMIF(CPUAUX1!M:M,B47,CPUAUX1!R:R)</f>
        <v>14.12923984</v>
      </c>
      <c r="R48" s="23">
        <f ca="1">F48*Q48</f>
        <v>14.12923984</v>
      </c>
    </row>
    <row r="49" spans="1:18" ht="60" customHeight="1" x14ac:dyDescent="0.3">
      <c r="A49" s="23" t="s">
        <v>1004</v>
      </c>
      <c r="B49" s="23">
        <v>88826</v>
      </c>
      <c r="C49" s="23" t="str">
        <f>VLOOKUP(B49,IF(A49="COMPOSICAO",S!$A:$E,I!$A:$E),2,FALSE)</f>
        <v>SINAPI</v>
      </c>
      <c r="D49" s="24" t="str">
        <f>VLOOKUP(B49,IF(A49="COMPOSICAO",S!$A:$E,I!$A:$E),3,FALSE)</f>
        <v>BETONEIRA CAPACIDADE NOMINAL DE 400 L, CAPACIDADE DE MISTURA 280 L, MOTOR ELÉTRICO TRIFÁSICO POTÊNCIA DE 2 CV, SEM CARREGADOR - DEPRECIAÇÃO. AF_05/2023</v>
      </c>
      <c r="E49" s="23" t="str">
        <f>VLOOKUP(B49,IF(A49="COMPOSICAO",S!$A:$E,I!$A:$E),4,FALSE)</f>
        <v>H</v>
      </c>
      <c r="F49" s="23">
        <v>1</v>
      </c>
      <c r="G49" s="76">
        <f>IF(A49="COMPOSICAO",VLOOKUP("TOTAL SEM BDI - "&amp;B49,CPUAUX3!$A:$J,9,FALSE),VLOOKUP(B49,I!$A:$E,5,FALSE))</f>
        <v>0.4</v>
      </c>
      <c r="H49" s="77"/>
      <c r="I49" s="76">
        <f>TRUNC(F49*G49,2)</f>
        <v>0.4</v>
      </c>
      <c r="J49" s="77"/>
      <c r="M49" s="23">
        <f>B49</f>
        <v>88826</v>
      </c>
      <c r="N49" s="23">
        <f>SUMIF(CPUAUX1!M:M,B47,CPUAUX1!O:O)</f>
        <v>42.387719520000005</v>
      </c>
      <c r="O49" s="23">
        <f>F49*N49</f>
        <v>42.387719520000005</v>
      </c>
      <c r="Q49" s="23">
        <f ca="1">SUMIF(CPUAUX1!M:M,B47,CPUAUX1!R:R)</f>
        <v>14.12923984</v>
      </c>
      <c r="R49" s="23">
        <f ca="1">F49*Q49</f>
        <v>14.12923984</v>
      </c>
    </row>
    <row r="50" spans="1:18" x14ac:dyDescent="0.3">
      <c r="A50" s="73" t="str">
        <f>"TOTAL SEM BDI - "&amp;B47</f>
        <v>TOTAL SEM BDI - 88831</v>
      </c>
      <c r="B50" s="74"/>
      <c r="C50" s="74"/>
      <c r="D50" s="74"/>
      <c r="E50" s="74"/>
      <c r="F50" s="74"/>
      <c r="G50" s="74"/>
      <c r="H50" s="75"/>
      <c r="I50" s="76">
        <f>SUM(I47:I49)</f>
        <v>0.49</v>
      </c>
      <c r="J50" s="77"/>
    </row>
    <row r="52" spans="1:18" x14ac:dyDescent="0.3">
      <c r="A52" s="4" t="s">
        <v>1000</v>
      </c>
      <c r="B52" s="4" t="s">
        <v>170</v>
      </c>
      <c r="C52" s="4" t="s">
        <v>171</v>
      </c>
      <c r="D52" s="4" t="s">
        <v>18</v>
      </c>
      <c r="E52" s="4" t="s">
        <v>172</v>
      </c>
      <c r="F52" s="4" t="s">
        <v>507</v>
      </c>
      <c r="G52" s="45" t="s">
        <v>1001</v>
      </c>
      <c r="H52" s="46"/>
      <c r="I52" s="45" t="s">
        <v>12</v>
      </c>
      <c r="J52" s="46"/>
    </row>
    <row r="53" spans="1:18" ht="60" customHeight="1" x14ac:dyDescent="0.3">
      <c r="A53" s="15" t="s">
        <v>1076</v>
      </c>
      <c r="B53" s="15">
        <v>88830</v>
      </c>
      <c r="C53" s="15" t="str">
        <f>VLOOKUP(B53,S!$A:$G,2,FALSE)</f>
        <v>SINAPI</v>
      </c>
      <c r="D53" s="22" t="str">
        <f>VLOOKUP(B53,S!$A:$G,3,FALSE)</f>
        <v>BETONEIRA CAPACIDADE NOMINAL DE 400 L, CAPACIDADE DE MISTURA 280 L, MOTOR ELÉTRICO TRIFÁSICO POTÊNCIA DE 2 CV, SEM CARREGADOR - CHP DIURNO. AF_05/2023</v>
      </c>
      <c r="E53" s="15" t="str">
        <f>VLOOKUP(B53,S!$A:$G,4,FALSE)</f>
        <v>CHP</v>
      </c>
      <c r="F53" s="15"/>
      <c r="G53" s="78">
        <f>I58</f>
        <v>2.3000000000000003</v>
      </c>
      <c r="H53" s="79"/>
      <c r="I53" s="78"/>
      <c r="J53" s="79"/>
      <c r="K53" s="16">
        <f>VLOOKUP(B53,S!A:G,5,FALSE)</f>
        <v>2.2999999999999998</v>
      </c>
      <c r="L53" s="15" t="str">
        <f>IF(K53=G53,"OK, CONFORME TABELA",IF(G53&gt;K53,"ACIMA DA TABELA: ","ABAIXO DA TABELA: ")&amp;TRUNC((G53*100)/K53,2)&amp;" %")</f>
        <v>OK, CONFORME TABELA</v>
      </c>
    </row>
    <row r="54" spans="1:18" ht="60" customHeight="1" x14ac:dyDescent="0.3">
      <c r="A54" s="23" t="s">
        <v>1004</v>
      </c>
      <c r="B54" s="23">
        <v>88829</v>
      </c>
      <c r="C54" s="23" t="str">
        <f>VLOOKUP(B54,IF(A54="COMPOSICAO",S!$A:$E,I!$A:$E),2,FALSE)</f>
        <v>SINAPI</v>
      </c>
      <c r="D54" s="24" t="str">
        <f>VLOOKUP(B54,IF(A54="COMPOSICAO",S!$A:$E,I!$A:$E),3,FALSE)</f>
        <v>BETONEIRA CAPACIDADE NOMINAL DE 400 L, CAPACIDADE DE MISTURA 280 L, MOTOR ELÉTRICO TRIFÁSICO POTÊNCIA DE 2 CV, SEM CARREGADOR - MATERIAIS NA OPERAÇÃO. AF_05/2023</v>
      </c>
      <c r="E54" s="23" t="str">
        <f>VLOOKUP(B54,IF(A54="COMPOSICAO",S!$A:$E,I!$A:$E),4,FALSE)</f>
        <v>H</v>
      </c>
      <c r="F54" s="23">
        <v>1</v>
      </c>
      <c r="G54" s="76">
        <f>IF(A54="COMPOSICAO",VLOOKUP("TOTAL SEM BDI - "&amp;B54,CPUAUX3!$A:$J,9,FALSE),VLOOKUP(B54,I!$A:$E,5,FALSE))</f>
        <v>1.37</v>
      </c>
      <c r="H54" s="77"/>
      <c r="I54" s="76">
        <f>TRUNC(F54*G54,2)</f>
        <v>1.37</v>
      </c>
      <c r="J54" s="77"/>
      <c r="M54" s="23">
        <f>B54</f>
        <v>88829</v>
      </c>
      <c r="N54" s="23">
        <f>SUMIF(CPUAUX1!M:M,B53,CPUAUX1!O:O)</f>
        <v>26.257622640000001</v>
      </c>
      <c r="O54" s="23">
        <f>F54*N54</f>
        <v>26.257622640000001</v>
      </c>
      <c r="Q54" s="23">
        <f ca="1">SUMIF(CPUAUX1!M:M,B53,CPUAUX1!R:R)</f>
        <v>8.7525408799999997</v>
      </c>
      <c r="R54" s="23">
        <f ca="1">F54*Q54</f>
        <v>8.7525408799999997</v>
      </c>
    </row>
    <row r="55" spans="1:18" ht="60" customHeight="1" x14ac:dyDescent="0.3">
      <c r="A55" s="23" t="s">
        <v>1004</v>
      </c>
      <c r="B55" s="23">
        <v>88828</v>
      </c>
      <c r="C55" s="23" t="str">
        <f>VLOOKUP(B55,IF(A55="COMPOSICAO",S!$A:$E,I!$A:$E),2,FALSE)</f>
        <v>SINAPI</v>
      </c>
      <c r="D55" s="24" t="str">
        <f>VLOOKUP(B55,IF(A55="COMPOSICAO",S!$A:$E,I!$A:$E),3,FALSE)</f>
        <v>BETONEIRA CAPACIDADE NOMINAL DE 400 L, CAPACIDADE DE MISTURA 280 L, MOTOR ELÉTRICO TRIFÁSICO POTÊNCIA DE 2 CV, SEM CARREGADOR - MANUTENÇÃO. AF_05/2023</v>
      </c>
      <c r="E55" s="23" t="str">
        <f>VLOOKUP(B55,IF(A55="COMPOSICAO",S!$A:$E,I!$A:$E),4,FALSE)</f>
        <v>H</v>
      </c>
      <c r="F55" s="23">
        <v>1</v>
      </c>
      <c r="G55" s="76">
        <f>IF(A55="COMPOSICAO",VLOOKUP("TOTAL SEM BDI - "&amp;B55,CPUAUX3!$A:$J,9,FALSE),VLOOKUP(B55,I!$A:$E,5,FALSE))</f>
        <v>0.44</v>
      </c>
      <c r="H55" s="77"/>
      <c r="I55" s="76">
        <f>TRUNC(F55*G55,2)</f>
        <v>0.44</v>
      </c>
      <c r="J55" s="77"/>
      <c r="M55" s="23">
        <f>B55</f>
        <v>88828</v>
      </c>
      <c r="N55" s="23">
        <f>SUMIF(CPUAUX1!M:M,B53,CPUAUX1!O:O)</f>
        <v>26.257622640000001</v>
      </c>
      <c r="O55" s="23">
        <f>F55*N55</f>
        <v>26.257622640000001</v>
      </c>
      <c r="Q55" s="23">
        <f ca="1">SUMIF(CPUAUX1!M:M,B53,CPUAUX1!R:R)</f>
        <v>8.7525408799999997</v>
      </c>
      <c r="R55" s="23">
        <f ca="1">F55*Q55</f>
        <v>8.7525408799999997</v>
      </c>
    </row>
    <row r="56" spans="1:18" ht="60" customHeight="1" x14ac:dyDescent="0.3">
      <c r="A56" s="23" t="s">
        <v>1004</v>
      </c>
      <c r="B56" s="23">
        <v>88827</v>
      </c>
      <c r="C56" s="23" t="str">
        <f>VLOOKUP(B56,IF(A56="COMPOSICAO",S!$A:$E,I!$A:$E),2,FALSE)</f>
        <v>SINAPI</v>
      </c>
      <c r="D56" s="24" t="str">
        <f>VLOOKUP(B56,IF(A56="COMPOSICAO",S!$A:$E,I!$A:$E),3,FALSE)</f>
        <v>BETONEIRA CAPACIDADE NOMINAL DE 400 L, CAPACIDADE DE MISTURA 280 L, MOTOR ELÉTRICO TRIFÁSICO POTÊNCIA DE 2 CV, SEM CARREGADOR - JUROS. AF_05/2023</v>
      </c>
      <c r="E56" s="23" t="str">
        <f>VLOOKUP(B56,IF(A56="COMPOSICAO",S!$A:$E,I!$A:$E),4,FALSE)</f>
        <v>H</v>
      </c>
      <c r="F56" s="23">
        <v>1</v>
      </c>
      <c r="G56" s="76">
        <f>IF(A56="COMPOSICAO",VLOOKUP("TOTAL SEM BDI - "&amp;B56,CPUAUX3!$A:$J,9,FALSE),VLOOKUP(B56,I!$A:$E,5,FALSE))</f>
        <v>0.09</v>
      </c>
      <c r="H56" s="77"/>
      <c r="I56" s="76">
        <f>TRUNC(F56*G56,2)</f>
        <v>0.09</v>
      </c>
      <c r="J56" s="77"/>
      <c r="M56" s="23">
        <f>B56</f>
        <v>88827</v>
      </c>
      <c r="N56" s="23">
        <f>SUMIF(CPUAUX1!M:M,B53,CPUAUX1!O:O)</f>
        <v>26.257622640000001</v>
      </c>
      <c r="O56" s="23">
        <f>F56*N56</f>
        <v>26.257622640000001</v>
      </c>
      <c r="Q56" s="23">
        <f ca="1">SUMIF(CPUAUX1!M:M,B53,CPUAUX1!R:R)</f>
        <v>8.7525408799999997</v>
      </c>
      <c r="R56" s="23">
        <f ca="1">F56*Q56</f>
        <v>8.7525408799999997</v>
      </c>
    </row>
    <row r="57" spans="1:18" ht="60" customHeight="1" x14ac:dyDescent="0.3">
      <c r="A57" s="23" t="s">
        <v>1004</v>
      </c>
      <c r="B57" s="23">
        <v>88826</v>
      </c>
      <c r="C57" s="23" t="str">
        <f>VLOOKUP(B57,IF(A57="COMPOSICAO",S!$A:$E,I!$A:$E),2,FALSE)</f>
        <v>SINAPI</v>
      </c>
      <c r="D57" s="24" t="str">
        <f>VLOOKUP(B57,IF(A57="COMPOSICAO",S!$A:$E,I!$A:$E),3,FALSE)</f>
        <v>BETONEIRA CAPACIDADE NOMINAL DE 400 L, CAPACIDADE DE MISTURA 280 L, MOTOR ELÉTRICO TRIFÁSICO POTÊNCIA DE 2 CV, SEM CARREGADOR - DEPRECIAÇÃO. AF_05/2023</v>
      </c>
      <c r="E57" s="23" t="str">
        <f>VLOOKUP(B57,IF(A57="COMPOSICAO",S!$A:$E,I!$A:$E),4,FALSE)</f>
        <v>H</v>
      </c>
      <c r="F57" s="23">
        <v>1</v>
      </c>
      <c r="G57" s="76">
        <f>IF(A57="COMPOSICAO",VLOOKUP("TOTAL SEM BDI - "&amp;B57,CPUAUX3!$A:$J,9,FALSE),VLOOKUP(B57,I!$A:$E,5,FALSE))</f>
        <v>0.4</v>
      </c>
      <c r="H57" s="77"/>
      <c r="I57" s="76">
        <f>TRUNC(F57*G57,2)</f>
        <v>0.4</v>
      </c>
      <c r="J57" s="77"/>
      <c r="M57" s="23">
        <f>B57</f>
        <v>88826</v>
      </c>
      <c r="N57" s="23">
        <f>SUMIF(CPUAUX1!M:M,B53,CPUAUX1!O:O)</f>
        <v>26.257622640000001</v>
      </c>
      <c r="O57" s="23">
        <f>F57*N57</f>
        <v>26.257622640000001</v>
      </c>
      <c r="Q57" s="23">
        <f ca="1">SUMIF(CPUAUX1!M:M,B53,CPUAUX1!R:R)</f>
        <v>8.7525408799999997</v>
      </c>
      <c r="R57" s="23">
        <f ca="1">F57*Q57</f>
        <v>8.7525408799999997</v>
      </c>
    </row>
    <row r="58" spans="1:18" x14ac:dyDescent="0.3">
      <c r="A58" s="73" t="str">
        <f>"TOTAL SEM BDI - "&amp;B53</f>
        <v>TOTAL SEM BDI - 88830</v>
      </c>
      <c r="B58" s="74"/>
      <c r="C58" s="74"/>
      <c r="D58" s="74"/>
      <c r="E58" s="74"/>
      <c r="F58" s="74"/>
      <c r="G58" s="74"/>
      <c r="H58" s="75"/>
      <c r="I58" s="76">
        <f>SUM(I53:I57)</f>
        <v>2.3000000000000003</v>
      </c>
      <c r="J58" s="77"/>
    </row>
    <row r="60" spans="1:18" x14ac:dyDescent="0.3">
      <c r="A60" s="4" t="s">
        <v>1000</v>
      </c>
      <c r="B60" s="4" t="s">
        <v>170</v>
      </c>
      <c r="C60" s="4" t="s">
        <v>171</v>
      </c>
      <c r="D60" s="4" t="s">
        <v>18</v>
      </c>
      <c r="E60" s="4" t="s">
        <v>172</v>
      </c>
      <c r="F60" s="4" t="s">
        <v>507</v>
      </c>
      <c r="G60" s="45" t="s">
        <v>1001</v>
      </c>
      <c r="H60" s="46"/>
      <c r="I60" s="45" t="s">
        <v>12</v>
      </c>
      <c r="J60" s="46"/>
    </row>
    <row r="61" spans="1:18" ht="30" customHeight="1" x14ac:dyDescent="0.3">
      <c r="A61" s="15" t="s">
        <v>1071</v>
      </c>
      <c r="B61" s="15">
        <v>88377</v>
      </c>
      <c r="C61" s="15" t="str">
        <f>VLOOKUP(B61,S!$A:$G,2,FALSE)</f>
        <v>SINAPI</v>
      </c>
      <c r="D61" s="22" t="str">
        <f>VLOOKUP(B61,S!$A:$G,3,FALSE)</f>
        <v>OPERADOR DE BETONEIRA ESTACIONÁRIA/MISTURADOR COM ENCARGOS COMPLEMENTARES</v>
      </c>
      <c r="E61" s="15" t="str">
        <f>VLOOKUP(B61,S!$A:$G,4,FALSE)</f>
        <v>H</v>
      </c>
      <c r="F61" s="15"/>
      <c r="G61" s="78">
        <f>I70</f>
        <v>27.09</v>
      </c>
      <c r="H61" s="79"/>
      <c r="I61" s="78"/>
      <c r="J61" s="79"/>
      <c r="K61" s="16">
        <f>VLOOKUP(B61,S!A:G,5,FALSE)</f>
        <v>27.09</v>
      </c>
      <c r="L61" s="15" t="str">
        <f>IF(K61=G61,"OK, CONFORME TABELA",IF(G61&gt;K61,"ACIMA DA TABELA: ","ABAIXO DA TABELA: ")&amp;TRUNC((G61*100)/K61,2)&amp;" %")</f>
        <v>OK, CONFORME TABELA</v>
      </c>
    </row>
    <row r="62" spans="1:18" ht="45" customHeight="1" x14ac:dyDescent="0.3">
      <c r="A62" s="23" t="s">
        <v>1004</v>
      </c>
      <c r="B62" s="23">
        <v>95389</v>
      </c>
      <c r="C62" s="23" t="str">
        <f>VLOOKUP(B62,IF(A62="COMPOSICAO",S!$A:$E,I!$A:$E),2,FALSE)</f>
        <v>SINAPI</v>
      </c>
      <c r="D62" s="24" t="str">
        <f>VLOOKUP(B62,IF(A62="COMPOSICAO",S!$A:$E,I!$A:$E),3,FALSE)</f>
        <v>CURSO DE CAPACITAÇÃO PARA OPERADOR DE BETONEIRA ESTACIONÁRIA/MISTURADOR (ENCARGOS COMPLEMENTARES) - HORISTA</v>
      </c>
      <c r="E62" s="23" t="str">
        <f>VLOOKUP(B62,IF(A62="COMPOSICAO",S!$A:$E,I!$A:$E),4,FALSE)</f>
        <v>H</v>
      </c>
      <c r="F62" s="23">
        <v>1</v>
      </c>
      <c r="G62" s="76">
        <f>IF(A62="COMPOSICAO",VLOOKUP("TOTAL SEM BDI - "&amp;B62,CPUAUX3!$A:$J,9,FALSE),VLOOKUP(B62,I!$A:$E,5,FALSE))</f>
        <v>0.17</v>
      </c>
      <c r="H62" s="77"/>
      <c r="I62" s="76">
        <f t="shared" ref="I62:I69" si="0">TRUNC(F62*G62,2)</f>
        <v>0.17</v>
      </c>
      <c r="J62" s="77"/>
      <c r="M62" s="23">
        <f t="shared" ref="M62:M69" si="1">B62</f>
        <v>95389</v>
      </c>
      <c r="N62" s="23">
        <f>SUMIF(CPUAUX1!M:M,B61,CPUAUX1!O:O)</f>
        <v>71.417814174</v>
      </c>
      <c r="O62" s="23">
        <f t="shared" ref="O62:O69" si="2">F62*N62</f>
        <v>71.417814174</v>
      </c>
      <c r="Q62" s="23">
        <f ca="1">SUMIF(CPUAUX1!M:M,B61,CPUAUX1!R:R)</f>
        <v>23.805938057999999</v>
      </c>
      <c r="R62" s="23">
        <f t="shared" ref="R62:R69" ca="1" si="3">F62*Q62</f>
        <v>23.805938057999999</v>
      </c>
    </row>
    <row r="63" spans="1:18" ht="30" customHeight="1" x14ac:dyDescent="0.3">
      <c r="A63" s="23" t="s">
        <v>1005</v>
      </c>
      <c r="B63" s="23">
        <v>43488</v>
      </c>
      <c r="C63" s="23" t="str">
        <f>VLOOKUP(B63,IF(A63="COMPOSICAO",S!$A:$E,I!$A:$E),2,FALSE)</f>
        <v>SINAPI</v>
      </c>
      <c r="D63" s="24" t="str">
        <f>VLOOKUP(B63,IF(A63="COMPOSICAO",S!$A:$E,I!$A:$E),3,FALSE)</f>
        <v>EPI - FAMILIA OPERADOR ESCAVADEIRA - HORISTA (ENCARGOS COMPLEMENTARES - COLETADO CAIXA)</v>
      </c>
      <c r="E63" s="23" t="str">
        <f>VLOOKUP(B63,IF(A63="COMPOSICAO",S!$A:$E,I!$A:$E),4,FALSE)</f>
        <v>H</v>
      </c>
      <c r="F63" s="23">
        <v>1</v>
      </c>
      <c r="G63" s="76">
        <f>IF(A63="COMPOSICAO",VLOOKUP("TOTAL SEM BDI - "&amp;B63,CPUAUX3!$A:$J,9,FALSE),VLOOKUP(B63,I!$A:$E,5,FALSE))</f>
        <v>0.89</v>
      </c>
      <c r="H63" s="77"/>
      <c r="I63" s="76">
        <f t="shared" si="0"/>
        <v>0.89</v>
      </c>
      <c r="J63" s="77"/>
      <c r="M63" s="23">
        <f t="shared" si="1"/>
        <v>43488</v>
      </c>
      <c r="N63" s="23">
        <f>SUMIF(CPUAUX1!M:M,B61,CPUAUX1!O:O)</f>
        <v>71.417814174</v>
      </c>
      <c r="O63" s="23">
        <f t="shared" si="2"/>
        <v>71.417814174</v>
      </c>
      <c r="Q63" s="23">
        <f ca="1">SUMIF(CPUAUX1!M:M,B61,CPUAUX1!R:R)</f>
        <v>23.805938057999999</v>
      </c>
      <c r="R63" s="23">
        <f t="shared" ca="1" si="3"/>
        <v>23.805938057999999</v>
      </c>
    </row>
    <row r="64" spans="1:18" ht="45" customHeight="1" x14ac:dyDescent="0.3">
      <c r="A64" s="23" t="s">
        <v>1005</v>
      </c>
      <c r="B64" s="23">
        <v>43464</v>
      </c>
      <c r="C64" s="23" t="str">
        <f>VLOOKUP(B64,IF(A64="COMPOSICAO",S!$A:$E,I!$A:$E),2,FALSE)</f>
        <v>SINAPI</v>
      </c>
      <c r="D64" s="24" t="str">
        <f>VLOOKUP(B64,IF(A64="COMPOSICAO",S!$A:$E,I!$A:$E),3,FALSE)</f>
        <v>FERRAMENTAS - FAMILIA OPERADOR ESCAVADEIRA - HORISTA (ENCARGOS COMPLEMENTARES - COLETADO CAIXA)</v>
      </c>
      <c r="E64" s="23" t="str">
        <f>VLOOKUP(B64,IF(A64="COMPOSICAO",S!$A:$E,I!$A:$E),4,FALSE)</f>
        <v>H</v>
      </c>
      <c r="F64" s="23">
        <v>1</v>
      </c>
      <c r="G64" s="76">
        <f>IF(A64="COMPOSICAO",VLOOKUP("TOTAL SEM BDI - "&amp;B64,CPUAUX3!$A:$J,9,FALSE),VLOOKUP(B64,I!$A:$E,5,FALSE))</f>
        <v>0.01</v>
      </c>
      <c r="H64" s="77"/>
      <c r="I64" s="76">
        <f t="shared" si="0"/>
        <v>0.01</v>
      </c>
      <c r="J64" s="77"/>
      <c r="M64" s="23">
        <f t="shared" si="1"/>
        <v>43464</v>
      </c>
      <c r="N64" s="23">
        <f>SUMIF(CPUAUX1!M:M,B61,CPUAUX1!O:O)</f>
        <v>71.417814174</v>
      </c>
      <c r="O64" s="23">
        <f t="shared" si="2"/>
        <v>71.417814174</v>
      </c>
      <c r="Q64" s="23">
        <f ca="1">SUMIF(CPUAUX1!M:M,B61,CPUAUX1!R:R)</f>
        <v>23.805938057999999</v>
      </c>
      <c r="R64" s="23">
        <f t="shared" ca="1" si="3"/>
        <v>23.805938057999999</v>
      </c>
    </row>
    <row r="65" spans="1:18" ht="30" customHeight="1" x14ac:dyDescent="0.3">
      <c r="A65" s="23" t="s">
        <v>1005</v>
      </c>
      <c r="B65" s="23">
        <v>37666</v>
      </c>
      <c r="C65" s="23" t="str">
        <f>VLOOKUP(B65,IF(A65="COMPOSICAO",S!$A:$E,I!$A:$E),2,FALSE)</f>
        <v>SINAPI</v>
      </c>
      <c r="D65" s="24" t="str">
        <f>VLOOKUP(B65,IF(A65="COMPOSICAO",S!$A:$E,I!$A:$E),3,FALSE)</f>
        <v>OPERADOR DE BETONEIRA ESTACIONARIA / MISTURADOR (HORISTA)</v>
      </c>
      <c r="E65" s="23" t="str">
        <f>VLOOKUP(B65,IF(A65="COMPOSICAO",S!$A:$E,I!$A:$E),4,FALSE)</f>
        <v>H</v>
      </c>
      <c r="F65" s="23">
        <v>1</v>
      </c>
      <c r="G65" s="76">
        <f>IF(A65="COMPOSICAO",VLOOKUP("TOTAL SEM BDI - "&amp;B65,CPUAUX3!$A:$J,9,FALSE),VLOOKUP(B65,I!$A:$E,5,FALSE))</f>
        <v>21.48</v>
      </c>
      <c r="H65" s="77"/>
      <c r="I65" s="76">
        <f t="shared" si="0"/>
        <v>21.48</v>
      </c>
      <c r="J65" s="77"/>
      <c r="M65" s="23">
        <f t="shared" si="1"/>
        <v>37666</v>
      </c>
      <c r="N65" s="23">
        <f>SUMIF(CPUAUX1!M:M,B61,CPUAUX1!O:O)</f>
        <v>71.417814174</v>
      </c>
      <c r="O65" s="23">
        <f t="shared" si="2"/>
        <v>71.417814174</v>
      </c>
      <c r="Q65" s="23">
        <f ca="1">SUMIF(CPUAUX1!M:M,B61,CPUAUX1!R:R)</f>
        <v>23.805938057999999</v>
      </c>
      <c r="R65" s="23">
        <f t="shared" ca="1" si="3"/>
        <v>23.805938057999999</v>
      </c>
    </row>
    <row r="66" spans="1:18" ht="30" customHeight="1" x14ac:dyDescent="0.3">
      <c r="A66" s="23" t="s">
        <v>1005</v>
      </c>
      <c r="B66" s="23">
        <v>37373</v>
      </c>
      <c r="C66" s="23" t="str">
        <f>VLOOKUP(B66,IF(A66="COMPOSICAO",S!$A:$E,I!$A:$E),2,FALSE)</f>
        <v>SINAPI</v>
      </c>
      <c r="D66" s="24" t="str">
        <f>VLOOKUP(B66,IF(A66="COMPOSICAO",S!$A:$E,I!$A:$E),3,FALSE)</f>
        <v>SEGURO - HORISTA (COLETADO CAIXA - ENCARGOS COMPLEMENTARES)</v>
      </c>
      <c r="E66" s="23" t="str">
        <f>VLOOKUP(B66,IF(A66="COMPOSICAO",S!$A:$E,I!$A:$E),4,FALSE)</f>
        <v>H</v>
      </c>
      <c r="F66" s="23">
        <v>1</v>
      </c>
      <c r="G66" s="76">
        <f>IF(A66="COMPOSICAO",VLOOKUP("TOTAL SEM BDI - "&amp;B66,CPUAUX3!$A:$J,9,FALSE),VLOOKUP(B66,I!$A:$E,5,FALSE))</f>
        <v>0.08</v>
      </c>
      <c r="H66" s="77"/>
      <c r="I66" s="76">
        <f t="shared" si="0"/>
        <v>0.08</v>
      </c>
      <c r="J66" s="77"/>
      <c r="M66" s="23">
        <f t="shared" si="1"/>
        <v>37373</v>
      </c>
      <c r="N66" s="23">
        <f>SUMIF(CPUAUX1!M:M,B61,CPUAUX1!O:O)</f>
        <v>71.417814174</v>
      </c>
      <c r="O66" s="23">
        <f t="shared" si="2"/>
        <v>71.417814174</v>
      </c>
      <c r="Q66" s="23">
        <f ca="1">SUMIF(CPUAUX1!M:M,B61,CPUAUX1!R:R)</f>
        <v>23.805938057999999</v>
      </c>
      <c r="R66" s="23">
        <f t="shared" ca="1" si="3"/>
        <v>23.805938057999999</v>
      </c>
    </row>
    <row r="67" spans="1:18" ht="30" customHeight="1" x14ac:dyDescent="0.3">
      <c r="A67" s="23" t="s">
        <v>1005</v>
      </c>
      <c r="B67" s="23">
        <v>37372</v>
      </c>
      <c r="C67" s="23" t="str">
        <f>VLOOKUP(B67,IF(A67="COMPOSICAO",S!$A:$E,I!$A:$E),2,FALSE)</f>
        <v>SINAPI</v>
      </c>
      <c r="D67" s="24" t="str">
        <f>VLOOKUP(B67,IF(A67="COMPOSICAO",S!$A:$E,I!$A:$E),3,FALSE)</f>
        <v>EXAMES - HORISTA (COLETADO CAIXA - ENCARGOS COMPLEMENTARES)</v>
      </c>
      <c r="E67" s="23" t="str">
        <f>VLOOKUP(B67,IF(A67="COMPOSICAO",S!$A:$E,I!$A:$E),4,FALSE)</f>
        <v>H</v>
      </c>
      <c r="F67" s="23">
        <v>1</v>
      </c>
      <c r="G67" s="76">
        <f>IF(A67="COMPOSICAO",VLOOKUP("TOTAL SEM BDI - "&amp;B67,CPUAUX3!$A:$J,9,FALSE),VLOOKUP(B67,I!$A:$E,5,FALSE))</f>
        <v>1.43</v>
      </c>
      <c r="H67" s="77"/>
      <c r="I67" s="76">
        <f t="shared" si="0"/>
        <v>1.43</v>
      </c>
      <c r="J67" s="77"/>
      <c r="M67" s="23">
        <f t="shared" si="1"/>
        <v>37372</v>
      </c>
      <c r="N67" s="23">
        <f>SUMIF(CPUAUX1!M:M,B61,CPUAUX1!O:O)</f>
        <v>71.417814174</v>
      </c>
      <c r="O67" s="23">
        <f t="shared" si="2"/>
        <v>71.417814174</v>
      </c>
      <c r="Q67" s="23">
        <f ca="1">SUMIF(CPUAUX1!M:M,B61,CPUAUX1!R:R)</f>
        <v>23.805938057999999</v>
      </c>
      <c r="R67" s="23">
        <f t="shared" ca="1" si="3"/>
        <v>23.805938057999999</v>
      </c>
    </row>
    <row r="68" spans="1:18" ht="30" customHeight="1" x14ac:dyDescent="0.3">
      <c r="A68" s="23" t="s">
        <v>1005</v>
      </c>
      <c r="B68" s="23">
        <v>37371</v>
      </c>
      <c r="C68" s="23" t="str">
        <f>VLOOKUP(B68,IF(A68="COMPOSICAO",S!$A:$E,I!$A:$E),2,FALSE)</f>
        <v>SINAPI</v>
      </c>
      <c r="D68" s="24" t="str">
        <f>VLOOKUP(B68,IF(A68="COMPOSICAO",S!$A:$E,I!$A:$E),3,FALSE)</f>
        <v>TRANSPORTE - HORISTA (COLETADO CAIXA - ENCARGOS COMPLEMENTARES)</v>
      </c>
      <c r="E68" s="23" t="str">
        <f>VLOOKUP(B68,IF(A68="COMPOSICAO",S!$A:$E,I!$A:$E),4,FALSE)</f>
        <v>H</v>
      </c>
      <c r="F68" s="23">
        <v>1</v>
      </c>
      <c r="G68" s="76">
        <f>IF(A68="COMPOSICAO",VLOOKUP("TOTAL SEM BDI - "&amp;B68,CPUAUX3!$A:$J,9,FALSE),VLOOKUP(B68,I!$A:$E,5,FALSE))</f>
        <v>0.56999999999999995</v>
      </c>
      <c r="H68" s="77"/>
      <c r="I68" s="76">
        <f t="shared" si="0"/>
        <v>0.56999999999999995</v>
      </c>
      <c r="J68" s="77"/>
      <c r="M68" s="23">
        <f t="shared" si="1"/>
        <v>37371</v>
      </c>
      <c r="N68" s="23">
        <f>SUMIF(CPUAUX1!M:M,B61,CPUAUX1!O:O)</f>
        <v>71.417814174</v>
      </c>
      <c r="O68" s="23">
        <f t="shared" si="2"/>
        <v>71.417814174</v>
      </c>
      <c r="Q68" s="23">
        <f ca="1">SUMIF(CPUAUX1!M:M,B61,CPUAUX1!R:R)</f>
        <v>23.805938057999999</v>
      </c>
      <c r="R68" s="23">
        <f t="shared" ca="1" si="3"/>
        <v>23.805938057999999</v>
      </c>
    </row>
    <row r="69" spans="1:18" ht="30" customHeight="1" x14ac:dyDescent="0.3">
      <c r="A69" s="23" t="s">
        <v>1005</v>
      </c>
      <c r="B69" s="23">
        <v>37370</v>
      </c>
      <c r="C69" s="23" t="str">
        <f>VLOOKUP(B69,IF(A69="COMPOSICAO",S!$A:$E,I!$A:$E),2,FALSE)</f>
        <v>SINAPI</v>
      </c>
      <c r="D69" s="24" t="str">
        <f>VLOOKUP(B69,IF(A69="COMPOSICAO",S!$A:$E,I!$A:$E),3,FALSE)</f>
        <v>ALIMENTACAO - HORISTA (COLETADO CAIXA - ENCARGOS COMPLEMENTARES)</v>
      </c>
      <c r="E69" s="23" t="str">
        <f>VLOOKUP(B69,IF(A69="COMPOSICAO",S!$A:$E,I!$A:$E),4,FALSE)</f>
        <v>H</v>
      </c>
      <c r="F69" s="23">
        <v>1</v>
      </c>
      <c r="G69" s="76">
        <f>IF(A69="COMPOSICAO",VLOOKUP("TOTAL SEM BDI - "&amp;B69,CPUAUX3!$A:$J,9,FALSE),VLOOKUP(B69,I!$A:$E,5,FALSE))</f>
        <v>2.46</v>
      </c>
      <c r="H69" s="77"/>
      <c r="I69" s="76">
        <f t="shared" si="0"/>
        <v>2.46</v>
      </c>
      <c r="J69" s="77"/>
      <c r="M69" s="23">
        <f t="shared" si="1"/>
        <v>37370</v>
      </c>
      <c r="N69" s="23">
        <f>SUMIF(CPUAUX1!M:M,B61,CPUAUX1!O:O)</f>
        <v>71.417814174</v>
      </c>
      <c r="O69" s="23">
        <f t="shared" si="2"/>
        <v>71.417814174</v>
      </c>
      <c r="Q69" s="23">
        <f ca="1">SUMIF(CPUAUX1!M:M,B61,CPUAUX1!R:R)</f>
        <v>23.805938057999999</v>
      </c>
      <c r="R69" s="23">
        <f t="shared" ca="1" si="3"/>
        <v>23.805938057999999</v>
      </c>
    </row>
    <row r="70" spans="1:18" x14ac:dyDescent="0.3">
      <c r="A70" s="73" t="str">
        <f>"TOTAL SEM BDI - "&amp;B61</f>
        <v>TOTAL SEM BDI - 88377</v>
      </c>
      <c r="B70" s="74"/>
      <c r="C70" s="74"/>
      <c r="D70" s="74"/>
      <c r="E70" s="74"/>
      <c r="F70" s="74"/>
      <c r="G70" s="74"/>
      <c r="H70" s="75"/>
      <c r="I70" s="76">
        <f>SUM(I61:I69)</f>
        <v>27.09</v>
      </c>
      <c r="J70" s="77"/>
    </row>
    <row r="72" spans="1:18" x14ac:dyDescent="0.3">
      <c r="A72" s="4" t="s">
        <v>1000</v>
      </c>
      <c r="B72" s="4" t="s">
        <v>170</v>
      </c>
      <c r="C72" s="4" t="s">
        <v>171</v>
      </c>
      <c r="D72" s="4" t="s">
        <v>18</v>
      </c>
      <c r="E72" s="4" t="s">
        <v>172</v>
      </c>
      <c r="F72" s="4" t="s">
        <v>507</v>
      </c>
      <c r="G72" s="45" t="s">
        <v>1001</v>
      </c>
      <c r="H72" s="46"/>
      <c r="I72" s="45" t="s">
        <v>12</v>
      </c>
      <c r="J72" s="46"/>
    </row>
    <row r="73" spans="1:18" x14ac:dyDescent="0.3">
      <c r="A73" s="15" t="s">
        <v>1071</v>
      </c>
      <c r="B73" s="15">
        <v>88316</v>
      </c>
      <c r="C73" s="15" t="str">
        <f>VLOOKUP(B73,S!$A:$G,2,FALSE)</f>
        <v>SINAPI</v>
      </c>
      <c r="D73" s="22" t="str">
        <f>VLOOKUP(B73,S!$A:$G,3,FALSE)</f>
        <v>SERVENTE COM ENCARGOS COMPLEMENTARES</v>
      </c>
      <c r="E73" s="15" t="str">
        <f>VLOOKUP(B73,S!$A:$G,4,FALSE)</f>
        <v>H</v>
      </c>
      <c r="F73" s="15"/>
      <c r="G73" s="78">
        <f>I82</f>
        <v>21.71</v>
      </c>
      <c r="H73" s="79"/>
      <c r="I73" s="78"/>
      <c r="J73" s="79"/>
      <c r="K73" s="16">
        <f>VLOOKUP(B73,S!A:G,5,FALSE)</f>
        <v>21.71</v>
      </c>
      <c r="L73" s="15" t="str">
        <f>IF(K73=G73,"OK, CONFORME TABELA",IF(G73&gt;K73,"ACIMA DA TABELA: ","ABAIXO DA TABELA: ")&amp;TRUNC((G73*100)/K73,2)&amp;" %")</f>
        <v>OK, CONFORME TABELA</v>
      </c>
    </row>
    <row r="74" spans="1:18" ht="30" customHeight="1" x14ac:dyDescent="0.3">
      <c r="A74" s="23" t="s">
        <v>1004</v>
      </c>
      <c r="B74" s="23">
        <v>95378</v>
      </c>
      <c r="C74" s="23" t="str">
        <f>VLOOKUP(B74,IF(A74="COMPOSICAO",S!$A:$E,I!$A:$E),2,FALSE)</f>
        <v>SINAPI</v>
      </c>
      <c r="D74" s="24" t="str">
        <f>VLOOKUP(B74,IF(A74="COMPOSICAO",S!$A:$E,I!$A:$E),3,FALSE)</f>
        <v>CURSO DE CAPACITAÇÃO PARA SERVENTE (ENCARGOS COMPLEMENTARES) - HORISTA</v>
      </c>
      <c r="E74" s="23" t="str">
        <f>VLOOKUP(B74,IF(A74="COMPOSICAO",S!$A:$E,I!$A:$E),4,FALSE)</f>
        <v>H</v>
      </c>
      <c r="F74" s="23">
        <v>1</v>
      </c>
      <c r="G74" s="76">
        <f>IF(A74="COMPOSICAO",VLOOKUP("TOTAL SEM BDI - "&amp;B74,CPUAUX3!$A:$J,9,FALSE),VLOOKUP(B74,I!$A:$E,5,FALSE))</f>
        <v>0.31</v>
      </c>
      <c r="H74" s="77"/>
      <c r="I74" s="76">
        <f t="shared" ref="I74:I81" si="4">TRUNC(F74*G74,2)</f>
        <v>0.31</v>
      </c>
      <c r="J74" s="77"/>
      <c r="M74" s="23">
        <f t="shared" ref="M74:M81" si="5">B74</f>
        <v>95378</v>
      </c>
      <c r="N74" s="23">
        <f>SUMIF(CPUAUX1!M:M,B73,CPUAUX1!O:O)</f>
        <v>205.88553534160002</v>
      </c>
      <c r="O74" s="23">
        <f t="shared" ref="O74:O81" si="6">F74*N74</f>
        <v>205.88553534160002</v>
      </c>
      <c r="Q74" s="23">
        <f ca="1">SUMIF(CPUAUX1!M:M,B73,CPUAUX1!R:R)</f>
        <v>69.295178447200001</v>
      </c>
      <c r="R74" s="23">
        <f t="shared" ref="R74:R81" ca="1" si="7">F74*Q74</f>
        <v>69.295178447200001</v>
      </c>
    </row>
    <row r="75" spans="1:18" ht="30" customHeight="1" x14ac:dyDescent="0.3">
      <c r="A75" s="23" t="s">
        <v>1005</v>
      </c>
      <c r="B75" s="23">
        <v>43491</v>
      </c>
      <c r="C75" s="23" t="str">
        <f>VLOOKUP(B75,IF(A75="COMPOSICAO",S!$A:$E,I!$A:$E),2,FALSE)</f>
        <v>SINAPI</v>
      </c>
      <c r="D75" s="24" t="str">
        <f>VLOOKUP(B75,IF(A75="COMPOSICAO",S!$A:$E,I!$A:$E),3,FALSE)</f>
        <v>EPI - FAMILIA SERVENTE - HORISTA (ENCARGOS COMPLEMENTARES - COLETADO CAIXA)</v>
      </c>
      <c r="E75" s="23" t="str">
        <f>VLOOKUP(B75,IF(A75="COMPOSICAO",S!$A:$E,I!$A:$E),4,FALSE)</f>
        <v>H</v>
      </c>
      <c r="F75" s="23">
        <v>1</v>
      </c>
      <c r="G75" s="76">
        <f>IF(A75="COMPOSICAO",VLOOKUP("TOTAL SEM BDI - "&amp;B75,CPUAUX3!$A:$J,9,FALSE),VLOOKUP(B75,I!$A:$E,5,FALSE))</f>
        <v>1.39</v>
      </c>
      <c r="H75" s="77"/>
      <c r="I75" s="76">
        <f t="shared" si="4"/>
        <v>1.39</v>
      </c>
      <c r="J75" s="77"/>
      <c r="M75" s="23">
        <f t="shared" si="5"/>
        <v>43491</v>
      </c>
      <c r="N75" s="23">
        <f>SUMIF(CPUAUX1!M:M,B73,CPUAUX1!O:O)</f>
        <v>205.88553534160002</v>
      </c>
      <c r="O75" s="23">
        <f t="shared" si="6"/>
        <v>205.88553534160002</v>
      </c>
      <c r="Q75" s="23">
        <f ca="1">SUMIF(CPUAUX1!M:M,B73,CPUAUX1!R:R)</f>
        <v>69.295178447200001</v>
      </c>
      <c r="R75" s="23">
        <f t="shared" ca="1" si="7"/>
        <v>69.295178447200001</v>
      </c>
    </row>
    <row r="76" spans="1:18" ht="30" customHeight="1" x14ac:dyDescent="0.3">
      <c r="A76" s="23" t="s">
        <v>1005</v>
      </c>
      <c r="B76" s="23">
        <v>43467</v>
      </c>
      <c r="C76" s="23" t="str">
        <f>VLOOKUP(B76,IF(A76="COMPOSICAO",S!$A:$E,I!$A:$E),2,FALSE)</f>
        <v>SINAPI</v>
      </c>
      <c r="D76" s="24" t="str">
        <f>VLOOKUP(B76,IF(A76="COMPOSICAO",S!$A:$E,I!$A:$E),3,FALSE)</f>
        <v>FERRAMENTAS - FAMILIA SERVENTE - HORISTA (ENCARGOS COMPLEMENTARES - COLETADO CAIXA)</v>
      </c>
      <c r="E76" s="23" t="str">
        <f>VLOOKUP(B76,IF(A76="COMPOSICAO",S!$A:$E,I!$A:$E),4,FALSE)</f>
        <v>H</v>
      </c>
      <c r="F76" s="23">
        <v>1</v>
      </c>
      <c r="G76" s="76">
        <f>IF(A76="COMPOSICAO",VLOOKUP("TOTAL SEM BDI - "&amp;B76,CPUAUX3!$A:$J,9,FALSE),VLOOKUP(B76,I!$A:$E,5,FALSE))</f>
        <v>0.61</v>
      </c>
      <c r="H76" s="77"/>
      <c r="I76" s="76">
        <f t="shared" si="4"/>
        <v>0.61</v>
      </c>
      <c r="J76" s="77"/>
      <c r="M76" s="23">
        <f t="shared" si="5"/>
        <v>43467</v>
      </c>
      <c r="N76" s="23">
        <f>SUMIF(CPUAUX1!M:M,B73,CPUAUX1!O:O)</f>
        <v>205.88553534160002</v>
      </c>
      <c r="O76" s="23">
        <f t="shared" si="6"/>
        <v>205.88553534160002</v>
      </c>
      <c r="Q76" s="23">
        <f ca="1">SUMIF(CPUAUX1!M:M,B73,CPUAUX1!R:R)</f>
        <v>69.295178447200001</v>
      </c>
      <c r="R76" s="23">
        <f t="shared" ca="1" si="7"/>
        <v>69.295178447200001</v>
      </c>
    </row>
    <row r="77" spans="1:18" ht="30" customHeight="1" x14ac:dyDescent="0.3">
      <c r="A77" s="23" t="s">
        <v>1005</v>
      </c>
      <c r="B77" s="23">
        <v>37373</v>
      </c>
      <c r="C77" s="23" t="str">
        <f>VLOOKUP(B77,IF(A77="COMPOSICAO",S!$A:$E,I!$A:$E),2,FALSE)</f>
        <v>SINAPI</v>
      </c>
      <c r="D77" s="24" t="str">
        <f>VLOOKUP(B77,IF(A77="COMPOSICAO",S!$A:$E,I!$A:$E),3,FALSE)</f>
        <v>SEGURO - HORISTA (COLETADO CAIXA - ENCARGOS COMPLEMENTARES)</v>
      </c>
      <c r="E77" s="23" t="str">
        <f>VLOOKUP(B77,IF(A77="COMPOSICAO",S!$A:$E,I!$A:$E),4,FALSE)</f>
        <v>H</v>
      </c>
      <c r="F77" s="23">
        <v>1</v>
      </c>
      <c r="G77" s="76">
        <f>IF(A77="COMPOSICAO",VLOOKUP("TOTAL SEM BDI - "&amp;B77,CPUAUX3!$A:$J,9,FALSE),VLOOKUP(B77,I!$A:$E,5,FALSE))</f>
        <v>0.08</v>
      </c>
      <c r="H77" s="77"/>
      <c r="I77" s="76">
        <f t="shared" si="4"/>
        <v>0.08</v>
      </c>
      <c r="J77" s="77"/>
      <c r="M77" s="23">
        <f t="shared" si="5"/>
        <v>37373</v>
      </c>
      <c r="N77" s="23">
        <f>SUMIF(CPUAUX1!M:M,B73,CPUAUX1!O:O)</f>
        <v>205.88553534160002</v>
      </c>
      <c r="O77" s="23">
        <f t="shared" si="6"/>
        <v>205.88553534160002</v>
      </c>
      <c r="Q77" s="23">
        <f ca="1">SUMIF(CPUAUX1!M:M,B73,CPUAUX1!R:R)</f>
        <v>69.295178447200001</v>
      </c>
      <c r="R77" s="23">
        <f t="shared" ca="1" si="7"/>
        <v>69.295178447200001</v>
      </c>
    </row>
    <row r="78" spans="1:18" ht="30" customHeight="1" x14ac:dyDescent="0.3">
      <c r="A78" s="23" t="s">
        <v>1005</v>
      </c>
      <c r="B78" s="23">
        <v>37372</v>
      </c>
      <c r="C78" s="23" t="str">
        <f>VLOOKUP(B78,IF(A78="COMPOSICAO",S!$A:$E,I!$A:$E),2,FALSE)</f>
        <v>SINAPI</v>
      </c>
      <c r="D78" s="24" t="str">
        <f>VLOOKUP(B78,IF(A78="COMPOSICAO",S!$A:$E,I!$A:$E),3,FALSE)</f>
        <v>EXAMES - HORISTA (COLETADO CAIXA - ENCARGOS COMPLEMENTARES)</v>
      </c>
      <c r="E78" s="23" t="str">
        <f>VLOOKUP(B78,IF(A78="COMPOSICAO",S!$A:$E,I!$A:$E),4,FALSE)</f>
        <v>H</v>
      </c>
      <c r="F78" s="23">
        <v>1</v>
      </c>
      <c r="G78" s="76">
        <f>IF(A78="COMPOSICAO",VLOOKUP("TOTAL SEM BDI - "&amp;B78,CPUAUX3!$A:$J,9,FALSE),VLOOKUP(B78,I!$A:$E,5,FALSE))</f>
        <v>1.43</v>
      </c>
      <c r="H78" s="77"/>
      <c r="I78" s="76">
        <f t="shared" si="4"/>
        <v>1.43</v>
      </c>
      <c r="J78" s="77"/>
      <c r="M78" s="23">
        <f t="shared" si="5"/>
        <v>37372</v>
      </c>
      <c r="N78" s="23">
        <f>SUMIF(CPUAUX1!M:M,B73,CPUAUX1!O:O)</f>
        <v>205.88553534160002</v>
      </c>
      <c r="O78" s="23">
        <f t="shared" si="6"/>
        <v>205.88553534160002</v>
      </c>
      <c r="Q78" s="23">
        <f ca="1">SUMIF(CPUAUX1!M:M,B73,CPUAUX1!R:R)</f>
        <v>69.295178447200001</v>
      </c>
      <c r="R78" s="23">
        <f t="shared" ca="1" si="7"/>
        <v>69.295178447200001</v>
      </c>
    </row>
    <row r="79" spans="1:18" ht="30" customHeight="1" x14ac:dyDescent="0.3">
      <c r="A79" s="23" t="s">
        <v>1005</v>
      </c>
      <c r="B79" s="23">
        <v>37371</v>
      </c>
      <c r="C79" s="23" t="str">
        <f>VLOOKUP(B79,IF(A79="COMPOSICAO",S!$A:$E,I!$A:$E),2,FALSE)</f>
        <v>SINAPI</v>
      </c>
      <c r="D79" s="24" t="str">
        <f>VLOOKUP(B79,IF(A79="COMPOSICAO",S!$A:$E,I!$A:$E),3,FALSE)</f>
        <v>TRANSPORTE - HORISTA (COLETADO CAIXA - ENCARGOS COMPLEMENTARES)</v>
      </c>
      <c r="E79" s="23" t="str">
        <f>VLOOKUP(B79,IF(A79="COMPOSICAO",S!$A:$E,I!$A:$E),4,FALSE)</f>
        <v>H</v>
      </c>
      <c r="F79" s="23">
        <v>1</v>
      </c>
      <c r="G79" s="76">
        <f>IF(A79="COMPOSICAO",VLOOKUP("TOTAL SEM BDI - "&amp;B79,CPUAUX3!$A:$J,9,FALSE),VLOOKUP(B79,I!$A:$E,5,FALSE))</f>
        <v>0.56999999999999995</v>
      </c>
      <c r="H79" s="77"/>
      <c r="I79" s="76">
        <f t="shared" si="4"/>
        <v>0.56999999999999995</v>
      </c>
      <c r="J79" s="77"/>
      <c r="M79" s="23">
        <f t="shared" si="5"/>
        <v>37371</v>
      </c>
      <c r="N79" s="23">
        <f>SUMIF(CPUAUX1!M:M,B73,CPUAUX1!O:O)</f>
        <v>205.88553534160002</v>
      </c>
      <c r="O79" s="23">
        <f t="shared" si="6"/>
        <v>205.88553534160002</v>
      </c>
      <c r="Q79" s="23">
        <f ca="1">SUMIF(CPUAUX1!M:M,B73,CPUAUX1!R:R)</f>
        <v>69.295178447200001</v>
      </c>
      <c r="R79" s="23">
        <f t="shared" ca="1" si="7"/>
        <v>69.295178447200001</v>
      </c>
    </row>
    <row r="80" spans="1:18" ht="30" customHeight="1" x14ac:dyDescent="0.3">
      <c r="A80" s="23" t="s">
        <v>1005</v>
      </c>
      <c r="B80" s="23">
        <v>37370</v>
      </c>
      <c r="C80" s="23" t="str">
        <f>VLOOKUP(B80,IF(A80="COMPOSICAO",S!$A:$E,I!$A:$E),2,FALSE)</f>
        <v>SINAPI</v>
      </c>
      <c r="D80" s="24" t="str">
        <f>VLOOKUP(B80,IF(A80="COMPOSICAO",S!$A:$E,I!$A:$E),3,FALSE)</f>
        <v>ALIMENTACAO - HORISTA (COLETADO CAIXA - ENCARGOS COMPLEMENTARES)</v>
      </c>
      <c r="E80" s="23" t="str">
        <f>VLOOKUP(B80,IF(A80="COMPOSICAO",S!$A:$E,I!$A:$E),4,FALSE)</f>
        <v>H</v>
      </c>
      <c r="F80" s="23">
        <v>1</v>
      </c>
      <c r="G80" s="76">
        <f>IF(A80="COMPOSICAO",VLOOKUP("TOTAL SEM BDI - "&amp;B80,CPUAUX3!$A:$J,9,FALSE),VLOOKUP(B80,I!$A:$E,5,FALSE))</f>
        <v>2.46</v>
      </c>
      <c r="H80" s="77"/>
      <c r="I80" s="76">
        <f t="shared" si="4"/>
        <v>2.46</v>
      </c>
      <c r="J80" s="77"/>
      <c r="M80" s="23">
        <f t="shared" si="5"/>
        <v>37370</v>
      </c>
      <c r="N80" s="23">
        <f>SUMIF(CPUAUX1!M:M,B73,CPUAUX1!O:O)</f>
        <v>205.88553534160002</v>
      </c>
      <c r="O80" s="23">
        <f t="shared" si="6"/>
        <v>205.88553534160002</v>
      </c>
      <c r="Q80" s="23">
        <f ca="1">SUMIF(CPUAUX1!M:M,B73,CPUAUX1!R:R)</f>
        <v>69.295178447200001</v>
      </c>
      <c r="R80" s="23">
        <f t="shared" ca="1" si="7"/>
        <v>69.295178447200001</v>
      </c>
    </row>
    <row r="81" spans="1:18" x14ac:dyDescent="0.3">
      <c r="A81" s="23" t="s">
        <v>1005</v>
      </c>
      <c r="B81" s="23">
        <v>6111</v>
      </c>
      <c r="C81" s="23" t="str">
        <f>VLOOKUP(B81,IF(A81="COMPOSICAO",S!$A:$E,I!$A:$E),2,FALSE)</f>
        <v>SINAPI</v>
      </c>
      <c r="D81" s="24" t="str">
        <f>VLOOKUP(B81,IF(A81="COMPOSICAO",S!$A:$E,I!$A:$E),3,FALSE)</f>
        <v>SERVENTE DE OBRAS (HORISTA)</v>
      </c>
      <c r="E81" s="23" t="str">
        <f>VLOOKUP(B81,IF(A81="COMPOSICAO",S!$A:$E,I!$A:$E),4,FALSE)</f>
        <v>H</v>
      </c>
      <c r="F81" s="23">
        <v>1</v>
      </c>
      <c r="G81" s="76">
        <f>IF(A81="COMPOSICAO",VLOOKUP("TOTAL SEM BDI - "&amp;B81,CPUAUX3!$A:$J,9,FALSE),VLOOKUP(B81,I!$A:$E,5,FALSE))</f>
        <v>14.86</v>
      </c>
      <c r="H81" s="77"/>
      <c r="I81" s="76">
        <f t="shared" si="4"/>
        <v>14.86</v>
      </c>
      <c r="J81" s="77"/>
      <c r="M81" s="23">
        <f t="shared" si="5"/>
        <v>6111</v>
      </c>
      <c r="N81" s="23">
        <f>SUMIF(CPUAUX1!M:M,B73,CPUAUX1!O:O)</f>
        <v>205.88553534160002</v>
      </c>
      <c r="O81" s="23">
        <f t="shared" si="6"/>
        <v>205.88553534160002</v>
      </c>
      <c r="Q81" s="23">
        <f ca="1">SUMIF(CPUAUX1!M:M,B73,CPUAUX1!R:R)</f>
        <v>69.295178447200001</v>
      </c>
      <c r="R81" s="23">
        <f t="shared" ca="1" si="7"/>
        <v>69.295178447200001</v>
      </c>
    </row>
    <row r="82" spans="1:18" x14ac:dyDescent="0.3">
      <c r="A82" s="73" t="str">
        <f>"TOTAL SEM BDI - "&amp;B73</f>
        <v>TOTAL SEM BDI - 88316</v>
      </c>
      <c r="B82" s="74"/>
      <c r="C82" s="74"/>
      <c r="D82" s="74"/>
      <c r="E82" s="74"/>
      <c r="F82" s="74"/>
      <c r="G82" s="74"/>
      <c r="H82" s="75"/>
      <c r="I82" s="76">
        <f>SUM(I73:I81)</f>
        <v>21.71</v>
      </c>
      <c r="J82" s="77"/>
    </row>
    <row r="84" spans="1:18" x14ac:dyDescent="0.3">
      <c r="A84" s="4" t="s">
        <v>1000</v>
      </c>
      <c r="B84" s="4" t="s">
        <v>170</v>
      </c>
      <c r="C84" s="4" t="s">
        <v>171</v>
      </c>
      <c r="D84" s="4" t="s">
        <v>18</v>
      </c>
      <c r="E84" s="4" t="s">
        <v>172</v>
      </c>
      <c r="F84" s="4" t="s">
        <v>507</v>
      </c>
      <c r="G84" s="45" t="s">
        <v>1001</v>
      </c>
      <c r="H84" s="46"/>
      <c r="I84" s="45" t="s">
        <v>12</v>
      </c>
      <c r="J84" s="46"/>
    </row>
    <row r="85" spans="1:18" ht="30" customHeight="1" x14ac:dyDescent="0.3">
      <c r="A85" s="15" t="s">
        <v>1071</v>
      </c>
      <c r="B85" s="15">
        <v>88262</v>
      </c>
      <c r="C85" s="15" t="str">
        <f>VLOOKUP(B85,S!$A:$G,2,FALSE)</f>
        <v>SINAPI</v>
      </c>
      <c r="D85" s="22" t="str">
        <f>VLOOKUP(B85,S!$A:$G,3,FALSE)</f>
        <v>CARPINTEIRO DE FORMAS COM ENCARGOS COMPLEMENTARES</v>
      </c>
      <c r="E85" s="15" t="str">
        <f>VLOOKUP(B85,S!$A:$G,4,FALSE)</f>
        <v>H</v>
      </c>
      <c r="F85" s="15"/>
      <c r="G85" s="78">
        <f>I94</f>
        <v>26.97</v>
      </c>
      <c r="H85" s="79"/>
      <c r="I85" s="78"/>
      <c r="J85" s="79"/>
      <c r="K85" s="16">
        <f>VLOOKUP(B85,S!A:G,5,FALSE)</f>
        <v>26.97</v>
      </c>
      <c r="L85" s="15" t="str">
        <f>IF(K85=G85,"OK, CONFORME TABELA",IF(G85&gt;K85,"ACIMA DA TABELA: ","ABAIXO DA TABELA: ")&amp;TRUNC((G85*100)/K85,2)&amp;" %")</f>
        <v>OK, CONFORME TABELA</v>
      </c>
    </row>
    <row r="86" spans="1:18" ht="30" customHeight="1" x14ac:dyDescent="0.3">
      <c r="A86" s="23" t="s">
        <v>1004</v>
      </c>
      <c r="B86" s="23">
        <v>95330</v>
      </c>
      <c r="C86" s="23" t="str">
        <f>VLOOKUP(B86,IF(A86="COMPOSICAO",S!$A:$E,I!$A:$E),2,FALSE)</f>
        <v>SINAPI</v>
      </c>
      <c r="D86" s="24" t="str">
        <f>VLOOKUP(B86,IF(A86="COMPOSICAO",S!$A:$E,I!$A:$E),3,FALSE)</f>
        <v>CURSO DE CAPACITAÇÃO PARA CARPINTEIRO DE FÔRMAS (ENCARGOS COMPLEMENTARES) - HORISTA</v>
      </c>
      <c r="E86" s="23" t="str">
        <f>VLOOKUP(B86,IF(A86="COMPOSICAO",S!$A:$E,I!$A:$E),4,FALSE)</f>
        <v>H</v>
      </c>
      <c r="F86" s="23">
        <v>1</v>
      </c>
      <c r="G86" s="76">
        <f>IF(A86="COMPOSICAO",VLOOKUP("TOTAL SEM BDI - "&amp;B86,CPUAUX3!$A:$J,9,FALSE),VLOOKUP(B86,I!$A:$E,5,FALSE))</f>
        <v>0.23</v>
      </c>
      <c r="H86" s="77"/>
      <c r="I86" s="76">
        <f t="shared" ref="I86:I93" si="8">TRUNC(F86*G86,2)</f>
        <v>0.23</v>
      </c>
      <c r="J86" s="77"/>
      <c r="M86" s="23">
        <f t="shared" ref="M86:M93" si="9">B86</f>
        <v>95330</v>
      </c>
      <c r="N86" s="23">
        <f>SUMIF(CPUAUX1!M:M,B85,CPUAUX1!O:O)</f>
        <v>38.132053499999998</v>
      </c>
      <c r="O86" s="23">
        <f t="shared" ref="O86:O93" si="10">F86*N86</f>
        <v>38.132053499999998</v>
      </c>
      <c r="Q86" s="23">
        <f ca="1">SUMIF(CPUAUX1!M:M,B85,CPUAUX1!R:R)</f>
        <v>12.710684500000003</v>
      </c>
      <c r="R86" s="23">
        <f t="shared" ref="R86:R93" ca="1" si="11">F86*Q86</f>
        <v>12.710684500000003</v>
      </c>
    </row>
    <row r="87" spans="1:18" ht="30" customHeight="1" x14ac:dyDescent="0.3">
      <c r="A87" s="23" t="s">
        <v>1005</v>
      </c>
      <c r="B87" s="23">
        <v>43483</v>
      </c>
      <c r="C87" s="23" t="str">
        <f>VLOOKUP(B87,IF(A87="COMPOSICAO",S!$A:$E,I!$A:$E),2,FALSE)</f>
        <v>SINAPI</v>
      </c>
      <c r="D87" s="24" t="str">
        <f>VLOOKUP(B87,IF(A87="COMPOSICAO",S!$A:$E,I!$A:$E),3,FALSE)</f>
        <v>EPI - FAMILIA CARPINTEIRO DE FORMAS - HORISTA (ENCARGOS COMPLEMENTARES - COLETADO CAIXA)</v>
      </c>
      <c r="E87" s="23" t="str">
        <f>VLOOKUP(B87,IF(A87="COMPOSICAO",S!$A:$E,I!$A:$E),4,FALSE)</f>
        <v>H</v>
      </c>
      <c r="F87" s="23">
        <v>1</v>
      </c>
      <c r="G87" s="76">
        <f>IF(A87="COMPOSICAO",VLOOKUP("TOTAL SEM BDI - "&amp;B87,CPUAUX3!$A:$J,9,FALSE),VLOOKUP(B87,I!$A:$E,5,FALSE))</f>
        <v>1.43</v>
      </c>
      <c r="H87" s="77"/>
      <c r="I87" s="76">
        <f t="shared" si="8"/>
        <v>1.43</v>
      </c>
      <c r="J87" s="77"/>
      <c r="M87" s="23">
        <f t="shared" si="9"/>
        <v>43483</v>
      </c>
      <c r="N87" s="23">
        <f>SUMIF(CPUAUX1!M:M,B85,CPUAUX1!O:O)</f>
        <v>38.132053499999998</v>
      </c>
      <c r="O87" s="23">
        <f t="shared" si="10"/>
        <v>38.132053499999998</v>
      </c>
      <c r="Q87" s="23">
        <f ca="1">SUMIF(CPUAUX1!M:M,B85,CPUAUX1!R:R)</f>
        <v>12.710684500000003</v>
      </c>
      <c r="R87" s="23">
        <f t="shared" ca="1" si="11"/>
        <v>12.710684500000003</v>
      </c>
    </row>
    <row r="88" spans="1:18" ht="45" customHeight="1" x14ac:dyDescent="0.3">
      <c r="A88" s="23" t="s">
        <v>1005</v>
      </c>
      <c r="B88" s="23">
        <v>43459</v>
      </c>
      <c r="C88" s="23" t="str">
        <f>VLOOKUP(B88,IF(A88="COMPOSICAO",S!$A:$E,I!$A:$E),2,FALSE)</f>
        <v>SINAPI</v>
      </c>
      <c r="D88" s="24" t="str">
        <f>VLOOKUP(B88,IF(A88="COMPOSICAO",S!$A:$E,I!$A:$E),3,FALSE)</f>
        <v>FERRAMENTAS - FAMILIA CARPINTEIRO DE FORMAS - HORISTA (ENCARGOS COMPLEMENTARES - COLETADO CAIXA)</v>
      </c>
      <c r="E88" s="23" t="str">
        <f>VLOOKUP(B88,IF(A88="COMPOSICAO",S!$A:$E,I!$A:$E),4,FALSE)</f>
        <v>H</v>
      </c>
      <c r="F88" s="23">
        <v>1</v>
      </c>
      <c r="G88" s="76">
        <f>IF(A88="COMPOSICAO",VLOOKUP("TOTAL SEM BDI - "&amp;B88,CPUAUX3!$A:$J,9,FALSE),VLOOKUP(B88,I!$A:$E,5,FALSE))</f>
        <v>0.44</v>
      </c>
      <c r="H88" s="77"/>
      <c r="I88" s="76">
        <f t="shared" si="8"/>
        <v>0.44</v>
      </c>
      <c r="J88" s="77"/>
      <c r="M88" s="23">
        <f t="shared" si="9"/>
        <v>43459</v>
      </c>
      <c r="N88" s="23">
        <f>SUMIF(CPUAUX1!M:M,B85,CPUAUX1!O:O)</f>
        <v>38.132053499999998</v>
      </c>
      <c r="O88" s="23">
        <f t="shared" si="10"/>
        <v>38.132053499999998</v>
      </c>
      <c r="Q88" s="23">
        <f ca="1">SUMIF(CPUAUX1!M:M,B85,CPUAUX1!R:R)</f>
        <v>12.710684500000003</v>
      </c>
      <c r="R88" s="23">
        <f t="shared" ca="1" si="11"/>
        <v>12.710684500000003</v>
      </c>
    </row>
    <row r="89" spans="1:18" ht="30" customHeight="1" x14ac:dyDescent="0.3">
      <c r="A89" s="23" t="s">
        <v>1005</v>
      </c>
      <c r="B89" s="23">
        <v>37373</v>
      </c>
      <c r="C89" s="23" t="str">
        <f>VLOOKUP(B89,IF(A89="COMPOSICAO",S!$A:$E,I!$A:$E),2,FALSE)</f>
        <v>SINAPI</v>
      </c>
      <c r="D89" s="24" t="str">
        <f>VLOOKUP(B89,IF(A89="COMPOSICAO",S!$A:$E,I!$A:$E),3,FALSE)</f>
        <v>SEGURO - HORISTA (COLETADO CAIXA - ENCARGOS COMPLEMENTARES)</v>
      </c>
      <c r="E89" s="23" t="str">
        <f>VLOOKUP(B89,IF(A89="COMPOSICAO",S!$A:$E,I!$A:$E),4,FALSE)</f>
        <v>H</v>
      </c>
      <c r="F89" s="23">
        <v>1</v>
      </c>
      <c r="G89" s="76">
        <f>IF(A89="COMPOSICAO",VLOOKUP("TOTAL SEM BDI - "&amp;B89,CPUAUX3!$A:$J,9,FALSE),VLOOKUP(B89,I!$A:$E,5,FALSE))</f>
        <v>0.08</v>
      </c>
      <c r="H89" s="77"/>
      <c r="I89" s="76">
        <f t="shared" si="8"/>
        <v>0.08</v>
      </c>
      <c r="J89" s="77"/>
      <c r="M89" s="23">
        <f t="shared" si="9"/>
        <v>37373</v>
      </c>
      <c r="N89" s="23">
        <f>SUMIF(CPUAUX1!M:M,B85,CPUAUX1!O:O)</f>
        <v>38.132053499999998</v>
      </c>
      <c r="O89" s="23">
        <f t="shared" si="10"/>
        <v>38.132053499999998</v>
      </c>
      <c r="Q89" s="23">
        <f ca="1">SUMIF(CPUAUX1!M:M,B85,CPUAUX1!R:R)</f>
        <v>12.710684500000003</v>
      </c>
      <c r="R89" s="23">
        <f t="shared" ca="1" si="11"/>
        <v>12.710684500000003</v>
      </c>
    </row>
    <row r="90" spans="1:18" ht="30" customHeight="1" x14ac:dyDescent="0.3">
      <c r="A90" s="23" t="s">
        <v>1005</v>
      </c>
      <c r="B90" s="23">
        <v>37372</v>
      </c>
      <c r="C90" s="23" t="str">
        <f>VLOOKUP(B90,IF(A90="COMPOSICAO",S!$A:$E,I!$A:$E),2,FALSE)</f>
        <v>SINAPI</v>
      </c>
      <c r="D90" s="24" t="str">
        <f>VLOOKUP(B90,IF(A90="COMPOSICAO",S!$A:$E,I!$A:$E),3,FALSE)</f>
        <v>EXAMES - HORISTA (COLETADO CAIXA - ENCARGOS COMPLEMENTARES)</v>
      </c>
      <c r="E90" s="23" t="str">
        <f>VLOOKUP(B90,IF(A90="COMPOSICAO",S!$A:$E,I!$A:$E),4,FALSE)</f>
        <v>H</v>
      </c>
      <c r="F90" s="23">
        <v>1</v>
      </c>
      <c r="G90" s="76">
        <f>IF(A90="COMPOSICAO",VLOOKUP("TOTAL SEM BDI - "&amp;B90,CPUAUX3!$A:$J,9,FALSE),VLOOKUP(B90,I!$A:$E,5,FALSE))</f>
        <v>1.43</v>
      </c>
      <c r="H90" s="77"/>
      <c r="I90" s="76">
        <f t="shared" si="8"/>
        <v>1.43</v>
      </c>
      <c r="J90" s="77"/>
      <c r="M90" s="23">
        <f t="shared" si="9"/>
        <v>37372</v>
      </c>
      <c r="N90" s="23">
        <f>SUMIF(CPUAUX1!M:M,B85,CPUAUX1!O:O)</f>
        <v>38.132053499999998</v>
      </c>
      <c r="O90" s="23">
        <f t="shared" si="10"/>
        <v>38.132053499999998</v>
      </c>
      <c r="Q90" s="23">
        <f ca="1">SUMIF(CPUAUX1!M:M,B85,CPUAUX1!R:R)</f>
        <v>12.710684500000003</v>
      </c>
      <c r="R90" s="23">
        <f t="shared" ca="1" si="11"/>
        <v>12.710684500000003</v>
      </c>
    </row>
    <row r="91" spans="1:18" ht="30" customHeight="1" x14ac:dyDescent="0.3">
      <c r="A91" s="23" t="s">
        <v>1005</v>
      </c>
      <c r="B91" s="23">
        <v>37371</v>
      </c>
      <c r="C91" s="23" t="str">
        <f>VLOOKUP(B91,IF(A91="COMPOSICAO",S!$A:$E,I!$A:$E),2,FALSE)</f>
        <v>SINAPI</v>
      </c>
      <c r="D91" s="24" t="str">
        <f>VLOOKUP(B91,IF(A91="COMPOSICAO",S!$A:$E,I!$A:$E),3,FALSE)</f>
        <v>TRANSPORTE - HORISTA (COLETADO CAIXA - ENCARGOS COMPLEMENTARES)</v>
      </c>
      <c r="E91" s="23" t="str">
        <f>VLOOKUP(B91,IF(A91="COMPOSICAO",S!$A:$E,I!$A:$E),4,FALSE)</f>
        <v>H</v>
      </c>
      <c r="F91" s="23">
        <v>1</v>
      </c>
      <c r="G91" s="76">
        <f>IF(A91="COMPOSICAO",VLOOKUP("TOTAL SEM BDI - "&amp;B91,CPUAUX3!$A:$J,9,FALSE),VLOOKUP(B91,I!$A:$E,5,FALSE))</f>
        <v>0.56999999999999995</v>
      </c>
      <c r="H91" s="77"/>
      <c r="I91" s="76">
        <f t="shared" si="8"/>
        <v>0.56999999999999995</v>
      </c>
      <c r="J91" s="77"/>
      <c r="M91" s="23">
        <f t="shared" si="9"/>
        <v>37371</v>
      </c>
      <c r="N91" s="23">
        <f>SUMIF(CPUAUX1!M:M,B85,CPUAUX1!O:O)</f>
        <v>38.132053499999998</v>
      </c>
      <c r="O91" s="23">
        <f t="shared" si="10"/>
        <v>38.132053499999998</v>
      </c>
      <c r="Q91" s="23">
        <f ca="1">SUMIF(CPUAUX1!M:M,B85,CPUAUX1!R:R)</f>
        <v>12.710684500000003</v>
      </c>
      <c r="R91" s="23">
        <f t="shared" ca="1" si="11"/>
        <v>12.710684500000003</v>
      </c>
    </row>
    <row r="92" spans="1:18" ht="30" customHeight="1" x14ac:dyDescent="0.3">
      <c r="A92" s="23" t="s">
        <v>1005</v>
      </c>
      <c r="B92" s="23">
        <v>37370</v>
      </c>
      <c r="C92" s="23" t="str">
        <f>VLOOKUP(B92,IF(A92="COMPOSICAO",S!$A:$E,I!$A:$E),2,FALSE)</f>
        <v>SINAPI</v>
      </c>
      <c r="D92" s="24" t="str">
        <f>VLOOKUP(B92,IF(A92="COMPOSICAO",S!$A:$E,I!$A:$E),3,FALSE)</f>
        <v>ALIMENTACAO - HORISTA (COLETADO CAIXA - ENCARGOS COMPLEMENTARES)</v>
      </c>
      <c r="E92" s="23" t="str">
        <f>VLOOKUP(B92,IF(A92="COMPOSICAO",S!$A:$E,I!$A:$E),4,FALSE)</f>
        <v>H</v>
      </c>
      <c r="F92" s="23">
        <v>1</v>
      </c>
      <c r="G92" s="76">
        <f>IF(A92="COMPOSICAO",VLOOKUP("TOTAL SEM BDI - "&amp;B92,CPUAUX3!$A:$J,9,FALSE),VLOOKUP(B92,I!$A:$E,5,FALSE))</f>
        <v>2.46</v>
      </c>
      <c r="H92" s="77"/>
      <c r="I92" s="76">
        <f t="shared" si="8"/>
        <v>2.46</v>
      </c>
      <c r="J92" s="77"/>
      <c r="M92" s="23">
        <f t="shared" si="9"/>
        <v>37370</v>
      </c>
      <c r="N92" s="23">
        <f>SUMIF(CPUAUX1!M:M,B85,CPUAUX1!O:O)</f>
        <v>38.132053499999998</v>
      </c>
      <c r="O92" s="23">
        <f t="shared" si="10"/>
        <v>38.132053499999998</v>
      </c>
      <c r="Q92" s="23">
        <f ca="1">SUMIF(CPUAUX1!M:M,B85,CPUAUX1!R:R)</f>
        <v>12.710684500000003</v>
      </c>
      <c r="R92" s="23">
        <f t="shared" ca="1" si="11"/>
        <v>12.710684500000003</v>
      </c>
    </row>
    <row r="93" spans="1:18" ht="15" customHeight="1" x14ac:dyDescent="0.3">
      <c r="A93" s="23" t="s">
        <v>1005</v>
      </c>
      <c r="B93" s="23">
        <v>1213</v>
      </c>
      <c r="C93" s="23" t="str">
        <f>VLOOKUP(B93,IF(A93="COMPOSICAO",S!$A:$E,I!$A:$E),2,FALSE)</f>
        <v>SINAPI</v>
      </c>
      <c r="D93" s="24" t="str">
        <f>VLOOKUP(B93,IF(A93="COMPOSICAO",S!$A:$E,I!$A:$E),3,FALSE)</f>
        <v>CARPINTEIRO DE FORMAS PARA CONCRETO (HORISTA)</v>
      </c>
      <c r="E93" s="23" t="str">
        <f>VLOOKUP(B93,IF(A93="COMPOSICAO",S!$A:$E,I!$A:$E),4,FALSE)</f>
        <v>H</v>
      </c>
      <c r="F93" s="23">
        <v>1</v>
      </c>
      <c r="G93" s="76">
        <f>IF(A93="COMPOSICAO",VLOOKUP("TOTAL SEM BDI - "&amp;B93,CPUAUX3!$A:$J,9,FALSE),VLOOKUP(B93,I!$A:$E,5,FALSE))</f>
        <v>20.329999999999998</v>
      </c>
      <c r="H93" s="77"/>
      <c r="I93" s="76">
        <f t="shared" si="8"/>
        <v>20.329999999999998</v>
      </c>
      <c r="J93" s="77"/>
      <c r="M93" s="23">
        <f t="shared" si="9"/>
        <v>1213</v>
      </c>
      <c r="N93" s="23">
        <f>SUMIF(CPUAUX1!M:M,B85,CPUAUX1!O:O)</f>
        <v>38.132053499999998</v>
      </c>
      <c r="O93" s="23">
        <f t="shared" si="10"/>
        <v>38.132053499999998</v>
      </c>
      <c r="Q93" s="23">
        <f ca="1">SUMIF(CPUAUX1!M:M,B85,CPUAUX1!R:R)</f>
        <v>12.710684500000003</v>
      </c>
      <c r="R93" s="23">
        <f t="shared" ca="1" si="11"/>
        <v>12.710684500000003</v>
      </c>
    </row>
    <row r="94" spans="1:18" x14ac:dyDescent="0.3">
      <c r="A94" s="73" t="str">
        <f>"TOTAL SEM BDI - "&amp;B85</f>
        <v>TOTAL SEM BDI - 88262</v>
      </c>
      <c r="B94" s="74"/>
      <c r="C94" s="74"/>
      <c r="D94" s="74"/>
      <c r="E94" s="74"/>
      <c r="F94" s="74"/>
      <c r="G94" s="74"/>
      <c r="H94" s="75"/>
      <c r="I94" s="76">
        <f>SUM(I85:I93)</f>
        <v>26.97</v>
      </c>
      <c r="J94" s="77"/>
    </row>
    <row r="96" spans="1:18" x14ac:dyDescent="0.3">
      <c r="A96" s="4" t="s">
        <v>1000</v>
      </c>
      <c r="B96" s="4" t="s">
        <v>170</v>
      </c>
      <c r="C96" s="4" t="s">
        <v>171</v>
      </c>
      <c r="D96" s="4" t="s">
        <v>18</v>
      </c>
      <c r="E96" s="4" t="s">
        <v>172</v>
      </c>
      <c r="F96" s="4" t="s">
        <v>507</v>
      </c>
      <c r="G96" s="45" t="s">
        <v>1001</v>
      </c>
      <c r="H96" s="46"/>
      <c r="I96" s="45" t="s">
        <v>12</v>
      </c>
      <c r="J96" s="46"/>
    </row>
    <row r="97" spans="1:18" ht="30" customHeight="1" x14ac:dyDescent="0.3">
      <c r="A97" s="15" t="s">
        <v>1071</v>
      </c>
      <c r="B97" s="15">
        <v>88239</v>
      </c>
      <c r="C97" s="15" t="str">
        <f>VLOOKUP(B97,S!$A:$G,2,FALSE)</f>
        <v>SINAPI</v>
      </c>
      <c r="D97" s="22" t="str">
        <f>VLOOKUP(B97,S!$A:$G,3,FALSE)</f>
        <v>AJUDANTE DE CARPINTEIRO COM ENCARGOS COMPLEMENTARES</v>
      </c>
      <c r="E97" s="15" t="str">
        <f>VLOOKUP(B97,S!$A:$G,4,FALSE)</f>
        <v>H</v>
      </c>
      <c r="F97" s="15"/>
      <c r="G97" s="78">
        <f>I106</f>
        <v>22.2</v>
      </c>
      <c r="H97" s="79"/>
      <c r="I97" s="78"/>
      <c r="J97" s="79"/>
      <c r="K97" s="16">
        <f>VLOOKUP(B97,S!A:G,5,FALSE)</f>
        <v>22.2</v>
      </c>
      <c r="L97" s="15" t="str">
        <f>IF(K97=G97,"OK, CONFORME TABELA",IF(G97&gt;K97,"ACIMA DA TABELA: ","ABAIXO DA TABELA: ")&amp;TRUNC((G97*100)/K97,2)&amp;" %")</f>
        <v>OK, CONFORME TABELA</v>
      </c>
    </row>
    <row r="98" spans="1:18" ht="30" customHeight="1" x14ac:dyDescent="0.3">
      <c r="A98" s="23" t="s">
        <v>1004</v>
      </c>
      <c r="B98" s="23">
        <v>95309</v>
      </c>
      <c r="C98" s="23" t="str">
        <f>VLOOKUP(B98,IF(A98="COMPOSICAO",S!$A:$E,I!$A:$E),2,FALSE)</f>
        <v>SINAPI</v>
      </c>
      <c r="D98" s="24" t="str">
        <f>VLOOKUP(B98,IF(A98="COMPOSICAO",S!$A:$E,I!$A:$E),3,FALSE)</f>
        <v>CURSO DE CAPACITAÇÃO PARA AJUDANTE DE CARPINTEIRO (ENCARGOS COMPLEMENTARES) - HORISTA</v>
      </c>
      <c r="E98" s="23" t="str">
        <f>VLOOKUP(B98,IF(A98="COMPOSICAO",S!$A:$E,I!$A:$E),4,FALSE)</f>
        <v>H</v>
      </c>
      <c r="F98" s="23">
        <v>1</v>
      </c>
      <c r="G98" s="76">
        <f>IF(A98="COMPOSICAO",VLOOKUP("TOTAL SEM BDI - "&amp;B98,CPUAUX3!$A:$J,9,FALSE),VLOOKUP(B98,I!$A:$E,5,FALSE))</f>
        <v>0.22</v>
      </c>
      <c r="H98" s="77"/>
      <c r="I98" s="76">
        <f t="shared" ref="I98:I105" si="12">TRUNC(F98*G98,2)</f>
        <v>0.22</v>
      </c>
      <c r="J98" s="77"/>
      <c r="M98" s="23">
        <f t="shared" ref="M98:M105" si="13">B98</f>
        <v>95309</v>
      </c>
      <c r="N98" s="23">
        <f>SUMIF(CPUAUX1!M:M,B97,CPUAUX1!O:O)</f>
        <v>17.87529864</v>
      </c>
      <c r="O98" s="23">
        <f t="shared" ref="O98:O105" si="14">F98*N98</f>
        <v>17.87529864</v>
      </c>
      <c r="Q98" s="23">
        <f ca="1">SUMIF(CPUAUX1!M:M,B97,CPUAUX1!R:R)</f>
        <v>5.9584328800000002</v>
      </c>
      <c r="R98" s="23">
        <f t="shared" ref="R98:R105" ca="1" si="15">F98*Q98</f>
        <v>5.9584328800000002</v>
      </c>
    </row>
    <row r="99" spans="1:18" ht="30" customHeight="1" x14ac:dyDescent="0.3">
      <c r="A99" s="23" t="s">
        <v>1005</v>
      </c>
      <c r="B99" s="23">
        <v>43483</v>
      </c>
      <c r="C99" s="23" t="str">
        <f>VLOOKUP(B99,IF(A99="COMPOSICAO",S!$A:$E,I!$A:$E),2,FALSE)</f>
        <v>SINAPI</v>
      </c>
      <c r="D99" s="24" t="str">
        <f>VLOOKUP(B99,IF(A99="COMPOSICAO",S!$A:$E,I!$A:$E),3,FALSE)</f>
        <v>EPI - FAMILIA CARPINTEIRO DE FORMAS - HORISTA (ENCARGOS COMPLEMENTARES - COLETADO CAIXA)</v>
      </c>
      <c r="E99" s="23" t="str">
        <f>VLOOKUP(B99,IF(A99="COMPOSICAO",S!$A:$E,I!$A:$E),4,FALSE)</f>
        <v>H</v>
      </c>
      <c r="F99" s="23">
        <v>1</v>
      </c>
      <c r="G99" s="76">
        <f>IF(A99="COMPOSICAO",VLOOKUP("TOTAL SEM BDI - "&amp;B99,CPUAUX3!$A:$J,9,FALSE),VLOOKUP(B99,I!$A:$E,5,FALSE))</f>
        <v>1.43</v>
      </c>
      <c r="H99" s="77"/>
      <c r="I99" s="76">
        <f t="shared" si="12"/>
        <v>1.43</v>
      </c>
      <c r="J99" s="77"/>
      <c r="M99" s="23">
        <f t="shared" si="13"/>
        <v>43483</v>
      </c>
      <c r="N99" s="23">
        <f>SUMIF(CPUAUX1!M:M,B97,CPUAUX1!O:O)</f>
        <v>17.87529864</v>
      </c>
      <c r="O99" s="23">
        <f t="shared" si="14"/>
        <v>17.87529864</v>
      </c>
      <c r="Q99" s="23">
        <f ca="1">SUMIF(CPUAUX1!M:M,B97,CPUAUX1!R:R)</f>
        <v>5.9584328800000002</v>
      </c>
      <c r="R99" s="23">
        <f t="shared" ca="1" si="15"/>
        <v>5.9584328800000002</v>
      </c>
    </row>
    <row r="100" spans="1:18" ht="45" customHeight="1" x14ac:dyDescent="0.3">
      <c r="A100" s="23" t="s">
        <v>1005</v>
      </c>
      <c r="B100" s="23">
        <v>43459</v>
      </c>
      <c r="C100" s="23" t="str">
        <f>VLOOKUP(B100,IF(A100="COMPOSICAO",S!$A:$E,I!$A:$E),2,FALSE)</f>
        <v>SINAPI</v>
      </c>
      <c r="D100" s="24" t="str">
        <f>VLOOKUP(B100,IF(A100="COMPOSICAO",S!$A:$E,I!$A:$E),3,FALSE)</f>
        <v>FERRAMENTAS - FAMILIA CARPINTEIRO DE FORMAS - HORISTA (ENCARGOS COMPLEMENTARES - COLETADO CAIXA)</v>
      </c>
      <c r="E100" s="23" t="str">
        <f>VLOOKUP(B100,IF(A100="COMPOSICAO",S!$A:$E,I!$A:$E),4,FALSE)</f>
        <v>H</v>
      </c>
      <c r="F100" s="23">
        <v>1</v>
      </c>
      <c r="G100" s="76">
        <f>IF(A100="COMPOSICAO",VLOOKUP("TOTAL SEM BDI - "&amp;B100,CPUAUX3!$A:$J,9,FALSE),VLOOKUP(B100,I!$A:$E,5,FALSE))</f>
        <v>0.44</v>
      </c>
      <c r="H100" s="77"/>
      <c r="I100" s="76">
        <f t="shared" si="12"/>
        <v>0.44</v>
      </c>
      <c r="J100" s="77"/>
      <c r="M100" s="23">
        <f t="shared" si="13"/>
        <v>43459</v>
      </c>
      <c r="N100" s="23">
        <f>SUMIF(CPUAUX1!M:M,B97,CPUAUX1!O:O)</f>
        <v>17.87529864</v>
      </c>
      <c r="O100" s="23">
        <f t="shared" si="14"/>
        <v>17.87529864</v>
      </c>
      <c r="Q100" s="23">
        <f ca="1">SUMIF(CPUAUX1!M:M,B97,CPUAUX1!R:R)</f>
        <v>5.9584328800000002</v>
      </c>
      <c r="R100" s="23">
        <f t="shared" ca="1" si="15"/>
        <v>5.9584328800000002</v>
      </c>
    </row>
    <row r="101" spans="1:18" ht="30" customHeight="1" x14ac:dyDescent="0.3">
      <c r="A101" s="23" t="s">
        <v>1005</v>
      </c>
      <c r="B101" s="23">
        <v>37373</v>
      </c>
      <c r="C101" s="23" t="str">
        <f>VLOOKUP(B101,IF(A101="COMPOSICAO",S!$A:$E,I!$A:$E),2,FALSE)</f>
        <v>SINAPI</v>
      </c>
      <c r="D101" s="24" t="str">
        <f>VLOOKUP(B101,IF(A101="COMPOSICAO",S!$A:$E,I!$A:$E),3,FALSE)</f>
        <v>SEGURO - HORISTA (COLETADO CAIXA - ENCARGOS COMPLEMENTARES)</v>
      </c>
      <c r="E101" s="23" t="str">
        <f>VLOOKUP(B101,IF(A101="COMPOSICAO",S!$A:$E,I!$A:$E),4,FALSE)</f>
        <v>H</v>
      </c>
      <c r="F101" s="23">
        <v>1</v>
      </c>
      <c r="G101" s="76">
        <f>IF(A101="COMPOSICAO",VLOOKUP("TOTAL SEM BDI - "&amp;B101,CPUAUX3!$A:$J,9,FALSE),VLOOKUP(B101,I!$A:$E,5,FALSE))</f>
        <v>0.08</v>
      </c>
      <c r="H101" s="77"/>
      <c r="I101" s="76">
        <f t="shared" si="12"/>
        <v>0.08</v>
      </c>
      <c r="J101" s="77"/>
      <c r="M101" s="23">
        <f t="shared" si="13"/>
        <v>37373</v>
      </c>
      <c r="N101" s="23">
        <f>SUMIF(CPUAUX1!M:M,B97,CPUAUX1!O:O)</f>
        <v>17.87529864</v>
      </c>
      <c r="O101" s="23">
        <f t="shared" si="14"/>
        <v>17.87529864</v>
      </c>
      <c r="Q101" s="23">
        <f ca="1">SUMIF(CPUAUX1!M:M,B97,CPUAUX1!R:R)</f>
        <v>5.9584328800000002</v>
      </c>
      <c r="R101" s="23">
        <f t="shared" ca="1" si="15"/>
        <v>5.9584328800000002</v>
      </c>
    </row>
    <row r="102" spans="1:18" ht="30" customHeight="1" x14ac:dyDescent="0.3">
      <c r="A102" s="23" t="s">
        <v>1005</v>
      </c>
      <c r="B102" s="23">
        <v>37372</v>
      </c>
      <c r="C102" s="23" t="str">
        <f>VLOOKUP(B102,IF(A102="COMPOSICAO",S!$A:$E,I!$A:$E),2,FALSE)</f>
        <v>SINAPI</v>
      </c>
      <c r="D102" s="24" t="str">
        <f>VLOOKUP(B102,IF(A102="COMPOSICAO",S!$A:$E,I!$A:$E),3,FALSE)</f>
        <v>EXAMES - HORISTA (COLETADO CAIXA - ENCARGOS COMPLEMENTARES)</v>
      </c>
      <c r="E102" s="23" t="str">
        <f>VLOOKUP(B102,IF(A102="COMPOSICAO",S!$A:$E,I!$A:$E),4,FALSE)</f>
        <v>H</v>
      </c>
      <c r="F102" s="23">
        <v>1</v>
      </c>
      <c r="G102" s="76">
        <f>IF(A102="COMPOSICAO",VLOOKUP("TOTAL SEM BDI - "&amp;B102,CPUAUX3!$A:$J,9,FALSE),VLOOKUP(B102,I!$A:$E,5,FALSE))</f>
        <v>1.43</v>
      </c>
      <c r="H102" s="77"/>
      <c r="I102" s="76">
        <f t="shared" si="12"/>
        <v>1.43</v>
      </c>
      <c r="J102" s="77"/>
      <c r="M102" s="23">
        <f t="shared" si="13"/>
        <v>37372</v>
      </c>
      <c r="N102" s="23">
        <f>SUMIF(CPUAUX1!M:M,B97,CPUAUX1!O:O)</f>
        <v>17.87529864</v>
      </c>
      <c r="O102" s="23">
        <f t="shared" si="14"/>
        <v>17.87529864</v>
      </c>
      <c r="Q102" s="23">
        <f ca="1">SUMIF(CPUAUX1!M:M,B97,CPUAUX1!R:R)</f>
        <v>5.9584328800000002</v>
      </c>
      <c r="R102" s="23">
        <f t="shared" ca="1" si="15"/>
        <v>5.9584328800000002</v>
      </c>
    </row>
    <row r="103" spans="1:18" ht="30" customHeight="1" x14ac:dyDescent="0.3">
      <c r="A103" s="23" t="s">
        <v>1005</v>
      </c>
      <c r="B103" s="23">
        <v>37371</v>
      </c>
      <c r="C103" s="23" t="str">
        <f>VLOOKUP(B103,IF(A103="COMPOSICAO",S!$A:$E,I!$A:$E),2,FALSE)</f>
        <v>SINAPI</v>
      </c>
      <c r="D103" s="24" t="str">
        <f>VLOOKUP(B103,IF(A103="COMPOSICAO",S!$A:$E,I!$A:$E),3,FALSE)</f>
        <v>TRANSPORTE - HORISTA (COLETADO CAIXA - ENCARGOS COMPLEMENTARES)</v>
      </c>
      <c r="E103" s="23" t="str">
        <f>VLOOKUP(B103,IF(A103="COMPOSICAO",S!$A:$E,I!$A:$E),4,FALSE)</f>
        <v>H</v>
      </c>
      <c r="F103" s="23">
        <v>1</v>
      </c>
      <c r="G103" s="76">
        <f>IF(A103="COMPOSICAO",VLOOKUP("TOTAL SEM BDI - "&amp;B103,CPUAUX3!$A:$J,9,FALSE),VLOOKUP(B103,I!$A:$E,5,FALSE))</f>
        <v>0.56999999999999995</v>
      </c>
      <c r="H103" s="77"/>
      <c r="I103" s="76">
        <f t="shared" si="12"/>
        <v>0.56999999999999995</v>
      </c>
      <c r="J103" s="77"/>
      <c r="M103" s="23">
        <f t="shared" si="13"/>
        <v>37371</v>
      </c>
      <c r="N103" s="23">
        <f>SUMIF(CPUAUX1!M:M,B97,CPUAUX1!O:O)</f>
        <v>17.87529864</v>
      </c>
      <c r="O103" s="23">
        <f t="shared" si="14"/>
        <v>17.87529864</v>
      </c>
      <c r="Q103" s="23">
        <f ca="1">SUMIF(CPUAUX1!M:M,B97,CPUAUX1!R:R)</f>
        <v>5.9584328800000002</v>
      </c>
      <c r="R103" s="23">
        <f t="shared" ca="1" si="15"/>
        <v>5.9584328800000002</v>
      </c>
    </row>
    <row r="104" spans="1:18" ht="30" customHeight="1" x14ac:dyDescent="0.3">
      <c r="A104" s="23" t="s">
        <v>1005</v>
      </c>
      <c r="B104" s="23">
        <v>37370</v>
      </c>
      <c r="C104" s="23" t="str">
        <f>VLOOKUP(B104,IF(A104="COMPOSICAO",S!$A:$E,I!$A:$E),2,FALSE)</f>
        <v>SINAPI</v>
      </c>
      <c r="D104" s="24" t="str">
        <f>VLOOKUP(B104,IF(A104="COMPOSICAO",S!$A:$E,I!$A:$E),3,FALSE)</f>
        <v>ALIMENTACAO - HORISTA (COLETADO CAIXA - ENCARGOS COMPLEMENTARES)</v>
      </c>
      <c r="E104" s="23" t="str">
        <f>VLOOKUP(B104,IF(A104="COMPOSICAO",S!$A:$E,I!$A:$E),4,FALSE)</f>
        <v>H</v>
      </c>
      <c r="F104" s="23">
        <v>1</v>
      </c>
      <c r="G104" s="76">
        <f>IF(A104="COMPOSICAO",VLOOKUP("TOTAL SEM BDI - "&amp;B104,CPUAUX3!$A:$J,9,FALSE),VLOOKUP(B104,I!$A:$E,5,FALSE))</f>
        <v>2.46</v>
      </c>
      <c r="H104" s="77"/>
      <c r="I104" s="76">
        <f t="shared" si="12"/>
        <v>2.46</v>
      </c>
      <c r="J104" s="77"/>
      <c r="M104" s="23">
        <f t="shared" si="13"/>
        <v>37370</v>
      </c>
      <c r="N104" s="23">
        <f>SUMIF(CPUAUX1!M:M,B97,CPUAUX1!O:O)</f>
        <v>17.87529864</v>
      </c>
      <c r="O104" s="23">
        <f t="shared" si="14"/>
        <v>17.87529864</v>
      </c>
      <c r="Q104" s="23">
        <f ca="1">SUMIF(CPUAUX1!M:M,B97,CPUAUX1!R:R)</f>
        <v>5.9584328800000002</v>
      </c>
      <c r="R104" s="23">
        <f t="shared" ca="1" si="15"/>
        <v>5.9584328800000002</v>
      </c>
    </row>
    <row r="105" spans="1:18" x14ac:dyDescent="0.3">
      <c r="A105" s="23" t="s">
        <v>1005</v>
      </c>
      <c r="B105" s="23">
        <v>6117</v>
      </c>
      <c r="C105" s="23" t="str">
        <f>VLOOKUP(B105,IF(A105="COMPOSICAO",S!$A:$E,I!$A:$E),2,FALSE)</f>
        <v>SINAPI</v>
      </c>
      <c r="D105" s="24" t="str">
        <f>VLOOKUP(B105,IF(A105="COMPOSICAO",S!$A:$E,I!$A:$E),3,FALSE)</f>
        <v>CARPINTEIRO AUXILIAR (HORISTA)</v>
      </c>
      <c r="E105" s="23" t="str">
        <f>VLOOKUP(B105,IF(A105="COMPOSICAO",S!$A:$E,I!$A:$E),4,FALSE)</f>
        <v>H</v>
      </c>
      <c r="F105" s="23">
        <v>1</v>
      </c>
      <c r="G105" s="76">
        <f>IF(A105="COMPOSICAO",VLOOKUP("TOTAL SEM BDI - "&amp;B105,CPUAUX3!$A:$J,9,FALSE),VLOOKUP(B105,I!$A:$E,5,FALSE))</f>
        <v>15.57</v>
      </c>
      <c r="H105" s="77"/>
      <c r="I105" s="76">
        <f t="shared" si="12"/>
        <v>15.57</v>
      </c>
      <c r="J105" s="77"/>
      <c r="M105" s="23">
        <f t="shared" si="13"/>
        <v>6117</v>
      </c>
      <c r="N105" s="23">
        <f>SUMIF(CPUAUX1!M:M,B97,CPUAUX1!O:O)</f>
        <v>17.87529864</v>
      </c>
      <c r="O105" s="23">
        <f t="shared" si="14"/>
        <v>17.87529864</v>
      </c>
      <c r="Q105" s="23">
        <f ca="1">SUMIF(CPUAUX1!M:M,B97,CPUAUX1!R:R)</f>
        <v>5.9584328800000002</v>
      </c>
      <c r="R105" s="23">
        <f t="shared" ca="1" si="15"/>
        <v>5.9584328800000002</v>
      </c>
    </row>
    <row r="106" spans="1:18" x14ac:dyDescent="0.3">
      <c r="A106" s="73" t="str">
        <f>"TOTAL SEM BDI - "&amp;B97</f>
        <v>TOTAL SEM BDI - 88239</v>
      </c>
      <c r="B106" s="74"/>
      <c r="C106" s="74"/>
      <c r="D106" s="74"/>
      <c r="E106" s="74"/>
      <c r="F106" s="74"/>
      <c r="G106" s="74"/>
      <c r="H106" s="75"/>
      <c r="I106" s="76">
        <f>SUM(I97:I105)</f>
        <v>22.2</v>
      </c>
      <c r="J106" s="77"/>
    </row>
    <row r="108" spans="1:18" x14ac:dyDescent="0.3">
      <c r="A108" s="4" t="s">
        <v>1000</v>
      </c>
      <c r="B108" s="4" t="s">
        <v>170</v>
      </c>
      <c r="C108" s="4" t="s">
        <v>171</v>
      </c>
      <c r="D108" s="4" t="s">
        <v>18</v>
      </c>
      <c r="E108" s="4" t="s">
        <v>172</v>
      </c>
      <c r="F108" s="4" t="s">
        <v>507</v>
      </c>
      <c r="G108" s="45" t="s">
        <v>1001</v>
      </c>
      <c r="H108" s="46"/>
      <c r="I108" s="45" t="s">
        <v>12</v>
      </c>
      <c r="J108" s="46"/>
    </row>
    <row r="109" spans="1:18" ht="45" customHeight="1" x14ac:dyDescent="0.3">
      <c r="A109" s="15" t="s">
        <v>1071</v>
      </c>
      <c r="B109" s="15">
        <v>95360</v>
      </c>
      <c r="C109" s="15" t="str">
        <f>VLOOKUP(B109,S!$A:$G,2,FALSE)</f>
        <v>SINAPI</v>
      </c>
      <c r="D109" s="22" t="str">
        <f>VLOOKUP(B109,S!$A:$G,3,FALSE)</f>
        <v>CURSO DE CAPACITAÇÃO PARA OPERADOR DE MÁQUINAS E EQUIPAMENTOS (ENCARGOS COMPLEMENTARES) - HORISTA</v>
      </c>
      <c r="E109" s="15" t="str">
        <f>VLOOKUP(B109,S!$A:$G,4,FALSE)</f>
        <v>H</v>
      </c>
      <c r="F109" s="15"/>
      <c r="G109" s="78">
        <f>I111</f>
        <v>0.24</v>
      </c>
      <c r="H109" s="79"/>
      <c r="I109" s="78"/>
      <c r="J109" s="79"/>
      <c r="K109" s="16">
        <f>VLOOKUP(B109,S!A:G,5,FALSE)</f>
        <v>0.24</v>
      </c>
      <c r="L109" s="15" t="str">
        <f>IF(K109=G109,"OK, CONFORME TABELA",IF(G109&gt;K109,"ACIMA DA TABELA: ","ABAIXO DA TABELA: ")&amp;TRUNC((G109*100)/K109,2)&amp;" %")</f>
        <v>OK, CONFORME TABELA</v>
      </c>
    </row>
    <row r="110" spans="1:18" ht="30" customHeight="1" x14ac:dyDescent="0.3">
      <c r="A110" s="23" t="s">
        <v>1005</v>
      </c>
      <c r="B110" s="23">
        <v>4230</v>
      </c>
      <c r="C110" s="23" t="str">
        <f>VLOOKUP(B110,IF(A110="COMPOSICAO",S!$A:$E,I!$A:$E),2,FALSE)</f>
        <v>SINAPI</v>
      </c>
      <c r="D110" s="24" t="str">
        <f>VLOOKUP(B110,IF(A110="COMPOSICAO",S!$A:$E,I!$A:$E),3,FALSE)</f>
        <v>OPERADOR DE MAQUINAS E TRATORES DIVERSOS - TERRAPLANAGEM (HORISTA)</v>
      </c>
      <c r="E110" s="23" t="str">
        <f>VLOOKUP(B110,IF(A110="COMPOSICAO",S!$A:$E,I!$A:$E),4,FALSE)</f>
        <v>H</v>
      </c>
      <c r="F110" s="23">
        <v>1.154E-2</v>
      </c>
      <c r="G110" s="76">
        <f>IF(A110="COMPOSICAO",VLOOKUP("TOTAL SEM BDI - "&amp;B110,CPUAUX3!$A:$J,9,FALSE),VLOOKUP(B110,I!$A:$E,5,FALSE))</f>
        <v>21.48</v>
      </c>
      <c r="H110" s="77"/>
      <c r="I110" s="76">
        <f>TRUNC(F110*G110,2)</f>
        <v>0.24</v>
      </c>
      <c r="J110" s="77"/>
      <c r="M110" s="23">
        <f>B110</f>
        <v>4230</v>
      </c>
      <c r="N110" s="23">
        <f>SUMIF(CPUAUX1!M:M,B109,CPUAUX1!O:O)</f>
        <v>217.3938</v>
      </c>
      <c r="O110" s="23">
        <f>F110*N110</f>
        <v>2.508724452</v>
      </c>
      <c r="Q110" s="23">
        <f ca="1">SUMIF(CPUAUX1!M:M,B109,CPUAUX1!R:R)</f>
        <v>72.464600000000004</v>
      </c>
      <c r="R110" s="23">
        <f ca="1">F110*Q110</f>
        <v>0.83624148400000009</v>
      </c>
    </row>
    <row r="111" spans="1:18" x14ac:dyDescent="0.3">
      <c r="A111" s="73" t="str">
        <f>"TOTAL SEM BDI - "&amp;B109</f>
        <v>TOTAL SEM BDI - 95360</v>
      </c>
      <c r="B111" s="74"/>
      <c r="C111" s="74"/>
      <c r="D111" s="74"/>
      <c r="E111" s="74"/>
      <c r="F111" s="74"/>
      <c r="G111" s="74"/>
      <c r="H111" s="75"/>
      <c r="I111" s="76">
        <f>SUM(I109:I110)</f>
        <v>0.24</v>
      </c>
      <c r="J111" s="77"/>
    </row>
    <row r="113" spans="1:18" x14ac:dyDescent="0.3">
      <c r="A113" s="4" t="s">
        <v>1000</v>
      </c>
      <c r="B113" s="4" t="s">
        <v>170</v>
      </c>
      <c r="C113" s="4" t="s">
        <v>171</v>
      </c>
      <c r="D113" s="4" t="s">
        <v>18</v>
      </c>
      <c r="E113" s="4" t="s">
        <v>172</v>
      </c>
      <c r="F113" s="4" t="s">
        <v>507</v>
      </c>
      <c r="G113" s="45" t="s">
        <v>1001</v>
      </c>
      <c r="H113" s="46"/>
      <c r="I113" s="45" t="s">
        <v>12</v>
      </c>
      <c r="J113" s="46"/>
    </row>
    <row r="114" spans="1:18" ht="30" customHeight="1" x14ac:dyDescent="0.3">
      <c r="A114" s="15" t="s">
        <v>1071</v>
      </c>
      <c r="B114" s="15">
        <v>95319</v>
      </c>
      <c r="C114" s="15" t="str">
        <f>VLOOKUP(B114,S!$A:$G,2,FALSE)</f>
        <v>SINAPI</v>
      </c>
      <c r="D114" s="22" t="str">
        <f>VLOOKUP(B114,S!$A:$G,3,FALSE)</f>
        <v>CURSO DE CAPACITAÇÃO PARA AUXILIAR DE MECÂNICO (ENCARGOS COMPLEMENTARES) - HORISTA</v>
      </c>
      <c r="E114" s="15" t="str">
        <f>VLOOKUP(B114,S!$A:$G,4,FALSE)</f>
        <v>H</v>
      </c>
      <c r="F114" s="15"/>
      <c r="G114" s="78">
        <f>I116</f>
        <v>0.17</v>
      </c>
      <c r="H114" s="79"/>
      <c r="I114" s="78"/>
      <c r="J114" s="79"/>
      <c r="K114" s="16">
        <f>VLOOKUP(B114,S!A:G,5,FALSE)</f>
        <v>0.17</v>
      </c>
      <c r="L114" s="15" t="str">
        <f>IF(K114=G114,"OK, CONFORME TABELA",IF(G114&gt;K114,"ACIMA DA TABELA: ","ABAIXO DA TABELA: ")&amp;TRUNC((G114*100)/K114,2)&amp;" %")</f>
        <v>OK, CONFORME TABELA</v>
      </c>
    </row>
    <row r="115" spans="1:18" x14ac:dyDescent="0.3">
      <c r="A115" s="23" t="s">
        <v>1005</v>
      </c>
      <c r="B115" s="23">
        <v>251</v>
      </c>
      <c r="C115" s="23" t="str">
        <f>VLOOKUP(B115,IF(A115="COMPOSICAO",S!$A:$E,I!$A:$E),2,FALSE)</f>
        <v>SINAPI</v>
      </c>
      <c r="D115" s="24" t="str">
        <f>VLOOKUP(B115,IF(A115="COMPOSICAO",S!$A:$E,I!$A:$E),3,FALSE)</f>
        <v>AUXILIAR DE MECANICO (HORISTA)</v>
      </c>
      <c r="E115" s="23" t="str">
        <f>VLOOKUP(B115,IF(A115="COMPOSICAO",S!$A:$E,I!$A:$E),4,FALSE)</f>
        <v>H</v>
      </c>
      <c r="F115" s="23">
        <v>1.154E-2</v>
      </c>
      <c r="G115" s="76">
        <f>IF(A115="COMPOSICAO",VLOOKUP("TOTAL SEM BDI - "&amp;B115,CPUAUX3!$A:$J,9,FALSE),VLOOKUP(B115,I!$A:$E,5,FALSE))</f>
        <v>15.57</v>
      </c>
      <c r="H115" s="77"/>
      <c r="I115" s="76">
        <f>TRUNC(F115*G115,2)</f>
        <v>0.17</v>
      </c>
      <c r="J115" s="77"/>
      <c r="M115" s="23">
        <f>B115</f>
        <v>251</v>
      </c>
      <c r="N115" s="23">
        <f>SUMIF(CPUAUX1!M:M,B114,CPUAUX1!O:O)</f>
        <v>384</v>
      </c>
      <c r="O115" s="23">
        <f>F115*N115</f>
        <v>4.4313599999999997</v>
      </c>
      <c r="Q115" s="23">
        <f ca="1">SUMIF(CPUAUX1!M:M,B114,CPUAUX1!R:R)</f>
        <v>128</v>
      </c>
      <c r="R115" s="23">
        <f ca="1">F115*Q115</f>
        <v>1.47712</v>
      </c>
    </row>
    <row r="116" spans="1:18" x14ac:dyDescent="0.3">
      <c r="A116" s="73" t="str">
        <f>"TOTAL SEM BDI - "&amp;B114</f>
        <v>TOTAL SEM BDI - 95319</v>
      </c>
      <c r="B116" s="74"/>
      <c r="C116" s="74"/>
      <c r="D116" s="74"/>
      <c r="E116" s="74"/>
      <c r="F116" s="74"/>
      <c r="G116" s="74"/>
      <c r="H116" s="75"/>
      <c r="I116" s="76">
        <f>SUM(I114:I115)</f>
        <v>0.17</v>
      </c>
      <c r="J116" s="77"/>
    </row>
    <row r="118" spans="1:18" x14ac:dyDescent="0.3">
      <c r="A118" s="4" t="s">
        <v>1000</v>
      </c>
      <c r="B118" s="4" t="s">
        <v>170</v>
      </c>
      <c r="C118" s="4" t="s">
        <v>171</v>
      </c>
      <c r="D118" s="4" t="s">
        <v>18</v>
      </c>
      <c r="E118" s="4" t="s">
        <v>172</v>
      </c>
      <c r="F118" s="4" t="s">
        <v>507</v>
      </c>
      <c r="G118" s="45" t="s">
        <v>1001</v>
      </c>
      <c r="H118" s="46"/>
      <c r="I118" s="45" t="s">
        <v>12</v>
      </c>
      <c r="J118" s="46"/>
    </row>
    <row r="119" spans="1:18" ht="45" customHeight="1" x14ac:dyDescent="0.3">
      <c r="A119" s="15" t="s">
        <v>1071</v>
      </c>
      <c r="B119" s="15">
        <v>95335</v>
      </c>
      <c r="C119" s="15" t="str">
        <f>VLOOKUP(B119,S!$A:$G,2,FALSE)</f>
        <v>SINAPI</v>
      </c>
      <c r="D119" s="22" t="str">
        <f>VLOOKUP(B119,S!$A:$G,3,FALSE)</f>
        <v>CURSO DE CAPACITAÇÃO PARA ENCANADOR OU BOMBEIRO HIDRÁULICO (ENCARGOS COMPLEMENTARES) - HORISTA</v>
      </c>
      <c r="E119" s="15" t="str">
        <f>VLOOKUP(B119,S!$A:$G,4,FALSE)</f>
        <v>H</v>
      </c>
      <c r="F119" s="15"/>
      <c r="G119" s="78">
        <f>I121</f>
        <v>0.36</v>
      </c>
      <c r="H119" s="79"/>
      <c r="I119" s="78"/>
      <c r="J119" s="79"/>
      <c r="K119" s="16">
        <f>VLOOKUP(B119,S!A:G,5,FALSE)</f>
        <v>0.36</v>
      </c>
      <c r="L119" s="15" t="str">
        <f>IF(K119=G119,"OK, CONFORME TABELA",IF(G119&gt;K119,"ACIMA DA TABELA: ","ABAIXO DA TABELA: ")&amp;TRUNC((G119*100)/K119,2)&amp;" %")</f>
        <v>OK, CONFORME TABELA</v>
      </c>
    </row>
    <row r="120" spans="1:18" x14ac:dyDescent="0.3">
      <c r="A120" s="23" t="s">
        <v>1005</v>
      </c>
      <c r="B120" s="23">
        <v>2696</v>
      </c>
      <c r="C120" s="23" t="str">
        <f>VLOOKUP(B120,IF(A120="COMPOSICAO",S!$A:$E,I!$A:$E),2,FALSE)</f>
        <v>SINAPI</v>
      </c>
      <c r="D120" s="24" t="str">
        <f>VLOOKUP(B120,IF(A120="COMPOSICAO",S!$A:$E,I!$A:$E),3,FALSE)</f>
        <v>ENCANADOR OU BOMBEIRO HIDRAULICO (HORISTA)</v>
      </c>
      <c r="E120" s="23" t="str">
        <f>VLOOKUP(B120,IF(A120="COMPOSICAO",S!$A:$E,I!$A:$E),4,FALSE)</f>
        <v>H</v>
      </c>
      <c r="F120" s="23">
        <v>1.7979999999999999E-2</v>
      </c>
      <c r="G120" s="76">
        <f>IF(A120="COMPOSICAO",VLOOKUP("TOTAL SEM BDI - "&amp;B120,CPUAUX3!$A:$J,9,FALSE),VLOOKUP(B120,I!$A:$E,5,FALSE))</f>
        <v>20.329999999999998</v>
      </c>
      <c r="H120" s="77"/>
      <c r="I120" s="76">
        <f>TRUNC(F120*G120,2)</f>
        <v>0.36</v>
      </c>
      <c r="J120" s="77"/>
      <c r="M120" s="23">
        <f>B120</f>
        <v>2696</v>
      </c>
      <c r="N120" s="23">
        <f>SUMIF(CPUAUX1!M:M,B119,CPUAUX1!O:O)</f>
        <v>658.67619999999999</v>
      </c>
      <c r="O120" s="23">
        <f>F120*N120</f>
        <v>11.842998075999999</v>
      </c>
      <c r="Q120" s="23">
        <f ca="1">SUMIF(CPUAUX1!M:M,B119,CPUAUX1!R:R)</f>
        <v>114.15859999999999</v>
      </c>
      <c r="R120" s="23">
        <f ca="1">F120*Q120</f>
        <v>2.0525716279999999</v>
      </c>
    </row>
    <row r="121" spans="1:18" x14ac:dyDescent="0.3">
      <c r="A121" s="73" t="str">
        <f>"TOTAL SEM BDI - "&amp;B119</f>
        <v>TOTAL SEM BDI - 95335</v>
      </c>
      <c r="B121" s="74"/>
      <c r="C121" s="74"/>
      <c r="D121" s="74"/>
      <c r="E121" s="74"/>
      <c r="F121" s="74"/>
      <c r="G121" s="74"/>
      <c r="H121" s="75"/>
      <c r="I121" s="76">
        <f>SUM(I119:I120)</f>
        <v>0.36</v>
      </c>
      <c r="J121" s="77"/>
    </row>
    <row r="123" spans="1:18" x14ac:dyDescent="0.3">
      <c r="A123" s="4" t="s">
        <v>1000</v>
      </c>
      <c r="B123" s="4" t="s">
        <v>170</v>
      </c>
      <c r="C123" s="4" t="s">
        <v>171</v>
      </c>
      <c r="D123" s="4" t="s">
        <v>18</v>
      </c>
      <c r="E123" s="4" t="s">
        <v>172</v>
      </c>
      <c r="F123" s="4" t="s">
        <v>507</v>
      </c>
      <c r="G123" s="45" t="s">
        <v>1001</v>
      </c>
      <c r="H123" s="46"/>
      <c r="I123" s="45" t="s">
        <v>12</v>
      </c>
      <c r="J123" s="46"/>
    </row>
    <row r="124" spans="1:18" ht="45" customHeight="1" x14ac:dyDescent="0.3">
      <c r="A124" s="15" t="s">
        <v>1071</v>
      </c>
      <c r="B124" s="15">
        <v>95317</v>
      </c>
      <c r="C124" s="15" t="str">
        <f>VLOOKUP(B124,S!$A:$G,2,FALSE)</f>
        <v>SINAPI</v>
      </c>
      <c r="D124" s="22" t="str">
        <f>VLOOKUP(B124,S!$A:$G,3,FALSE)</f>
        <v>CURSO DE CAPACITAÇÃO PARA AUXILIAR DE ENCANADOR OU BOMBEIRO HIDRÁULICO (ENCARGOS COMPLEMENTARES) - HORISTA</v>
      </c>
      <c r="E124" s="15" t="str">
        <f>VLOOKUP(B124,S!$A:$G,4,FALSE)</f>
        <v>H</v>
      </c>
      <c r="F124" s="15"/>
      <c r="G124" s="78">
        <f>I126</f>
        <v>0.27</v>
      </c>
      <c r="H124" s="79"/>
      <c r="I124" s="78"/>
      <c r="J124" s="79"/>
      <c r="K124" s="16">
        <f>VLOOKUP(B124,S!A:G,5,FALSE)</f>
        <v>0.27</v>
      </c>
      <c r="L124" s="15" t="str">
        <f>IF(K124=G124,"OK, CONFORME TABELA",IF(G124&gt;K124,"ACIMA DA TABELA: ","ABAIXO DA TABELA: ")&amp;TRUNC((G124*100)/K124,2)&amp;" %")</f>
        <v>OK, CONFORME TABELA</v>
      </c>
    </row>
    <row r="125" spans="1:18" ht="30" customHeight="1" x14ac:dyDescent="0.3">
      <c r="A125" s="23" t="s">
        <v>1005</v>
      </c>
      <c r="B125" s="23">
        <v>246</v>
      </c>
      <c r="C125" s="23" t="str">
        <f>VLOOKUP(B125,IF(A125="COMPOSICAO",S!$A:$E,I!$A:$E),2,FALSE)</f>
        <v>SINAPI</v>
      </c>
      <c r="D125" s="24" t="str">
        <f>VLOOKUP(B125,IF(A125="COMPOSICAO",S!$A:$E,I!$A:$E),3,FALSE)</f>
        <v>AUXILIAR DE ENCANADOR OU BOMBEIRO HIDRAULICO (HORISTA)</v>
      </c>
      <c r="E125" s="23" t="str">
        <f>VLOOKUP(B125,IF(A125="COMPOSICAO",S!$A:$E,I!$A:$E),4,FALSE)</f>
        <v>H</v>
      </c>
      <c r="F125" s="23">
        <v>1.7979999999999999E-2</v>
      </c>
      <c r="G125" s="76">
        <f>IF(A125="COMPOSICAO",VLOOKUP("TOTAL SEM BDI - "&amp;B125,CPUAUX3!$A:$J,9,FALSE),VLOOKUP(B125,I!$A:$E,5,FALSE))</f>
        <v>15.57</v>
      </c>
      <c r="H125" s="77"/>
      <c r="I125" s="76">
        <f>TRUNC(F125*G125,2)</f>
        <v>0.27</v>
      </c>
      <c r="J125" s="77"/>
      <c r="M125" s="23">
        <f>B125</f>
        <v>246</v>
      </c>
      <c r="N125" s="23">
        <f>SUMIF(CPUAUX1!M:M,B124,CPUAUX1!O:O)</f>
        <v>206.77619999999999</v>
      </c>
      <c r="O125" s="23">
        <f>F125*N125</f>
        <v>3.7178360759999998</v>
      </c>
      <c r="Q125" s="23">
        <f ca="1">SUMIF(CPUAUX1!M:M,B124,CPUAUX1!R:R)</f>
        <v>77.258600000000001</v>
      </c>
      <c r="R125" s="23">
        <f ca="1">F125*Q125</f>
        <v>1.3891096279999999</v>
      </c>
    </row>
    <row r="126" spans="1:18" x14ac:dyDescent="0.3">
      <c r="A126" s="73" t="str">
        <f>"TOTAL SEM BDI - "&amp;B124</f>
        <v>TOTAL SEM BDI - 95317</v>
      </c>
      <c r="B126" s="74"/>
      <c r="C126" s="74"/>
      <c r="D126" s="74"/>
      <c r="E126" s="74"/>
      <c r="F126" s="74"/>
      <c r="G126" s="74"/>
      <c r="H126" s="75"/>
      <c r="I126" s="76">
        <f>SUM(I124:I125)</f>
        <v>0.27</v>
      </c>
      <c r="J126" s="77"/>
    </row>
    <row r="128" spans="1:18" x14ac:dyDescent="0.3">
      <c r="A128" s="4" t="s">
        <v>1000</v>
      </c>
      <c r="B128" s="4" t="s">
        <v>170</v>
      </c>
      <c r="C128" s="4" t="s">
        <v>171</v>
      </c>
      <c r="D128" s="4" t="s">
        <v>18</v>
      </c>
      <c r="E128" s="4" t="s">
        <v>172</v>
      </c>
      <c r="F128" s="4" t="s">
        <v>507</v>
      </c>
      <c r="G128" s="45" t="s">
        <v>1001</v>
      </c>
      <c r="H128" s="46"/>
      <c r="I128" s="45" t="s">
        <v>12</v>
      </c>
      <c r="J128" s="46"/>
    </row>
    <row r="129" spans="1:18" ht="30" customHeight="1" x14ac:dyDescent="0.3">
      <c r="A129" s="15" t="s">
        <v>1071</v>
      </c>
      <c r="B129" s="15">
        <v>95332</v>
      </c>
      <c r="C129" s="15" t="str">
        <f>VLOOKUP(B129,S!$A:$G,2,FALSE)</f>
        <v>SINAPI</v>
      </c>
      <c r="D129" s="22" t="str">
        <f>VLOOKUP(B129,S!$A:$G,3,FALSE)</f>
        <v>CURSO DE CAPACITAÇÃO PARA ELETRICISTA (ENCARGOS COMPLEMENTARES) - HORISTA</v>
      </c>
      <c r="E129" s="15" t="str">
        <f>VLOOKUP(B129,S!$A:$G,4,FALSE)</f>
        <v>H</v>
      </c>
      <c r="F129" s="15"/>
      <c r="G129" s="78">
        <f>I131</f>
        <v>0.75</v>
      </c>
      <c r="H129" s="79"/>
      <c r="I129" s="78"/>
      <c r="J129" s="79"/>
      <c r="K129" s="16">
        <f>VLOOKUP(B129,S!A:G,5,FALSE)</f>
        <v>0.75</v>
      </c>
      <c r="L129" s="15" t="str">
        <f>IF(K129=G129,"OK, CONFORME TABELA",IF(G129&gt;K129,"ACIMA DA TABELA: ","ABAIXO DA TABELA: ")&amp;TRUNC((G129*100)/K129,2)&amp;" %")</f>
        <v>OK, CONFORME TABELA</v>
      </c>
    </row>
    <row r="130" spans="1:18" x14ac:dyDescent="0.3">
      <c r="A130" s="23" t="s">
        <v>1005</v>
      </c>
      <c r="B130" s="23">
        <v>2436</v>
      </c>
      <c r="C130" s="23" t="str">
        <f>VLOOKUP(B130,IF(A130="COMPOSICAO",S!$A:$E,I!$A:$E),2,FALSE)</f>
        <v>SINAPI</v>
      </c>
      <c r="D130" s="24" t="str">
        <f>VLOOKUP(B130,IF(A130="COMPOSICAO",S!$A:$E,I!$A:$E),3,FALSE)</f>
        <v>ELETRICISTA (HORISTA)</v>
      </c>
      <c r="E130" s="23" t="str">
        <f>VLOOKUP(B130,IF(A130="COMPOSICAO",S!$A:$E,I!$A:$E),4,FALSE)</f>
        <v>H</v>
      </c>
      <c r="F130" s="23">
        <v>3.7319999999999999E-2</v>
      </c>
      <c r="G130" s="76">
        <f>IF(A130="COMPOSICAO",VLOOKUP("TOTAL SEM BDI - "&amp;B130,CPUAUX3!$A:$J,9,FALSE),VLOOKUP(B130,I!$A:$E,5,FALSE))</f>
        <v>20.329999999999998</v>
      </c>
      <c r="H130" s="77"/>
      <c r="I130" s="76">
        <f>TRUNC(F130*G130,2)</f>
        <v>0.75</v>
      </c>
      <c r="J130" s="77"/>
      <c r="M130" s="23">
        <f>B130</f>
        <v>2436</v>
      </c>
      <c r="N130" s="23">
        <f>SUMIF(CPUAUX1!M:M,B129,CPUAUX1!O:O)</f>
        <v>158.88</v>
      </c>
      <c r="O130" s="23">
        <f>F130*N130</f>
        <v>5.9294015999999994</v>
      </c>
      <c r="Q130" s="23">
        <f ca="1">SUMIF(CPUAUX1!M:M,B129,CPUAUX1!R:R)</f>
        <v>54.319999999999993</v>
      </c>
      <c r="R130" s="23">
        <f ca="1">F130*Q130</f>
        <v>2.0272223999999999</v>
      </c>
    </row>
    <row r="131" spans="1:18" x14ac:dyDescent="0.3">
      <c r="A131" s="73" t="str">
        <f>"TOTAL SEM BDI - "&amp;B129</f>
        <v>TOTAL SEM BDI - 95332</v>
      </c>
      <c r="B131" s="74"/>
      <c r="C131" s="74"/>
      <c r="D131" s="74"/>
      <c r="E131" s="74"/>
      <c r="F131" s="74"/>
      <c r="G131" s="74"/>
      <c r="H131" s="75"/>
      <c r="I131" s="76">
        <f>SUM(I129:I130)</f>
        <v>0.75</v>
      </c>
      <c r="J131" s="77"/>
    </row>
    <row r="133" spans="1:18" x14ac:dyDescent="0.3">
      <c r="A133" s="4" t="s">
        <v>1000</v>
      </c>
      <c r="B133" s="4" t="s">
        <v>170</v>
      </c>
      <c r="C133" s="4" t="s">
        <v>171</v>
      </c>
      <c r="D133" s="4" t="s">
        <v>18</v>
      </c>
      <c r="E133" s="4" t="s">
        <v>172</v>
      </c>
      <c r="F133" s="4" t="s">
        <v>507</v>
      </c>
      <c r="G133" s="45" t="s">
        <v>1001</v>
      </c>
      <c r="H133" s="46"/>
      <c r="I133" s="45" t="s">
        <v>12</v>
      </c>
      <c r="J133" s="46"/>
    </row>
    <row r="134" spans="1:18" ht="30" customHeight="1" x14ac:dyDescent="0.3">
      <c r="A134" s="15" t="s">
        <v>1071</v>
      </c>
      <c r="B134" s="15">
        <v>95316</v>
      </c>
      <c r="C134" s="15" t="str">
        <f>VLOOKUP(B134,S!$A:$G,2,FALSE)</f>
        <v>SINAPI</v>
      </c>
      <c r="D134" s="22" t="str">
        <f>VLOOKUP(B134,S!$A:$G,3,FALSE)</f>
        <v>CURSO DE CAPACITAÇÃO PARA AUXILIAR DE ELETRICISTA (ENCARGOS COMPLEMENTARES) - HORISTA</v>
      </c>
      <c r="E134" s="15" t="str">
        <f>VLOOKUP(B134,S!$A:$G,4,FALSE)</f>
        <v>H</v>
      </c>
      <c r="F134" s="15"/>
      <c r="G134" s="78">
        <f>I136</f>
        <v>0.57999999999999996</v>
      </c>
      <c r="H134" s="79"/>
      <c r="I134" s="78"/>
      <c r="J134" s="79"/>
      <c r="K134" s="16">
        <f>VLOOKUP(B134,S!A:G,5,FALSE)</f>
        <v>0.57999999999999996</v>
      </c>
      <c r="L134" s="15" t="str">
        <f>IF(K134=G134,"OK, CONFORME TABELA",IF(G134&gt;K134,"ACIMA DA TABELA: ","ABAIXO DA TABELA: ")&amp;TRUNC((G134*100)/K134,2)&amp;" %")</f>
        <v>OK, CONFORME TABELA</v>
      </c>
    </row>
    <row r="135" spans="1:18" x14ac:dyDescent="0.3">
      <c r="A135" s="23" t="s">
        <v>1005</v>
      </c>
      <c r="B135" s="23">
        <v>247</v>
      </c>
      <c r="C135" s="23" t="str">
        <f>VLOOKUP(B135,IF(A135="COMPOSICAO",S!$A:$E,I!$A:$E),2,FALSE)</f>
        <v>SINAPI</v>
      </c>
      <c r="D135" s="24" t="str">
        <f>VLOOKUP(B135,IF(A135="COMPOSICAO",S!$A:$E,I!$A:$E),3,FALSE)</f>
        <v>AJUDANTE DE ELETRICISTA (HORISTA)</v>
      </c>
      <c r="E135" s="23" t="str">
        <f>VLOOKUP(B135,IF(A135="COMPOSICAO",S!$A:$E,I!$A:$E),4,FALSE)</f>
        <v>H</v>
      </c>
      <c r="F135" s="23">
        <v>3.7319999999999999E-2</v>
      </c>
      <c r="G135" s="76">
        <f>IF(A135="COMPOSICAO",VLOOKUP("TOTAL SEM BDI - "&amp;B135,CPUAUX3!$A:$J,9,FALSE),VLOOKUP(B135,I!$A:$E,5,FALSE))</f>
        <v>15.57</v>
      </c>
      <c r="H135" s="77"/>
      <c r="I135" s="76">
        <f>TRUNC(F135*G135,2)</f>
        <v>0.57999999999999996</v>
      </c>
      <c r="J135" s="77"/>
      <c r="M135" s="23">
        <f>B135</f>
        <v>247</v>
      </c>
      <c r="N135" s="23">
        <f>SUMIF(CPUAUX1!M:M,B134,CPUAUX1!O:O)</f>
        <v>158.88</v>
      </c>
      <c r="O135" s="23">
        <f>F135*N135</f>
        <v>5.9294015999999994</v>
      </c>
      <c r="Q135" s="23">
        <f ca="1">SUMIF(CPUAUX1!M:M,B134,CPUAUX1!R:R)</f>
        <v>54.319999999999993</v>
      </c>
      <c r="R135" s="23">
        <f ca="1">F135*Q135</f>
        <v>2.0272223999999999</v>
      </c>
    </row>
    <row r="136" spans="1:18" x14ac:dyDescent="0.3">
      <c r="A136" s="73" t="str">
        <f>"TOTAL SEM BDI - "&amp;B134</f>
        <v>TOTAL SEM BDI - 95316</v>
      </c>
      <c r="B136" s="74"/>
      <c r="C136" s="74"/>
      <c r="D136" s="74"/>
      <c r="E136" s="74"/>
      <c r="F136" s="74"/>
      <c r="G136" s="74"/>
      <c r="H136" s="75"/>
      <c r="I136" s="76">
        <f>SUM(I134:I135)</f>
        <v>0.57999999999999996</v>
      </c>
      <c r="J136" s="77"/>
    </row>
    <row r="138" spans="1:18" x14ac:dyDescent="0.3">
      <c r="A138" s="4" t="s">
        <v>1000</v>
      </c>
      <c r="B138" s="4" t="s">
        <v>170</v>
      </c>
      <c r="C138" s="4" t="s">
        <v>171</v>
      </c>
      <c r="D138" s="4" t="s">
        <v>18</v>
      </c>
      <c r="E138" s="4" t="s">
        <v>172</v>
      </c>
      <c r="F138" s="4" t="s">
        <v>507</v>
      </c>
      <c r="G138" s="45" t="s">
        <v>1001</v>
      </c>
      <c r="H138" s="46"/>
      <c r="I138" s="45" t="s">
        <v>12</v>
      </c>
      <c r="J138" s="46"/>
    </row>
    <row r="139" spans="1:18" ht="45" customHeight="1" x14ac:dyDescent="0.3">
      <c r="A139" s="15" t="s">
        <v>1096</v>
      </c>
      <c r="B139" s="15">
        <v>91689</v>
      </c>
      <c r="C139" s="15" t="str">
        <f>VLOOKUP(B139,S!$A:$G,2,FALSE)</f>
        <v>SINAPI</v>
      </c>
      <c r="D139" s="22" t="str">
        <f>VLOOKUP(B139,S!$A:$G,3,FALSE)</f>
        <v>SERRA CIRCULAR DE BANCADA COM MOTOR ELÉTRICO POTÊNCIA DE 5HP, COM COIFA PARA DISCO 10" - JUROS. AF_08/2015</v>
      </c>
      <c r="E139" s="15" t="str">
        <f>VLOOKUP(B139,S!$A:$G,4,FALSE)</f>
        <v>H</v>
      </c>
      <c r="F139" s="15"/>
      <c r="G139" s="78">
        <f>I141</f>
        <v>0.02</v>
      </c>
      <c r="H139" s="79"/>
      <c r="I139" s="78"/>
      <c r="J139" s="79"/>
      <c r="K139" s="16">
        <f>VLOOKUP(B139,S!A:G,5,FALSE)</f>
        <v>0.02</v>
      </c>
      <c r="L139" s="15" t="str">
        <f>IF(K139=G139,"OK, CONFORME TABELA",IF(G139&gt;K139,"ACIMA DA TABELA: ","ABAIXO DA TABELA: ")&amp;TRUNC((G139*100)/K139,2)&amp;" %")</f>
        <v>OK, CONFORME TABELA</v>
      </c>
    </row>
    <row r="140" spans="1:18" ht="45" customHeight="1" x14ac:dyDescent="0.3">
      <c r="A140" s="23" t="s">
        <v>1005</v>
      </c>
      <c r="B140" s="23">
        <v>14618</v>
      </c>
      <c r="C140" s="23" t="str">
        <f>VLOOKUP(B140,IF(A140="COMPOSICAO",S!$A:$E,I!$A:$E),2,FALSE)</f>
        <v>SINAPI</v>
      </c>
      <c r="D140" s="24" t="str">
        <f>VLOOKUP(B140,IF(A140="COMPOSICAO",S!$A:$E,I!$A:$E),3,FALSE)</f>
        <v>SERRA CIRCULAR DE BANCADA COM MOTOR ELETRICO, POTENCIA DE *1600* W, PARA DISCO DE DIAMETRO DE 10" (250 MM)</v>
      </c>
      <c r="E140" s="23" t="str">
        <f>VLOOKUP(B140,IF(A140="COMPOSICAO",S!$A:$E,I!$A:$E),4,FALSE)</f>
        <v>UN</v>
      </c>
      <c r="F140" s="23">
        <v>1.4800000000000001E-5</v>
      </c>
      <c r="G140" s="76">
        <f>IF(A140="COMPOSICAO",VLOOKUP("TOTAL SEM BDI - "&amp;B140,CPUAUX3!$A:$J,9,FALSE),VLOOKUP(B140,I!$A:$E,5,FALSE))</f>
        <v>1759.02</v>
      </c>
      <c r="H140" s="77"/>
      <c r="I140" s="76">
        <f>TRUNC(F140*G140,2)</f>
        <v>0.02</v>
      </c>
      <c r="J140" s="77"/>
      <c r="M140" s="23">
        <f>B140</f>
        <v>14618</v>
      </c>
      <c r="N140" s="23">
        <f>SUMIF(CPUAUX1!M:M,B139,CPUAUX1!O:O)</f>
        <v>2.1419999999999999</v>
      </c>
      <c r="O140" s="23">
        <f>F140*N140</f>
        <v>3.1701600000000002E-5</v>
      </c>
      <c r="Q140" s="23">
        <f ca="1">SUMIF(CPUAUX1!M:M,B139,CPUAUX1!R:R)</f>
        <v>0.71399999999999997</v>
      </c>
      <c r="R140" s="23">
        <f ca="1">F140*Q140</f>
        <v>1.0567199999999999E-5</v>
      </c>
    </row>
    <row r="141" spans="1:18" x14ac:dyDescent="0.3">
      <c r="A141" s="73" t="str">
        <f>"TOTAL SEM BDI - "&amp;B139</f>
        <v>TOTAL SEM BDI - 91689</v>
      </c>
      <c r="B141" s="74"/>
      <c r="C141" s="74"/>
      <c r="D141" s="74"/>
      <c r="E141" s="74"/>
      <c r="F141" s="74"/>
      <c r="G141" s="74"/>
      <c r="H141" s="75"/>
      <c r="I141" s="76">
        <f>SUM(I139:I140)</f>
        <v>0.02</v>
      </c>
      <c r="J141" s="77"/>
    </row>
    <row r="143" spans="1:18" x14ac:dyDescent="0.3">
      <c r="A143" s="4" t="s">
        <v>1000</v>
      </c>
      <c r="B143" s="4" t="s">
        <v>170</v>
      </c>
      <c r="C143" s="4" t="s">
        <v>171</v>
      </c>
      <c r="D143" s="4" t="s">
        <v>18</v>
      </c>
      <c r="E143" s="4" t="s">
        <v>172</v>
      </c>
      <c r="F143" s="4" t="s">
        <v>507</v>
      </c>
      <c r="G143" s="45" t="s">
        <v>1001</v>
      </c>
      <c r="H143" s="46"/>
      <c r="I143" s="45" t="s">
        <v>12</v>
      </c>
      <c r="J143" s="46"/>
    </row>
    <row r="144" spans="1:18" ht="45" customHeight="1" x14ac:dyDescent="0.3">
      <c r="A144" s="15" t="s">
        <v>1096</v>
      </c>
      <c r="B144" s="15">
        <v>91688</v>
      </c>
      <c r="C144" s="15" t="str">
        <f>VLOOKUP(B144,S!$A:$G,2,FALSE)</f>
        <v>SINAPI</v>
      </c>
      <c r="D144" s="22" t="str">
        <f>VLOOKUP(B144,S!$A:$G,3,FALSE)</f>
        <v>SERRA CIRCULAR DE BANCADA COM MOTOR ELÉTRICO POTÊNCIA DE 5HP, COM COIFA PARA DISCO 10" - DEPRECIAÇÃO. AF_08/2015</v>
      </c>
      <c r="E144" s="15" t="str">
        <f>VLOOKUP(B144,S!$A:$G,4,FALSE)</f>
        <v>H</v>
      </c>
      <c r="F144" s="15"/>
      <c r="G144" s="78">
        <f>I146</f>
        <v>0.12</v>
      </c>
      <c r="H144" s="79"/>
      <c r="I144" s="78"/>
      <c r="J144" s="79"/>
      <c r="K144" s="16">
        <f>VLOOKUP(B144,S!A:G,5,FALSE)</f>
        <v>0.12</v>
      </c>
      <c r="L144" s="15" t="str">
        <f>IF(K144=G144,"OK, CONFORME TABELA",IF(G144&gt;K144,"ACIMA DA TABELA: ","ABAIXO DA TABELA: ")&amp;TRUNC((G144*100)/K144,2)&amp;" %")</f>
        <v>OK, CONFORME TABELA</v>
      </c>
    </row>
    <row r="145" spans="1:18" ht="45" customHeight="1" x14ac:dyDescent="0.3">
      <c r="A145" s="23" t="s">
        <v>1005</v>
      </c>
      <c r="B145" s="23">
        <v>14618</v>
      </c>
      <c r="C145" s="23" t="str">
        <f>VLOOKUP(B145,IF(A145="COMPOSICAO",S!$A:$E,I!$A:$E),2,FALSE)</f>
        <v>SINAPI</v>
      </c>
      <c r="D145" s="24" t="str">
        <f>VLOOKUP(B145,IF(A145="COMPOSICAO",S!$A:$E,I!$A:$E),3,FALSE)</f>
        <v>SERRA CIRCULAR DE BANCADA COM MOTOR ELETRICO, POTENCIA DE *1600* W, PARA DISCO DE DIAMETRO DE 10" (250 MM)</v>
      </c>
      <c r="E145" s="23" t="str">
        <f>VLOOKUP(B145,IF(A145="COMPOSICAO",S!$A:$E,I!$A:$E),4,FALSE)</f>
        <v>UN</v>
      </c>
      <c r="F145" s="23">
        <v>7.2000000000000002E-5</v>
      </c>
      <c r="G145" s="76">
        <f>IF(A145="COMPOSICAO",VLOOKUP("TOTAL SEM BDI - "&amp;B145,CPUAUX3!$A:$J,9,FALSE),VLOOKUP(B145,I!$A:$E,5,FALSE))</f>
        <v>1759.02</v>
      </c>
      <c r="H145" s="77"/>
      <c r="I145" s="76">
        <f>TRUNC(F145*G145,2)</f>
        <v>0.12</v>
      </c>
      <c r="J145" s="77"/>
      <c r="M145" s="23">
        <f>B145</f>
        <v>14618</v>
      </c>
      <c r="N145" s="23">
        <f>SUMIF(CPUAUX1!M:M,B144,CPUAUX1!O:O)</f>
        <v>2.1419999999999999</v>
      </c>
      <c r="O145" s="23">
        <f>F145*N145</f>
        <v>1.5422400000000001E-4</v>
      </c>
      <c r="Q145" s="23">
        <f ca="1">SUMIF(CPUAUX1!M:M,B144,CPUAUX1!R:R)</f>
        <v>0.71399999999999997</v>
      </c>
      <c r="R145" s="23">
        <f ca="1">F145*Q145</f>
        <v>5.1408E-5</v>
      </c>
    </row>
    <row r="146" spans="1:18" x14ac:dyDescent="0.3">
      <c r="A146" s="73" t="str">
        <f>"TOTAL SEM BDI - "&amp;B144</f>
        <v>TOTAL SEM BDI - 91688</v>
      </c>
      <c r="B146" s="74"/>
      <c r="C146" s="74"/>
      <c r="D146" s="74"/>
      <c r="E146" s="74"/>
      <c r="F146" s="74"/>
      <c r="G146" s="74"/>
      <c r="H146" s="75"/>
      <c r="I146" s="76">
        <f>SUM(I144:I145)</f>
        <v>0.12</v>
      </c>
      <c r="J146" s="77"/>
    </row>
    <row r="148" spans="1:18" x14ac:dyDescent="0.3">
      <c r="A148" s="4" t="s">
        <v>1000</v>
      </c>
      <c r="B148" s="4" t="s">
        <v>170</v>
      </c>
      <c r="C148" s="4" t="s">
        <v>171</v>
      </c>
      <c r="D148" s="4" t="s">
        <v>18</v>
      </c>
      <c r="E148" s="4" t="s">
        <v>172</v>
      </c>
      <c r="F148" s="4" t="s">
        <v>507</v>
      </c>
      <c r="G148" s="45" t="s">
        <v>1001</v>
      </c>
      <c r="H148" s="46"/>
      <c r="I148" s="45" t="s">
        <v>12</v>
      </c>
      <c r="J148" s="46"/>
    </row>
    <row r="149" spans="1:18" ht="30" customHeight="1" x14ac:dyDescent="0.3">
      <c r="A149" s="15" t="s">
        <v>1071</v>
      </c>
      <c r="B149" s="15">
        <v>88297</v>
      </c>
      <c r="C149" s="15" t="str">
        <f>VLOOKUP(B149,S!$A:$G,2,FALSE)</f>
        <v>SINAPI</v>
      </c>
      <c r="D149" s="22" t="str">
        <f>VLOOKUP(B149,S!$A:$G,3,FALSE)</f>
        <v>OPERADOR DE MÁQUINAS E EQUIPAMENTOS COM ENCARGOS COMPLEMENTARES</v>
      </c>
      <c r="E149" s="15" t="str">
        <f>VLOOKUP(B149,S!$A:$G,4,FALSE)</f>
        <v>H</v>
      </c>
      <c r="F149" s="15"/>
      <c r="G149" s="78">
        <f>I158</f>
        <v>27.16</v>
      </c>
      <c r="H149" s="79"/>
      <c r="I149" s="78"/>
      <c r="J149" s="79"/>
      <c r="K149" s="16">
        <f>VLOOKUP(B149,S!A:G,5,FALSE)</f>
        <v>27.16</v>
      </c>
      <c r="L149" s="15" t="str">
        <f>IF(K149=G149,"OK, CONFORME TABELA",IF(G149&gt;K149,"ACIMA DA TABELA: ","ABAIXO DA TABELA: ")&amp;TRUNC((G149*100)/K149,2)&amp;" %")</f>
        <v>OK, CONFORME TABELA</v>
      </c>
    </row>
    <row r="150" spans="1:18" ht="45" customHeight="1" x14ac:dyDescent="0.3">
      <c r="A150" s="23" t="s">
        <v>1004</v>
      </c>
      <c r="B150" s="23">
        <v>95360</v>
      </c>
      <c r="C150" s="23" t="str">
        <f>VLOOKUP(B150,IF(A150="COMPOSICAO",S!$A:$E,I!$A:$E),2,FALSE)</f>
        <v>SINAPI</v>
      </c>
      <c r="D150" s="24" t="str">
        <f>VLOOKUP(B150,IF(A150="COMPOSICAO",S!$A:$E,I!$A:$E),3,FALSE)</f>
        <v>CURSO DE CAPACITAÇÃO PARA OPERADOR DE MÁQUINAS E EQUIPAMENTOS (ENCARGOS COMPLEMENTARES) - HORISTA</v>
      </c>
      <c r="E150" s="23" t="str">
        <f>VLOOKUP(B150,IF(A150="COMPOSICAO",S!$A:$E,I!$A:$E),4,FALSE)</f>
        <v>H</v>
      </c>
      <c r="F150" s="23">
        <v>1</v>
      </c>
      <c r="G150" s="76">
        <f>IF(A150="COMPOSICAO",VLOOKUP("TOTAL SEM BDI - "&amp;B150,CPUAUX3!$A:$J,9,FALSE),VLOOKUP(B150,I!$A:$E,5,FALSE))</f>
        <v>0.24</v>
      </c>
      <c r="H150" s="77"/>
      <c r="I150" s="76">
        <f t="shared" ref="I150:I157" si="16">TRUNC(F150*G150,2)</f>
        <v>0.24</v>
      </c>
      <c r="J150" s="77"/>
      <c r="M150" s="23">
        <f t="shared" ref="M150:M157" si="17">B150</f>
        <v>95360</v>
      </c>
      <c r="N150" s="23">
        <f>SUMIF(CPUAUX1!M:M,B149,CPUAUX1!O:O)</f>
        <v>2.1419999999999999</v>
      </c>
      <c r="O150" s="23">
        <f t="shared" ref="O150:O157" si="18">F150*N150</f>
        <v>2.1419999999999999</v>
      </c>
      <c r="Q150" s="23">
        <f ca="1">SUMIF(CPUAUX1!M:M,B149,CPUAUX1!R:R)</f>
        <v>0.71399999999999997</v>
      </c>
      <c r="R150" s="23">
        <f t="shared" ref="R150:R157" ca="1" si="19">F150*Q150</f>
        <v>0.71399999999999997</v>
      </c>
    </row>
    <row r="151" spans="1:18" ht="30" customHeight="1" x14ac:dyDescent="0.3">
      <c r="A151" s="23" t="s">
        <v>1005</v>
      </c>
      <c r="B151" s="23">
        <v>43488</v>
      </c>
      <c r="C151" s="23" t="str">
        <f>VLOOKUP(B151,IF(A151="COMPOSICAO",S!$A:$E,I!$A:$E),2,FALSE)</f>
        <v>SINAPI</v>
      </c>
      <c r="D151" s="24" t="str">
        <f>VLOOKUP(B151,IF(A151="COMPOSICAO",S!$A:$E,I!$A:$E),3,FALSE)</f>
        <v>EPI - FAMILIA OPERADOR ESCAVADEIRA - HORISTA (ENCARGOS COMPLEMENTARES - COLETADO CAIXA)</v>
      </c>
      <c r="E151" s="23" t="str">
        <f>VLOOKUP(B151,IF(A151="COMPOSICAO",S!$A:$E,I!$A:$E),4,FALSE)</f>
        <v>H</v>
      </c>
      <c r="F151" s="23">
        <v>1</v>
      </c>
      <c r="G151" s="76">
        <f>IF(A151="COMPOSICAO",VLOOKUP("TOTAL SEM BDI - "&amp;B151,CPUAUX3!$A:$J,9,FALSE),VLOOKUP(B151,I!$A:$E,5,FALSE))</f>
        <v>0.89</v>
      </c>
      <c r="H151" s="77"/>
      <c r="I151" s="76">
        <f t="shared" si="16"/>
        <v>0.89</v>
      </c>
      <c r="J151" s="77"/>
      <c r="M151" s="23">
        <f t="shared" si="17"/>
        <v>43488</v>
      </c>
      <c r="N151" s="23">
        <f>SUMIF(CPUAUX1!M:M,B149,CPUAUX1!O:O)</f>
        <v>2.1419999999999999</v>
      </c>
      <c r="O151" s="23">
        <f t="shared" si="18"/>
        <v>2.1419999999999999</v>
      </c>
      <c r="Q151" s="23">
        <f ca="1">SUMIF(CPUAUX1!M:M,B149,CPUAUX1!R:R)</f>
        <v>0.71399999999999997</v>
      </c>
      <c r="R151" s="23">
        <f t="shared" ca="1" si="19"/>
        <v>0.71399999999999997</v>
      </c>
    </row>
    <row r="152" spans="1:18" ht="45" customHeight="1" x14ac:dyDescent="0.3">
      <c r="A152" s="23" t="s">
        <v>1005</v>
      </c>
      <c r="B152" s="23">
        <v>43464</v>
      </c>
      <c r="C152" s="23" t="str">
        <f>VLOOKUP(B152,IF(A152="COMPOSICAO",S!$A:$E,I!$A:$E),2,FALSE)</f>
        <v>SINAPI</v>
      </c>
      <c r="D152" s="24" t="str">
        <f>VLOOKUP(B152,IF(A152="COMPOSICAO",S!$A:$E,I!$A:$E),3,FALSE)</f>
        <v>FERRAMENTAS - FAMILIA OPERADOR ESCAVADEIRA - HORISTA (ENCARGOS COMPLEMENTARES - COLETADO CAIXA)</v>
      </c>
      <c r="E152" s="23" t="str">
        <f>VLOOKUP(B152,IF(A152="COMPOSICAO",S!$A:$E,I!$A:$E),4,FALSE)</f>
        <v>H</v>
      </c>
      <c r="F152" s="23">
        <v>1</v>
      </c>
      <c r="G152" s="76">
        <f>IF(A152="COMPOSICAO",VLOOKUP("TOTAL SEM BDI - "&amp;B152,CPUAUX3!$A:$J,9,FALSE),VLOOKUP(B152,I!$A:$E,5,FALSE))</f>
        <v>0.01</v>
      </c>
      <c r="H152" s="77"/>
      <c r="I152" s="76">
        <f t="shared" si="16"/>
        <v>0.01</v>
      </c>
      <c r="J152" s="77"/>
      <c r="M152" s="23">
        <f t="shared" si="17"/>
        <v>43464</v>
      </c>
      <c r="N152" s="23">
        <f>SUMIF(CPUAUX1!M:M,B149,CPUAUX1!O:O)</f>
        <v>2.1419999999999999</v>
      </c>
      <c r="O152" s="23">
        <f t="shared" si="18"/>
        <v>2.1419999999999999</v>
      </c>
      <c r="Q152" s="23">
        <f ca="1">SUMIF(CPUAUX1!M:M,B149,CPUAUX1!R:R)</f>
        <v>0.71399999999999997</v>
      </c>
      <c r="R152" s="23">
        <f t="shared" ca="1" si="19"/>
        <v>0.71399999999999997</v>
      </c>
    </row>
    <row r="153" spans="1:18" ht="30" customHeight="1" x14ac:dyDescent="0.3">
      <c r="A153" s="23" t="s">
        <v>1005</v>
      </c>
      <c r="B153" s="23">
        <v>37373</v>
      </c>
      <c r="C153" s="23" t="str">
        <f>VLOOKUP(B153,IF(A153="COMPOSICAO",S!$A:$E,I!$A:$E),2,FALSE)</f>
        <v>SINAPI</v>
      </c>
      <c r="D153" s="24" t="str">
        <f>VLOOKUP(B153,IF(A153="COMPOSICAO",S!$A:$E,I!$A:$E),3,FALSE)</f>
        <v>SEGURO - HORISTA (COLETADO CAIXA - ENCARGOS COMPLEMENTARES)</v>
      </c>
      <c r="E153" s="23" t="str">
        <f>VLOOKUP(B153,IF(A153="COMPOSICAO",S!$A:$E,I!$A:$E),4,FALSE)</f>
        <v>H</v>
      </c>
      <c r="F153" s="23">
        <v>1</v>
      </c>
      <c r="G153" s="76">
        <f>IF(A153="COMPOSICAO",VLOOKUP("TOTAL SEM BDI - "&amp;B153,CPUAUX3!$A:$J,9,FALSE),VLOOKUP(B153,I!$A:$E,5,FALSE))</f>
        <v>0.08</v>
      </c>
      <c r="H153" s="77"/>
      <c r="I153" s="76">
        <f t="shared" si="16"/>
        <v>0.08</v>
      </c>
      <c r="J153" s="77"/>
      <c r="M153" s="23">
        <f t="shared" si="17"/>
        <v>37373</v>
      </c>
      <c r="N153" s="23">
        <f>SUMIF(CPUAUX1!M:M,B149,CPUAUX1!O:O)</f>
        <v>2.1419999999999999</v>
      </c>
      <c r="O153" s="23">
        <f t="shared" si="18"/>
        <v>2.1419999999999999</v>
      </c>
      <c r="Q153" s="23">
        <f ca="1">SUMIF(CPUAUX1!M:M,B149,CPUAUX1!R:R)</f>
        <v>0.71399999999999997</v>
      </c>
      <c r="R153" s="23">
        <f t="shared" ca="1" si="19"/>
        <v>0.71399999999999997</v>
      </c>
    </row>
    <row r="154" spans="1:18" ht="30" customHeight="1" x14ac:dyDescent="0.3">
      <c r="A154" s="23" t="s">
        <v>1005</v>
      </c>
      <c r="B154" s="23">
        <v>37372</v>
      </c>
      <c r="C154" s="23" t="str">
        <f>VLOOKUP(B154,IF(A154="COMPOSICAO",S!$A:$E,I!$A:$E),2,FALSE)</f>
        <v>SINAPI</v>
      </c>
      <c r="D154" s="24" t="str">
        <f>VLOOKUP(B154,IF(A154="COMPOSICAO",S!$A:$E,I!$A:$E),3,FALSE)</f>
        <v>EXAMES - HORISTA (COLETADO CAIXA - ENCARGOS COMPLEMENTARES)</v>
      </c>
      <c r="E154" s="23" t="str">
        <f>VLOOKUP(B154,IF(A154="COMPOSICAO",S!$A:$E,I!$A:$E),4,FALSE)</f>
        <v>H</v>
      </c>
      <c r="F154" s="23">
        <v>1</v>
      </c>
      <c r="G154" s="76">
        <f>IF(A154="COMPOSICAO",VLOOKUP("TOTAL SEM BDI - "&amp;B154,CPUAUX3!$A:$J,9,FALSE),VLOOKUP(B154,I!$A:$E,5,FALSE))</f>
        <v>1.43</v>
      </c>
      <c r="H154" s="77"/>
      <c r="I154" s="76">
        <f t="shared" si="16"/>
        <v>1.43</v>
      </c>
      <c r="J154" s="77"/>
      <c r="M154" s="23">
        <f t="shared" si="17"/>
        <v>37372</v>
      </c>
      <c r="N154" s="23">
        <f>SUMIF(CPUAUX1!M:M,B149,CPUAUX1!O:O)</f>
        <v>2.1419999999999999</v>
      </c>
      <c r="O154" s="23">
        <f t="shared" si="18"/>
        <v>2.1419999999999999</v>
      </c>
      <c r="Q154" s="23">
        <f ca="1">SUMIF(CPUAUX1!M:M,B149,CPUAUX1!R:R)</f>
        <v>0.71399999999999997</v>
      </c>
      <c r="R154" s="23">
        <f t="shared" ca="1" si="19"/>
        <v>0.71399999999999997</v>
      </c>
    </row>
    <row r="155" spans="1:18" ht="30" customHeight="1" x14ac:dyDescent="0.3">
      <c r="A155" s="23" t="s">
        <v>1005</v>
      </c>
      <c r="B155" s="23">
        <v>37371</v>
      </c>
      <c r="C155" s="23" t="str">
        <f>VLOOKUP(B155,IF(A155="COMPOSICAO",S!$A:$E,I!$A:$E),2,FALSE)</f>
        <v>SINAPI</v>
      </c>
      <c r="D155" s="24" t="str">
        <f>VLOOKUP(B155,IF(A155="COMPOSICAO",S!$A:$E,I!$A:$E),3,FALSE)</f>
        <v>TRANSPORTE - HORISTA (COLETADO CAIXA - ENCARGOS COMPLEMENTARES)</v>
      </c>
      <c r="E155" s="23" t="str">
        <f>VLOOKUP(B155,IF(A155="COMPOSICAO",S!$A:$E,I!$A:$E),4,FALSE)</f>
        <v>H</v>
      </c>
      <c r="F155" s="23">
        <v>1</v>
      </c>
      <c r="G155" s="76">
        <f>IF(A155="COMPOSICAO",VLOOKUP("TOTAL SEM BDI - "&amp;B155,CPUAUX3!$A:$J,9,FALSE),VLOOKUP(B155,I!$A:$E,5,FALSE))</f>
        <v>0.56999999999999995</v>
      </c>
      <c r="H155" s="77"/>
      <c r="I155" s="76">
        <f t="shared" si="16"/>
        <v>0.56999999999999995</v>
      </c>
      <c r="J155" s="77"/>
      <c r="M155" s="23">
        <f t="shared" si="17"/>
        <v>37371</v>
      </c>
      <c r="N155" s="23">
        <f>SUMIF(CPUAUX1!M:M,B149,CPUAUX1!O:O)</f>
        <v>2.1419999999999999</v>
      </c>
      <c r="O155" s="23">
        <f t="shared" si="18"/>
        <v>2.1419999999999999</v>
      </c>
      <c r="Q155" s="23">
        <f ca="1">SUMIF(CPUAUX1!M:M,B149,CPUAUX1!R:R)</f>
        <v>0.71399999999999997</v>
      </c>
      <c r="R155" s="23">
        <f t="shared" ca="1" si="19"/>
        <v>0.71399999999999997</v>
      </c>
    </row>
    <row r="156" spans="1:18" ht="30" customHeight="1" x14ac:dyDescent="0.3">
      <c r="A156" s="23" t="s">
        <v>1005</v>
      </c>
      <c r="B156" s="23">
        <v>37370</v>
      </c>
      <c r="C156" s="23" t="str">
        <f>VLOOKUP(B156,IF(A156="COMPOSICAO",S!$A:$E,I!$A:$E),2,FALSE)</f>
        <v>SINAPI</v>
      </c>
      <c r="D156" s="24" t="str">
        <f>VLOOKUP(B156,IF(A156="COMPOSICAO",S!$A:$E,I!$A:$E),3,FALSE)</f>
        <v>ALIMENTACAO - HORISTA (COLETADO CAIXA - ENCARGOS COMPLEMENTARES)</v>
      </c>
      <c r="E156" s="23" t="str">
        <f>VLOOKUP(B156,IF(A156="COMPOSICAO",S!$A:$E,I!$A:$E),4,FALSE)</f>
        <v>H</v>
      </c>
      <c r="F156" s="23">
        <v>1</v>
      </c>
      <c r="G156" s="76">
        <f>IF(A156="COMPOSICAO",VLOOKUP("TOTAL SEM BDI - "&amp;B156,CPUAUX3!$A:$J,9,FALSE),VLOOKUP(B156,I!$A:$E,5,FALSE))</f>
        <v>2.46</v>
      </c>
      <c r="H156" s="77"/>
      <c r="I156" s="76">
        <f t="shared" si="16"/>
        <v>2.46</v>
      </c>
      <c r="J156" s="77"/>
      <c r="M156" s="23">
        <f t="shared" si="17"/>
        <v>37370</v>
      </c>
      <c r="N156" s="23">
        <f>SUMIF(CPUAUX1!M:M,B149,CPUAUX1!O:O)</f>
        <v>2.1419999999999999</v>
      </c>
      <c r="O156" s="23">
        <f t="shared" si="18"/>
        <v>2.1419999999999999</v>
      </c>
      <c r="Q156" s="23">
        <f ca="1">SUMIF(CPUAUX1!M:M,B149,CPUAUX1!R:R)</f>
        <v>0.71399999999999997</v>
      </c>
      <c r="R156" s="23">
        <f t="shared" ca="1" si="19"/>
        <v>0.71399999999999997</v>
      </c>
    </row>
    <row r="157" spans="1:18" ht="30" customHeight="1" x14ac:dyDescent="0.3">
      <c r="A157" s="23" t="s">
        <v>1005</v>
      </c>
      <c r="B157" s="23">
        <v>4230</v>
      </c>
      <c r="C157" s="23" t="str">
        <f>VLOOKUP(B157,IF(A157="COMPOSICAO",S!$A:$E,I!$A:$E),2,FALSE)</f>
        <v>SINAPI</v>
      </c>
      <c r="D157" s="24" t="str">
        <f>VLOOKUP(B157,IF(A157="COMPOSICAO",S!$A:$E,I!$A:$E),3,FALSE)</f>
        <v>OPERADOR DE MAQUINAS E TRATORES DIVERSOS - TERRAPLANAGEM (HORISTA)</v>
      </c>
      <c r="E157" s="23" t="str">
        <f>VLOOKUP(B157,IF(A157="COMPOSICAO",S!$A:$E,I!$A:$E),4,FALSE)</f>
        <v>H</v>
      </c>
      <c r="F157" s="23">
        <v>1</v>
      </c>
      <c r="G157" s="76">
        <f>IF(A157="COMPOSICAO",VLOOKUP("TOTAL SEM BDI - "&amp;B157,CPUAUX3!$A:$J,9,FALSE),VLOOKUP(B157,I!$A:$E,5,FALSE))</f>
        <v>21.48</v>
      </c>
      <c r="H157" s="77"/>
      <c r="I157" s="76">
        <f t="shared" si="16"/>
        <v>21.48</v>
      </c>
      <c r="J157" s="77"/>
      <c r="M157" s="23">
        <f t="shared" si="17"/>
        <v>4230</v>
      </c>
      <c r="N157" s="23">
        <f>SUMIF(CPUAUX1!M:M,B149,CPUAUX1!O:O)</f>
        <v>2.1419999999999999</v>
      </c>
      <c r="O157" s="23">
        <f t="shared" si="18"/>
        <v>2.1419999999999999</v>
      </c>
      <c r="Q157" s="23">
        <f ca="1">SUMIF(CPUAUX1!M:M,B149,CPUAUX1!R:R)</f>
        <v>0.71399999999999997</v>
      </c>
      <c r="R157" s="23">
        <f t="shared" ca="1" si="19"/>
        <v>0.71399999999999997</v>
      </c>
    </row>
    <row r="158" spans="1:18" x14ac:dyDescent="0.3">
      <c r="A158" s="73" t="str">
        <f>"TOTAL SEM BDI - "&amp;B149</f>
        <v>TOTAL SEM BDI - 88297</v>
      </c>
      <c r="B158" s="74"/>
      <c r="C158" s="74"/>
      <c r="D158" s="74"/>
      <c r="E158" s="74"/>
      <c r="F158" s="74"/>
      <c r="G158" s="74"/>
      <c r="H158" s="75"/>
      <c r="I158" s="76">
        <f>SUM(I149:I157)</f>
        <v>27.16</v>
      </c>
      <c r="J158" s="77"/>
    </row>
    <row r="160" spans="1:18" x14ac:dyDescent="0.3">
      <c r="A160" s="4" t="s">
        <v>1000</v>
      </c>
      <c r="B160" s="4" t="s">
        <v>170</v>
      </c>
      <c r="C160" s="4" t="s">
        <v>171</v>
      </c>
      <c r="D160" s="4" t="s">
        <v>18</v>
      </c>
      <c r="E160" s="4" t="s">
        <v>172</v>
      </c>
      <c r="F160" s="4" t="s">
        <v>507</v>
      </c>
      <c r="G160" s="45" t="s">
        <v>1001</v>
      </c>
      <c r="H160" s="46"/>
      <c r="I160" s="45" t="s">
        <v>12</v>
      </c>
      <c r="J160" s="46"/>
    </row>
    <row r="161" spans="1:18" ht="45" customHeight="1" x14ac:dyDescent="0.3">
      <c r="A161" s="15" t="s">
        <v>1096</v>
      </c>
      <c r="B161" s="15">
        <v>91691</v>
      </c>
      <c r="C161" s="15" t="str">
        <f>VLOOKUP(B161,S!$A:$G,2,FALSE)</f>
        <v>SINAPI</v>
      </c>
      <c r="D161" s="22" t="str">
        <f>VLOOKUP(B161,S!$A:$G,3,FALSE)</f>
        <v>SERRA CIRCULAR DE BANCADA COM MOTOR ELÉTRICO POTÊNCIA DE 5HP, COM COIFA PARA DISCO 10" - MATERIAIS NA OPERAÇÃO. AF_08/2015</v>
      </c>
      <c r="E161" s="15" t="str">
        <f>VLOOKUP(B161,S!$A:$G,4,FALSE)</f>
        <v>H</v>
      </c>
      <c r="F161" s="15"/>
      <c r="G161" s="78">
        <f>I163</f>
        <v>1.49</v>
      </c>
      <c r="H161" s="79"/>
      <c r="I161" s="78"/>
      <c r="J161" s="79"/>
      <c r="K161" s="16">
        <f>VLOOKUP(B161,S!A:G,5,FALSE)</f>
        <v>1.49</v>
      </c>
      <c r="L161" s="15" t="str">
        <f>IF(K161=G161,"OK, CONFORME TABELA",IF(G161&gt;K161,"ACIMA DA TABELA: ","ABAIXO DA TABELA: ")&amp;TRUNC((G161*100)/K161,2)&amp;" %")</f>
        <v>OK, CONFORME TABELA</v>
      </c>
    </row>
    <row r="162" spans="1:18" ht="30" customHeight="1" x14ac:dyDescent="0.3">
      <c r="A162" s="23" t="s">
        <v>1005</v>
      </c>
      <c r="B162" s="23">
        <v>2705</v>
      </c>
      <c r="C162" s="23" t="str">
        <f>VLOOKUP(B162,IF(A162="COMPOSICAO",S!$A:$E,I!$A:$E),2,FALSE)</f>
        <v>SINAPI</v>
      </c>
      <c r="D162" s="24" t="str">
        <f>VLOOKUP(B162,IF(A162="COMPOSICAO",S!$A:$E,I!$A:$E),3,FALSE)</f>
        <v>ENERGIA ELETRICA ATE 2000 KWH INDUSTRIAL, SEM DEMANDA</v>
      </c>
      <c r="E162" s="23" t="str">
        <f>VLOOKUP(B162,IF(A162="COMPOSICAO",S!$A:$E,I!$A:$E),4,FALSE)</f>
        <v>KWH</v>
      </c>
      <c r="F162" s="23">
        <v>1.36</v>
      </c>
      <c r="G162" s="76">
        <f>IF(A162="COMPOSICAO",VLOOKUP("TOTAL SEM BDI - "&amp;B162,CPUAUX3!$A:$J,9,FALSE),VLOOKUP(B162,I!$A:$E,5,FALSE))</f>
        <v>1.1000000000000001</v>
      </c>
      <c r="H162" s="77"/>
      <c r="I162" s="76">
        <f>TRUNC(F162*G162,2)</f>
        <v>1.49</v>
      </c>
      <c r="J162" s="77"/>
      <c r="M162" s="23">
        <f>B162</f>
        <v>2705</v>
      </c>
      <c r="N162" s="23">
        <f>SUMIF(CPUAUX1!M:M,B161,CPUAUX1!O:O)</f>
        <v>0.4284</v>
      </c>
      <c r="O162" s="23">
        <f>F162*N162</f>
        <v>0.58262400000000003</v>
      </c>
      <c r="Q162" s="23">
        <f ca="1">SUMIF(CPUAUX1!M:M,B161,CPUAUX1!R:R)</f>
        <v>0.14279999999999998</v>
      </c>
      <c r="R162" s="23">
        <f ca="1">F162*Q162</f>
        <v>0.19420799999999999</v>
      </c>
    </row>
    <row r="163" spans="1:18" x14ac:dyDescent="0.3">
      <c r="A163" s="73" t="str">
        <f>"TOTAL SEM BDI - "&amp;B161</f>
        <v>TOTAL SEM BDI - 91691</v>
      </c>
      <c r="B163" s="74"/>
      <c r="C163" s="74"/>
      <c r="D163" s="74"/>
      <c r="E163" s="74"/>
      <c r="F163" s="74"/>
      <c r="G163" s="74"/>
      <c r="H163" s="75"/>
      <c r="I163" s="76">
        <f>SUM(I161:I162)</f>
        <v>1.49</v>
      </c>
      <c r="J163" s="77"/>
    </row>
    <row r="165" spans="1:18" x14ac:dyDescent="0.3">
      <c r="A165" s="4" t="s">
        <v>1000</v>
      </c>
      <c r="B165" s="4" t="s">
        <v>170</v>
      </c>
      <c r="C165" s="4" t="s">
        <v>171</v>
      </c>
      <c r="D165" s="4" t="s">
        <v>18</v>
      </c>
      <c r="E165" s="4" t="s">
        <v>172</v>
      </c>
      <c r="F165" s="4" t="s">
        <v>507</v>
      </c>
      <c r="G165" s="45" t="s">
        <v>1001</v>
      </c>
      <c r="H165" s="46"/>
      <c r="I165" s="45" t="s">
        <v>12</v>
      </c>
      <c r="J165" s="46"/>
    </row>
    <row r="166" spans="1:18" ht="45" customHeight="1" x14ac:dyDescent="0.3">
      <c r="A166" s="15" t="s">
        <v>1096</v>
      </c>
      <c r="B166" s="15">
        <v>91690</v>
      </c>
      <c r="C166" s="15" t="str">
        <f>VLOOKUP(B166,S!$A:$G,2,FALSE)</f>
        <v>SINAPI</v>
      </c>
      <c r="D166" s="22" t="str">
        <f>VLOOKUP(B166,S!$A:$G,3,FALSE)</f>
        <v>SERRA CIRCULAR DE BANCADA COM MOTOR ELÉTRICO POTÊNCIA DE 5HP, COM COIFA PARA DISCO 10" - MANUTENÇÃO. AF_08/2015</v>
      </c>
      <c r="E166" s="15" t="str">
        <f>VLOOKUP(B166,S!$A:$G,4,FALSE)</f>
        <v>H</v>
      </c>
      <c r="F166" s="15"/>
      <c r="G166" s="78">
        <f>I168</f>
        <v>0.08</v>
      </c>
      <c r="H166" s="79"/>
      <c r="I166" s="78"/>
      <c r="J166" s="79"/>
      <c r="K166" s="16">
        <f>VLOOKUP(B166,S!A:G,5,FALSE)</f>
        <v>0.08</v>
      </c>
      <c r="L166" s="15" t="str">
        <f>IF(K166=G166,"OK, CONFORME TABELA",IF(G166&gt;K166,"ACIMA DA TABELA: ","ABAIXO DA TABELA: ")&amp;TRUNC((G166*100)/K166,2)&amp;" %")</f>
        <v>OK, CONFORME TABELA</v>
      </c>
    </row>
    <row r="167" spans="1:18" ht="45" customHeight="1" x14ac:dyDescent="0.3">
      <c r="A167" s="23" t="s">
        <v>1005</v>
      </c>
      <c r="B167" s="23">
        <v>14618</v>
      </c>
      <c r="C167" s="23" t="str">
        <f>VLOOKUP(B167,IF(A167="COMPOSICAO",S!$A:$E,I!$A:$E),2,FALSE)</f>
        <v>SINAPI</v>
      </c>
      <c r="D167" s="24" t="str">
        <f>VLOOKUP(B167,IF(A167="COMPOSICAO",S!$A:$E,I!$A:$E),3,FALSE)</f>
        <v>SERRA CIRCULAR DE BANCADA COM MOTOR ELETRICO, POTENCIA DE *1600* W, PARA DISCO DE DIAMETRO DE 10" (250 MM)</v>
      </c>
      <c r="E167" s="23" t="str">
        <f>VLOOKUP(B167,IF(A167="COMPOSICAO",S!$A:$E,I!$A:$E),4,FALSE)</f>
        <v>UN</v>
      </c>
      <c r="F167" s="23">
        <v>5.0000000000000002E-5</v>
      </c>
      <c r="G167" s="76">
        <f>IF(A167="COMPOSICAO",VLOOKUP("TOTAL SEM BDI - "&amp;B167,CPUAUX3!$A:$J,9,FALSE),VLOOKUP(B167,I!$A:$E,5,FALSE))</f>
        <v>1759.02</v>
      </c>
      <c r="H167" s="77"/>
      <c r="I167" s="76">
        <f>TRUNC(F167*G167,2)</f>
        <v>0.08</v>
      </c>
      <c r="J167" s="77"/>
      <c r="M167" s="23">
        <f>B167</f>
        <v>14618</v>
      </c>
      <c r="N167" s="23">
        <f>SUMIF(CPUAUX1!M:M,B166,CPUAUX1!O:O)</f>
        <v>0.4284</v>
      </c>
      <c r="O167" s="23">
        <f>F167*N167</f>
        <v>2.1420000000000002E-5</v>
      </c>
      <c r="Q167" s="23">
        <f ca="1">SUMIF(CPUAUX1!M:M,B166,CPUAUX1!R:R)</f>
        <v>0.14279999999999998</v>
      </c>
      <c r="R167" s="23">
        <f ca="1">F167*Q167</f>
        <v>7.1399999999999994E-6</v>
      </c>
    </row>
    <row r="168" spans="1:18" x14ac:dyDescent="0.3">
      <c r="A168" s="73" t="str">
        <f>"TOTAL SEM BDI - "&amp;B166</f>
        <v>TOTAL SEM BDI - 91690</v>
      </c>
      <c r="B168" s="74"/>
      <c r="C168" s="74"/>
      <c r="D168" s="74"/>
      <c r="E168" s="74"/>
      <c r="F168" s="74"/>
      <c r="G168" s="74"/>
      <c r="H168" s="75"/>
      <c r="I168" s="76">
        <f>SUM(I166:I167)</f>
        <v>0.08</v>
      </c>
      <c r="J168" s="77"/>
    </row>
    <row r="170" spans="1:18" x14ac:dyDescent="0.3">
      <c r="A170" s="4" t="s">
        <v>1000</v>
      </c>
      <c r="B170" s="4" t="s">
        <v>170</v>
      </c>
      <c r="C170" s="4" t="s">
        <v>171</v>
      </c>
      <c r="D170" s="4" t="s">
        <v>18</v>
      </c>
      <c r="E170" s="4" t="s">
        <v>172</v>
      </c>
      <c r="F170" s="4" t="s">
        <v>507</v>
      </c>
      <c r="G170" s="45" t="s">
        <v>1001</v>
      </c>
      <c r="H170" s="46"/>
      <c r="I170" s="45" t="s">
        <v>12</v>
      </c>
      <c r="J170" s="46"/>
    </row>
    <row r="171" spans="1:18" ht="30" customHeight="1" x14ac:dyDescent="0.3">
      <c r="A171" s="15" t="s">
        <v>1071</v>
      </c>
      <c r="B171" s="15">
        <v>95330</v>
      </c>
      <c r="C171" s="15" t="str">
        <f>VLOOKUP(B171,S!$A:$G,2,FALSE)</f>
        <v>SINAPI</v>
      </c>
      <c r="D171" s="22" t="str">
        <f>VLOOKUP(B171,S!$A:$G,3,FALSE)</f>
        <v>CURSO DE CAPACITAÇÃO PARA CARPINTEIRO DE FÔRMAS (ENCARGOS COMPLEMENTARES) - HORISTA</v>
      </c>
      <c r="E171" s="15" t="str">
        <f>VLOOKUP(B171,S!$A:$G,4,FALSE)</f>
        <v>H</v>
      </c>
      <c r="F171" s="15"/>
      <c r="G171" s="78">
        <f>I173</f>
        <v>0.23</v>
      </c>
      <c r="H171" s="79"/>
      <c r="I171" s="78"/>
      <c r="J171" s="79"/>
      <c r="K171" s="16">
        <f>VLOOKUP(B171,S!A:G,5,FALSE)</f>
        <v>0.23</v>
      </c>
      <c r="L171" s="15" t="str">
        <f>IF(K171=G171,"OK, CONFORME TABELA",IF(G171&gt;K171,"ACIMA DA TABELA: ","ABAIXO DA TABELA: ")&amp;TRUNC((G171*100)/K171,2)&amp;" %")</f>
        <v>OK, CONFORME TABELA</v>
      </c>
    </row>
    <row r="172" spans="1:18" ht="15" customHeight="1" x14ac:dyDescent="0.3">
      <c r="A172" s="23" t="s">
        <v>1005</v>
      </c>
      <c r="B172" s="23">
        <v>1213</v>
      </c>
      <c r="C172" s="23" t="str">
        <f>VLOOKUP(B172,IF(A172="COMPOSICAO",S!$A:$E,I!$A:$E),2,FALSE)</f>
        <v>SINAPI</v>
      </c>
      <c r="D172" s="24" t="str">
        <f>VLOOKUP(B172,IF(A172="COMPOSICAO",S!$A:$E,I!$A:$E),3,FALSE)</f>
        <v>CARPINTEIRO DE FORMAS PARA CONCRETO (HORISTA)</v>
      </c>
      <c r="E172" s="23" t="str">
        <f>VLOOKUP(B172,IF(A172="COMPOSICAO",S!$A:$E,I!$A:$E),4,FALSE)</f>
        <v>H</v>
      </c>
      <c r="F172" s="23">
        <v>1.154E-2</v>
      </c>
      <c r="G172" s="76">
        <f>IF(A172="COMPOSICAO",VLOOKUP("TOTAL SEM BDI - "&amp;B172,CPUAUX3!$A:$J,9,FALSE),VLOOKUP(B172,I!$A:$E,5,FALSE))</f>
        <v>20.329999999999998</v>
      </c>
      <c r="H172" s="77"/>
      <c r="I172" s="76">
        <f>TRUNC(F172*G172,2)</f>
        <v>0.23</v>
      </c>
      <c r="J172" s="77"/>
      <c r="M172" s="23">
        <f>B172</f>
        <v>1213</v>
      </c>
      <c r="N172" s="23">
        <f>SUMIF(CPUAUX1!M:M,B171,CPUAUX1!O:O)</f>
        <v>73.275000000000006</v>
      </c>
      <c r="O172" s="23">
        <f>F172*N172</f>
        <v>0.84559350000000011</v>
      </c>
      <c r="Q172" s="23">
        <f ca="1">SUMIF(CPUAUX1!M:M,B171,CPUAUX1!R:R)</f>
        <v>24.425000000000001</v>
      </c>
      <c r="R172" s="23">
        <f ca="1">F172*Q172</f>
        <v>0.28186450000000002</v>
      </c>
    </row>
    <row r="173" spans="1:18" x14ac:dyDescent="0.3">
      <c r="A173" s="73" t="str">
        <f>"TOTAL SEM BDI - "&amp;B171</f>
        <v>TOTAL SEM BDI - 95330</v>
      </c>
      <c r="B173" s="74"/>
      <c r="C173" s="74"/>
      <c r="D173" s="74"/>
      <c r="E173" s="74"/>
      <c r="F173" s="74"/>
      <c r="G173" s="74"/>
      <c r="H173" s="75"/>
      <c r="I173" s="76">
        <f>SUM(I171:I172)</f>
        <v>0.23</v>
      </c>
      <c r="J173" s="77"/>
    </row>
    <row r="175" spans="1:18" x14ac:dyDescent="0.3">
      <c r="A175" s="4" t="s">
        <v>1000</v>
      </c>
      <c r="B175" s="4" t="s">
        <v>170</v>
      </c>
      <c r="C175" s="4" t="s">
        <v>171</v>
      </c>
      <c r="D175" s="4" t="s">
        <v>18</v>
      </c>
      <c r="E175" s="4" t="s">
        <v>172</v>
      </c>
      <c r="F175" s="4" t="s">
        <v>507</v>
      </c>
      <c r="G175" s="45" t="s">
        <v>1001</v>
      </c>
      <c r="H175" s="46"/>
      <c r="I175" s="45" t="s">
        <v>12</v>
      </c>
      <c r="J175" s="46"/>
    </row>
    <row r="176" spans="1:18" ht="30" customHeight="1" x14ac:dyDescent="0.3">
      <c r="A176" s="15" t="s">
        <v>1071</v>
      </c>
      <c r="B176" s="15">
        <v>95309</v>
      </c>
      <c r="C176" s="15" t="str">
        <f>VLOOKUP(B176,S!$A:$G,2,FALSE)</f>
        <v>SINAPI</v>
      </c>
      <c r="D176" s="22" t="str">
        <f>VLOOKUP(B176,S!$A:$G,3,FALSE)</f>
        <v>CURSO DE CAPACITAÇÃO PARA AJUDANTE DE CARPINTEIRO (ENCARGOS COMPLEMENTARES) - HORISTA</v>
      </c>
      <c r="E176" s="15" t="str">
        <f>VLOOKUP(B176,S!$A:$G,4,FALSE)</f>
        <v>H</v>
      </c>
      <c r="F176" s="15"/>
      <c r="G176" s="78">
        <f>I178</f>
        <v>0.22</v>
      </c>
      <c r="H176" s="79"/>
      <c r="I176" s="78"/>
      <c r="J176" s="79"/>
      <c r="K176" s="16">
        <f>VLOOKUP(B176,S!A:G,5,FALSE)</f>
        <v>0.22</v>
      </c>
      <c r="L176" s="15" t="str">
        <f>IF(K176=G176,"OK, CONFORME TABELA",IF(G176&gt;K176,"ACIMA DA TABELA: ","ABAIXO DA TABELA: ")&amp;TRUNC((G176*100)/K176,2)&amp;" %")</f>
        <v>OK, CONFORME TABELA</v>
      </c>
    </row>
    <row r="177" spans="1:18" x14ac:dyDescent="0.3">
      <c r="A177" s="23" t="s">
        <v>1005</v>
      </c>
      <c r="B177" s="23">
        <v>6117</v>
      </c>
      <c r="C177" s="23" t="str">
        <f>VLOOKUP(B177,IF(A177="COMPOSICAO",S!$A:$E,I!$A:$E),2,FALSE)</f>
        <v>SINAPI</v>
      </c>
      <c r="D177" s="24" t="str">
        <f>VLOOKUP(B177,IF(A177="COMPOSICAO",S!$A:$E,I!$A:$E),3,FALSE)</f>
        <v>CARPINTEIRO AUXILIAR (HORISTA)</v>
      </c>
      <c r="E177" s="23" t="str">
        <f>VLOOKUP(B177,IF(A177="COMPOSICAO",S!$A:$E,I!$A:$E),4,FALSE)</f>
        <v>H</v>
      </c>
      <c r="F177" s="23">
        <v>1.4760000000000001E-2</v>
      </c>
      <c r="G177" s="76">
        <f>IF(A177="COMPOSICAO",VLOOKUP("TOTAL SEM BDI - "&amp;B177,CPUAUX3!$A:$J,9,FALSE),VLOOKUP(B177,I!$A:$E,5,FALSE))</f>
        <v>15.57</v>
      </c>
      <c r="H177" s="77"/>
      <c r="I177" s="76">
        <f>TRUNC(F177*G177,2)</f>
        <v>0.22</v>
      </c>
      <c r="J177" s="77"/>
      <c r="M177" s="23">
        <f>B177</f>
        <v>6117</v>
      </c>
      <c r="N177" s="23">
        <f>SUMIF(CPUAUX1!M:M,B176,CPUAUX1!O:O)</f>
        <v>69.02640000000001</v>
      </c>
      <c r="O177" s="23">
        <f>F177*N177</f>
        <v>1.0188296640000001</v>
      </c>
      <c r="Q177" s="23">
        <f ca="1">SUMIF(CPUAUX1!M:M,B176,CPUAUX1!R:R)</f>
        <v>23.008800000000001</v>
      </c>
      <c r="R177" s="23">
        <f ca="1">F177*Q177</f>
        <v>0.33960988800000003</v>
      </c>
    </row>
    <row r="178" spans="1:18" x14ac:dyDescent="0.3">
      <c r="A178" s="73" t="str">
        <f>"TOTAL SEM BDI - "&amp;B176</f>
        <v>TOTAL SEM BDI - 95309</v>
      </c>
      <c r="B178" s="74"/>
      <c r="C178" s="74"/>
      <c r="D178" s="74"/>
      <c r="E178" s="74"/>
      <c r="F178" s="74"/>
      <c r="G178" s="74"/>
      <c r="H178" s="75"/>
      <c r="I178" s="76">
        <f>SUM(I176:I177)</f>
        <v>0.22</v>
      </c>
      <c r="J178" s="77"/>
    </row>
    <row r="180" spans="1:18" x14ac:dyDescent="0.3">
      <c r="A180" s="4" t="s">
        <v>1000</v>
      </c>
      <c r="B180" s="4" t="s">
        <v>170</v>
      </c>
      <c r="C180" s="4" t="s">
        <v>171</v>
      </c>
      <c r="D180" s="4" t="s">
        <v>18</v>
      </c>
      <c r="E180" s="4" t="s">
        <v>172</v>
      </c>
      <c r="F180" s="4" t="s">
        <v>507</v>
      </c>
      <c r="G180" s="45" t="s">
        <v>1001</v>
      </c>
      <c r="H180" s="46"/>
      <c r="I180" s="45" t="s">
        <v>12</v>
      </c>
      <c r="J180" s="46"/>
    </row>
    <row r="181" spans="1:18" ht="60" customHeight="1" x14ac:dyDescent="0.3">
      <c r="A181" s="15" t="s">
        <v>1076</v>
      </c>
      <c r="B181" s="15">
        <v>89226</v>
      </c>
      <c r="C181" s="15" t="str">
        <f>VLOOKUP(B181,S!$A:$G,2,FALSE)</f>
        <v>SINAPI</v>
      </c>
      <c r="D181" s="22" t="str">
        <f>VLOOKUP(B181,S!$A:$G,3,FALSE)</f>
        <v>BETONEIRA CAPACIDADE NOMINAL DE 600 L, CAPACIDADE DE MISTURA 360 L, MOTOR ELÉTRICO TRIFÁSICO POTÊNCIA DE 4 CV, SEM CARREGADOR - CHI DIURNO. AF_05/2023</v>
      </c>
      <c r="E181" s="15" t="str">
        <f>VLOOKUP(B181,S!$A:$G,4,FALSE)</f>
        <v>CHI</v>
      </c>
      <c r="F181" s="15"/>
      <c r="G181" s="78">
        <f>I184</f>
        <v>2.04</v>
      </c>
      <c r="H181" s="79"/>
      <c r="I181" s="78"/>
      <c r="J181" s="79"/>
      <c r="K181" s="16">
        <f>VLOOKUP(B181,S!A:G,5,FALSE)</f>
        <v>2.04</v>
      </c>
      <c r="L181" s="15" t="str">
        <f>IF(K181=G181,"OK, CONFORME TABELA",IF(G181&gt;K181,"ACIMA DA TABELA: ","ABAIXO DA TABELA: ")&amp;TRUNC((G181*100)/K181,2)&amp;" %")</f>
        <v>OK, CONFORME TABELA</v>
      </c>
    </row>
    <row r="182" spans="1:18" ht="60" customHeight="1" x14ac:dyDescent="0.3">
      <c r="A182" s="23" t="s">
        <v>1004</v>
      </c>
      <c r="B182" s="23">
        <v>89222</v>
      </c>
      <c r="C182" s="23" t="str">
        <f>VLOOKUP(B182,IF(A182="COMPOSICAO",S!$A:$E,I!$A:$E),2,FALSE)</f>
        <v>SINAPI</v>
      </c>
      <c r="D182" s="24" t="str">
        <f>VLOOKUP(B182,IF(A182="COMPOSICAO",S!$A:$E,I!$A:$E),3,FALSE)</f>
        <v>BETONEIRA CAPACIDADE NOMINAL DE 600 L, CAPACIDADE DE MISTURA 360 L, MOTOR ELÉTRICO TRIFÁSICO POTÊNCIA DE 4 CV, SEM CARREGADOR - JUROS. AF_05/2023</v>
      </c>
      <c r="E182" s="23" t="str">
        <f>VLOOKUP(B182,IF(A182="COMPOSICAO",S!$A:$E,I!$A:$E),4,FALSE)</f>
        <v>H</v>
      </c>
      <c r="F182" s="23">
        <v>1</v>
      </c>
      <c r="G182" s="76">
        <f>IF(A182="COMPOSICAO",VLOOKUP("TOTAL SEM BDI - "&amp;B182,CPUAUX3!$A:$J,9,FALSE),VLOOKUP(B182,I!$A:$E,5,FALSE))</f>
        <v>0.38</v>
      </c>
      <c r="H182" s="77"/>
      <c r="I182" s="76">
        <f>TRUNC(F182*G182,2)</f>
        <v>0.38</v>
      </c>
      <c r="J182" s="77"/>
      <c r="M182" s="23">
        <f>B182</f>
        <v>89222</v>
      </c>
      <c r="N182" s="23">
        <f>SUMIF(CPUAUX1!M:M,B181,CPUAUX1!O:O)</f>
        <v>1.4072812704</v>
      </c>
      <c r="O182" s="23">
        <f>F182*N182</f>
        <v>1.4072812704</v>
      </c>
      <c r="Q182" s="23">
        <f ca="1">SUMIF(CPUAUX1!M:M,B181,CPUAUX1!R:R)</f>
        <v>0.46909375680000004</v>
      </c>
      <c r="R182" s="23">
        <f ca="1">F182*Q182</f>
        <v>0.46909375680000004</v>
      </c>
    </row>
    <row r="183" spans="1:18" ht="60" customHeight="1" x14ac:dyDescent="0.3">
      <c r="A183" s="23" t="s">
        <v>1004</v>
      </c>
      <c r="B183" s="23">
        <v>89221</v>
      </c>
      <c r="C183" s="23" t="str">
        <f>VLOOKUP(B183,IF(A183="COMPOSICAO",S!$A:$E,I!$A:$E),2,FALSE)</f>
        <v>SINAPI</v>
      </c>
      <c r="D183" s="24" t="str">
        <f>VLOOKUP(B183,IF(A183="COMPOSICAO",S!$A:$E,I!$A:$E),3,FALSE)</f>
        <v>BETONEIRA CAPACIDADE NOMINAL DE 600 L, CAPACIDADE DE MISTURA 360 L, MOTOR ELÉTRICO TRIFÁSICO POTÊNCIA DE 4 CV, SEM CARREGADOR - DEPRECIAÇÃO. AF_05/2023</v>
      </c>
      <c r="E183" s="23" t="str">
        <f>VLOOKUP(B183,IF(A183="COMPOSICAO",S!$A:$E,I!$A:$E),4,FALSE)</f>
        <v>H</v>
      </c>
      <c r="F183" s="23">
        <v>1</v>
      </c>
      <c r="G183" s="76">
        <f>IF(A183="COMPOSICAO",VLOOKUP("TOTAL SEM BDI - "&amp;B183,CPUAUX3!$A:$J,9,FALSE),VLOOKUP(B183,I!$A:$E,5,FALSE))</f>
        <v>1.66</v>
      </c>
      <c r="H183" s="77"/>
      <c r="I183" s="76">
        <f>TRUNC(F183*G183,2)</f>
        <v>1.66</v>
      </c>
      <c r="J183" s="77"/>
      <c r="M183" s="23">
        <f>B183</f>
        <v>89221</v>
      </c>
      <c r="N183" s="23">
        <f>SUMIF(CPUAUX1!M:M,B181,CPUAUX1!O:O)</f>
        <v>1.4072812704</v>
      </c>
      <c r="O183" s="23">
        <f>F183*N183</f>
        <v>1.4072812704</v>
      </c>
      <c r="Q183" s="23">
        <f ca="1">SUMIF(CPUAUX1!M:M,B181,CPUAUX1!R:R)</f>
        <v>0.46909375680000004</v>
      </c>
      <c r="R183" s="23">
        <f ca="1">F183*Q183</f>
        <v>0.46909375680000004</v>
      </c>
    </row>
    <row r="184" spans="1:18" x14ac:dyDescent="0.3">
      <c r="A184" s="73" t="str">
        <f>"TOTAL SEM BDI - "&amp;B181</f>
        <v>TOTAL SEM BDI - 89226</v>
      </c>
      <c r="B184" s="74"/>
      <c r="C184" s="74"/>
      <c r="D184" s="74"/>
      <c r="E184" s="74"/>
      <c r="F184" s="74"/>
      <c r="G184" s="74"/>
      <c r="H184" s="75"/>
      <c r="I184" s="76">
        <f>SUM(I181:I183)</f>
        <v>2.04</v>
      </c>
      <c r="J184" s="77"/>
    </row>
    <row r="186" spans="1:18" x14ac:dyDescent="0.3">
      <c r="A186" s="4" t="s">
        <v>1000</v>
      </c>
      <c r="B186" s="4" t="s">
        <v>170</v>
      </c>
      <c r="C186" s="4" t="s">
        <v>171</v>
      </c>
      <c r="D186" s="4" t="s">
        <v>18</v>
      </c>
      <c r="E186" s="4" t="s">
        <v>172</v>
      </c>
      <c r="F186" s="4" t="s">
        <v>507</v>
      </c>
      <c r="G186" s="45" t="s">
        <v>1001</v>
      </c>
      <c r="H186" s="46"/>
      <c r="I186" s="45" t="s">
        <v>12</v>
      </c>
      <c r="J186" s="46"/>
    </row>
    <row r="187" spans="1:18" ht="60" customHeight="1" x14ac:dyDescent="0.3">
      <c r="A187" s="15" t="s">
        <v>1076</v>
      </c>
      <c r="B187" s="15">
        <v>89225</v>
      </c>
      <c r="C187" s="15" t="str">
        <f>VLOOKUP(B187,S!$A:$G,2,FALSE)</f>
        <v>SINAPI</v>
      </c>
      <c r="D187" s="22" t="str">
        <f>VLOOKUP(B187,S!$A:$G,3,FALSE)</f>
        <v>BETONEIRA CAPACIDADE NOMINAL DE 600 L, CAPACIDADE DE MISTURA 360 L, MOTOR ELÉTRICO TRIFÁSICO POTÊNCIA DE 4 CV, SEM CARREGADOR - CHP DIURNO. AF_05/2023</v>
      </c>
      <c r="E187" s="15" t="str">
        <f>VLOOKUP(B187,S!$A:$G,4,FALSE)</f>
        <v>CHP</v>
      </c>
      <c r="F187" s="15"/>
      <c r="G187" s="78">
        <f>I192</f>
        <v>6.6000000000000005</v>
      </c>
      <c r="H187" s="79"/>
      <c r="I187" s="78"/>
      <c r="J187" s="79"/>
      <c r="K187" s="16">
        <f>VLOOKUP(B187,S!A:G,5,FALSE)</f>
        <v>6.6</v>
      </c>
      <c r="L187" s="15" t="str">
        <f>IF(K187=G187,"OK, CONFORME TABELA",IF(G187&gt;K187,"ACIMA DA TABELA: ","ABAIXO DA TABELA: ")&amp;TRUNC((G187*100)/K187,2)&amp;" %")</f>
        <v>OK, CONFORME TABELA</v>
      </c>
    </row>
    <row r="188" spans="1:18" ht="60" customHeight="1" x14ac:dyDescent="0.3">
      <c r="A188" s="23" t="s">
        <v>1004</v>
      </c>
      <c r="B188" s="23">
        <v>89224</v>
      </c>
      <c r="C188" s="23" t="str">
        <f>VLOOKUP(B188,IF(A188="COMPOSICAO",S!$A:$E,I!$A:$E),2,FALSE)</f>
        <v>SINAPI</v>
      </c>
      <c r="D188" s="24" t="str">
        <f>VLOOKUP(B188,IF(A188="COMPOSICAO",S!$A:$E,I!$A:$E),3,FALSE)</f>
        <v>BETONEIRA CAPACIDADE NOMINAL DE 600 L, CAPACIDADE DE MISTURA 360 L, MOTOR ELÉTRICO TRIFÁSICO POTÊNCIA DE 4 CV, SEM CARREGADOR - MATERIAIS NA OPERAÇÃO. AF_05/2023</v>
      </c>
      <c r="E188" s="23" t="str">
        <f>VLOOKUP(B188,IF(A188="COMPOSICAO",S!$A:$E,I!$A:$E),4,FALSE)</f>
        <v>H</v>
      </c>
      <c r="F188" s="23">
        <v>1</v>
      </c>
      <c r="G188" s="76">
        <f>IF(A188="COMPOSICAO",VLOOKUP("TOTAL SEM BDI - "&amp;B188,CPUAUX3!$A:$J,9,FALSE),VLOOKUP(B188,I!$A:$E,5,FALSE))</f>
        <v>2.75</v>
      </c>
      <c r="H188" s="77"/>
      <c r="I188" s="76">
        <f>TRUNC(F188*G188,2)</f>
        <v>2.75</v>
      </c>
      <c r="J188" s="77"/>
      <c r="M188" s="23">
        <f>B188</f>
        <v>89224</v>
      </c>
      <c r="N188" s="23">
        <f>SUMIF(CPUAUX1!M:M,B187,CPUAUX1!O:O)</f>
        <v>1.3652511156</v>
      </c>
      <c r="O188" s="23">
        <f>F188*N188</f>
        <v>1.3652511156</v>
      </c>
      <c r="Q188" s="23">
        <f ca="1">SUMIF(CPUAUX1!M:M,B187,CPUAUX1!R:R)</f>
        <v>0.45508370520000002</v>
      </c>
      <c r="R188" s="23">
        <f ca="1">F188*Q188</f>
        <v>0.45508370520000002</v>
      </c>
    </row>
    <row r="189" spans="1:18" ht="60" customHeight="1" x14ac:dyDescent="0.3">
      <c r="A189" s="23" t="s">
        <v>1004</v>
      </c>
      <c r="B189" s="23">
        <v>89223</v>
      </c>
      <c r="C189" s="23" t="str">
        <f>VLOOKUP(B189,IF(A189="COMPOSICAO",S!$A:$E,I!$A:$E),2,FALSE)</f>
        <v>SINAPI</v>
      </c>
      <c r="D189" s="24" t="str">
        <f>VLOOKUP(B189,IF(A189="COMPOSICAO",S!$A:$E,I!$A:$E),3,FALSE)</f>
        <v>BETONEIRA CAPACIDADE NOMINAL DE 600 L, CAPACIDADE DE MISTURA 360 L, MOTOR ELÉTRICO TRIFÁSICO POTÊNCIA DE 4 CV, SEM CARREGADOR - MANUTENÇÃO. AF_05/2023</v>
      </c>
      <c r="E189" s="23" t="str">
        <f>VLOOKUP(B189,IF(A189="COMPOSICAO",S!$A:$E,I!$A:$E),4,FALSE)</f>
        <v>H</v>
      </c>
      <c r="F189" s="23">
        <v>1</v>
      </c>
      <c r="G189" s="76">
        <f>IF(A189="COMPOSICAO",VLOOKUP("TOTAL SEM BDI - "&amp;B189,CPUAUX3!$A:$J,9,FALSE),VLOOKUP(B189,I!$A:$E,5,FALSE))</f>
        <v>1.81</v>
      </c>
      <c r="H189" s="77"/>
      <c r="I189" s="76">
        <f>TRUNC(F189*G189,2)</f>
        <v>1.81</v>
      </c>
      <c r="J189" s="77"/>
      <c r="M189" s="23">
        <f>B189</f>
        <v>89223</v>
      </c>
      <c r="N189" s="23">
        <f>SUMIF(CPUAUX1!M:M,B187,CPUAUX1!O:O)</f>
        <v>1.3652511156</v>
      </c>
      <c r="O189" s="23">
        <f>F189*N189</f>
        <v>1.3652511156</v>
      </c>
      <c r="Q189" s="23">
        <f ca="1">SUMIF(CPUAUX1!M:M,B187,CPUAUX1!R:R)</f>
        <v>0.45508370520000002</v>
      </c>
      <c r="R189" s="23">
        <f ca="1">F189*Q189</f>
        <v>0.45508370520000002</v>
      </c>
    </row>
    <row r="190" spans="1:18" ht="60" customHeight="1" x14ac:dyDescent="0.3">
      <c r="A190" s="23" t="s">
        <v>1004</v>
      </c>
      <c r="B190" s="23">
        <v>89222</v>
      </c>
      <c r="C190" s="23" t="str">
        <f>VLOOKUP(B190,IF(A190="COMPOSICAO",S!$A:$E,I!$A:$E),2,FALSE)</f>
        <v>SINAPI</v>
      </c>
      <c r="D190" s="24" t="str">
        <f>VLOOKUP(B190,IF(A190="COMPOSICAO",S!$A:$E,I!$A:$E),3,FALSE)</f>
        <v>BETONEIRA CAPACIDADE NOMINAL DE 600 L, CAPACIDADE DE MISTURA 360 L, MOTOR ELÉTRICO TRIFÁSICO POTÊNCIA DE 4 CV, SEM CARREGADOR - JUROS. AF_05/2023</v>
      </c>
      <c r="E190" s="23" t="str">
        <f>VLOOKUP(B190,IF(A190="COMPOSICAO",S!$A:$E,I!$A:$E),4,FALSE)</f>
        <v>H</v>
      </c>
      <c r="F190" s="23">
        <v>1</v>
      </c>
      <c r="G190" s="76">
        <f>IF(A190="COMPOSICAO",VLOOKUP("TOTAL SEM BDI - "&amp;B190,CPUAUX3!$A:$J,9,FALSE),VLOOKUP(B190,I!$A:$E,5,FALSE))</f>
        <v>0.38</v>
      </c>
      <c r="H190" s="77"/>
      <c r="I190" s="76">
        <f>TRUNC(F190*G190,2)</f>
        <v>0.38</v>
      </c>
      <c r="J190" s="77"/>
      <c r="M190" s="23">
        <f>B190</f>
        <v>89222</v>
      </c>
      <c r="N190" s="23">
        <f>SUMIF(CPUAUX1!M:M,B187,CPUAUX1!O:O)</f>
        <v>1.3652511156</v>
      </c>
      <c r="O190" s="23">
        <f>F190*N190</f>
        <v>1.3652511156</v>
      </c>
      <c r="Q190" s="23">
        <f ca="1">SUMIF(CPUAUX1!M:M,B187,CPUAUX1!R:R)</f>
        <v>0.45508370520000002</v>
      </c>
      <c r="R190" s="23">
        <f ca="1">F190*Q190</f>
        <v>0.45508370520000002</v>
      </c>
    </row>
    <row r="191" spans="1:18" ht="60" customHeight="1" x14ac:dyDescent="0.3">
      <c r="A191" s="23" t="s">
        <v>1004</v>
      </c>
      <c r="B191" s="23">
        <v>89221</v>
      </c>
      <c r="C191" s="23" t="str">
        <f>VLOOKUP(B191,IF(A191="COMPOSICAO",S!$A:$E,I!$A:$E),2,FALSE)</f>
        <v>SINAPI</v>
      </c>
      <c r="D191" s="24" t="str">
        <f>VLOOKUP(B191,IF(A191="COMPOSICAO",S!$A:$E,I!$A:$E),3,FALSE)</f>
        <v>BETONEIRA CAPACIDADE NOMINAL DE 600 L, CAPACIDADE DE MISTURA 360 L, MOTOR ELÉTRICO TRIFÁSICO POTÊNCIA DE 4 CV, SEM CARREGADOR - DEPRECIAÇÃO. AF_05/2023</v>
      </c>
      <c r="E191" s="23" t="str">
        <f>VLOOKUP(B191,IF(A191="COMPOSICAO",S!$A:$E,I!$A:$E),4,FALSE)</f>
        <v>H</v>
      </c>
      <c r="F191" s="23">
        <v>1</v>
      </c>
      <c r="G191" s="76">
        <f>IF(A191="COMPOSICAO",VLOOKUP("TOTAL SEM BDI - "&amp;B191,CPUAUX3!$A:$J,9,FALSE),VLOOKUP(B191,I!$A:$E,5,FALSE))</f>
        <v>1.66</v>
      </c>
      <c r="H191" s="77"/>
      <c r="I191" s="76">
        <f>TRUNC(F191*G191,2)</f>
        <v>1.66</v>
      </c>
      <c r="J191" s="77"/>
      <c r="M191" s="23">
        <f>B191</f>
        <v>89221</v>
      </c>
      <c r="N191" s="23">
        <f>SUMIF(CPUAUX1!M:M,B187,CPUAUX1!O:O)</f>
        <v>1.3652511156</v>
      </c>
      <c r="O191" s="23">
        <f>F191*N191</f>
        <v>1.3652511156</v>
      </c>
      <c r="Q191" s="23">
        <f ca="1">SUMIF(CPUAUX1!M:M,B187,CPUAUX1!R:R)</f>
        <v>0.45508370520000002</v>
      </c>
      <c r="R191" s="23">
        <f ca="1">F191*Q191</f>
        <v>0.45508370520000002</v>
      </c>
    </row>
    <row r="192" spans="1:18" x14ac:dyDescent="0.3">
      <c r="A192" s="73" t="str">
        <f>"TOTAL SEM BDI - "&amp;B187</f>
        <v>TOTAL SEM BDI - 89225</v>
      </c>
      <c r="B192" s="74"/>
      <c r="C192" s="74"/>
      <c r="D192" s="74"/>
      <c r="E192" s="74"/>
      <c r="F192" s="74"/>
      <c r="G192" s="74"/>
      <c r="H192" s="75"/>
      <c r="I192" s="76">
        <f>SUM(I187:I191)</f>
        <v>6.6000000000000005</v>
      </c>
      <c r="J192" s="77"/>
    </row>
    <row r="194" spans="1:18" x14ac:dyDescent="0.3">
      <c r="A194" s="4" t="s">
        <v>1000</v>
      </c>
      <c r="B194" s="4" t="s">
        <v>170</v>
      </c>
      <c r="C194" s="4" t="s">
        <v>171</v>
      </c>
      <c r="D194" s="4" t="s">
        <v>18</v>
      </c>
      <c r="E194" s="4" t="s">
        <v>172</v>
      </c>
      <c r="F194" s="4" t="s">
        <v>507</v>
      </c>
      <c r="G194" s="45" t="s">
        <v>1001</v>
      </c>
      <c r="H194" s="46"/>
      <c r="I194" s="45" t="s">
        <v>12</v>
      </c>
      <c r="J194" s="46"/>
    </row>
    <row r="195" spans="1:18" ht="45" customHeight="1" x14ac:dyDescent="0.3">
      <c r="A195" s="15" t="s">
        <v>1076</v>
      </c>
      <c r="B195" s="15">
        <v>91693</v>
      </c>
      <c r="C195" s="15" t="str">
        <f>VLOOKUP(B195,S!$A:$G,2,FALSE)</f>
        <v>SINAPI</v>
      </c>
      <c r="D195" s="22" t="str">
        <f>VLOOKUP(B195,S!$A:$G,3,FALSE)</f>
        <v>SERRA CIRCULAR DE BANCADA COM MOTOR ELÉTRICO POTÊNCIA DE 5HP, COM COIFA PARA DISCO 10" - CHI DIURNO. AF_08/2015</v>
      </c>
      <c r="E195" s="15" t="str">
        <f>VLOOKUP(B195,S!$A:$G,4,FALSE)</f>
        <v>CHI</v>
      </c>
      <c r="F195" s="15"/>
      <c r="G195" s="78">
        <f>I199</f>
        <v>27.3</v>
      </c>
      <c r="H195" s="79"/>
      <c r="I195" s="78"/>
      <c r="J195" s="79"/>
      <c r="K195" s="16">
        <f>VLOOKUP(B195,S!A:G,5,FALSE)</f>
        <v>27.3</v>
      </c>
      <c r="L195" s="15" t="str">
        <f>IF(K195=G195,"OK, CONFORME TABELA",IF(G195&gt;K195,"ACIMA DA TABELA: ","ABAIXO DA TABELA: ")&amp;TRUNC((G195*100)/K195,2)&amp;" %")</f>
        <v>OK, CONFORME TABELA</v>
      </c>
    </row>
    <row r="196" spans="1:18" ht="45" customHeight="1" x14ac:dyDescent="0.3">
      <c r="A196" s="23" t="s">
        <v>1004</v>
      </c>
      <c r="B196" s="23">
        <v>91689</v>
      </c>
      <c r="C196" s="23" t="str">
        <f>VLOOKUP(B196,IF(A196="COMPOSICAO",S!$A:$E,I!$A:$E),2,FALSE)</f>
        <v>SINAPI</v>
      </c>
      <c r="D196" s="24" t="str">
        <f>VLOOKUP(B196,IF(A196="COMPOSICAO",S!$A:$E,I!$A:$E),3,FALSE)</f>
        <v>SERRA CIRCULAR DE BANCADA COM MOTOR ELÉTRICO POTÊNCIA DE 5HP, COM COIFA PARA DISCO 10" - JUROS. AF_08/2015</v>
      </c>
      <c r="E196" s="23" t="str">
        <f>VLOOKUP(B196,IF(A196="COMPOSICAO",S!$A:$E,I!$A:$E),4,FALSE)</f>
        <v>H</v>
      </c>
      <c r="F196" s="23">
        <v>1</v>
      </c>
      <c r="G196" s="76">
        <f>IF(A196="COMPOSICAO",VLOOKUP("TOTAL SEM BDI - "&amp;B196,CPUAUX3!$A:$J,9,FALSE),VLOOKUP(B196,I!$A:$E,5,FALSE))</f>
        <v>0.02</v>
      </c>
      <c r="H196" s="77"/>
      <c r="I196" s="76">
        <f>TRUNC(F196*G196,2)</f>
        <v>0.02</v>
      </c>
      <c r="J196" s="77"/>
      <c r="M196" s="23">
        <f>B196</f>
        <v>91689</v>
      </c>
      <c r="N196" s="23">
        <f>SUMIF(CPUAUX1!M:M,B195,CPUAUX1!O:O)</f>
        <v>4.1610240000000003</v>
      </c>
      <c r="O196" s="23">
        <f>F196*N196</f>
        <v>4.1610240000000003</v>
      </c>
      <c r="Q196" s="23">
        <f ca="1">SUMIF(CPUAUX1!M:M,B195,CPUAUX1!R:R)</f>
        <v>1.3870079999999998</v>
      </c>
      <c r="R196" s="23">
        <f ca="1">F196*Q196</f>
        <v>1.3870079999999998</v>
      </c>
    </row>
    <row r="197" spans="1:18" ht="45" customHeight="1" x14ac:dyDescent="0.3">
      <c r="A197" s="23" t="s">
        <v>1004</v>
      </c>
      <c r="B197" s="23">
        <v>91688</v>
      </c>
      <c r="C197" s="23" t="str">
        <f>VLOOKUP(B197,IF(A197="COMPOSICAO",S!$A:$E,I!$A:$E),2,FALSE)</f>
        <v>SINAPI</v>
      </c>
      <c r="D197" s="24" t="str">
        <f>VLOOKUP(B197,IF(A197="COMPOSICAO",S!$A:$E,I!$A:$E),3,FALSE)</f>
        <v>SERRA CIRCULAR DE BANCADA COM MOTOR ELÉTRICO POTÊNCIA DE 5HP, COM COIFA PARA DISCO 10" - DEPRECIAÇÃO. AF_08/2015</v>
      </c>
      <c r="E197" s="23" t="str">
        <f>VLOOKUP(B197,IF(A197="COMPOSICAO",S!$A:$E,I!$A:$E),4,FALSE)</f>
        <v>H</v>
      </c>
      <c r="F197" s="23">
        <v>1</v>
      </c>
      <c r="G197" s="76">
        <f>IF(A197="COMPOSICAO",VLOOKUP("TOTAL SEM BDI - "&amp;B197,CPUAUX3!$A:$J,9,FALSE),VLOOKUP(B197,I!$A:$E,5,FALSE))</f>
        <v>0.12</v>
      </c>
      <c r="H197" s="77"/>
      <c r="I197" s="76">
        <f>TRUNC(F197*G197,2)</f>
        <v>0.12</v>
      </c>
      <c r="J197" s="77"/>
      <c r="M197" s="23">
        <f>B197</f>
        <v>91688</v>
      </c>
      <c r="N197" s="23">
        <f>SUMIF(CPUAUX1!M:M,B195,CPUAUX1!O:O)</f>
        <v>4.1610240000000003</v>
      </c>
      <c r="O197" s="23">
        <f>F197*N197</f>
        <v>4.1610240000000003</v>
      </c>
      <c r="Q197" s="23">
        <f ca="1">SUMIF(CPUAUX1!M:M,B195,CPUAUX1!R:R)</f>
        <v>1.3870079999999998</v>
      </c>
      <c r="R197" s="23">
        <f ca="1">F197*Q197</f>
        <v>1.3870079999999998</v>
      </c>
    </row>
    <row r="198" spans="1:18" ht="30" customHeight="1" x14ac:dyDescent="0.3">
      <c r="A198" s="23" t="s">
        <v>1004</v>
      </c>
      <c r="B198" s="23">
        <v>88297</v>
      </c>
      <c r="C198" s="23" t="str">
        <f>VLOOKUP(B198,IF(A198="COMPOSICAO",S!$A:$E,I!$A:$E),2,FALSE)</f>
        <v>SINAPI</v>
      </c>
      <c r="D198" s="24" t="str">
        <f>VLOOKUP(B198,IF(A198="COMPOSICAO",S!$A:$E,I!$A:$E),3,FALSE)</f>
        <v>OPERADOR DE MÁQUINAS E EQUIPAMENTOS COM ENCARGOS COMPLEMENTARES</v>
      </c>
      <c r="E198" s="23" t="str">
        <f>VLOOKUP(B198,IF(A198="COMPOSICAO",S!$A:$E,I!$A:$E),4,FALSE)</f>
        <v>H</v>
      </c>
      <c r="F198" s="23">
        <v>1</v>
      </c>
      <c r="G198" s="76">
        <f>IF(A198="COMPOSICAO",VLOOKUP("TOTAL SEM BDI - "&amp;B198,CPUAUX3!$A:$J,9,FALSE),VLOOKUP(B198,I!$A:$E,5,FALSE))</f>
        <v>27.16</v>
      </c>
      <c r="H198" s="77"/>
      <c r="I198" s="76">
        <f>TRUNC(F198*G198,2)</f>
        <v>27.16</v>
      </c>
      <c r="J198" s="77"/>
      <c r="M198" s="23">
        <f>B198</f>
        <v>88297</v>
      </c>
      <c r="N198" s="23">
        <f>SUMIF(CPUAUX1!M:M,B195,CPUAUX1!O:O)</f>
        <v>4.1610240000000003</v>
      </c>
      <c r="O198" s="23">
        <f>F198*N198</f>
        <v>4.1610240000000003</v>
      </c>
      <c r="Q198" s="23">
        <f ca="1">SUMIF(CPUAUX1!M:M,B195,CPUAUX1!R:R)</f>
        <v>1.3870079999999998</v>
      </c>
      <c r="R198" s="23">
        <f ca="1">F198*Q198</f>
        <v>1.3870079999999998</v>
      </c>
    </row>
    <row r="199" spans="1:18" x14ac:dyDescent="0.3">
      <c r="A199" s="73" t="str">
        <f>"TOTAL SEM BDI - "&amp;B195</f>
        <v>TOTAL SEM BDI - 91693</v>
      </c>
      <c r="B199" s="74"/>
      <c r="C199" s="74"/>
      <c r="D199" s="74"/>
      <c r="E199" s="74"/>
      <c r="F199" s="74"/>
      <c r="G199" s="74"/>
      <c r="H199" s="75"/>
      <c r="I199" s="76">
        <f>SUM(I195:I198)</f>
        <v>27.3</v>
      </c>
      <c r="J199" s="77"/>
    </row>
    <row r="201" spans="1:18" x14ac:dyDescent="0.3">
      <c r="A201" s="4" t="s">
        <v>1000</v>
      </c>
      <c r="B201" s="4" t="s">
        <v>170</v>
      </c>
      <c r="C201" s="4" t="s">
        <v>171</v>
      </c>
      <c r="D201" s="4" t="s">
        <v>18</v>
      </c>
      <c r="E201" s="4" t="s">
        <v>172</v>
      </c>
      <c r="F201" s="4" t="s">
        <v>507</v>
      </c>
      <c r="G201" s="45" t="s">
        <v>1001</v>
      </c>
      <c r="H201" s="46"/>
      <c r="I201" s="45" t="s">
        <v>12</v>
      </c>
      <c r="J201" s="46"/>
    </row>
    <row r="202" spans="1:18" ht="45" customHeight="1" x14ac:dyDescent="0.3">
      <c r="A202" s="15" t="s">
        <v>1076</v>
      </c>
      <c r="B202" s="15">
        <v>91692</v>
      </c>
      <c r="C202" s="15" t="str">
        <f>VLOOKUP(B202,S!$A:$G,2,FALSE)</f>
        <v>SINAPI</v>
      </c>
      <c r="D202" s="22" t="str">
        <f>VLOOKUP(B202,S!$A:$G,3,FALSE)</f>
        <v>SERRA CIRCULAR DE BANCADA COM MOTOR ELÉTRICO POTÊNCIA DE 5HP, COM COIFA PARA DISCO 10" - CHP DIURNO. AF_08/2015</v>
      </c>
      <c r="E202" s="15" t="str">
        <f>VLOOKUP(B202,S!$A:$G,4,FALSE)</f>
        <v>CHP</v>
      </c>
      <c r="F202" s="15"/>
      <c r="G202" s="78">
        <f>I208</f>
        <v>28.87</v>
      </c>
      <c r="H202" s="79"/>
      <c r="I202" s="78"/>
      <c r="J202" s="79"/>
      <c r="K202" s="16">
        <f>VLOOKUP(B202,S!A:G,5,FALSE)</f>
        <v>28.87</v>
      </c>
      <c r="L202" s="15" t="str">
        <f>IF(K202=G202,"OK, CONFORME TABELA",IF(G202&gt;K202,"ACIMA DA TABELA: ","ABAIXO DA TABELA: ")&amp;TRUNC((G202*100)/K202,2)&amp;" %")</f>
        <v>OK, CONFORME TABELA</v>
      </c>
    </row>
    <row r="203" spans="1:18" ht="45" customHeight="1" x14ac:dyDescent="0.3">
      <c r="A203" s="23" t="s">
        <v>1004</v>
      </c>
      <c r="B203" s="23">
        <v>91691</v>
      </c>
      <c r="C203" s="23" t="str">
        <f>VLOOKUP(B203,IF(A203="COMPOSICAO",S!$A:$E,I!$A:$E),2,FALSE)</f>
        <v>SINAPI</v>
      </c>
      <c r="D203" s="24" t="str">
        <f>VLOOKUP(B203,IF(A203="COMPOSICAO",S!$A:$E,I!$A:$E),3,FALSE)</f>
        <v>SERRA CIRCULAR DE BANCADA COM MOTOR ELÉTRICO POTÊNCIA DE 5HP, COM COIFA PARA DISCO 10" - MATERIAIS NA OPERAÇÃO. AF_08/2015</v>
      </c>
      <c r="E203" s="23" t="str">
        <f>VLOOKUP(B203,IF(A203="COMPOSICAO",S!$A:$E,I!$A:$E),4,FALSE)</f>
        <v>H</v>
      </c>
      <c r="F203" s="23">
        <v>1</v>
      </c>
      <c r="G203" s="76">
        <f>IF(A203="COMPOSICAO",VLOOKUP("TOTAL SEM BDI - "&amp;B203,CPUAUX3!$A:$J,9,FALSE),VLOOKUP(B203,I!$A:$E,5,FALSE))</f>
        <v>1.49</v>
      </c>
      <c r="H203" s="77"/>
      <c r="I203" s="76">
        <f>TRUNC(F203*G203,2)</f>
        <v>1.49</v>
      </c>
      <c r="J203" s="77"/>
      <c r="M203" s="23">
        <f>B203</f>
        <v>91691</v>
      </c>
      <c r="N203" s="23">
        <f>SUMIF(CPUAUX1!M:M,B202,CPUAUX1!O:O)</f>
        <v>1.0402560000000001</v>
      </c>
      <c r="O203" s="23">
        <f>F203*N203</f>
        <v>1.0402560000000001</v>
      </c>
      <c r="Q203" s="23">
        <f ca="1">SUMIF(CPUAUX1!M:M,B202,CPUAUX1!R:R)</f>
        <v>0.34675199999999995</v>
      </c>
      <c r="R203" s="23">
        <f ca="1">F203*Q203</f>
        <v>0.34675199999999995</v>
      </c>
    </row>
    <row r="204" spans="1:18" ht="45" customHeight="1" x14ac:dyDescent="0.3">
      <c r="A204" s="23" t="s">
        <v>1004</v>
      </c>
      <c r="B204" s="23">
        <v>91690</v>
      </c>
      <c r="C204" s="23" t="str">
        <f>VLOOKUP(B204,IF(A204="COMPOSICAO",S!$A:$E,I!$A:$E),2,FALSE)</f>
        <v>SINAPI</v>
      </c>
      <c r="D204" s="24" t="str">
        <f>VLOOKUP(B204,IF(A204="COMPOSICAO",S!$A:$E,I!$A:$E),3,FALSE)</f>
        <v>SERRA CIRCULAR DE BANCADA COM MOTOR ELÉTRICO POTÊNCIA DE 5HP, COM COIFA PARA DISCO 10" - MANUTENÇÃO. AF_08/2015</v>
      </c>
      <c r="E204" s="23" t="str">
        <f>VLOOKUP(B204,IF(A204="COMPOSICAO",S!$A:$E,I!$A:$E),4,FALSE)</f>
        <v>H</v>
      </c>
      <c r="F204" s="23">
        <v>1</v>
      </c>
      <c r="G204" s="76">
        <f>IF(A204="COMPOSICAO",VLOOKUP("TOTAL SEM BDI - "&amp;B204,CPUAUX3!$A:$J,9,FALSE),VLOOKUP(B204,I!$A:$E,5,FALSE))</f>
        <v>0.08</v>
      </c>
      <c r="H204" s="77"/>
      <c r="I204" s="76">
        <f>TRUNC(F204*G204,2)</f>
        <v>0.08</v>
      </c>
      <c r="J204" s="77"/>
      <c r="M204" s="23">
        <f>B204</f>
        <v>91690</v>
      </c>
      <c r="N204" s="23">
        <f>SUMIF(CPUAUX1!M:M,B202,CPUAUX1!O:O)</f>
        <v>1.0402560000000001</v>
      </c>
      <c r="O204" s="23">
        <f>F204*N204</f>
        <v>1.0402560000000001</v>
      </c>
      <c r="Q204" s="23">
        <f ca="1">SUMIF(CPUAUX1!M:M,B202,CPUAUX1!R:R)</f>
        <v>0.34675199999999995</v>
      </c>
      <c r="R204" s="23">
        <f ca="1">F204*Q204</f>
        <v>0.34675199999999995</v>
      </c>
    </row>
    <row r="205" spans="1:18" ht="45" customHeight="1" x14ac:dyDescent="0.3">
      <c r="A205" s="23" t="s">
        <v>1004</v>
      </c>
      <c r="B205" s="23">
        <v>91689</v>
      </c>
      <c r="C205" s="23" t="str">
        <f>VLOOKUP(B205,IF(A205="COMPOSICAO",S!$A:$E,I!$A:$E),2,FALSE)</f>
        <v>SINAPI</v>
      </c>
      <c r="D205" s="24" t="str">
        <f>VLOOKUP(B205,IF(A205="COMPOSICAO",S!$A:$E,I!$A:$E),3,FALSE)</f>
        <v>SERRA CIRCULAR DE BANCADA COM MOTOR ELÉTRICO POTÊNCIA DE 5HP, COM COIFA PARA DISCO 10" - JUROS. AF_08/2015</v>
      </c>
      <c r="E205" s="23" t="str">
        <f>VLOOKUP(B205,IF(A205="COMPOSICAO",S!$A:$E,I!$A:$E),4,FALSE)</f>
        <v>H</v>
      </c>
      <c r="F205" s="23">
        <v>1</v>
      </c>
      <c r="G205" s="76">
        <f>IF(A205="COMPOSICAO",VLOOKUP("TOTAL SEM BDI - "&amp;B205,CPUAUX3!$A:$J,9,FALSE),VLOOKUP(B205,I!$A:$E,5,FALSE))</f>
        <v>0.02</v>
      </c>
      <c r="H205" s="77"/>
      <c r="I205" s="76">
        <f>TRUNC(F205*G205,2)</f>
        <v>0.02</v>
      </c>
      <c r="J205" s="77"/>
      <c r="M205" s="23">
        <f>B205</f>
        <v>91689</v>
      </c>
      <c r="N205" s="23">
        <f>SUMIF(CPUAUX1!M:M,B202,CPUAUX1!O:O)</f>
        <v>1.0402560000000001</v>
      </c>
      <c r="O205" s="23">
        <f>F205*N205</f>
        <v>1.0402560000000001</v>
      </c>
      <c r="Q205" s="23">
        <f ca="1">SUMIF(CPUAUX1!M:M,B202,CPUAUX1!R:R)</f>
        <v>0.34675199999999995</v>
      </c>
      <c r="R205" s="23">
        <f ca="1">F205*Q205</f>
        <v>0.34675199999999995</v>
      </c>
    </row>
    <row r="206" spans="1:18" ht="45" customHeight="1" x14ac:dyDescent="0.3">
      <c r="A206" s="23" t="s">
        <v>1004</v>
      </c>
      <c r="B206" s="23">
        <v>91688</v>
      </c>
      <c r="C206" s="23" t="str">
        <f>VLOOKUP(B206,IF(A206="COMPOSICAO",S!$A:$E,I!$A:$E),2,FALSE)</f>
        <v>SINAPI</v>
      </c>
      <c r="D206" s="24" t="str">
        <f>VLOOKUP(B206,IF(A206="COMPOSICAO",S!$A:$E,I!$A:$E),3,FALSE)</f>
        <v>SERRA CIRCULAR DE BANCADA COM MOTOR ELÉTRICO POTÊNCIA DE 5HP, COM COIFA PARA DISCO 10" - DEPRECIAÇÃO. AF_08/2015</v>
      </c>
      <c r="E206" s="23" t="str">
        <f>VLOOKUP(B206,IF(A206="COMPOSICAO",S!$A:$E,I!$A:$E),4,FALSE)</f>
        <v>H</v>
      </c>
      <c r="F206" s="23">
        <v>1</v>
      </c>
      <c r="G206" s="76">
        <f>IF(A206="COMPOSICAO",VLOOKUP("TOTAL SEM BDI - "&amp;B206,CPUAUX3!$A:$J,9,FALSE),VLOOKUP(B206,I!$A:$E,5,FALSE))</f>
        <v>0.12</v>
      </c>
      <c r="H206" s="77"/>
      <c r="I206" s="76">
        <f>TRUNC(F206*G206,2)</f>
        <v>0.12</v>
      </c>
      <c r="J206" s="77"/>
      <c r="M206" s="23">
        <f>B206</f>
        <v>91688</v>
      </c>
      <c r="N206" s="23">
        <f>SUMIF(CPUAUX1!M:M,B202,CPUAUX1!O:O)</f>
        <v>1.0402560000000001</v>
      </c>
      <c r="O206" s="23">
        <f>F206*N206</f>
        <v>1.0402560000000001</v>
      </c>
      <c r="Q206" s="23">
        <f ca="1">SUMIF(CPUAUX1!M:M,B202,CPUAUX1!R:R)</f>
        <v>0.34675199999999995</v>
      </c>
      <c r="R206" s="23">
        <f ca="1">F206*Q206</f>
        <v>0.34675199999999995</v>
      </c>
    </row>
    <row r="207" spans="1:18" ht="30" customHeight="1" x14ac:dyDescent="0.3">
      <c r="A207" s="23" t="s">
        <v>1004</v>
      </c>
      <c r="B207" s="23">
        <v>88297</v>
      </c>
      <c r="C207" s="23" t="str">
        <f>VLOOKUP(B207,IF(A207="COMPOSICAO",S!$A:$E,I!$A:$E),2,FALSE)</f>
        <v>SINAPI</v>
      </c>
      <c r="D207" s="24" t="str">
        <f>VLOOKUP(B207,IF(A207="COMPOSICAO",S!$A:$E,I!$A:$E),3,FALSE)</f>
        <v>OPERADOR DE MÁQUINAS E EQUIPAMENTOS COM ENCARGOS COMPLEMENTARES</v>
      </c>
      <c r="E207" s="23" t="str">
        <f>VLOOKUP(B207,IF(A207="COMPOSICAO",S!$A:$E,I!$A:$E),4,FALSE)</f>
        <v>H</v>
      </c>
      <c r="F207" s="23">
        <v>1</v>
      </c>
      <c r="G207" s="76">
        <f>IF(A207="COMPOSICAO",VLOOKUP("TOTAL SEM BDI - "&amp;B207,CPUAUX3!$A:$J,9,FALSE),VLOOKUP(B207,I!$A:$E,5,FALSE))</f>
        <v>27.16</v>
      </c>
      <c r="H207" s="77"/>
      <c r="I207" s="76">
        <f>TRUNC(F207*G207,2)</f>
        <v>27.16</v>
      </c>
      <c r="J207" s="77"/>
      <c r="M207" s="23">
        <f>B207</f>
        <v>88297</v>
      </c>
      <c r="N207" s="23">
        <f>SUMIF(CPUAUX1!M:M,B202,CPUAUX1!O:O)</f>
        <v>1.0402560000000001</v>
      </c>
      <c r="O207" s="23">
        <f>F207*N207</f>
        <v>1.0402560000000001</v>
      </c>
      <c r="Q207" s="23">
        <f ca="1">SUMIF(CPUAUX1!M:M,B202,CPUAUX1!R:R)</f>
        <v>0.34675199999999995</v>
      </c>
      <c r="R207" s="23">
        <f ca="1">F207*Q207</f>
        <v>0.34675199999999995</v>
      </c>
    </row>
    <row r="208" spans="1:18" x14ac:dyDescent="0.3">
      <c r="A208" s="73" t="str">
        <f>"TOTAL SEM BDI - "&amp;B202</f>
        <v>TOTAL SEM BDI - 91692</v>
      </c>
      <c r="B208" s="74"/>
      <c r="C208" s="74"/>
      <c r="D208" s="74"/>
      <c r="E208" s="74"/>
      <c r="F208" s="74"/>
      <c r="G208" s="74"/>
      <c r="H208" s="75"/>
      <c r="I208" s="76">
        <f>SUM(I202:I207)</f>
        <v>28.87</v>
      </c>
      <c r="J208" s="77"/>
    </row>
    <row r="210" spans="1:18" x14ac:dyDescent="0.3">
      <c r="A210" s="4" t="s">
        <v>1000</v>
      </c>
      <c r="B210" s="4" t="s">
        <v>170</v>
      </c>
      <c r="C210" s="4" t="s">
        <v>171</v>
      </c>
      <c r="D210" s="4" t="s">
        <v>18</v>
      </c>
      <c r="E210" s="4" t="s">
        <v>172</v>
      </c>
      <c r="F210" s="4" t="s">
        <v>507</v>
      </c>
      <c r="G210" s="45" t="s">
        <v>1001</v>
      </c>
      <c r="H210" s="46"/>
      <c r="I210" s="45" t="s">
        <v>12</v>
      </c>
      <c r="J210" s="46"/>
    </row>
    <row r="211" spans="1:18" x14ac:dyDescent="0.3">
      <c r="A211" s="15" t="s">
        <v>1071</v>
      </c>
      <c r="B211" s="15">
        <v>88245</v>
      </c>
      <c r="C211" s="15" t="str">
        <f>VLOOKUP(B211,S!$A:$G,2,FALSE)</f>
        <v>SINAPI</v>
      </c>
      <c r="D211" s="22" t="str">
        <f>VLOOKUP(B211,S!$A:$G,3,FALSE)</f>
        <v>ARMADOR COM ENCARGOS COMPLEMENTARES</v>
      </c>
      <c r="E211" s="15" t="str">
        <f>VLOOKUP(B211,S!$A:$G,4,FALSE)</f>
        <v>H</v>
      </c>
      <c r="F211" s="15"/>
      <c r="G211" s="78">
        <f>I220</f>
        <v>27.189999999999998</v>
      </c>
      <c r="H211" s="79"/>
      <c r="I211" s="78"/>
      <c r="J211" s="79"/>
      <c r="K211" s="16">
        <f>VLOOKUP(B211,S!A:G,5,FALSE)</f>
        <v>27.19</v>
      </c>
      <c r="L211" s="15" t="str">
        <f>IF(K211=G211,"OK, CONFORME TABELA",IF(G211&gt;K211,"ACIMA DA TABELA: ","ABAIXO DA TABELA: ")&amp;TRUNC((G211*100)/K211,2)&amp;" %")</f>
        <v>OK, CONFORME TABELA</v>
      </c>
    </row>
    <row r="212" spans="1:18" ht="30" customHeight="1" x14ac:dyDescent="0.3">
      <c r="A212" s="23" t="s">
        <v>1004</v>
      </c>
      <c r="B212" s="23">
        <v>95314</v>
      </c>
      <c r="C212" s="23" t="str">
        <f>VLOOKUP(B212,IF(A212="COMPOSICAO",S!$A:$E,I!$A:$E),2,FALSE)</f>
        <v>SINAPI</v>
      </c>
      <c r="D212" s="24" t="str">
        <f>VLOOKUP(B212,IF(A212="COMPOSICAO",S!$A:$E,I!$A:$E),3,FALSE)</f>
        <v>CURSO DE CAPACITAÇÃO PARA ARMADOR (ENCARGOS COMPLEMENTARES) - HORISTA</v>
      </c>
      <c r="E212" s="23" t="str">
        <f>VLOOKUP(B212,IF(A212="COMPOSICAO",S!$A:$E,I!$A:$E),4,FALSE)</f>
        <v>H</v>
      </c>
      <c r="F212" s="23">
        <v>1</v>
      </c>
      <c r="G212" s="76">
        <f>IF(A212="COMPOSICAO",VLOOKUP("TOTAL SEM BDI - "&amp;B212,CPUAUX3!$A:$J,9,FALSE),VLOOKUP(B212,I!$A:$E,5,FALSE))</f>
        <v>0.23</v>
      </c>
      <c r="H212" s="77"/>
      <c r="I212" s="76">
        <f t="shared" ref="I212:I219" si="20">TRUNC(F212*G212,2)</f>
        <v>0.23</v>
      </c>
      <c r="J212" s="77"/>
      <c r="M212" s="23">
        <f t="shared" ref="M212:M219" si="21">B212</f>
        <v>95314</v>
      </c>
      <c r="N212" s="23">
        <f>SUMIF(CPUAUX1!M:M,B211,CPUAUX1!O:O)</f>
        <v>4.6575394200000009</v>
      </c>
      <c r="O212" s="23">
        <f t="shared" ref="O212:O219" si="22">F212*N212</f>
        <v>4.6575394200000009</v>
      </c>
      <c r="Q212" s="23">
        <f ca="1">SUMIF(CPUAUX1!M:M,B211,CPUAUX1!R:R)</f>
        <v>1.5525131400000001</v>
      </c>
      <c r="R212" s="23">
        <f t="shared" ref="R212:R219" ca="1" si="23">F212*Q212</f>
        <v>1.5525131400000001</v>
      </c>
    </row>
    <row r="213" spans="1:18" ht="30" customHeight="1" x14ac:dyDescent="0.3">
      <c r="A213" s="23" t="s">
        <v>1005</v>
      </c>
      <c r="B213" s="23">
        <v>43489</v>
      </c>
      <c r="C213" s="23" t="str">
        <f>VLOOKUP(B213,IF(A213="COMPOSICAO",S!$A:$E,I!$A:$E),2,FALSE)</f>
        <v>SINAPI</v>
      </c>
      <c r="D213" s="24" t="str">
        <f>VLOOKUP(B213,IF(A213="COMPOSICAO",S!$A:$E,I!$A:$E),3,FALSE)</f>
        <v>EPI - FAMILIA PEDREIRO - HORISTA (ENCARGOS COMPLEMENTARES - COLETADO CAIXA)</v>
      </c>
      <c r="E213" s="23" t="str">
        <f>VLOOKUP(B213,IF(A213="COMPOSICAO",S!$A:$E,I!$A:$E),4,FALSE)</f>
        <v>H</v>
      </c>
      <c r="F213" s="23">
        <v>1</v>
      </c>
      <c r="G213" s="76">
        <f>IF(A213="COMPOSICAO",VLOOKUP("TOTAL SEM BDI - "&amp;B213,CPUAUX3!$A:$J,9,FALSE),VLOOKUP(B213,I!$A:$E,5,FALSE))</f>
        <v>1.31</v>
      </c>
      <c r="H213" s="77"/>
      <c r="I213" s="76">
        <f t="shared" si="20"/>
        <v>1.31</v>
      </c>
      <c r="J213" s="77"/>
      <c r="M213" s="23">
        <f t="shared" si="21"/>
        <v>43489</v>
      </c>
      <c r="N213" s="23">
        <f>SUMIF(CPUAUX1!M:M,B211,CPUAUX1!O:O)</f>
        <v>4.6575394200000009</v>
      </c>
      <c r="O213" s="23">
        <f t="shared" si="22"/>
        <v>4.6575394200000009</v>
      </c>
      <c r="Q213" s="23">
        <f ca="1">SUMIF(CPUAUX1!M:M,B211,CPUAUX1!R:R)</f>
        <v>1.5525131400000001</v>
      </c>
      <c r="R213" s="23">
        <f t="shared" ca="1" si="23"/>
        <v>1.5525131400000001</v>
      </c>
    </row>
    <row r="214" spans="1:18" ht="30" customHeight="1" x14ac:dyDescent="0.3">
      <c r="A214" s="23" t="s">
        <v>1005</v>
      </c>
      <c r="B214" s="23">
        <v>43465</v>
      </c>
      <c r="C214" s="23" t="str">
        <f>VLOOKUP(B214,IF(A214="COMPOSICAO",S!$A:$E,I!$A:$E),2,FALSE)</f>
        <v>SINAPI</v>
      </c>
      <c r="D214" s="24" t="str">
        <f>VLOOKUP(B214,IF(A214="COMPOSICAO",S!$A:$E,I!$A:$E),3,FALSE)</f>
        <v>FERRAMENTAS - FAMILIA PEDREIRO - HORISTA (ENCARGOS COMPLEMENTARES - COLETADO CAIXA)</v>
      </c>
      <c r="E214" s="23" t="str">
        <f>VLOOKUP(B214,IF(A214="COMPOSICAO",S!$A:$E,I!$A:$E),4,FALSE)</f>
        <v>H</v>
      </c>
      <c r="F214" s="23">
        <v>1</v>
      </c>
      <c r="G214" s="76">
        <f>IF(A214="COMPOSICAO",VLOOKUP("TOTAL SEM BDI - "&amp;B214,CPUAUX3!$A:$J,9,FALSE),VLOOKUP(B214,I!$A:$E,5,FALSE))</f>
        <v>0.78</v>
      </c>
      <c r="H214" s="77"/>
      <c r="I214" s="76">
        <f t="shared" si="20"/>
        <v>0.78</v>
      </c>
      <c r="J214" s="77"/>
      <c r="M214" s="23">
        <f t="shared" si="21"/>
        <v>43465</v>
      </c>
      <c r="N214" s="23">
        <f>SUMIF(CPUAUX1!M:M,B211,CPUAUX1!O:O)</f>
        <v>4.6575394200000009</v>
      </c>
      <c r="O214" s="23">
        <f t="shared" si="22"/>
        <v>4.6575394200000009</v>
      </c>
      <c r="Q214" s="23">
        <f ca="1">SUMIF(CPUAUX1!M:M,B211,CPUAUX1!R:R)</f>
        <v>1.5525131400000001</v>
      </c>
      <c r="R214" s="23">
        <f t="shared" ca="1" si="23"/>
        <v>1.5525131400000001</v>
      </c>
    </row>
    <row r="215" spans="1:18" ht="30" customHeight="1" x14ac:dyDescent="0.3">
      <c r="A215" s="23" t="s">
        <v>1005</v>
      </c>
      <c r="B215" s="23">
        <v>37373</v>
      </c>
      <c r="C215" s="23" t="str">
        <f>VLOOKUP(B215,IF(A215="COMPOSICAO",S!$A:$E,I!$A:$E),2,FALSE)</f>
        <v>SINAPI</v>
      </c>
      <c r="D215" s="24" t="str">
        <f>VLOOKUP(B215,IF(A215="COMPOSICAO",S!$A:$E,I!$A:$E),3,FALSE)</f>
        <v>SEGURO - HORISTA (COLETADO CAIXA - ENCARGOS COMPLEMENTARES)</v>
      </c>
      <c r="E215" s="23" t="str">
        <f>VLOOKUP(B215,IF(A215="COMPOSICAO",S!$A:$E,I!$A:$E),4,FALSE)</f>
        <v>H</v>
      </c>
      <c r="F215" s="23">
        <v>1</v>
      </c>
      <c r="G215" s="76">
        <f>IF(A215="COMPOSICAO",VLOOKUP("TOTAL SEM BDI - "&amp;B215,CPUAUX3!$A:$J,9,FALSE),VLOOKUP(B215,I!$A:$E,5,FALSE))</f>
        <v>0.08</v>
      </c>
      <c r="H215" s="77"/>
      <c r="I215" s="76">
        <f t="shared" si="20"/>
        <v>0.08</v>
      </c>
      <c r="J215" s="77"/>
      <c r="M215" s="23">
        <f t="shared" si="21"/>
        <v>37373</v>
      </c>
      <c r="N215" s="23">
        <f>SUMIF(CPUAUX1!M:M,B211,CPUAUX1!O:O)</f>
        <v>4.6575394200000009</v>
      </c>
      <c r="O215" s="23">
        <f t="shared" si="22"/>
        <v>4.6575394200000009</v>
      </c>
      <c r="Q215" s="23">
        <f ca="1">SUMIF(CPUAUX1!M:M,B211,CPUAUX1!R:R)</f>
        <v>1.5525131400000001</v>
      </c>
      <c r="R215" s="23">
        <f t="shared" ca="1" si="23"/>
        <v>1.5525131400000001</v>
      </c>
    </row>
    <row r="216" spans="1:18" ht="30" customHeight="1" x14ac:dyDescent="0.3">
      <c r="A216" s="23" t="s">
        <v>1005</v>
      </c>
      <c r="B216" s="23">
        <v>37372</v>
      </c>
      <c r="C216" s="23" t="str">
        <f>VLOOKUP(B216,IF(A216="COMPOSICAO",S!$A:$E,I!$A:$E),2,FALSE)</f>
        <v>SINAPI</v>
      </c>
      <c r="D216" s="24" t="str">
        <f>VLOOKUP(B216,IF(A216="COMPOSICAO",S!$A:$E,I!$A:$E),3,FALSE)</f>
        <v>EXAMES - HORISTA (COLETADO CAIXA - ENCARGOS COMPLEMENTARES)</v>
      </c>
      <c r="E216" s="23" t="str">
        <f>VLOOKUP(B216,IF(A216="COMPOSICAO",S!$A:$E,I!$A:$E),4,FALSE)</f>
        <v>H</v>
      </c>
      <c r="F216" s="23">
        <v>1</v>
      </c>
      <c r="G216" s="76">
        <f>IF(A216="COMPOSICAO",VLOOKUP("TOTAL SEM BDI - "&amp;B216,CPUAUX3!$A:$J,9,FALSE),VLOOKUP(B216,I!$A:$E,5,FALSE))</f>
        <v>1.43</v>
      </c>
      <c r="H216" s="77"/>
      <c r="I216" s="76">
        <f t="shared" si="20"/>
        <v>1.43</v>
      </c>
      <c r="J216" s="77"/>
      <c r="M216" s="23">
        <f t="shared" si="21"/>
        <v>37372</v>
      </c>
      <c r="N216" s="23">
        <f>SUMIF(CPUAUX1!M:M,B211,CPUAUX1!O:O)</f>
        <v>4.6575394200000009</v>
      </c>
      <c r="O216" s="23">
        <f t="shared" si="22"/>
        <v>4.6575394200000009</v>
      </c>
      <c r="Q216" s="23">
        <f ca="1">SUMIF(CPUAUX1!M:M,B211,CPUAUX1!R:R)</f>
        <v>1.5525131400000001</v>
      </c>
      <c r="R216" s="23">
        <f t="shared" ca="1" si="23"/>
        <v>1.5525131400000001</v>
      </c>
    </row>
    <row r="217" spans="1:18" ht="30" customHeight="1" x14ac:dyDescent="0.3">
      <c r="A217" s="23" t="s">
        <v>1005</v>
      </c>
      <c r="B217" s="23">
        <v>37371</v>
      </c>
      <c r="C217" s="23" t="str">
        <f>VLOOKUP(B217,IF(A217="COMPOSICAO",S!$A:$E,I!$A:$E),2,FALSE)</f>
        <v>SINAPI</v>
      </c>
      <c r="D217" s="24" t="str">
        <f>VLOOKUP(B217,IF(A217="COMPOSICAO",S!$A:$E,I!$A:$E),3,FALSE)</f>
        <v>TRANSPORTE - HORISTA (COLETADO CAIXA - ENCARGOS COMPLEMENTARES)</v>
      </c>
      <c r="E217" s="23" t="str">
        <f>VLOOKUP(B217,IF(A217="COMPOSICAO",S!$A:$E,I!$A:$E),4,FALSE)</f>
        <v>H</v>
      </c>
      <c r="F217" s="23">
        <v>1</v>
      </c>
      <c r="G217" s="76">
        <f>IF(A217="COMPOSICAO",VLOOKUP("TOTAL SEM BDI - "&amp;B217,CPUAUX3!$A:$J,9,FALSE),VLOOKUP(B217,I!$A:$E,5,FALSE))</f>
        <v>0.56999999999999995</v>
      </c>
      <c r="H217" s="77"/>
      <c r="I217" s="76">
        <f t="shared" si="20"/>
        <v>0.56999999999999995</v>
      </c>
      <c r="J217" s="77"/>
      <c r="M217" s="23">
        <f t="shared" si="21"/>
        <v>37371</v>
      </c>
      <c r="N217" s="23">
        <f>SUMIF(CPUAUX1!M:M,B211,CPUAUX1!O:O)</f>
        <v>4.6575394200000009</v>
      </c>
      <c r="O217" s="23">
        <f t="shared" si="22"/>
        <v>4.6575394200000009</v>
      </c>
      <c r="Q217" s="23">
        <f ca="1">SUMIF(CPUAUX1!M:M,B211,CPUAUX1!R:R)</f>
        <v>1.5525131400000001</v>
      </c>
      <c r="R217" s="23">
        <f t="shared" ca="1" si="23"/>
        <v>1.5525131400000001</v>
      </c>
    </row>
    <row r="218" spans="1:18" ht="30" customHeight="1" x14ac:dyDescent="0.3">
      <c r="A218" s="23" t="s">
        <v>1005</v>
      </c>
      <c r="B218" s="23">
        <v>37370</v>
      </c>
      <c r="C218" s="23" t="str">
        <f>VLOOKUP(B218,IF(A218="COMPOSICAO",S!$A:$E,I!$A:$E),2,FALSE)</f>
        <v>SINAPI</v>
      </c>
      <c r="D218" s="24" t="str">
        <f>VLOOKUP(B218,IF(A218="COMPOSICAO",S!$A:$E,I!$A:$E),3,FALSE)</f>
        <v>ALIMENTACAO - HORISTA (COLETADO CAIXA - ENCARGOS COMPLEMENTARES)</v>
      </c>
      <c r="E218" s="23" t="str">
        <f>VLOOKUP(B218,IF(A218="COMPOSICAO",S!$A:$E,I!$A:$E),4,FALSE)</f>
        <v>H</v>
      </c>
      <c r="F218" s="23">
        <v>1</v>
      </c>
      <c r="G218" s="76">
        <f>IF(A218="COMPOSICAO",VLOOKUP("TOTAL SEM BDI - "&amp;B218,CPUAUX3!$A:$J,9,FALSE),VLOOKUP(B218,I!$A:$E,5,FALSE))</f>
        <v>2.46</v>
      </c>
      <c r="H218" s="77"/>
      <c r="I218" s="76">
        <f t="shared" si="20"/>
        <v>2.46</v>
      </c>
      <c r="J218" s="77"/>
      <c r="M218" s="23">
        <f t="shared" si="21"/>
        <v>37370</v>
      </c>
      <c r="N218" s="23">
        <f>SUMIF(CPUAUX1!M:M,B211,CPUAUX1!O:O)</f>
        <v>4.6575394200000009</v>
      </c>
      <c r="O218" s="23">
        <f t="shared" si="22"/>
        <v>4.6575394200000009</v>
      </c>
      <c r="Q218" s="23">
        <f ca="1">SUMIF(CPUAUX1!M:M,B211,CPUAUX1!R:R)</f>
        <v>1.5525131400000001</v>
      </c>
      <c r="R218" s="23">
        <f t="shared" ca="1" si="23"/>
        <v>1.5525131400000001</v>
      </c>
    </row>
    <row r="219" spans="1:18" x14ac:dyDescent="0.3">
      <c r="A219" s="23" t="s">
        <v>1005</v>
      </c>
      <c r="B219" s="23">
        <v>378</v>
      </c>
      <c r="C219" s="23" t="str">
        <f>VLOOKUP(B219,IF(A219="COMPOSICAO",S!$A:$E,I!$A:$E),2,FALSE)</f>
        <v>SINAPI</v>
      </c>
      <c r="D219" s="24" t="str">
        <f>VLOOKUP(B219,IF(A219="COMPOSICAO",S!$A:$E,I!$A:$E),3,FALSE)</f>
        <v>ARMADOR (HORISTA)</v>
      </c>
      <c r="E219" s="23" t="str">
        <f>VLOOKUP(B219,IF(A219="COMPOSICAO",S!$A:$E,I!$A:$E),4,FALSE)</f>
        <v>H</v>
      </c>
      <c r="F219" s="23">
        <v>1</v>
      </c>
      <c r="G219" s="76">
        <f>IF(A219="COMPOSICAO",VLOOKUP("TOTAL SEM BDI - "&amp;B219,CPUAUX3!$A:$J,9,FALSE),VLOOKUP(B219,I!$A:$E,5,FALSE))</f>
        <v>20.329999999999998</v>
      </c>
      <c r="H219" s="77"/>
      <c r="I219" s="76">
        <f t="shared" si="20"/>
        <v>20.329999999999998</v>
      </c>
      <c r="J219" s="77"/>
      <c r="M219" s="23">
        <f t="shared" si="21"/>
        <v>378</v>
      </c>
      <c r="N219" s="23">
        <f>SUMIF(CPUAUX1!M:M,B211,CPUAUX1!O:O)</f>
        <v>4.6575394200000009</v>
      </c>
      <c r="O219" s="23">
        <f t="shared" si="22"/>
        <v>4.6575394200000009</v>
      </c>
      <c r="Q219" s="23">
        <f ca="1">SUMIF(CPUAUX1!M:M,B211,CPUAUX1!R:R)</f>
        <v>1.5525131400000001</v>
      </c>
      <c r="R219" s="23">
        <f t="shared" ca="1" si="23"/>
        <v>1.5525131400000001</v>
      </c>
    </row>
    <row r="220" spans="1:18" x14ac:dyDescent="0.3">
      <c r="A220" s="73" t="str">
        <f>"TOTAL SEM BDI - "&amp;B211</f>
        <v>TOTAL SEM BDI - 88245</v>
      </c>
      <c r="B220" s="74"/>
      <c r="C220" s="74"/>
      <c r="D220" s="74"/>
      <c r="E220" s="74"/>
      <c r="F220" s="74"/>
      <c r="G220" s="74"/>
      <c r="H220" s="75"/>
      <c r="I220" s="76">
        <f>SUM(I211:I219)</f>
        <v>27.189999999999998</v>
      </c>
      <c r="J220" s="77"/>
    </row>
    <row r="222" spans="1:18" x14ac:dyDescent="0.3">
      <c r="A222" s="4" t="s">
        <v>1000</v>
      </c>
      <c r="B222" s="4" t="s">
        <v>170</v>
      </c>
      <c r="C222" s="4" t="s">
        <v>171</v>
      </c>
      <c r="D222" s="4" t="s">
        <v>18</v>
      </c>
      <c r="E222" s="4" t="s">
        <v>172</v>
      </c>
      <c r="F222" s="4" t="s">
        <v>507</v>
      </c>
      <c r="G222" s="45" t="s">
        <v>1001</v>
      </c>
      <c r="H222" s="46"/>
      <c r="I222" s="45" t="s">
        <v>12</v>
      </c>
      <c r="J222" s="46"/>
    </row>
    <row r="223" spans="1:18" ht="30" customHeight="1" x14ac:dyDescent="0.3">
      <c r="A223" s="15" t="s">
        <v>1071</v>
      </c>
      <c r="B223" s="15">
        <v>88238</v>
      </c>
      <c r="C223" s="15" t="str">
        <f>VLOOKUP(B223,S!$A:$G,2,FALSE)</f>
        <v>SINAPI</v>
      </c>
      <c r="D223" s="22" t="str">
        <f>VLOOKUP(B223,S!$A:$G,3,FALSE)</f>
        <v>AJUDANTE DE ARMADOR COM ENCARGOS COMPLEMENTARES</v>
      </c>
      <c r="E223" s="15" t="str">
        <f>VLOOKUP(B223,S!$A:$G,4,FALSE)</f>
        <v>H</v>
      </c>
      <c r="F223" s="15"/>
      <c r="G223" s="78">
        <f>I232</f>
        <v>22.37</v>
      </c>
      <c r="H223" s="79"/>
      <c r="I223" s="78"/>
      <c r="J223" s="79"/>
      <c r="K223" s="16">
        <f>VLOOKUP(B223,S!A:G,5,FALSE)</f>
        <v>22.37</v>
      </c>
      <c r="L223" s="15" t="str">
        <f>IF(K223=G223,"OK, CONFORME TABELA",IF(G223&gt;K223,"ACIMA DA TABELA: ","ABAIXO DA TABELA: ")&amp;TRUNC((G223*100)/K223,2)&amp;" %")</f>
        <v>OK, CONFORME TABELA</v>
      </c>
    </row>
    <row r="224" spans="1:18" ht="30" customHeight="1" x14ac:dyDescent="0.3">
      <c r="A224" s="23" t="s">
        <v>1004</v>
      </c>
      <c r="B224" s="23">
        <v>95308</v>
      </c>
      <c r="C224" s="23" t="str">
        <f>VLOOKUP(B224,IF(A224="COMPOSICAO",S!$A:$E,I!$A:$E),2,FALSE)</f>
        <v>SINAPI</v>
      </c>
      <c r="D224" s="24" t="str">
        <f>VLOOKUP(B224,IF(A224="COMPOSICAO",S!$A:$E,I!$A:$E),3,FALSE)</f>
        <v>CURSO DE CAPACITAÇÃO PARA AJUDANTE DE ARMADOR (ENCARGOS COMPLEMENTARES) - HORISTA</v>
      </c>
      <c r="E224" s="23" t="str">
        <f>VLOOKUP(B224,IF(A224="COMPOSICAO",S!$A:$E,I!$A:$E),4,FALSE)</f>
        <v>H</v>
      </c>
      <c r="F224" s="23">
        <v>1</v>
      </c>
      <c r="G224" s="76">
        <f>IF(A224="COMPOSICAO",VLOOKUP("TOTAL SEM BDI - "&amp;B224,CPUAUX3!$A:$J,9,FALSE),VLOOKUP(B224,I!$A:$E,5,FALSE))</f>
        <v>0.17</v>
      </c>
      <c r="H224" s="77"/>
      <c r="I224" s="76">
        <f t="shared" ref="I224:I231" si="24">TRUNC(F224*G224,2)</f>
        <v>0.17</v>
      </c>
      <c r="J224" s="77"/>
      <c r="M224" s="23">
        <f t="shared" ref="M224:M231" si="25">B224</f>
        <v>95308</v>
      </c>
      <c r="N224" s="23">
        <f>SUMIF(CPUAUX1!M:M,B223,CPUAUX1!O:O)</f>
        <v>0.97301875199999988</v>
      </c>
      <c r="O224" s="23">
        <f t="shared" ref="O224:O231" si="26">F224*N224</f>
        <v>0.97301875199999988</v>
      </c>
      <c r="Q224" s="23">
        <f ca="1">SUMIF(CPUAUX1!M:M,B223,CPUAUX1!R:R)</f>
        <v>0.32433958400000007</v>
      </c>
      <c r="R224" s="23">
        <f t="shared" ref="R224:R231" ca="1" si="27">F224*Q224</f>
        <v>0.32433958400000007</v>
      </c>
    </row>
    <row r="225" spans="1:18" ht="30" customHeight="1" x14ac:dyDescent="0.3">
      <c r="A225" s="23" t="s">
        <v>1005</v>
      </c>
      <c r="B225" s="23">
        <v>43489</v>
      </c>
      <c r="C225" s="23" t="str">
        <f>VLOOKUP(B225,IF(A225="COMPOSICAO",S!$A:$E,I!$A:$E),2,FALSE)</f>
        <v>SINAPI</v>
      </c>
      <c r="D225" s="24" t="str">
        <f>VLOOKUP(B225,IF(A225="COMPOSICAO",S!$A:$E,I!$A:$E),3,FALSE)</f>
        <v>EPI - FAMILIA PEDREIRO - HORISTA (ENCARGOS COMPLEMENTARES - COLETADO CAIXA)</v>
      </c>
      <c r="E225" s="23" t="str">
        <f>VLOOKUP(B225,IF(A225="COMPOSICAO",S!$A:$E,I!$A:$E),4,FALSE)</f>
        <v>H</v>
      </c>
      <c r="F225" s="23">
        <v>1</v>
      </c>
      <c r="G225" s="76">
        <f>IF(A225="COMPOSICAO",VLOOKUP("TOTAL SEM BDI - "&amp;B225,CPUAUX3!$A:$J,9,FALSE),VLOOKUP(B225,I!$A:$E,5,FALSE))</f>
        <v>1.31</v>
      </c>
      <c r="H225" s="77"/>
      <c r="I225" s="76">
        <f t="shared" si="24"/>
        <v>1.31</v>
      </c>
      <c r="J225" s="77"/>
      <c r="M225" s="23">
        <f t="shared" si="25"/>
        <v>43489</v>
      </c>
      <c r="N225" s="23">
        <f>SUMIF(CPUAUX1!M:M,B223,CPUAUX1!O:O)</f>
        <v>0.97301875199999988</v>
      </c>
      <c r="O225" s="23">
        <f t="shared" si="26"/>
        <v>0.97301875199999988</v>
      </c>
      <c r="Q225" s="23">
        <f ca="1">SUMIF(CPUAUX1!M:M,B223,CPUAUX1!R:R)</f>
        <v>0.32433958400000007</v>
      </c>
      <c r="R225" s="23">
        <f t="shared" ca="1" si="27"/>
        <v>0.32433958400000007</v>
      </c>
    </row>
    <row r="226" spans="1:18" ht="30" customHeight="1" x14ac:dyDescent="0.3">
      <c r="A226" s="23" t="s">
        <v>1005</v>
      </c>
      <c r="B226" s="23">
        <v>43465</v>
      </c>
      <c r="C226" s="23" t="str">
        <f>VLOOKUP(B226,IF(A226="COMPOSICAO",S!$A:$E,I!$A:$E),2,FALSE)</f>
        <v>SINAPI</v>
      </c>
      <c r="D226" s="24" t="str">
        <f>VLOOKUP(B226,IF(A226="COMPOSICAO",S!$A:$E,I!$A:$E),3,FALSE)</f>
        <v>FERRAMENTAS - FAMILIA PEDREIRO - HORISTA (ENCARGOS COMPLEMENTARES - COLETADO CAIXA)</v>
      </c>
      <c r="E226" s="23" t="str">
        <f>VLOOKUP(B226,IF(A226="COMPOSICAO",S!$A:$E,I!$A:$E),4,FALSE)</f>
        <v>H</v>
      </c>
      <c r="F226" s="23">
        <v>1</v>
      </c>
      <c r="G226" s="76">
        <f>IF(A226="COMPOSICAO",VLOOKUP("TOTAL SEM BDI - "&amp;B226,CPUAUX3!$A:$J,9,FALSE),VLOOKUP(B226,I!$A:$E,5,FALSE))</f>
        <v>0.78</v>
      </c>
      <c r="H226" s="77"/>
      <c r="I226" s="76">
        <f t="shared" si="24"/>
        <v>0.78</v>
      </c>
      <c r="J226" s="77"/>
      <c r="M226" s="23">
        <f t="shared" si="25"/>
        <v>43465</v>
      </c>
      <c r="N226" s="23">
        <f>SUMIF(CPUAUX1!M:M,B223,CPUAUX1!O:O)</f>
        <v>0.97301875199999988</v>
      </c>
      <c r="O226" s="23">
        <f t="shared" si="26"/>
        <v>0.97301875199999988</v>
      </c>
      <c r="Q226" s="23">
        <f ca="1">SUMIF(CPUAUX1!M:M,B223,CPUAUX1!R:R)</f>
        <v>0.32433958400000007</v>
      </c>
      <c r="R226" s="23">
        <f t="shared" ca="1" si="27"/>
        <v>0.32433958400000007</v>
      </c>
    </row>
    <row r="227" spans="1:18" ht="30" customHeight="1" x14ac:dyDescent="0.3">
      <c r="A227" s="23" t="s">
        <v>1005</v>
      </c>
      <c r="B227" s="23">
        <v>37373</v>
      </c>
      <c r="C227" s="23" t="str">
        <f>VLOOKUP(B227,IF(A227="COMPOSICAO",S!$A:$E,I!$A:$E),2,FALSE)</f>
        <v>SINAPI</v>
      </c>
      <c r="D227" s="24" t="str">
        <f>VLOOKUP(B227,IF(A227="COMPOSICAO",S!$A:$E,I!$A:$E),3,FALSE)</f>
        <v>SEGURO - HORISTA (COLETADO CAIXA - ENCARGOS COMPLEMENTARES)</v>
      </c>
      <c r="E227" s="23" t="str">
        <f>VLOOKUP(B227,IF(A227="COMPOSICAO",S!$A:$E,I!$A:$E),4,FALSE)</f>
        <v>H</v>
      </c>
      <c r="F227" s="23">
        <v>1</v>
      </c>
      <c r="G227" s="76">
        <f>IF(A227="COMPOSICAO",VLOOKUP("TOTAL SEM BDI - "&amp;B227,CPUAUX3!$A:$J,9,FALSE),VLOOKUP(B227,I!$A:$E,5,FALSE))</f>
        <v>0.08</v>
      </c>
      <c r="H227" s="77"/>
      <c r="I227" s="76">
        <f t="shared" si="24"/>
        <v>0.08</v>
      </c>
      <c r="J227" s="77"/>
      <c r="M227" s="23">
        <f t="shared" si="25"/>
        <v>37373</v>
      </c>
      <c r="N227" s="23">
        <f>SUMIF(CPUAUX1!M:M,B223,CPUAUX1!O:O)</f>
        <v>0.97301875199999988</v>
      </c>
      <c r="O227" s="23">
        <f t="shared" si="26"/>
        <v>0.97301875199999988</v>
      </c>
      <c r="Q227" s="23">
        <f ca="1">SUMIF(CPUAUX1!M:M,B223,CPUAUX1!R:R)</f>
        <v>0.32433958400000007</v>
      </c>
      <c r="R227" s="23">
        <f t="shared" ca="1" si="27"/>
        <v>0.32433958400000007</v>
      </c>
    </row>
    <row r="228" spans="1:18" ht="30" customHeight="1" x14ac:dyDescent="0.3">
      <c r="A228" s="23" t="s">
        <v>1005</v>
      </c>
      <c r="B228" s="23">
        <v>37372</v>
      </c>
      <c r="C228" s="23" t="str">
        <f>VLOOKUP(B228,IF(A228="COMPOSICAO",S!$A:$E,I!$A:$E),2,FALSE)</f>
        <v>SINAPI</v>
      </c>
      <c r="D228" s="24" t="str">
        <f>VLOOKUP(B228,IF(A228="COMPOSICAO",S!$A:$E,I!$A:$E),3,FALSE)</f>
        <v>EXAMES - HORISTA (COLETADO CAIXA - ENCARGOS COMPLEMENTARES)</v>
      </c>
      <c r="E228" s="23" t="str">
        <f>VLOOKUP(B228,IF(A228="COMPOSICAO",S!$A:$E,I!$A:$E),4,FALSE)</f>
        <v>H</v>
      </c>
      <c r="F228" s="23">
        <v>1</v>
      </c>
      <c r="G228" s="76">
        <f>IF(A228="COMPOSICAO",VLOOKUP("TOTAL SEM BDI - "&amp;B228,CPUAUX3!$A:$J,9,FALSE),VLOOKUP(B228,I!$A:$E,5,FALSE))</f>
        <v>1.43</v>
      </c>
      <c r="H228" s="77"/>
      <c r="I228" s="76">
        <f t="shared" si="24"/>
        <v>1.43</v>
      </c>
      <c r="J228" s="77"/>
      <c r="M228" s="23">
        <f t="shared" si="25"/>
        <v>37372</v>
      </c>
      <c r="N228" s="23">
        <f>SUMIF(CPUAUX1!M:M,B223,CPUAUX1!O:O)</f>
        <v>0.97301875199999988</v>
      </c>
      <c r="O228" s="23">
        <f t="shared" si="26"/>
        <v>0.97301875199999988</v>
      </c>
      <c r="Q228" s="23">
        <f ca="1">SUMIF(CPUAUX1!M:M,B223,CPUAUX1!R:R)</f>
        <v>0.32433958400000007</v>
      </c>
      <c r="R228" s="23">
        <f t="shared" ca="1" si="27"/>
        <v>0.32433958400000007</v>
      </c>
    </row>
    <row r="229" spans="1:18" ht="30" customHeight="1" x14ac:dyDescent="0.3">
      <c r="A229" s="23" t="s">
        <v>1005</v>
      </c>
      <c r="B229" s="23">
        <v>37371</v>
      </c>
      <c r="C229" s="23" t="str">
        <f>VLOOKUP(B229,IF(A229="COMPOSICAO",S!$A:$E,I!$A:$E),2,FALSE)</f>
        <v>SINAPI</v>
      </c>
      <c r="D229" s="24" t="str">
        <f>VLOOKUP(B229,IF(A229="COMPOSICAO",S!$A:$E,I!$A:$E),3,FALSE)</f>
        <v>TRANSPORTE - HORISTA (COLETADO CAIXA - ENCARGOS COMPLEMENTARES)</v>
      </c>
      <c r="E229" s="23" t="str">
        <f>VLOOKUP(B229,IF(A229="COMPOSICAO",S!$A:$E,I!$A:$E),4,FALSE)</f>
        <v>H</v>
      </c>
      <c r="F229" s="23">
        <v>1</v>
      </c>
      <c r="G229" s="76">
        <f>IF(A229="COMPOSICAO",VLOOKUP("TOTAL SEM BDI - "&amp;B229,CPUAUX3!$A:$J,9,FALSE),VLOOKUP(B229,I!$A:$E,5,FALSE))</f>
        <v>0.56999999999999995</v>
      </c>
      <c r="H229" s="77"/>
      <c r="I229" s="76">
        <f t="shared" si="24"/>
        <v>0.56999999999999995</v>
      </c>
      <c r="J229" s="77"/>
      <c r="M229" s="23">
        <f t="shared" si="25"/>
        <v>37371</v>
      </c>
      <c r="N229" s="23">
        <f>SUMIF(CPUAUX1!M:M,B223,CPUAUX1!O:O)</f>
        <v>0.97301875199999988</v>
      </c>
      <c r="O229" s="23">
        <f t="shared" si="26"/>
        <v>0.97301875199999988</v>
      </c>
      <c r="Q229" s="23">
        <f ca="1">SUMIF(CPUAUX1!M:M,B223,CPUAUX1!R:R)</f>
        <v>0.32433958400000007</v>
      </c>
      <c r="R229" s="23">
        <f t="shared" ca="1" si="27"/>
        <v>0.32433958400000007</v>
      </c>
    </row>
    <row r="230" spans="1:18" ht="30" customHeight="1" x14ac:dyDescent="0.3">
      <c r="A230" s="23" t="s">
        <v>1005</v>
      </c>
      <c r="B230" s="23">
        <v>37370</v>
      </c>
      <c r="C230" s="23" t="str">
        <f>VLOOKUP(B230,IF(A230="COMPOSICAO",S!$A:$E,I!$A:$E),2,FALSE)</f>
        <v>SINAPI</v>
      </c>
      <c r="D230" s="24" t="str">
        <f>VLOOKUP(B230,IF(A230="COMPOSICAO",S!$A:$E,I!$A:$E),3,FALSE)</f>
        <v>ALIMENTACAO - HORISTA (COLETADO CAIXA - ENCARGOS COMPLEMENTARES)</v>
      </c>
      <c r="E230" s="23" t="str">
        <f>VLOOKUP(B230,IF(A230="COMPOSICAO",S!$A:$E,I!$A:$E),4,FALSE)</f>
        <v>H</v>
      </c>
      <c r="F230" s="23">
        <v>1</v>
      </c>
      <c r="G230" s="76">
        <f>IF(A230="COMPOSICAO",VLOOKUP("TOTAL SEM BDI - "&amp;B230,CPUAUX3!$A:$J,9,FALSE),VLOOKUP(B230,I!$A:$E,5,FALSE))</f>
        <v>2.46</v>
      </c>
      <c r="H230" s="77"/>
      <c r="I230" s="76">
        <f t="shared" si="24"/>
        <v>2.46</v>
      </c>
      <c r="J230" s="77"/>
      <c r="M230" s="23">
        <f t="shared" si="25"/>
        <v>37370</v>
      </c>
      <c r="N230" s="23">
        <f>SUMIF(CPUAUX1!M:M,B223,CPUAUX1!O:O)</f>
        <v>0.97301875199999988</v>
      </c>
      <c r="O230" s="23">
        <f t="shared" si="26"/>
        <v>0.97301875199999988</v>
      </c>
      <c r="Q230" s="23">
        <f ca="1">SUMIF(CPUAUX1!M:M,B223,CPUAUX1!R:R)</f>
        <v>0.32433958400000007</v>
      </c>
      <c r="R230" s="23">
        <f t="shared" ca="1" si="27"/>
        <v>0.32433958400000007</v>
      </c>
    </row>
    <row r="231" spans="1:18" x14ac:dyDescent="0.3">
      <c r="A231" s="23" t="s">
        <v>1005</v>
      </c>
      <c r="B231" s="23">
        <v>6114</v>
      </c>
      <c r="C231" s="23" t="str">
        <f>VLOOKUP(B231,IF(A231="COMPOSICAO",S!$A:$E,I!$A:$E),2,FALSE)</f>
        <v>SINAPI</v>
      </c>
      <c r="D231" s="24" t="str">
        <f>VLOOKUP(B231,IF(A231="COMPOSICAO",S!$A:$E,I!$A:$E),3,FALSE)</f>
        <v>AJUDANTE DE ARMADOR (HORISTA)</v>
      </c>
      <c r="E231" s="23" t="str">
        <f>VLOOKUP(B231,IF(A231="COMPOSICAO",S!$A:$E,I!$A:$E),4,FALSE)</f>
        <v>H</v>
      </c>
      <c r="F231" s="23">
        <v>1</v>
      </c>
      <c r="G231" s="76">
        <f>IF(A231="COMPOSICAO",VLOOKUP("TOTAL SEM BDI - "&amp;B231,CPUAUX3!$A:$J,9,FALSE),VLOOKUP(B231,I!$A:$E,5,FALSE))</f>
        <v>15.57</v>
      </c>
      <c r="H231" s="77"/>
      <c r="I231" s="76">
        <f t="shared" si="24"/>
        <v>15.57</v>
      </c>
      <c r="J231" s="77"/>
      <c r="M231" s="23">
        <f t="shared" si="25"/>
        <v>6114</v>
      </c>
      <c r="N231" s="23">
        <f>SUMIF(CPUAUX1!M:M,B223,CPUAUX1!O:O)</f>
        <v>0.97301875199999988</v>
      </c>
      <c r="O231" s="23">
        <f t="shared" si="26"/>
        <v>0.97301875199999988</v>
      </c>
      <c r="Q231" s="23">
        <f ca="1">SUMIF(CPUAUX1!M:M,B223,CPUAUX1!R:R)</f>
        <v>0.32433958400000007</v>
      </c>
      <c r="R231" s="23">
        <f t="shared" ca="1" si="27"/>
        <v>0.32433958400000007</v>
      </c>
    </row>
    <row r="232" spans="1:18" x14ac:dyDescent="0.3">
      <c r="A232" s="73" t="str">
        <f>"TOTAL SEM BDI - "&amp;B223</f>
        <v>TOTAL SEM BDI - 88238</v>
      </c>
      <c r="B232" s="74"/>
      <c r="C232" s="74"/>
      <c r="D232" s="74"/>
      <c r="E232" s="74"/>
      <c r="F232" s="74"/>
      <c r="G232" s="74"/>
      <c r="H232" s="75"/>
      <c r="I232" s="76">
        <f>SUM(I223:I231)</f>
        <v>22.37</v>
      </c>
      <c r="J232" s="77"/>
    </row>
    <row r="234" spans="1:18" x14ac:dyDescent="0.3">
      <c r="A234" s="4" t="s">
        <v>1000</v>
      </c>
      <c r="B234" s="4" t="s">
        <v>170</v>
      </c>
      <c r="C234" s="4" t="s">
        <v>171</v>
      </c>
      <c r="D234" s="4" t="s">
        <v>18</v>
      </c>
      <c r="E234" s="4" t="s">
        <v>172</v>
      </c>
      <c r="F234" s="4" t="s">
        <v>507</v>
      </c>
      <c r="G234" s="45" t="s">
        <v>1001</v>
      </c>
      <c r="H234" s="46"/>
      <c r="I234" s="45" t="s">
        <v>12</v>
      </c>
      <c r="J234" s="46"/>
    </row>
    <row r="235" spans="1:18" ht="45" customHeight="1" x14ac:dyDescent="0.3">
      <c r="A235" s="15" t="s">
        <v>1076</v>
      </c>
      <c r="B235" s="15">
        <v>90587</v>
      </c>
      <c r="C235" s="15" t="str">
        <f>VLOOKUP(B235,S!$A:$G,2,FALSE)</f>
        <v>SINAPI</v>
      </c>
      <c r="D235" s="22" t="str">
        <f>VLOOKUP(B235,S!$A:$G,3,FALSE)</f>
        <v>VIBRADOR DE IMERSÃO, DIÂMETRO DE PONTEIRA 45MM, MOTOR ELÉTRICO TRIFÁSICO POTÊNCIA DE 2 CV - CHI DIURNO. AF_06/2015</v>
      </c>
      <c r="E235" s="15" t="str">
        <f>VLOOKUP(B235,S!$A:$G,4,FALSE)</f>
        <v>CHI</v>
      </c>
      <c r="F235" s="15"/>
      <c r="G235" s="78">
        <f>I238</f>
        <v>0.48</v>
      </c>
      <c r="H235" s="79"/>
      <c r="I235" s="78"/>
      <c r="J235" s="79"/>
      <c r="K235" s="16">
        <f>VLOOKUP(B235,S!A:G,5,FALSE)</f>
        <v>0.48</v>
      </c>
      <c r="L235" s="15" t="str">
        <f>IF(K235=G235,"OK, CONFORME TABELA",IF(G235&gt;K235,"ACIMA DA TABELA: ","ABAIXO DA TABELA: ")&amp;TRUNC((G235*100)/K235,2)&amp;" %")</f>
        <v>OK, CONFORME TABELA</v>
      </c>
    </row>
    <row r="236" spans="1:18" ht="45" customHeight="1" x14ac:dyDescent="0.3">
      <c r="A236" s="23" t="s">
        <v>1004</v>
      </c>
      <c r="B236" s="23">
        <v>90583</v>
      </c>
      <c r="C236" s="23" t="str">
        <f>VLOOKUP(B236,IF(A236="COMPOSICAO",S!$A:$E,I!$A:$E),2,FALSE)</f>
        <v>SINAPI</v>
      </c>
      <c r="D236" s="24" t="str">
        <f>VLOOKUP(B236,IF(A236="COMPOSICAO",S!$A:$E,I!$A:$E),3,FALSE)</f>
        <v>VIBRADOR DE IMERSÃO, DIÂMETRO DE PONTEIRA 45MM, MOTOR ELÉTRICO TRIFÁSICO POTÊNCIA DE 2 CV - JUROS. AF_06/2015</v>
      </c>
      <c r="E236" s="23" t="str">
        <f>VLOOKUP(B236,IF(A236="COMPOSICAO",S!$A:$E,I!$A:$E),4,FALSE)</f>
        <v>H</v>
      </c>
      <c r="F236" s="23">
        <v>1</v>
      </c>
      <c r="G236" s="76">
        <f>IF(A236="COMPOSICAO",VLOOKUP("TOTAL SEM BDI - "&amp;B236,CPUAUX3!$A:$J,9,FALSE),VLOOKUP(B236,I!$A:$E,5,FALSE))</f>
        <v>0.09</v>
      </c>
      <c r="H236" s="77"/>
      <c r="I236" s="76">
        <f>TRUNC(F236*G236,2)</f>
        <v>0.09</v>
      </c>
      <c r="J236" s="77"/>
      <c r="M236" s="23">
        <f>B236</f>
        <v>90583</v>
      </c>
      <c r="N236" s="23">
        <f>SUMIF(CPUAUX1!M:M,B235,CPUAUX1!O:O)</f>
        <v>2.8899000000000005E-2</v>
      </c>
      <c r="O236" s="23">
        <f>F236*N236</f>
        <v>2.8899000000000005E-2</v>
      </c>
      <c r="Q236" s="23">
        <f ca="1">SUMIF(CPUAUX1!M:M,B235,CPUAUX1!R:R)</f>
        <v>9.6330000000000027E-3</v>
      </c>
      <c r="R236" s="23">
        <f ca="1">F236*Q236</f>
        <v>9.6330000000000027E-3</v>
      </c>
    </row>
    <row r="237" spans="1:18" ht="45" customHeight="1" x14ac:dyDescent="0.3">
      <c r="A237" s="23" t="s">
        <v>1004</v>
      </c>
      <c r="B237" s="23">
        <v>90582</v>
      </c>
      <c r="C237" s="23" t="str">
        <f>VLOOKUP(B237,IF(A237="COMPOSICAO",S!$A:$E,I!$A:$E),2,FALSE)</f>
        <v>SINAPI</v>
      </c>
      <c r="D237" s="24" t="str">
        <f>VLOOKUP(B237,IF(A237="COMPOSICAO",S!$A:$E,I!$A:$E),3,FALSE)</f>
        <v>VIBRADOR DE IMERSÃO, DIÂMETRO DE PONTEIRA 45MM, MOTOR ELÉTRICO TRIFÁSICO POTÊNCIA DE 2 CV - DEPRECIAÇÃO. AF_06/2015</v>
      </c>
      <c r="E237" s="23" t="str">
        <f>VLOOKUP(B237,IF(A237="COMPOSICAO",S!$A:$E,I!$A:$E),4,FALSE)</f>
        <v>H</v>
      </c>
      <c r="F237" s="23">
        <v>1</v>
      </c>
      <c r="G237" s="76">
        <f>IF(A237="COMPOSICAO",VLOOKUP("TOTAL SEM BDI - "&amp;B237,CPUAUX3!$A:$J,9,FALSE),VLOOKUP(B237,I!$A:$E,5,FALSE))</f>
        <v>0.39</v>
      </c>
      <c r="H237" s="77"/>
      <c r="I237" s="76">
        <f>TRUNC(F237*G237,2)</f>
        <v>0.39</v>
      </c>
      <c r="J237" s="77"/>
      <c r="M237" s="23">
        <f>B237</f>
        <v>90582</v>
      </c>
      <c r="N237" s="23">
        <f>SUMIF(CPUAUX1!M:M,B235,CPUAUX1!O:O)</f>
        <v>2.8899000000000005E-2</v>
      </c>
      <c r="O237" s="23">
        <f>F237*N237</f>
        <v>2.8899000000000005E-2</v>
      </c>
      <c r="Q237" s="23">
        <f ca="1">SUMIF(CPUAUX1!M:M,B235,CPUAUX1!R:R)</f>
        <v>9.6330000000000027E-3</v>
      </c>
      <c r="R237" s="23">
        <f ca="1">F237*Q237</f>
        <v>9.6330000000000027E-3</v>
      </c>
    </row>
    <row r="238" spans="1:18" x14ac:dyDescent="0.3">
      <c r="A238" s="73" t="str">
        <f>"TOTAL SEM BDI - "&amp;B235</f>
        <v>TOTAL SEM BDI - 90587</v>
      </c>
      <c r="B238" s="74"/>
      <c r="C238" s="74"/>
      <c r="D238" s="74"/>
      <c r="E238" s="74"/>
      <c r="F238" s="74"/>
      <c r="G238" s="74"/>
      <c r="H238" s="75"/>
      <c r="I238" s="76">
        <f>SUM(I235:I237)</f>
        <v>0.48</v>
      </c>
      <c r="J238" s="77"/>
    </row>
    <row r="240" spans="1:18" x14ac:dyDescent="0.3">
      <c r="A240" s="4" t="s">
        <v>1000</v>
      </c>
      <c r="B240" s="4" t="s">
        <v>170</v>
      </c>
      <c r="C240" s="4" t="s">
        <v>171</v>
      </c>
      <c r="D240" s="4" t="s">
        <v>18</v>
      </c>
      <c r="E240" s="4" t="s">
        <v>172</v>
      </c>
      <c r="F240" s="4" t="s">
        <v>507</v>
      </c>
      <c r="G240" s="45" t="s">
        <v>1001</v>
      </c>
      <c r="H240" s="46"/>
      <c r="I240" s="45" t="s">
        <v>12</v>
      </c>
      <c r="J240" s="46"/>
    </row>
    <row r="241" spans="1:18" ht="45" customHeight="1" x14ac:dyDescent="0.3">
      <c r="A241" s="15" t="s">
        <v>1076</v>
      </c>
      <c r="B241" s="15">
        <v>90586</v>
      </c>
      <c r="C241" s="15" t="str">
        <f>VLOOKUP(B241,S!$A:$G,2,FALSE)</f>
        <v>SINAPI</v>
      </c>
      <c r="D241" s="22" t="str">
        <f>VLOOKUP(B241,S!$A:$G,3,FALSE)</f>
        <v>VIBRADOR DE IMERSÃO, DIÂMETRO DE PONTEIRA 45MM, MOTOR ELÉTRICO TRIFÁSICO POTÊNCIA DE 2 CV - CHP DIURNO. AF_06/2015</v>
      </c>
      <c r="E241" s="15" t="str">
        <f>VLOOKUP(B241,S!$A:$G,4,FALSE)</f>
        <v>CHP</v>
      </c>
      <c r="F241" s="15"/>
      <c r="G241" s="78">
        <f>I246</f>
        <v>1.3599999999999999</v>
      </c>
      <c r="H241" s="79"/>
      <c r="I241" s="78"/>
      <c r="J241" s="79"/>
      <c r="K241" s="16">
        <f>VLOOKUP(B241,S!A:G,5,FALSE)</f>
        <v>1.36</v>
      </c>
      <c r="L241" s="15" t="str">
        <f>IF(K241=G241,"OK, CONFORME TABELA",IF(G241&gt;K241,"ACIMA DA TABELA: ","ABAIXO DA TABELA: ")&amp;TRUNC((G241*100)/K241,2)&amp;" %")</f>
        <v>OK, CONFORME TABELA</v>
      </c>
    </row>
    <row r="242" spans="1:18" ht="45" customHeight="1" x14ac:dyDescent="0.3">
      <c r="A242" s="23" t="s">
        <v>1004</v>
      </c>
      <c r="B242" s="23">
        <v>90585</v>
      </c>
      <c r="C242" s="23" t="str">
        <f>VLOOKUP(B242,IF(A242="COMPOSICAO",S!$A:$E,I!$A:$E),2,FALSE)</f>
        <v>SINAPI</v>
      </c>
      <c r="D242" s="24" t="str">
        <f>VLOOKUP(B242,IF(A242="COMPOSICAO",S!$A:$E,I!$A:$E),3,FALSE)</f>
        <v>VIBRADOR DE IMERSÃO, DIÂMETRO DE PONTEIRA 45MM, MOTOR ELÉTRICO TRIFÁSICO POTÊNCIA DE 2 CV - MATERIAIS NA OPERAÇÃO. AF_06/2015</v>
      </c>
      <c r="E242" s="23" t="str">
        <f>VLOOKUP(B242,IF(A242="COMPOSICAO",S!$A:$E,I!$A:$E),4,FALSE)</f>
        <v>H</v>
      </c>
      <c r="F242" s="23">
        <v>1</v>
      </c>
      <c r="G242" s="76">
        <f>IF(A242="COMPOSICAO",VLOOKUP("TOTAL SEM BDI - "&amp;B242,CPUAUX3!$A:$J,9,FALSE),VLOOKUP(B242,I!$A:$E,5,FALSE))</f>
        <v>0.56999999999999995</v>
      </c>
      <c r="H242" s="77"/>
      <c r="I242" s="76">
        <f>TRUNC(F242*G242,2)</f>
        <v>0.56999999999999995</v>
      </c>
      <c r="J242" s="77"/>
      <c r="M242" s="23">
        <f>B242</f>
        <v>90585</v>
      </c>
      <c r="N242" s="23">
        <f>SUMIF(CPUAUX1!M:M,B241,CPUAUX1!O:O)</f>
        <v>2.0896200000000004E-2</v>
      </c>
      <c r="O242" s="23">
        <f>F242*N242</f>
        <v>2.0896200000000004E-2</v>
      </c>
      <c r="Q242" s="23">
        <f ca="1">SUMIF(CPUAUX1!M:M,B241,CPUAUX1!R:R)</f>
        <v>6.9654000000000009E-3</v>
      </c>
      <c r="R242" s="23">
        <f ca="1">F242*Q242</f>
        <v>6.9654000000000009E-3</v>
      </c>
    </row>
    <row r="243" spans="1:18" ht="45" customHeight="1" x14ac:dyDescent="0.3">
      <c r="A243" s="23" t="s">
        <v>1004</v>
      </c>
      <c r="B243" s="23">
        <v>90584</v>
      </c>
      <c r="C243" s="23" t="str">
        <f>VLOOKUP(B243,IF(A243="COMPOSICAO",S!$A:$E,I!$A:$E),2,FALSE)</f>
        <v>SINAPI</v>
      </c>
      <c r="D243" s="24" t="str">
        <f>VLOOKUP(B243,IF(A243="COMPOSICAO",S!$A:$E,I!$A:$E),3,FALSE)</f>
        <v>VIBRADOR DE IMERSÃO, DIÂMETRO DE PONTEIRA 45MM, MOTOR ELÉTRICO TRIFÁSICO POTÊNCIA DE 2 CV - MANUTENÇÃO. AF_06/2015</v>
      </c>
      <c r="E243" s="23" t="str">
        <f>VLOOKUP(B243,IF(A243="COMPOSICAO",S!$A:$E,I!$A:$E),4,FALSE)</f>
        <v>H</v>
      </c>
      <c r="F243" s="23">
        <v>1</v>
      </c>
      <c r="G243" s="76">
        <f>IF(A243="COMPOSICAO",VLOOKUP("TOTAL SEM BDI - "&amp;B243,CPUAUX3!$A:$J,9,FALSE),VLOOKUP(B243,I!$A:$E,5,FALSE))</f>
        <v>0.31</v>
      </c>
      <c r="H243" s="77"/>
      <c r="I243" s="76">
        <f>TRUNC(F243*G243,2)</f>
        <v>0.31</v>
      </c>
      <c r="J243" s="77"/>
      <c r="M243" s="23">
        <f>B243</f>
        <v>90584</v>
      </c>
      <c r="N243" s="23">
        <f>SUMIF(CPUAUX1!M:M,B241,CPUAUX1!O:O)</f>
        <v>2.0896200000000004E-2</v>
      </c>
      <c r="O243" s="23">
        <f>F243*N243</f>
        <v>2.0896200000000004E-2</v>
      </c>
      <c r="Q243" s="23">
        <f ca="1">SUMIF(CPUAUX1!M:M,B241,CPUAUX1!R:R)</f>
        <v>6.9654000000000009E-3</v>
      </c>
      <c r="R243" s="23">
        <f ca="1">F243*Q243</f>
        <v>6.9654000000000009E-3</v>
      </c>
    </row>
    <row r="244" spans="1:18" ht="45" customHeight="1" x14ac:dyDescent="0.3">
      <c r="A244" s="23" t="s">
        <v>1004</v>
      </c>
      <c r="B244" s="23">
        <v>90583</v>
      </c>
      <c r="C244" s="23" t="str">
        <f>VLOOKUP(B244,IF(A244="COMPOSICAO",S!$A:$E,I!$A:$E),2,FALSE)</f>
        <v>SINAPI</v>
      </c>
      <c r="D244" s="24" t="str">
        <f>VLOOKUP(B244,IF(A244="COMPOSICAO",S!$A:$E,I!$A:$E),3,FALSE)</f>
        <v>VIBRADOR DE IMERSÃO, DIÂMETRO DE PONTEIRA 45MM, MOTOR ELÉTRICO TRIFÁSICO POTÊNCIA DE 2 CV - JUROS. AF_06/2015</v>
      </c>
      <c r="E244" s="23" t="str">
        <f>VLOOKUP(B244,IF(A244="COMPOSICAO",S!$A:$E,I!$A:$E),4,FALSE)</f>
        <v>H</v>
      </c>
      <c r="F244" s="23">
        <v>1</v>
      </c>
      <c r="G244" s="76">
        <f>IF(A244="COMPOSICAO",VLOOKUP("TOTAL SEM BDI - "&amp;B244,CPUAUX3!$A:$J,9,FALSE),VLOOKUP(B244,I!$A:$E,5,FALSE))</f>
        <v>0.09</v>
      </c>
      <c r="H244" s="77"/>
      <c r="I244" s="76">
        <f>TRUNC(F244*G244,2)</f>
        <v>0.09</v>
      </c>
      <c r="J244" s="77"/>
      <c r="M244" s="23">
        <f>B244</f>
        <v>90583</v>
      </c>
      <c r="N244" s="23">
        <f>SUMIF(CPUAUX1!M:M,B241,CPUAUX1!O:O)</f>
        <v>2.0896200000000004E-2</v>
      </c>
      <c r="O244" s="23">
        <f>F244*N244</f>
        <v>2.0896200000000004E-2</v>
      </c>
      <c r="Q244" s="23">
        <f ca="1">SUMIF(CPUAUX1!M:M,B241,CPUAUX1!R:R)</f>
        <v>6.9654000000000009E-3</v>
      </c>
      <c r="R244" s="23">
        <f ca="1">F244*Q244</f>
        <v>6.9654000000000009E-3</v>
      </c>
    </row>
    <row r="245" spans="1:18" ht="45" customHeight="1" x14ac:dyDescent="0.3">
      <c r="A245" s="23" t="s">
        <v>1004</v>
      </c>
      <c r="B245" s="23">
        <v>90582</v>
      </c>
      <c r="C245" s="23" t="str">
        <f>VLOOKUP(B245,IF(A245="COMPOSICAO",S!$A:$E,I!$A:$E),2,FALSE)</f>
        <v>SINAPI</v>
      </c>
      <c r="D245" s="24" t="str">
        <f>VLOOKUP(B245,IF(A245="COMPOSICAO",S!$A:$E,I!$A:$E),3,FALSE)</f>
        <v>VIBRADOR DE IMERSÃO, DIÂMETRO DE PONTEIRA 45MM, MOTOR ELÉTRICO TRIFÁSICO POTÊNCIA DE 2 CV - DEPRECIAÇÃO. AF_06/2015</v>
      </c>
      <c r="E245" s="23" t="str">
        <f>VLOOKUP(B245,IF(A245="COMPOSICAO",S!$A:$E,I!$A:$E),4,FALSE)</f>
        <v>H</v>
      </c>
      <c r="F245" s="23">
        <v>1</v>
      </c>
      <c r="G245" s="76">
        <f>IF(A245="COMPOSICAO",VLOOKUP("TOTAL SEM BDI - "&amp;B245,CPUAUX3!$A:$J,9,FALSE),VLOOKUP(B245,I!$A:$E,5,FALSE))</f>
        <v>0.39</v>
      </c>
      <c r="H245" s="77"/>
      <c r="I245" s="76">
        <f>TRUNC(F245*G245,2)</f>
        <v>0.39</v>
      </c>
      <c r="J245" s="77"/>
      <c r="M245" s="23">
        <f>B245</f>
        <v>90582</v>
      </c>
      <c r="N245" s="23">
        <f>SUMIF(CPUAUX1!M:M,B241,CPUAUX1!O:O)</f>
        <v>2.0896200000000004E-2</v>
      </c>
      <c r="O245" s="23">
        <f>F245*N245</f>
        <v>2.0896200000000004E-2</v>
      </c>
      <c r="Q245" s="23">
        <f ca="1">SUMIF(CPUAUX1!M:M,B241,CPUAUX1!R:R)</f>
        <v>6.9654000000000009E-3</v>
      </c>
      <c r="R245" s="23">
        <f ca="1">F245*Q245</f>
        <v>6.9654000000000009E-3</v>
      </c>
    </row>
    <row r="246" spans="1:18" x14ac:dyDescent="0.3">
      <c r="A246" s="73" t="str">
        <f>"TOTAL SEM BDI - "&amp;B241</f>
        <v>TOTAL SEM BDI - 90586</v>
      </c>
      <c r="B246" s="74"/>
      <c r="C246" s="74"/>
      <c r="D246" s="74"/>
      <c r="E246" s="74"/>
      <c r="F246" s="74"/>
      <c r="G246" s="74"/>
      <c r="H246" s="75"/>
      <c r="I246" s="76">
        <f>SUM(I241:I245)</f>
        <v>1.3599999999999999</v>
      </c>
      <c r="J246" s="77"/>
    </row>
    <row r="248" spans="1:18" x14ac:dyDescent="0.3">
      <c r="A248" s="4" t="s">
        <v>1000</v>
      </c>
      <c r="B248" s="4" t="s">
        <v>170</v>
      </c>
      <c r="C248" s="4" t="s">
        <v>171</v>
      </c>
      <c r="D248" s="4" t="s">
        <v>18</v>
      </c>
      <c r="E248" s="4" t="s">
        <v>172</v>
      </c>
      <c r="F248" s="4" t="s">
        <v>507</v>
      </c>
      <c r="G248" s="45" t="s">
        <v>1001</v>
      </c>
      <c r="H248" s="46"/>
      <c r="I248" s="45" t="s">
        <v>12</v>
      </c>
      <c r="J248" s="46"/>
    </row>
    <row r="249" spans="1:18" x14ac:dyDescent="0.3">
      <c r="A249" s="15" t="s">
        <v>1071</v>
      </c>
      <c r="B249" s="15">
        <v>88309</v>
      </c>
      <c r="C249" s="15" t="str">
        <f>VLOOKUP(B249,S!$A:$G,2,FALSE)</f>
        <v>SINAPI</v>
      </c>
      <c r="D249" s="22" t="str">
        <f>VLOOKUP(B249,S!$A:$G,3,FALSE)</f>
        <v>PEDREIRO COM ENCARGOS COMPLEMENTARES</v>
      </c>
      <c r="E249" s="15" t="str">
        <f>VLOOKUP(B249,S!$A:$G,4,FALSE)</f>
        <v>H</v>
      </c>
      <c r="F249" s="15"/>
      <c r="G249" s="78">
        <f>I258</f>
        <v>27.39</v>
      </c>
      <c r="H249" s="79"/>
      <c r="I249" s="78"/>
      <c r="J249" s="79"/>
      <c r="K249" s="16">
        <f>VLOOKUP(B249,S!A:G,5,FALSE)</f>
        <v>27.39</v>
      </c>
      <c r="L249" s="15" t="str">
        <f>IF(K249=G249,"OK, CONFORME TABELA",IF(G249&gt;K249,"ACIMA DA TABELA: ","ABAIXO DA TABELA: ")&amp;TRUNC((G249*100)/K249,2)&amp;" %")</f>
        <v>OK, CONFORME TABELA</v>
      </c>
    </row>
    <row r="250" spans="1:18" ht="30" customHeight="1" x14ac:dyDescent="0.3">
      <c r="A250" s="23" t="s">
        <v>1004</v>
      </c>
      <c r="B250" s="23">
        <v>95371</v>
      </c>
      <c r="C250" s="23" t="str">
        <f>VLOOKUP(B250,IF(A250="COMPOSICAO",S!$A:$E,I!$A:$E),2,FALSE)</f>
        <v>SINAPI</v>
      </c>
      <c r="D250" s="24" t="str">
        <f>VLOOKUP(B250,IF(A250="COMPOSICAO",S!$A:$E,I!$A:$E),3,FALSE)</f>
        <v>CURSO DE CAPACITAÇÃO PARA PEDREIRO (ENCARGOS COMPLEMENTARES) - HORISTA</v>
      </c>
      <c r="E250" s="23" t="str">
        <f>VLOOKUP(B250,IF(A250="COMPOSICAO",S!$A:$E,I!$A:$E),4,FALSE)</f>
        <v>H</v>
      </c>
      <c r="F250" s="23">
        <v>1</v>
      </c>
      <c r="G250" s="76">
        <f>IF(A250="COMPOSICAO",VLOOKUP("TOTAL SEM BDI - "&amp;B250,CPUAUX3!$A:$J,9,FALSE),VLOOKUP(B250,I!$A:$E,5,FALSE))</f>
        <v>0.43</v>
      </c>
      <c r="H250" s="77"/>
      <c r="I250" s="76">
        <f t="shared" ref="I250:I257" si="28">TRUNC(F250*G250,2)</f>
        <v>0.43</v>
      </c>
      <c r="J250" s="77"/>
      <c r="M250" s="23">
        <f t="shared" ref="M250:M257" si="29">B250</f>
        <v>95371</v>
      </c>
      <c r="N250" s="23">
        <f>SUMIF(CPUAUX1!M:M,B249,CPUAUX1!O:O)</f>
        <v>4.9795200000000005E-2</v>
      </c>
      <c r="O250" s="23">
        <f t="shared" ref="O250:O257" si="30">F250*N250</f>
        <v>4.9795200000000005E-2</v>
      </c>
      <c r="Q250" s="23">
        <f ca="1">SUMIF(CPUAUX1!M:M,B249,CPUAUX1!R:R)</f>
        <v>1.6598400000000003E-2</v>
      </c>
      <c r="R250" s="23">
        <f t="shared" ref="R250:R257" ca="1" si="31">F250*Q250</f>
        <v>1.6598400000000003E-2</v>
      </c>
    </row>
    <row r="251" spans="1:18" ht="30" customHeight="1" x14ac:dyDescent="0.3">
      <c r="A251" s="23" t="s">
        <v>1005</v>
      </c>
      <c r="B251" s="23">
        <v>43489</v>
      </c>
      <c r="C251" s="23" t="str">
        <f>VLOOKUP(B251,IF(A251="COMPOSICAO",S!$A:$E,I!$A:$E),2,FALSE)</f>
        <v>SINAPI</v>
      </c>
      <c r="D251" s="24" t="str">
        <f>VLOOKUP(B251,IF(A251="COMPOSICAO",S!$A:$E,I!$A:$E),3,FALSE)</f>
        <v>EPI - FAMILIA PEDREIRO - HORISTA (ENCARGOS COMPLEMENTARES - COLETADO CAIXA)</v>
      </c>
      <c r="E251" s="23" t="str">
        <f>VLOOKUP(B251,IF(A251="COMPOSICAO",S!$A:$E,I!$A:$E),4,FALSE)</f>
        <v>H</v>
      </c>
      <c r="F251" s="23">
        <v>1</v>
      </c>
      <c r="G251" s="76">
        <f>IF(A251="COMPOSICAO",VLOOKUP("TOTAL SEM BDI - "&amp;B251,CPUAUX3!$A:$J,9,FALSE),VLOOKUP(B251,I!$A:$E,5,FALSE))</f>
        <v>1.31</v>
      </c>
      <c r="H251" s="77"/>
      <c r="I251" s="76">
        <f t="shared" si="28"/>
        <v>1.31</v>
      </c>
      <c r="J251" s="77"/>
      <c r="M251" s="23">
        <f t="shared" si="29"/>
        <v>43489</v>
      </c>
      <c r="N251" s="23">
        <f>SUMIF(CPUAUX1!M:M,B249,CPUAUX1!O:O)</f>
        <v>4.9795200000000005E-2</v>
      </c>
      <c r="O251" s="23">
        <f t="shared" si="30"/>
        <v>4.9795200000000005E-2</v>
      </c>
      <c r="Q251" s="23">
        <f ca="1">SUMIF(CPUAUX1!M:M,B249,CPUAUX1!R:R)</f>
        <v>1.6598400000000003E-2</v>
      </c>
      <c r="R251" s="23">
        <f t="shared" ca="1" si="31"/>
        <v>1.6598400000000003E-2</v>
      </c>
    </row>
    <row r="252" spans="1:18" ht="30" customHeight="1" x14ac:dyDescent="0.3">
      <c r="A252" s="23" t="s">
        <v>1005</v>
      </c>
      <c r="B252" s="23">
        <v>43465</v>
      </c>
      <c r="C252" s="23" t="str">
        <f>VLOOKUP(B252,IF(A252="COMPOSICAO",S!$A:$E,I!$A:$E),2,FALSE)</f>
        <v>SINAPI</v>
      </c>
      <c r="D252" s="24" t="str">
        <f>VLOOKUP(B252,IF(A252="COMPOSICAO",S!$A:$E,I!$A:$E),3,FALSE)</f>
        <v>FERRAMENTAS - FAMILIA PEDREIRO - HORISTA (ENCARGOS COMPLEMENTARES - COLETADO CAIXA)</v>
      </c>
      <c r="E252" s="23" t="str">
        <f>VLOOKUP(B252,IF(A252="COMPOSICAO",S!$A:$E,I!$A:$E),4,FALSE)</f>
        <v>H</v>
      </c>
      <c r="F252" s="23">
        <v>1</v>
      </c>
      <c r="G252" s="76">
        <f>IF(A252="COMPOSICAO",VLOOKUP("TOTAL SEM BDI - "&amp;B252,CPUAUX3!$A:$J,9,FALSE),VLOOKUP(B252,I!$A:$E,5,FALSE))</f>
        <v>0.78</v>
      </c>
      <c r="H252" s="77"/>
      <c r="I252" s="76">
        <f t="shared" si="28"/>
        <v>0.78</v>
      </c>
      <c r="J252" s="77"/>
      <c r="M252" s="23">
        <f t="shared" si="29"/>
        <v>43465</v>
      </c>
      <c r="N252" s="23">
        <f>SUMIF(CPUAUX1!M:M,B249,CPUAUX1!O:O)</f>
        <v>4.9795200000000005E-2</v>
      </c>
      <c r="O252" s="23">
        <f t="shared" si="30"/>
        <v>4.9795200000000005E-2</v>
      </c>
      <c r="Q252" s="23">
        <f ca="1">SUMIF(CPUAUX1!M:M,B249,CPUAUX1!R:R)</f>
        <v>1.6598400000000003E-2</v>
      </c>
      <c r="R252" s="23">
        <f t="shared" ca="1" si="31"/>
        <v>1.6598400000000003E-2</v>
      </c>
    </row>
    <row r="253" spans="1:18" ht="30" customHeight="1" x14ac:dyDescent="0.3">
      <c r="A253" s="23" t="s">
        <v>1005</v>
      </c>
      <c r="B253" s="23">
        <v>37373</v>
      </c>
      <c r="C253" s="23" t="str">
        <f>VLOOKUP(B253,IF(A253="COMPOSICAO",S!$A:$E,I!$A:$E),2,FALSE)</f>
        <v>SINAPI</v>
      </c>
      <c r="D253" s="24" t="str">
        <f>VLOOKUP(B253,IF(A253="COMPOSICAO",S!$A:$E,I!$A:$E),3,FALSE)</f>
        <v>SEGURO - HORISTA (COLETADO CAIXA - ENCARGOS COMPLEMENTARES)</v>
      </c>
      <c r="E253" s="23" t="str">
        <f>VLOOKUP(B253,IF(A253="COMPOSICAO",S!$A:$E,I!$A:$E),4,FALSE)</f>
        <v>H</v>
      </c>
      <c r="F253" s="23">
        <v>1</v>
      </c>
      <c r="G253" s="76">
        <f>IF(A253="COMPOSICAO",VLOOKUP("TOTAL SEM BDI - "&amp;B253,CPUAUX3!$A:$J,9,FALSE),VLOOKUP(B253,I!$A:$E,5,FALSE))</f>
        <v>0.08</v>
      </c>
      <c r="H253" s="77"/>
      <c r="I253" s="76">
        <f t="shared" si="28"/>
        <v>0.08</v>
      </c>
      <c r="J253" s="77"/>
      <c r="M253" s="23">
        <f t="shared" si="29"/>
        <v>37373</v>
      </c>
      <c r="N253" s="23">
        <f>SUMIF(CPUAUX1!M:M,B249,CPUAUX1!O:O)</f>
        <v>4.9795200000000005E-2</v>
      </c>
      <c r="O253" s="23">
        <f t="shared" si="30"/>
        <v>4.9795200000000005E-2</v>
      </c>
      <c r="Q253" s="23">
        <f ca="1">SUMIF(CPUAUX1!M:M,B249,CPUAUX1!R:R)</f>
        <v>1.6598400000000003E-2</v>
      </c>
      <c r="R253" s="23">
        <f t="shared" ca="1" si="31"/>
        <v>1.6598400000000003E-2</v>
      </c>
    </row>
    <row r="254" spans="1:18" ht="30" customHeight="1" x14ac:dyDescent="0.3">
      <c r="A254" s="23" t="s">
        <v>1005</v>
      </c>
      <c r="B254" s="23">
        <v>37372</v>
      </c>
      <c r="C254" s="23" t="str">
        <f>VLOOKUP(B254,IF(A254="COMPOSICAO",S!$A:$E,I!$A:$E),2,FALSE)</f>
        <v>SINAPI</v>
      </c>
      <c r="D254" s="24" t="str">
        <f>VLOOKUP(B254,IF(A254="COMPOSICAO",S!$A:$E,I!$A:$E),3,FALSE)</f>
        <v>EXAMES - HORISTA (COLETADO CAIXA - ENCARGOS COMPLEMENTARES)</v>
      </c>
      <c r="E254" s="23" t="str">
        <f>VLOOKUP(B254,IF(A254="COMPOSICAO",S!$A:$E,I!$A:$E),4,FALSE)</f>
        <v>H</v>
      </c>
      <c r="F254" s="23">
        <v>1</v>
      </c>
      <c r="G254" s="76">
        <f>IF(A254="COMPOSICAO",VLOOKUP("TOTAL SEM BDI - "&amp;B254,CPUAUX3!$A:$J,9,FALSE),VLOOKUP(B254,I!$A:$E,5,FALSE))</f>
        <v>1.43</v>
      </c>
      <c r="H254" s="77"/>
      <c r="I254" s="76">
        <f t="shared" si="28"/>
        <v>1.43</v>
      </c>
      <c r="J254" s="77"/>
      <c r="M254" s="23">
        <f t="shared" si="29"/>
        <v>37372</v>
      </c>
      <c r="N254" s="23">
        <f>SUMIF(CPUAUX1!M:M,B249,CPUAUX1!O:O)</f>
        <v>4.9795200000000005E-2</v>
      </c>
      <c r="O254" s="23">
        <f t="shared" si="30"/>
        <v>4.9795200000000005E-2</v>
      </c>
      <c r="Q254" s="23">
        <f ca="1">SUMIF(CPUAUX1!M:M,B249,CPUAUX1!R:R)</f>
        <v>1.6598400000000003E-2</v>
      </c>
      <c r="R254" s="23">
        <f t="shared" ca="1" si="31"/>
        <v>1.6598400000000003E-2</v>
      </c>
    </row>
    <row r="255" spans="1:18" ht="30" customHeight="1" x14ac:dyDescent="0.3">
      <c r="A255" s="23" t="s">
        <v>1005</v>
      </c>
      <c r="B255" s="23">
        <v>37371</v>
      </c>
      <c r="C255" s="23" t="str">
        <f>VLOOKUP(B255,IF(A255="COMPOSICAO",S!$A:$E,I!$A:$E),2,FALSE)</f>
        <v>SINAPI</v>
      </c>
      <c r="D255" s="24" t="str">
        <f>VLOOKUP(B255,IF(A255="COMPOSICAO",S!$A:$E,I!$A:$E),3,FALSE)</f>
        <v>TRANSPORTE - HORISTA (COLETADO CAIXA - ENCARGOS COMPLEMENTARES)</v>
      </c>
      <c r="E255" s="23" t="str">
        <f>VLOOKUP(B255,IF(A255="COMPOSICAO",S!$A:$E,I!$A:$E),4,FALSE)</f>
        <v>H</v>
      </c>
      <c r="F255" s="23">
        <v>1</v>
      </c>
      <c r="G255" s="76">
        <f>IF(A255="COMPOSICAO",VLOOKUP("TOTAL SEM BDI - "&amp;B255,CPUAUX3!$A:$J,9,FALSE),VLOOKUP(B255,I!$A:$E,5,FALSE))</f>
        <v>0.56999999999999995</v>
      </c>
      <c r="H255" s="77"/>
      <c r="I255" s="76">
        <f t="shared" si="28"/>
        <v>0.56999999999999995</v>
      </c>
      <c r="J255" s="77"/>
      <c r="M255" s="23">
        <f t="shared" si="29"/>
        <v>37371</v>
      </c>
      <c r="N255" s="23">
        <f>SUMIF(CPUAUX1!M:M,B249,CPUAUX1!O:O)</f>
        <v>4.9795200000000005E-2</v>
      </c>
      <c r="O255" s="23">
        <f t="shared" si="30"/>
        <v>4.9795200000000005E-2</v>
      </c>
      <c r="Q255" s="23">
        <f ca="1">SUMIF(CPUAUX1!M:M,B249,CPUAUX1!R:R)</f>
        <v>1.6598400000000003E-2</v>
      </c>
      <c r="R255" s="23">
        <f t="shared" ca="1" si="31"/>
        <v>1.6598400000000003E-2</v>
      </c>
    </row>
    <row r="256" spans="1:18" ht="30" customHeight="1" x14ac:dyDescent="0.3">
      <c r="A256" s="23" t="s">
        <v>1005</v>
      </c>
      <c r="B256" s="23">
        <v>37370</v>
      </c>
      <c r="C256" s="23" t="str">
        <f>VLOOKUP(B256,IF(A256="COMPOSICAO",S!$A:$E,I!$A:$E),2,FALSE)</f>
        <v>SINAPI</v>
      </c>
      <c r="D256" s="24" t="str">
        <f>VLOOKUP(B256,IF(A256="COMPOSICAO",S!$A:$E,I!$A:$E),3,FALSE)</f>
        <v>ALIMENTACAO - HORISTA (COLETADO CAIXA - ENCARGOS COMPLEMENTARES)</v>
      </c>
      <c r="E256" s="23" t="str">
        <f>VLOOKUP(B256,IF(A256="COMPOSICAO",S!$A:$E,I!$A:$E),4,FALSE)</f>
        <v>H</v>
      </c>
      <c r="F256" s="23">
        <v>1</v>
      </c>
      <c r="G256" s="76">
        <f>IF(A256="COMPOSICAO",VLOOKUP("TOTAL SEM BDI - "&amp;B256,CPUAUX3!$A:$J,9,FALSE),VLOOKUP(B256,I!$A:$E,5,FALSE))</f>
        <v>2.46</v>
      </c>
      <c r="H256" s="77"/>
      <c r="I256" s="76">
        <f t="shared" si="28"/>
        <v>2.46</v>
      </c>
      <c r="J256" s="77"/>
      <c r="M256" s="23">
        <f t="shared" si="29"/>
        <v>37370</v>
      </c>
      <c r="N256" s="23">
        <f>SUMIF(CPUAUX1!M:M,B249,CPUAUX1!O:O)</f>
        <v>4.9795200000000005E-2</v>
      </c>
      <c r="O256" s="23">
        <f t="shared" si="30"/>
        <v>4.9795200000000005E-2</v>
      </c>
      <c r="Q256" s="23">
        <f ca="1">SUMIF(CPUAUX1!M:M,B249,CPUAUX1!R:R)</f>
        <v>1.6598400000000003E-2</v>
      </c>
      <c r="R256" s="23">
        <f t="shared" ca="1" si="31"/>
        <v>1.6598400000000003E-2</v>
      </c>
    </row>
    <row r="257" spans="1:18" x14ac:dyDescent="0.3">
      <c r="A257" s="23" t="s">
        <v>1005</v>
      </c>
      <c r="B257" s="23">
        <v>4750</v>
      </c>
      <c r="C257" s="23" t="str">
        <f>VLOOKUP(B257,IF(A257="COMPOSICAO",S!$A:$E,I!$A:$E),2,FALSE)</f>
        <v>SINAPI</v>
      </c>
      <c r="D257" s="24" t="str">
        <f>VLOOKUP(B257,IF(A257="COMPOSICAO",S!$A:$E,I!$A:$E),3,FALSE)</f>
        <v>PEDREIRO (HORISTA)</v>
      </c>
      <c r="E257" s="23" t="str">
        <f>VLOOKUP(B257,IF(A257="COMPOSICAO",S!$A:$E,I!$A:$E),4,FALSE)</f>
        <v>H</v>
      </c>
      <c r="F257" s="23">
        <v>1</v>
      </c>
      <c r="G257" s="76">
        <f>IF(A257="COMPOSICAO",VLOOKUP("TOTAL SEM BDI - "&amp;B257,CPUAUX3!$A:$J,9,FALSE),VLOOKUP(B257,I!$A:$E,5,FALSE))</f>
        <v>20.329999999999998</v>
      </c>
      <c r="H257" s="77"/>
      <c r="I257" s="76">
        <f t="shared" si="28"/>
        <v>20.329999999999998</v>
      </c>
      <c r="J257" s="77"/>
      <c r="M257" s="23">
        <f t="shared" si="29"/>
        <v>4750</v>
      </c>
      <c r="N257" s="23">
        <f>SUMIF(CPUAUX1!M:M,B249,CPUAUX1!O:O)</f>
        <v>4.9795200000000005E-2</v>
      </c>
      <c r="O257" s="23">
        <f t="shared" si="30"/>
        <v>4.9795200000000005E-2</v>
      </c>
      <c r="Q257" s="23">
        <f ca="1">SUMIF(CPUAUX1!M:M,B249,CPUAUX1!R:R)</f>
        <v>1.6598400000000003E-2</v>
      </c>
      <c r="R257" s="23">
        <f t="shared" ca="1" si="31"/>
        <v>1.6598400000000003E-2</v>
      </c>
    </row>
    <row r="258" spans="1:18" x14ac:dyDescent="0.3">
      <c r="A258" s="73" t="str">
        <f>"TOTAL SEM BDI - "&amp;B249</f>
        <v>TOTAL SEM BDI - 88309</v>
      </c>
      <c r="B258" s="74"/>
      <c r="C258" s="74"/>
      <c r="D258" s="74"/>
      <c r="E258" s="74"/>
      <c r="F258" s="74"/>
      <c r="G258" s="74"/>
      <c r="H258" s="75"/>
      <c r="I258" s="76">
        <f>SUM(I249:I257)</f>
        <v>27.39</v>
      </c>
      <c r="J258" s="77"/>
    </row>
    <row r="260" spans="1:18" x14ac:dyDescent="0.3">
      <c r="A260" s="4" t="s">
        <v>1000</v>
      </c>
      <c r="B260" s="4" t="s">
        <v>170</v>
      </c>
      <c r="C260" s="4" t="s">
        <v>171</v>
      </c>
      <c r="D260" s="4" t="s">
        <v>18</v>
      </c>
      <c r="E260" s="4" t="s">
        <v>172</v>
      </c>
      <c r="F260" s="4" t="s">
        <v>507</v>
      </c>
      <c r="G260" s="45" t="s">
        <v>1001</v>
      </c>
      <c r="H260" s="46"/>
      <c r="I260" s="45" t="s">
        <v>12</v>
      </c>
      <c r="J260" s="46"/>
    </row>
    <row r="261" spans="1:18" ht="45" customHeight="1" x14ac:dyDescent="0.3">
      <c r="A261" s="15" t="s">
        <v>1077</v>
      </c>
      <c r="B261" s="15">
        <v>92263</v>
      </c>
      <c r="C261" s="15" t="str">
        <f>VLOOKUP(B261,S!$A:$G,2,FALSE)</f>
        <v>SINAPI</v>
      </c>
      <c r="D261" s="22" t="str">
        <f>VLOOKUP(B261,S!$A:$G,3,FALSE)</f>
        <v>FABRICAÇÃO DE FÔRMA PARA PILARES E ESTRUTURAS SIMILARES, EM CHAPA DE MADEIRA COMPENSADA RESINADA, E = 17 MM. AF_09/2020</v>
      </c>
      <c r="E261" s="15" t="str">
        <f>VLOOKUP(B261,S!$A:$G,4,FALSE)</f>
        <v>M2</v>
      </c>
      <c r="F261" s="15"/>
      <c r="G261" s="78">
        <f>I270</f>
        <v>191.48</v>
      </c>
      <c r="H261" s="79"/>
      <c r="I261" s="78"/>
      <c r="J261" s="79"/>
      <c r="K261" s="16">
        <f>VLOOKUP(B261,S!A:G,5,FALSE)</f>
        <v>191.48</v>
      </c>
      <c r="L261" s="15" t="str">
        <f>IF(K261=G261,"OK, CONFORME TABELA",IF(G261&gt;K261,"ACIMA DA TABELA: ","ABAIXO DA TABELA: ")&amp;TRUNC((G261*100)/K261,2)&amp;" %")</f>
        <v>OK, CONFORME TABELA</v>
      </c>
    </row>
    <row r="262" spans="1:18" ht="45" customHeight="1" x14ac:dyDescent="0.3">
      <c r="A262" s="23" t="s">
        <v>1004</v>
      </c>
      <c r="B262" s="23">
        <v>91693</v>
      </c>
      <c r="C262" s="23" t="str">
        <f>VLOOKUP(B262,IF(A262="COMPOSICAO",S!$A:$E,I!$A:$E),2,FALSE)</f>
        <v>SINAPI</v>
      </c>
      <c r="D262" s="24" t="str">
        <f>VLOOKUP(B262,IF(A262="COMPOSICAO",S!$A:$E,I!$A:$E),3,FALSE)</f>
        <v>SERRA CIRCULAR DE BANCADA COM MOTOR ELÉTRICO POTÊNCIA DE 5HP, COM COIFA PARA DISCO 10" - CHI DIURNO. AF_08/2015</v>
      </c>
      <c r="E262" s="23" t="str">
        <f>VLOOKUP(B262,IF(A262="COMPOSICAO",S!$A:$E,I!$A:$E),4,FALSE)</f>
        <v>CHI</v>
      </c>
      <c r="F262" s="23">
        <v>0.255</v>
      </c>
      <c r="G262" s="76">
        <f>IF(A262="COMPOSICAO",VLOOKUP("TOTAL SEM BDI - "&amp;B262,CPUAUX3!$A:$J,9,FALSE),VLOOKUP(B262,I!$A:$E,5,FALSE))</f>
        <v>27.3</v>
      </c>
      <c r="H262" s="77"/>
      <c r="I262" s="76">
        <f t="shared" ref="I262:I269" si="32">TRUNC(F262*G262,2)</f>
        <v>6.96</v>
      </c>
      <c r="J262" s="77"/>
      <c r="M262" s="23">
        <f t="shared" ref="M262:M269" si="33">B262</f>
        <v>91693</v>
      </c>
      <c r="N262" s="23">
        <f>SUMIF(CPUAUX1!M:M,B261,CPUAUX1!O:O)</f>
        <v>0.73171350000000013</v>
      </c>
      <c r="O262" s="23">
        <f t="shared" ref="O262:O269" si="34">F262*N262</f>
        <v>0.18658694250000005</v>
      </c>
      <c r="Q262" s="23">
        <f ca="1">SUMIF(CPUAUX1!M:M,B261,CPUAUX1!R:R)</f>
        <v>0.24390450000000002</v>
      </c>
      <c r="R262" s="23">
        <f t="shared" ref="R262:R269" ca="1" si="35">F262*Q262</f>
        <v>6.2195647500000006E-2</v>
      </c>
    </row>
    <row r="263" spans="1:18" ht="45" customHeight="1" x14ac:dyDescent="0.3">
      <c r="A263" s="23" t="s">
        <v>1004</v>
      </c>
      <c r="B263" s="23">
        <v>91692</v>
      </c>
      <c r="C263" s="23" t="str">
        <f>VLOOKUP(B263,IF(A263="COMPOSICAO",S!$A:$E,I!$A:$E),2,FALSE)</f>
        <v>SINAPI</v>
      </c>
      <c r="D263" s="24" t="str">
        <f>VLOOKUP(B263,IF(A263="COMPOSICAO",S!$A:$E,I!$A:$E),3,FALSE)</f>
        <v>SERRA CIRCULAR DE BANCADA COM MOTOR ELÉTRICO POTÊNCIA DE 5HP, COM COIFA PARA DISCO 10" - CHP DIURNO. AF_08/2015</v>
      </c>
      <c r="E263" s="23" t="str">
        <f>VLOOKUP(B263,IF(A263="COMPOSICAO",S!$A:$E,I!$A:$E),4,FALSE)</f>
        <v>CHP</v>
      </c>
      <c r="F263" s="23">
        <v>6.3E-2</v>
      </c>
      <c r="G263" s="76">
        <f>IF(A263="COMPOSICAO",VLOOKUP("TOTAL SEM BDI - "&amp;B263,CPUAUX3!$A:$J,9,FALSE),VLOOKUP(B263,I!$A:$E,5,FALSE))</f>
        <v>28.87</v>
      </c>
      <c r="H263" s="77"/>
      <c r="I263" s="76">
        <f t="shared" si="32"/>
        <v>1.81</v>
      </c>
      <c r="J263" s="77"/>
      <c r="M263" s="23">
        <f t="shared" si="33"/>
        <v>91692</v>
      </c>
      <c r="N263" s="23">
        <f>SUMIF(CPUAUX1!M:M,B261,CPUAUX1!O:O)</f>
        <v>0.73171350000000013</v>
      </c>
      <c r="O263" s="23">
        <f t="shared" si="34"/>
        <v>4.6097950500000005E-2</v>
      </c>
      <c r="Q263" s="23">
        <f ca="1">SUMIF(CPUAUX1!M:M,B261,CPUAUX1!R:R)</f>
        <v>0.24390450000000002</v>
      </c>
      <c r="R263" s="23">
        <f t="shared" ca="1" si="35"/>
        <v>1.5365983500000001E-2</v>
      </c>
    </row>
    <row r="264" spans="1:18" ht="30" customHeight="1" x14ac:dyDescent="0.3">
      <c r="A264" s="23" t="s">
        <v>1004</v>
      </c>
      <c r="B264" s="23">
        <v>88262</v>
      </c>
      <c r="C264" s="23" t="str">
        <f>VLOOKUP(B264,IF(A264="COMPOSICAO",S!$A:$E,I!$A:$E),2,FALSE)</f>
        <v>SINAPI</v>
      </c>
      <c r="D264" s="24" t="str">
        <f>VLOOKUP(B264,IF(A264="COMPOSICAO",S!$A:$E,I!$A:$E),3,FALSE)</f>
        <v>CARPINTEIRO DE FORMAS COM ENCARGOS COMPLEMENTARES</v>
      </c>
      <c r="E264" s="23" t="str">
        <f>VLOOKUP(B264,IF(A264="COMPOSICAO",S!$A:$E,I!$A:$E),4,FALSE)</f>
        <v>H</v>
      </c>
      <c r="F264" s="23">
        <f>1.18/pcf</f>
        <v>1.18</v>
      </c>
      <c r="G264" s="76">
        <f>IF(A264="COMPOSICAO",VLOOKUP("TOTAL SEM BDI - "&amp;B264,CPUAUX3!$A:$J,9,FALSE),VLOOKUP(B264,I!$A:$E,5,FALSE))</f>
        <v>26.97</v>
      </c>
      <c r="H264" s="77"/>
      <c r="I264" s="76">
        <f t="shared" si="32"/>
        <v>31.82</v>
      </c>
      <c r="J264" s="77"/>
      <c r="M264" s="23">
        <f t="shared" si="33"/>
        <v>88262</v>
      </c>
      <c r="N264" s="23">
        <f>SUMIF(CPUAUX1!M:M,B261,CPUAUX1!O:O)</f>
        <v>0.73171350000000013</v>
      </c>
      <c r="O264" s="23">
        <f t="shared" si="34"/>
        <v>0.86342193000000012</v>
      </c>
      <c r="Q264" s="23">
        <f ca="1">SUMIF(CPUAUX1!M:M,B261,CPUAUX1!R:R)</f>
        <v>0.24390450000000002</v>
      </c>
      <c r="R264" s="23">
        <f t="shared" ca="1" si="35"/>
        <v>0.28780731000000004</v>
      </c>
    </row>
    <row r="265" spans="1:18" ht="30" customHeight="1" x14ac:dyDescent="0.3">
      <c r="A265" s="23" t="s">
        <v>1004</v>
      </c>
      <c r="B265" s="23">
        <v>88239</v>
      </c>
      <c r="C265" s="23" t="str">
        <f>VLOOKUP(B265,IF(A265="COMPOSICAO",S!$A:$E,I!$A:$E),2,FALSE)</f>
        <v>SINAPI</v>
      </c>
      <c r="D265" s="24" t="str">
        <f>VLOOKUP(B265,IF(A265="COMPOSICAO",S!$A:$E,I!$A:$E),3,FALSE)</f>
        <v>AJUDANTE DE CARPINTEIRO COM ENCARGOS COMPLEMENTARES</v>
      </c>
      <c r="E265" s="23" t="str">
        <f>VLOOKUP(B265,IF(A265="COMPOSICAO",S!$A:$E,I!$A:$E),4,FALSE)</f>
        <v>H</v>
      </c>
      <c r="F265" s="23">
        <f>0.25/pcf</f>
        <v>0.25</v>
      </c>
      <c r="G265" s="76">
        <f>IF(A265="COMPOSICAO",VLOOKUP("TOTAL SEM BDI - "&amp;B265,CPUAUX3!$A:$J,9,FALSE),VLOOKUP(B265,I!$A:$E,5,FALSE))</f>
        <v>22.2</v>
      </c>
      <c r="H265" s="77"/>
      <c r="I265" s="76">
        <f t="shared" si="32"/>
        <v>5.55</v>
      </c>
      <c r="J265" s="77"/>
      <c r="M265" s="23">
        <f t="shared" si="33"/>
        <v>88239</v>
      </c>
      <c r="N265" s="23">
        <f>SUMIF(CPUAUX1!M:M,B261,CPUAUX1!O:O)</f>
        <v>0.73171350000000013</v>
      </c>
      <c r="O265" s="23">
        <f t="shared" si="34"/>
        <v>0.18292837500000003</v>
      </c>
      <c r="Q265" s="23">
        <f ca="1">SUMIF(CPUAUX1!M:M,B261,CPUAUX1!R:R)</f>
        <v>0.24390450000000002</v>
      </c>
      <c r="R265" s="23">
        <f t="shared" ca="1" si="35"/>
        <v>6.0976125000000006E-2</v>
      </c>
    </row>
    <row r="266" spans="1:18" ht="30" customHeight="1" x14ac:dyDescent="0.3">
      <c r="A266" s="23" t="s">
        <v>1005</v>
      </c>
      <c r="B266" s="23">
        <v>5068</v>
      </c>
      <c r="C266" s="23" t="str">
        <f>VLOOKUP(B266,IF(A266="COMPOSICAO",S!$A:$E,I!$A:$E),2,FALSE)</f>
        <v>SINAPI</v>
      </c>
      <c r="D266" s="24" t="str">
        <f>VLOOKUP(B266,IF(A266="COMPOSICAO",S!$A:$E,I!$A:$E),3,FALSE)</f>
        <v>PREGO DE ACO POLIDO COM CABECA 17 X 21 (2 X 11)</v>
      </c>
      <c r="E266" s="23" t="str">
        <f>VLOOKUP(B266,IF(A266="COMPOSICAO",S!$A:$E,I!$A:$E),4,FALSE)</f>
        <v>KG</v>
      </c>
      <c r="F266" s="23">
        <v>0.20799999999999999</v>
      </c>
      <c r="G266" s="76">
        <f>IF(A266="COMPOSICAO",VLOOKUP("TOTAL SEM BDI - "&amp;B266,CPUAUX3!$A:$J,9,FALSE),VLOOKUP(B266,I!$A:$E,5,FALSE))</f>
        <v>20.34</v>
      </c>
      <c r="H266" s="77"/>
      <c r="I266" s="76">
        <f t="shared" si="32"/>
        <v>4.2300000000000004</v>
      </c>
      <c r="J266" s="77"/>
      <c r="M266" s="23">
        <f t="shared" si="33"/>
        <v>5068</v>
      </c>
      <c r="N266" s="23">
        <f>SUMIF(CPUAUX1!M:M,B261,CPUAUX1!O:O)</f>
        <v>0.73171350000000013</v>
      </c>
      <c r="O266" s="23">
        <f t="shared" si="34"/>
        <v>0.15219640800000003</v>
      </c>
      <c r="Q266" s="23">
        <f ca="1">SUMIF(CPUAUX1!M:M,B261,CPUAUX1!R:R)</f>
        <v>0.24390450000000002</v>
      </c>
      <c r="R266" s="23">
        <f t="shared" ca="1" si="35"/>
        <v>5.0732136000000004E-2</v>
      </c>
    </row>
    <row r="267" spans="1:18" ht="30" customHeight="1" x14ac:dyDescent="0.3">
      <c r="A267" s="23" t="s">
        <v>1005</v>
      </c>
      <c r="B267" s="23">
        <v>4517</v>
      </c>
      <c r="C267" s="23" t="str">
        <f>VLOOKUP(B267,IF(A267="COMPOSICAO",S!$A:$E,I!$A:$E),2,FALSE)</f>
        <v>SINAPI</v>
      </c>
      <c r="D267" s="24" t="str">
        <f>VLOOKUP(B267,IF(A267="COMPOSICAO",S!$A:$E,I!$A:$E),3,FALSE)</f>
        <v>SARRAFO *2,5 X 7,5* CM EM PINUS, MISTA OU EQUIVALENTE DA REGIAO - BRUTA</v>
      </c>
      <c r="E267" s="23" t="str">
        <f>VLOOKUP(B267,IF(A267="COMPOSICAO",S!$A:$E,I!$A:$E),4,FALSE)</f>
        <v>M</v>
      </c>
      <c r="F267" s="23">
        <v>9.2370000000000001</v>
      </c>
      <c r="G267" s="76">
        <f>IF(A267="COMPOSICAO",VLOOKUP("TOTAL SEM BDI - "&amp;B267,CPUAUX3!$A:$J,9,FALSE),VLOOKUP(B267,I!$A:$E,5,FALSE))</f>
        <v>3.49</v>
      </c>
      <c r="H267" s="77"/>
      <c r="I267" s="76">
        <f t="shared" si="32"/>
        <v>32.229999999999997</v>
      </c>
      <c r="J267" s="77"/>
      <c r="M267" s="23">
        <f t="shared" si="33"/>
        <v>4517</v>
      </c>
      <c r="N267" s="23">
        <f>SUMIF(CPUAUX1!M:M,B261,CPUAUX1!O:O)</f>
        <v>0.73171350000000013</v>
      </c>
      <c r="O267" s="23">
        <f t="shared" si="34"/>
        <v>6.7588375995000014</v>
      </c>
      <c r="Q267" s="23">
        <f ca="1">SUMIF(CPUAUX1!M:M,B261,CPUAUX1!R:R)</f>
        <v>0.24390450000000002</v>
      </c>
      <c r="R267" s="23">
        <f t="shared" ca="1" si="35"/>
        <v>2.2529458665000002</v>
      </c>
    </row>
    <row r="268" spans="1:18" ht="30" customHeight="1" x14ac:dyDescent="0.3">
      <c r="A268" s="23" t="s">
        <v>1005</v>
      </c>
      <c r="B268" s="23">
        <v>4491</v>
      </c>
      <c r="C268" s="23" t="str">
        <f>VLOOKUP(B268,IF(A268="COMPOSICAO",S!$A:$E,I!$A:$E),2,FALSE)</f>
        <v>SINAPI</v>
      </c>
      <c r="D268" s="24" t="str">
        <f>VLOOKUP(B268,IF(A268="COMPOSICAO",S!$A:$E,I!$A:$E),3,FALSE)</f>
        <v>PONTALETE *7,5 X 7,5* CM EM PINUS, MISTA OU EQUIVALENTE DA REGIAO - BRUTA</v>
      </c>
      <c r="E268" s="23" t="str">
        <f>VLOOKUP(B268,IF(A268="COMPOSICAO",S!$A:$E,I!$A:$E),4,FALSE)</f>
        <v>M</v>
      </c>
      <c r="F268" s="23">
        <v>2.3079999999999998</v>
      </c>
      <c r="G268" s="76">
        <f>IF(A268="COMPOSICAO",VLOOKUP("TOTAL SEM BDI - "&amp;B268,CPUAUX3!$A:$J,9,FALSE),VLOOKUP(B268,I!$A:$E,5,FALSE))</f>
        <v>9.98</v>
      </c>
      <c r="H268" s="77"/>
      <c r="I268" s="76">
        <f t="shared" si="32"/>
        <v>23.03</v>
      </c>
      <c r="J268" s="77"/>
      <c r="M268" s="23">
        <f t="shared" si="33"/>
        <v>4491</v>
      </c>
      <c r="N268" s="23">
        <f>SUMIF(CPUAUX1!M:M,B261,CPUAUX1!O:O)</f>
        <v>0.73171350000000013</v>
      </c>
      <c r="O268" s="23">
        <f t="shared" si="34"/>
        <v>1.6887947580000002</v>
      </c>
      <c r="Q268" s="23">
        <f ca="1">SUMIF(CPUAUX1!M:M,B261,CPUAUX1!R:R)</f>
        <v>0.24390450000000002</v>
      </c>
      <c r="R268" s="23">
        <f t="shared" ca="1" si="35"/>
        <v>0.56293158600000004</v>
      </c>
    </row>
    <row r="269" spans="1:18" ht="45" customHeight="1" x14ac:dyDescent="0.3">
      <c r="A269" s="23" t="s">
        <v>1005</v>
      </c>
      <c r="B269" s="23">
        <v>1358</v>
      </c>
      <c r="C269" s="23" t="str">
        <f>VLOOKUP(B269,IF(A269="COMPOSICAO",S!$A:$E,I!$A:$E),2,FALSE)</f>
        <v>SINAPI</v>
      </c>
      <c r="D269" s="24" t="str">
        <f>VLOOKUP(B269,IF(A269="COMPOSICAO",S!$A:$E,I!$A:$E),3,FALSE)</f>
        <v>CHAPA/PAINEL DE MADEIRA COMPENSADA RESINADA (MADEIRITE RESINADO ROSA) PARA FORMA DE CONCRETO, DE 2200 X 1100 MM, E = 17 MM</v>
      </c>
      <c r="E269" s="23" t="str">
        <f>VLOOKUP(B269,IF(A269="COMPOSICAO",S!$A:$E,I!$A:$E),4,FALSE)</f>
        <v>M2</v>
      </c>
      <c r="F269" s="23">
        <v>1.3360000000000001</v>
      </c>
      <c r="G269" s="76">
        <f>IF(A269="COMPOSICAO",VLOOKUP("TOTAL SEM BDI - "&amp;B269,CPUAUX3!$A:$J,9,FALSE),VLOOKUP(B269,I!$A:$E,5,FALSE))</f>
        <v>64.260000000000005</v>
      </c>
      <c r="H269" s="77"/>
      <c r="I269" s="76">
        <f t="shared" si="32"/>
        <v>85.85</v>
      </c>
      <c r="J269" s="77"/>
      <c r="M269" s="23">
        <f t="shared" si="33"/>
        <v>1358</v>
      </c>
      <c r="N269" s="23">
        <f>SUMIF(CPUAUX1!M:M,B261,CPUAUX1!O:O)</f>
        <v>0.73171350000000013</v>
      </c>
      <c r="O269" s="23">
        <f t="shared" si="34"/>
        <v>0.97756923600000023</v>
      </c>
      <c r="Q269" s="23">
        <f ca="1">SUMIF(CPUAUX1!M:M,B261,CPUAUX1!R:R)</f>
        <v>0.24390450000000002</v>
      </c>
      <c r="R269" s="23">
        <f t="shared" ca="1" si="35"/>
        <v>0.32585641200000004</v>
      </c>
    </row>
    <row r="270" spans="1:18" x14ac:dyDescent="0.3">
      <c r="A270" s="73" t="str">
        <f>"TOTAL SEM BDI - "&amp;B261</f>
        <v>TOTAL SEM BDI - 92263</v>
      </c>
      <c r="B270" s="74"/>
      <c r="C270" s="74"/>
      <c r="D270" s="74"/>
      <c r="E270" s="74"/>
      <c r="F270" s="74"/>
      <c r="G270" s="74"/>
      <c r="H270" s="75"/>
      <c r="I270" s="76">
        <f>SUM(I261:I269)</f>
        <v>191.48</v>
      </c>
      <c r="J270" s="77"/>
    </row>
    <row r="272" spans="1:18" x14ac:dyDescent="0.3">
      <c r="A272" s="4" t="s">
        <v>1000</v>
      </c>
      <c r="B272" s="4" t="s">
        <v>170</v>
      </c>
      <c r="C272" s="4" t="s">
        <v>171</v>
      </c>
      <c r="D272" s="4" t="s">
        <v>18</v>
      </c>
      <c r="E272" s="4" t="s">
        <v>172</v>
      </c>
      <c r="F272" s="4" t="s">
        <v>507</v>
      </c>
      <c r="G272" s="45" t="s">
        <v>1001</v>
      </c>
      <c r="H272" s="46"/>
      <c r="I272" s="45" t="s">
        <v>12</v>
      </c>
      <c r="J272" s="46"/>
    </row>
    <row r="273" spans="1:18" ht="30" customHeight="1" x14ac:dyDescent="0.3">
      <c r="A273" s="15" t="s">
        <v>1077</v>
      </c>
      <c r="B273" s="15">
        <v>92272</v>
      </c>
      <c r="C273" s="15" t="str">
        <f>VLOOKUP(B273,S!$A:$G,2,FALSE)</f>
        <v>SINAPI</v>
      </c>
      <c r="D273" s="22" t="str">
        <f>VLOOKUP(B273,S!$A:$G,3,FALSE)</f>
        <v>FABRICAÇÃO DE ESCORAS DE VIGA DO TIPO GARFO, EM MADEIRA. AF_09/2020</v>
      </c>
      <c r="E273" s="15" t="str">
        <f>VLOOKUP(B273,S!$A:$G,4,FALSE)</f>
        <v>M</v>
      </c>
      <c r="F273" s="15"/>
      <c r="G273" s="78">
        <f>I281</f>
        <v>44.38</v>
      </c>
      <c r="H273" s="79"/>
      <c r="I273" s="78"/>
      <c r="J273" s="79"/>
      <c r="K273" s="16">
        <f>VLOOKUP(B273,S!A:G,5,FALSE)</f>
        <v>44.38</v>
      </c>
      <c r="L273" s="15" t="str">
        <f>IF(K273=G273,"OK, CONFORME TABELA",IF(G273&gt;K273,"ACIMA DA TABELA: ","ABAIXO DA TABELA: ")&amp;TRUNC((G273*100)/K273,2)&amp;" %")</f>
        <v>OK, CONFORME TABELA</v>
      </c>
    </row>
    <row r="274" spans="1:18" ht="45" customHeight="1" x14ac:dyDescent="0.3">
      <c r="A274" s="23" t="s">
        <v>1004</v>
      </c>
      <c r="B274" s="23">
        <v>91693</v>
      </c>
      <c r="C274" s="23" t="str">
        <f>VLOOKUP(B274,IF(A274="COMPOSICAO",S!$A:$E,I!$A:$E),2,FALSE)</f>
        <v>SINAPI</v>
      </c>
      <c r="D274" s="24" t="str">
        <f>VLOOKUP(B274,IF(A274="COMPOSICAO",S!$A:$E,I!$A:$E),3,FALSE)</f>
        <v>SERRA CIRCULAR DE BANCADA COM MOTOR ELÉTRICO POTÊNCIA DE 5HP, COM COIFA PARA DISCO 10" - CHI DIURNO. AF_08/2015</v>
      </c>
      <c r="E274" s="23" t="str">
        <f>VLOOKUP(B274,IF(A274="COMPOSICAO",S!$A:$E,I!$A:$E),4,FALSE)</f>
        <v>CHI</v>
      </c>
      <c r="F274" s="23">
        <v>8.7999999999999995E-2</v>
      </c>
      <c r="G274" s="76">
        <f>IF(A274="COMPOSICAO",VLOOKUP("TOTAL SEM BDI - "&amp;B274,CPUAUX3!$A:$J,9,FALSE),VLOOKUP(B274,I!$A:$E,5,FALSE))</f>
        <v>27.3</v>
      </c>
      <c r="H274" s="77"/>
      <c r="I274" s="76">
        <f t="shared" ref="I274:I280" si="36">TRUNC(F274*G274,2)</f>
        <v>2.4</v>
      </c>
      <c r="J274" s="77"/>
      <c r="M274" s="23">
        <f t="shared" ref="M274:M280" si="37">B274</f>
        <v>91693</v>
      </c>
      <c r="N274" s="23">
        <f>SUMIF(CPUAUX1!M:M,B273,CPUAUX1!O:O)</f>
        <v>8.4393878400000002</v>
      </c>
      <c r="O274" s="23">
        <f t="shared" ref="O274:O280" si="38">F274*N274</f>
        <v>0.74266612992000003</v>
      </c>
      <c r="Q274" s="23">
        <f ca="1">SUMIF(CPUAUX1!M:M,B273,CPUAUX1!R:R)</f>
        <v>2.8131292800000005</v>
      </c>
      <c r="R274" s="23">
        <f t="shared" ref="R274:R280" ca="1" si="39">F274*Q274</f>
        <v>0.24755537664000002</v>
      </c>
    </row>
    <row r="275" spans="1:18" ht="45" customHeight="1" x14ac:dyDescent="0.3">
      <c r="A275" s="23" t="s">
        <v>1004</v>
      </c>
      <c r="B275" s="23">
        <v>91692</v>
      </c>
      <c r="C275" s="23" t="str">
        <f>VLOOKUP(B275,IF(A275="COMPOSICAO",S!$A:$E,I!$A:$E),2,FALSE)</f>
        <v>SINAPI</v>
      </c>
      <c r="D275" s="24" t="str">
        <f>VLOOKUP(B275,IF(A275="COMPOSICAO",S!$A:$E,I!$A:$E),3,FALSE)</f>
        <v>SERRA CIRCULAR DE BANCADA COM MOTOR ELÉTRICO POTÊNCIA DE 5HP, COM COIFA PARA DISCO 10" - CHP DIURNO. AF_08/2015</v>
      </c>
      <c r="E275" s="23" t="str">
        <f>VLOOKUP(B275,IF(A275="COMPOSICAO",S!$A:$E,I!$A:$E),4,FALSE)</f>
        <v>CHP</v>
      </c>
      <c r="F275" s="23">
        <v>2.1999999999999999E-2</v>
      </c>
      <c r="G275" s="76">
        <f>IF(A275="COMPOSICAO",VLOOKUP("TOTAL SEM BDI - "&amp;B275,CPUAUX3!$A:$J,9,FALSE),VLOOKUP(B275,I!$A:$E,5,FALSE))</f>
        <v>28.87</v>
      </c>
      <c r="H275" s="77"/>
      <c r="I275" s="76">
        <f t="shared" si="36"/>
        <v>0.63</v>
      </c>
      <c r="J275" s="77"/>
      <c r="M275" s="23">
        <f t="shared" si="37"/>
        <v>91692</v>
      </c>
      <c r="N275" s="23">
        <f>SUMIF(CPUAUX1!M:M,B273,CPUAUX1!O:O)</f>
        <v>8.4393878400000002</v>
      </c>
      <c r="O275" s="23">
        <f t="shared" si="38"/>
        <v>0.18566653248000001</v>
      </c>
      <c r="Q275" s="23">
        <f ca="1">SUMIF(CPUAUX1!M:M,B273,CPUAUX1!R:R)</f>
        <v>2.8131292800000005</v>
      </c>
      <c r="R275" s="23">
        <f t="shared" ca="1" si="39"/>
        <v>6.1888844160000005E-2</v>
      </c>
    </row>
    <row r="276" spans="1:18" ht="30" customHeight="1" x14ac:dyDescent="0.3">
      <c r="A276" s="23" t="s">
        <v>1004</v>
      </c>
      <c r="B276" s="23">
        <v>88262</v>
      </c>
      <c r="C276" s="23" t="str">
        <f>VLOOKUP(B276,IF(A276="COMPOSICAO",S!$A:$E,I!$A:$E),2,FALSE)</f>
        <v>SINAPI</v>
      </c>
      <c r="D276" s="24" t="str">
        <f>VLOOKUP(B276,IF(A276="COMPOSICAO",S!$A:$E,I!$A:$E),3,FALSE)</f>
        <v>CARPINTEIRO DE FORMAS COM ENCARGOS COMPLEMENTARES</v>
      </c>
      <c r="E276" s="23" t="str">
        <f>VLOOKUP(B276,IF(A276="COMPOSICAO",S!$A:$E,I!$A:$E),4,FALSE)</f>
        <v>H</v>
      </c>
      <c r="F276" s="23">
        <f>0.083/pcf</f>
        <v>8.3000000000000004E-2</v>
      </c>
      <c r="G276" s="76">
        <f>IF(A276="COMPOSICAO",VLOOKUP("TOTAL SEM BDI - "&amp;B276,CPUAUX3!$A:$J,9,FALSE),VLOOKUP(B276,I!$A:$E,5,FALSE))</f>
        <v>26.97</v>
      </c>
      <c r="H276" s="77"/>
      <c r="I276" s="76">
        <f t="shared" si="36"/>
        <v>2.23</v>
      </c>
      <c r="J276" s="77"/>
      <c r="M276" s="23">
        <f t="shared" si="37"/>
        <v>88262</v>
      </c>
      <c r="N276" s="23">
        <f>SUMIF(CPUAUX1!M:M,B273,CPUAUX1!O:O)</f>
        <v>8.4393878400000002</v>
      </c>
      <c r="O276" s="23">
        <f t="shared" si="38"/>
        <v>0.70046919072000002</v>
      </c>
      <c r="Q276" s="23">
        <f ca="1">SUMIF(CPUAUX1!M:M,B273,CPUAUX1!R:R)</f>
        <v>2.8131292800000005</v>
      </c>
      <c r="R276" s="23">
        <f t="shared" ca="1" si="39"/>
        <v>0.23348973024000005</v>
      </c>
    </row>
    <row r="277" spans="1:18" ht="30" customHeight="1" x14ac:dyDescent="0.3">
      <c r="A277" s="23" t="s">
        <v>1004</v>
      </c>
      <c r="B277" s="23">
        <v>88239</v>
      </c>
      <c r="C277" s="23" t="str">
        <f>VLOOKUP(B277,IF(A277="COMPOSICAO",S!$A:$E,I!$A:$E),2,FALSE)</f>
        <v>SINAPI</v>
      </c>
      <c r="D277" s="24" t="str">
        <f>VLOOKUP(B277,IF(A277="COMPOSICAO",S!$A:$E,I!$A:$E),3,FALSE)</f>
        <v>AJUDANTE DE CARPINTEIRO COM ENCARGOS COMPLEMENTARES</v>
      </c>
      <c r="E277" s="23" t="str">
        <f>VLOOKUP(B277,IF(A277="COMPOSICAO",S!$A:$E,I!$A:$E),4,FALSE)</f>
        <v>H</v>
      </c>
      <c r="F277" s="23">
        <f>0.032/pcf</f>
        <v>3.2000000000000001E-2</v>
      </c>
      <c r="G277" s="76">
        <f>IF(A277="COMPOSICAO",VLOOKUP("TOTAL SEM BDI - "&amp;B277,CPUAUX3!$A:$J,9,FALSE),VLOOKUP(B277,I!$A:$E,5,FALSE))</f>
        <v>22.2</v>
      </c>
      <c r="H277" s="77"/>
      <c r="I277" s="76">
        <f t="shared" si="36"/>
        <v>0.71</v>
      </c>
      <c r="J277" s="77"/>
      <c r="M277" s="23">
        <f t="shared" si="37"/>
        <v>88239</v>
      </c>
      <c r="N277" s="23">
        <f>SUMIF(CPUAUX1!M:M,B273,CPUAUX1!O:O)</f>
        <v>8.4393878400000002</v>
      </c>
      <c r="O277" s="23">
        <f t="shared" si="38"/>
        <v>0.27006041087999999</v>
      </c>
      <c r="Q277" s="23">
        <f ca="1">SUMIF(CPUAUX1!M:M,B273,CPUAUX1!R:R)</f>
        <v>2.8131292800000005</v>
      </c>
      <c r="R277" s="23">
        <f t="shared" ca="1" si="39"/>
        <v>9.0020136960000025E-2</v>
      </c>
    </row>
    <row r="278" spans="1:18" ht="30" customHeight="1" x14ac:dyDescent="0.3">
      <c r="A278" s="23" t="s">
        <v>1005</v>
      </c>
      <c r="B278" s="23">
        <v>5068</v>
      </c>
      <c r="C278" s="23" t="str">
        <f>VLOOKUP(B278,IF(A278="COMPOSICAO",S!$A:$E,I!$A:$E),2,FALSE)</f>
        <v>SINAPI</v>
      </c>
      <c r="D278" s="24" t="str">
        <f>VLOOKUP(B278,IF(A278="COMPOSICAO",S!$A:$E,I!$A:$E),3,FALSE)</f>
        <v>PREGO DE ACO POLIDO COM CABECA 17 X 21 (2 X 11)</v>
      </c>
      <c r="E278" s="23" t="str">
        <f>VLOOKUP(B278,IF(A278="COMPOSICAO",S!$A:$E,I!$A:$E),4,FALSE)</f>
        <v>KG</v>
      </c>
      <c r="F278" s="23">
        <v>1.2E-2</v>
      </c>
      <c r="G278" s="76">
        <f>IF(A278="COMPOSICAO",VLOOKUP("TOTAL SEM BDI - "&amp;B278,CPUAUX3!$A:$J,9,FALSE),VLOOKUP(B278,I!$A:$E,5,FALSE))</f>
        <v>20.34</v>
      </c>
      <c r="H278" s="77"/>
      <c r="I278" s="76">
        <f t="shared" si="36"/>
        <v>0.24</v>
      </c>
      <c r="J278" s="77"/>
      <c r="M278" s="23">
        <f t="shared" si="37"/>
        <v>5068</v>
      </c>
      <c r="N278" s="23">
        <f>SUMIF(CPUAUX1!M:M,B273,CPUAUX1!O:O)</f>
        <v>8.4393878400000002</v>
      </c>
      <c r="O278" s="23">
        <f t="shared" si="38"/>
        <v>0.10127265408000001</v>
      </c>
      <c r="Q278" s="23">
        <f ca="1">SUMIF(CPUAUX1!M:M,B273,CPUAUX1!R:R)</f>
        <v>2.8131292800000005</v>
      </c>
      <c r="R278" s="23">
        <f t="shared" ca="1" si="39"/>
        <v>3.3757551360000006E-2</v>
      </c>
    </row>
    <row r="279" spans="1:18" ht="30" customHeight="1" x14ac:dyDescent="0.3">
      <c r="A279" s="23" t="s">
        <v>1005</v>
      </c>
      <c r="B279" s="23">
        <v>4491</v>
      </c>
      <c r="C279" s="23" t="str">
        <f>VLOOKUP(B279,IF(A279="COMPOSICAO",S!$A:$E,I!$A:$E),2,FALSE)</f>
        <v>SINAPI</v>
      </c>
      <c r="D279" s="24" t="str">
        <f>VLOOKUP(B279,IF(A279="COMPOSICAO",S!$A:$E,I!$A:$E),3,FALSE)</f>
        <v>PONTALETE *7,5 X 7,5* CM EM PINUS, MISTA OU EQUIVALENTE DA REGIAO - BRUTA</v>
      </c>
      <c r="E279" s="23" t="str">
        <f>VLOOKUP(B279,IF(A279="COMPOSICAO",S!$A:$E,I!$A:$E),4,FALSE)</f>
        <v>M</v>
      </c>
      <c r="F279" s="23">
        <v>2.3420000000000001</v>
      </c>
      <c r="G279" s="76">
        <f>IF(A279="COMPOSICAO",VLOOKUP("TOTAL SEM BDI - "&amp;B279,CPUAUX3!$A:$J,9,FALSE),VLOOKUP(B279,I!$A:$E,5,FALSE))</f>
        <v>9.98</v>
      </c>
      <c r="H279" s="77"/>
      <c r="I279" s="76">
        <f t="shared" si="36"/>
        <v>23.37</v>
      </c>
      <c r="J279" s="77"/>
      <c r="M279" s="23">
        <f t="shared" si="37"/>
        <v>4491</v>
      </c>
      <c r="N279" s="23">
        <f>SUMIF(CPUAUX1!M:M,B273,CPUAUX1!O:O)</f>
        <v>8.4393878400000002</v>
      </c>
      <c r="O279" s="23">
        <f t="shared" si="38"/>
        <v>19.76504632128</v>
      </c>
      <c r="Q279" s="23">
        <f ca="1">SUMIF(CPUAUX1!M:M,B273,CPUAUX1!R:R)</f>
        <v>2.8131292800000005</v>
      </c>
      <c r="R279" s="23">
        <f t="shared" ca="1" si="39"/>
        <v>6.5883487737600017</v>
      </c>
    </row>
    <row r="280" spans="1:18" ht="45" customHeight="1" x14ac:dyDescent="0.3">
      <c r="A280" s="23" t="s">
        <v>1005</v>
      </c>
      <c r="B280" s="23">
        <v>1345</v>
      </c>
      <c r="C280" s="23" t="str">
        <f>VLOOKUP(B280,IF(A280="COMPOSICAO",S!$A:$E,I!$A:$E),2,FALSE)</f>
        <v>SINAPI</v>
      </c>
      <c r="D280" s="24" t="str">
        <f>VLOOKUP(B280,IF(A280="COMPOSICAO",S!$A:$E,I!$A:$E),3,FALSE)</f>
        <v>CHAPA/PAINEL DE MADEIRA COMPENSADA PLASTIFICADA (MADEIRITE PLASTIFICADO) PARA FORMA DE CONCRETO, DE 2200 X 1100 MM, E = *17* MM</v>
      </c>
      <c r="E280" s="23" t="str">
        <f>VLOOKUP(B280,IF(A280="COMPOSICAO",S!$A:$E,I!$A:$E),4,FALSE)</f>
        <v>M2</v>
      </c>
      <c r="F280" s="23">
        <v>0.13600000000000001</v>
      </c>
      <c r="G280" s="76">
        <f>IF(A280="COMPOSICAO",VLOOKUP("TOTAL SEM BDI - "&amp;B280,CPUAUX3!$A:$J,9,FALSE),VLOOKUP(B280,I!$A:$E,5,FALSE))</f>
        <v>108.83</v>
      </c>
      <c r="H280" s="77"/>
      <c r="I280" s="76">
        <f t="shared" si="36"/>
        <v>14.8</v>
      </c>
      <c r="J280" s="77"/>
      <c r="M280" s="23">
        <f t="shared" si="37"/>
        <v>1345</v>
      </c>
      <c r="N280" s="23">
        <f>SUMIF(CPUAUX1!M:M,B273,CPUAUX1!O:O)</f>
        <v>8.4393878400000002</v>
      </c>
      <c r="O280" s="23">
        <f t="shared" si="38"/>
        <v>1.14775674624</v>
      </c>
      <c r="Q280" s="23">
        <f ca="1">SUMIF(CPUAUX1!M:M,B273,CPUAUX1!R:R)</f>
        <v>2.8131292800000005</v>
      </c>
      <c r="R280" s="23">
        <f t="shared" ca="1" si="39"/>
        <v>0.3825855820800001</v>
      </c>
    </row>
    <row r="281" spans="1:18" x14ac:dyDescent="0.3">
      <c r="A281" s="73" t="str">
        <f>"TOTAL SEM BDI - "&amp;B273</f>
        <v>TOTAL SEM BDI - 92272</v>
      </c>
      <c r="B281" s="74"/>
      <c r="C281" s="74"/>
      <c r="D281" s="74"/>
      <c r="E281" s="74"/>
      <c r="F281" s="74"/>
      <c r="G281" s="74"/>
      <c r="H281" s="75"/>
      <c r="I281" s="76">
        <f>SUM(I273:I280)</f>
        <v>44.38</v>
      </c>
      <c r="J281" s="77"/>
    </row>
    <row r="283" spans="1:18" x14ac:dyDescent="0.3">
      <c r="A283" s="4" t="s">
        <v>1000</v>
      </c>
      <c r="B283" s="4" t="s">
        <v>170</v>
      </c>
      <c r="C283" s="4" t="s">
        <v>171</v>
      </c>
      <c r="D283" s="4" t="s">
        <v>18</v>
      </c>
      <c r="E283" s="4" t="s">
        <v>172</v>
      </c>
      <c r="F283" s="4" t="s">
        <v>507</v>
      </c>
      <c r="G283" s="45" t="s">
        <v>1001</v>
      </c>
      <c r="H283" s="46"/>
      <c r="I283" s="45" t="s">
        <v>12</v>
      </c>
      <c r="J283" s="46"/>
    </row>
    <row r="284" spans="1:18" ht="45" customHeight="1" x14ac:dyDescent="0.3">
      <c r="A284" s="15" t="s">
        <v>1077</v>
      </c>
      <c r="B284" s="15">
        <v>92265</v>
      </c>
      <c r="C284" s="15" t="str">
        <f>VLOOKUP(B284,S!$A:$G,2,FALSE)</f>
        <v>SINAPI</v>
      </c>
      <c r="D284" s="22" t="str">
        <f>VLOOKUP(B284,S!$A:$G,3,FALSE)</f>
        <v>FABRICAÇÃO DE FÔRMA PARA VIGAS, EM CHAPA DE MADEIRA COMPENSADA RESINADA, E = 17 MM. AF_09/2020</v>
      </c>
      <c r="E284" s="15" t="str">
        <f>VLOOKUP(B284,S!$A:$G,4,FALSE)</f>
        <v>M2</v>
      </c>
      <c r="F284" s="15"/>
      <c r="G284" s="78">
        <f>I293</f>
        <v>139.73000000000002</v>
      </c>
      <c r="H284" s="79"/>
      <c r="I284" s="78"/>
      <c r="J284" s="79"/>
      <c r="K284" s="16">
        <f>VLOOKUP(B284,S!A:G,5,FALSE)</f>
        <v>139.72999999999999</v>
      </c>
      <c r="L284" s="15" t="str">
        <f>IF(K284=G284,"OK, CONFORME TABELA",IF(G284&gt;K284,"ACIMA DA TABELA: ","ABAIXO DA TABELA: ")&amp;TRUNC((G284*100)/K284,2)&amp;" %")</f>
        <v>OK, CONFORME TABELA</v>
      </c>
    </row>
    <row r="285" spans="1:18" ht="45" customHeight="1" x14ac:dyDescent="0.3">
      <c r="A285" s="23" t="s">
        <v>1004</v>
      </c>
      <c r="B285" s="23">
        <v>91693</v>
      </c>
      <c r="C285" s="23" t="str">
        <f>VLOOKUP(B285,IF(A285="COMPOSICAO",S!$A:$E,I!$A:$E),2,FALSE)</f>
        <v>SINAPI</v>
      </c>
      <c r="D285" s="24" t="str">
        <f>VLOOKUP(B285,IF(A285="COMPOSICAO",S!$A:$E,I!$A:$E),3,FALSE)</f>
        <v>SERRA CIRCULAR DE BANCADA COM MOTOR ELÉTRICO POTÊNCIA DE 5HP, COM COIFA PARA DISCO 10" - CHI DIURNO. AF_08/2015</v>
      </c>
      <c r="E285" s="23" t="str">
        <f>VLOOKUP(B285,IF(A285="COMPOSICAO",S!$A:$E,I!$A:$E),4,FALSE)</f>
        <v>CHI</v>
      </c>
      <c r="F285" s="23">
        <v>0.23699999999999999</v>
      </c>
      <c r="G285" s="76">
        <f>IF(A285="COMPOSICAO",VLOOKUP("TOTAL SEM BDI - "&amp;B285,CPUAUX3!$A:$J,9,FALSE),VLOOKUP(B285,I!$A:$E,5,FALSE))</f>
        <v>27.3</v>
      </c>
      <c r="H285" s="77"/>
      <c r="I285" s="76">
        <f t="shared" ref="I285:I292" si="40">TRUNC(F285*G285,2)</f>
        <v>6.47</v>
      </c>
      <c r="J285" s="77"/>
      <c r="M285" s="23">
        <f t="shared" ref="M285:M292" si="41">B285</f>
        <v>91693</v>
      </c>
      <c r="N285" s="23">
        <f>SUMIF(CPUAUX1!M:M,B284,CPUAUX1!O:O)</f>
        <v>2.9091722400000002</v>
      </c>
      <c r="O285" s="23">
        <f t="shared" ref="O285:O292" si="42">F285*N285</f>
        <v>0.68947382087999998</v>
      </c>
      <c r="Q285" s="23">
        <f ca="1">SUMIF(CPUAUX1!M:M,B284,CPUAUX1!R:R)</f>
        <v>0.9697240800000001</v>
      </c>
      <c r="R285" s="23">
        <f t="shared" ref="R285:R292" ca="1" si="43">F285*Q285</f>
        <v>0.22982460696000001</v>
      </c>
    </row>
    <row r="286" spans="1:18" ht="45" customHeight="1" x14ac:dyDescent="0.3">
      <c r="A286" s="23" t="s">
        <v>1004</v>
      </c>
      <c r="B286" s="23">
        <v>91692</v>
      </c>
      <c r="C286" s="23" t="str">
        <f>VLOOKUP(B286,IF(A286="COMPOSICAO",S!$A:$E,I!$A:$E),2,FALSE)</f>
        <v>SINAPI</v>
      </c>
      <c r="D286" s="24" t="str">
        <f>VLOOKUP(B286,IF(A286="COMPOSICAO",S!$A:$E,I!$A:$E),3,FALSE)</f>
        <v>SERRA CIRCULAR DE BANCADA COM MOTOR ELÉTRICO POTÊNCIA DE 5HP, COM COIFA PARA DISCO 10" - CHP DIURNO. AF_08/2015</v>
      </c>
      <c r="E286" s="23" t="str">
        <f>VLOOKUP(B286,IF(A286="COMPOSICAO",S!$A:$E,I!$A:$E),4,FALSE)</f>
        <v>CHP</v>
      </c>
      <c r="F286" s="23">
        <v>0.05</v>
      </c>
      <c r="G286" s="76">
        <f>IF(A286="COMPOSICAO",VLOOKUP("TOTAL SEM BDI - "&amp;B286,CPUAUX3!$A:$J,9,FALSE),VLOOKUP(B286,I!$A:$E,5,FALSE))</f>
        <v>28.87</v>
      </c>
      <c r="H286" s="77"/>
      <c r="I286" s="76">
        <f t="shared" si="40"/>
        <v>1.44</v>
      </c>
      <c r="J286" s="77"/>
      <c r="M286" s="23">
        <f t="shared" si="41"/>
        <v>91692</v>
      </c>
      <c r="N286" s="23">
        <f>SUMIF(CPUAUX1!M:M,B284,CPUAUX1!O:O)</f>
        <v>2.9091722400000002</v>
      </c>
      <c r="O286" s="23">
        <f t="shared" si="42"/>
        <v>0.14545861200000001</v>
      </c>
      <c r="Q286" s="23">
        <f ca="1">SUMIF(CPUAUX1!M:M,B284,CPUAUX1!R:R)</f>
        <v>0.9697240800000001</v>
      </c>
      <c r="R286" s="23">
        <f t="shared" ca="1" si="43"/>
        <v>4.8486204000000005E-2</v>
      </c>
    </row>
    <row r="287" spans="1:18" ht="30" customHeight="1" x14ac:dyDescent="0.3">
      <c r="A287" s="23" t="s">
        <v>1004</v>
      </c>
      <c r="B287" s="23">
        <v>88262</v>
      </c>
      <c r="C287" s="23" t="str">
        <f>VLOOKUP(B287,IF(A287="COMPOSICAO",S!$A:$E,I!$A:$E),2,FALSE)</f>
        <v>SINAPI</v>
      </c>
      <c r="D287" s="24" t="str">
        <f>VLOOKUP(B287,IF(A287="COMPOSICAO",S!$A:$E,I!$A:$E),3,FALSE)</f>
        <v>CARPINTEIRO DE FORMAS COM ENCARGOS COMPLEMENTARES</v>
      </c>
      <c r="E287" s="23" t="str">
        <f>VLOOKUP(B287,IF(A287="COMPOSICAO",S!$A:$E,I!$A:$E),4,FALSE)</f>
        <v>H</v>
      </c>
      <c r="F287" s="23">
        <f>0.911/pcf</f>
        <v>0.91100000000000003</v>
      </c>
      <c r="G287" s="76">
        <f>IF(A287="COMPOSICAO",VLOOKUP("TOTAL SEM BDI - "&amp;B287,CPUAUX3!$A:$J,9,FALSE),VLOOKUP(B287,I!$A:$E,5,FALSE))</f>
        <v>26.97</v>
      </c>
      <c r="H287" s="77"/>
      <c r="I287" s="76">
        <f t="shared" si="40"/>
        <v>24.56</v>
      </c>
      <c r="J287" s="77"/>
      <c r="M287" s="23">
        <f t="shared" si="41"/>
        <v>88262</v>
      </c>
      <c r="N287" s="23">
        <f>SUMIF(CPUAUX1!M:M,B284,CPUAUX1!O:O)</f>
        <v>2.9091722400000002</v>
      </c>
      <c r="O287" s="23">
        <f t="shared" si="42"/>
        <v>2.6502559106400003</v>
      </c>
      <c r="Q287" s="23">
        <f ca="1">SUMIF(CPUAUX1!M:M,B284,CPUAUX1!R:R)</f>
        <v>0.9697240800000001</v>
      </c>
      <c r="R287" s="23">
        <f t="shared" ca="1" si="43"/>
        <v>0.88341863688000011</v>
      </c>
    </row>
    <row r="288" spans="1:18" ht="30" customHeight="1" x14ac:dyDescent="0.3">
      <c r="A288" s="23" t="s">
        <v>1004</v>
      </c>
      <c r="B288" s="23">
        <v>88239</v>
      </c>
      <c r="C288" s="23" t="str">
        <f>VLOOKUP(B288,IF(A288="COMPOSICAO",S!$A:$E,I!$A:$E),2,FALSE)</f>
        <v>SINAPI</v>
      </c>
      <c r="D288" s="24" t="str">
        <f>VLOOKUP(B288,IF(A288="COMPOSICAO",S!$A:$E,I!$A:$E),3,FALSE)</f>
        <v>AJUDANTE DE CARPINTEIRO COM ENCARGOS COMPLEMENTARES</v>
      </c>
      <c r="E288" s="23" t="str">
        <f>VLOOKUP(B288,IF(A288="COMPOSICAO",S!$A:$E,I!$A:$E),4,FALSE)</f>
        <v>H</v>
      </c>
      <c r="F288" s="23">
        <f>0.202/pcf</f>
        <v>0.20200000000000001</v>
      </c>
      <c r="G288" s="76">
        <f>IF(A288="COMPOSICAO",VLOOKUP("TOTAL SEM BDI - "&amp;B288,CPUAUX3!$A:$J,9,FALSE),VLOOKUP(B288,I!$A:$E,5,FALSE))</f>
        <v>22.2</v>
      </c>
      <c r="H288" s="77"/>
      <c r="I288" s="76">
        <f t="shared" si="40"/>
        <v>4.4800000000000004</v>
      </c>
      <c r="J288" s="77"/>
      <c r="M288" s="23">
        <f t="shared" si="41"/>
        <v>88239</v>
      </c>
      <c r="N288" s="23">
        <f>SUMIF(CPUAUX1!M:M,B284,CPUAUX1!O:O)</f>
        <v>2.9091722400000002</v>
      </c>
      <c r="O288" s="23">
        <f t="shared" si="42"/>
        <v>0.58765279248000013</v>
      </c>
      <c r="Q288" s="23">
        <f ca="1">SUMIF(CPUAUX1!M:M,B284,CPUAUX1!R:R)</f>
        <v>0.9697240800000001</v>
      </c>
      <c r="R288" s="23">
        <f t="shared" ca="1" si="43"/>
        <v>0.19588426416000004</v>
      </c>
    </row>
    <row r="289" spans="1:18" ht="30" customHeight="1" x14ac:dyDescent="0.3">
      <c r="A289" s="23" t="s">
        <v>1005</v>
      </c>
      <c r="B289" s="23">
        <v>5068</v>
      </c>
      <c r="C289" s="23" t="str">
        <f>VLOOKUP(B289,IF(A289="COMPOSICAO",S!$A:$E,I!$A:$E),2,FALSE)</f>
        <v>SINAPI</v>
      </c>
      <c r="D289" s="24" t="str">
        <f>VLOOKUP(B289,IF(A289="COMPOSICAO",S!$A:$E,I!$A:$E),3,FALSE)</f>
        <v>PREGO DE ACO POLIDO COM CABECA 17 X 21 (2 X 11)</v>
      </c>
      <c r="E289" s="23" t="str">
        <f>VLOOKUP(B289,IF(A289="COMPOSICAO",S!$A:$E,I!$A:$E),4,FALSE)</f>
        <v>KG</v>
      </c>
      <c r="F289" s="23">
        <v>0.159</v>
      </c>
      <c r="G289" s="76">
        <f>IF(A289="COMPOSICAO",VLOOKUP("TOTAL SEM BDI - "&amp;B289,CPUAUX3!$A:$J,9,FALSE),VLOOKUP(B289,I!$A:$E,5,FALSE))</f>
        <v>20.34</v>
      </c>
      <c r="H289" s="77"/>
      <c r="I289" s="76">
        <f t="shared" si="40"/>
        <v>3.23</v>
      </c>
      <c r="J289" s="77"/>
      <c r="M289" s="23">
        <f t="shared" si="41"/>
        <v>5068</v>
      </c>
      <c r="N289" s="23">
        <f>SUMIF(CPUAUX1!M:M,B284,CPUAUX1!O:O)</f>
        <v>2.9091722400000002</v>
      </c>
      <c r="O289" s="23">
        <f t="shared" si="42"/>
        <v>0.46255838616000006</v>
      </c>
      <c r="Q289" s="23">
        <f ca="1">SUMIF(CPUAUX1!M:M,B284,CPUAUX1!R:R)</f>
        <v>0.9697240800000001</v>
      </c>
      <c r="R289" s="23">
        <f t="shared" ca="1" si="43"/>
        <v>0.15418612872000001</v>
      </c>
    </row>
    <row r="290" spans="1:18" ht="30" customHeight="1" x14ac:dyDescent="0.3">
      <c r="A290" s="23" t="s">
        <v>1005</v>
      </c>
      <c r="B290" s="23">
        <v>4517</v>
      </c>
      <c r="C290" s="23" t="str">
        <f>VLOOKUP(B290,IF(A290="COMPOSICAO",S!$A:$E,I!$A:$E),2,FALSE)</f>
        <v>SINAPI</v>
      </c>
      <c r="D290" s="24" t="str">
        <f>VLOOKUP(B290,IF(A290="COMPOSICAO",S!$A:$E,I!$A:$E),3,FALSE)</f>
        <v>SARRAFO *2,5 X 7,5* CM EM PINUS, MISTA OU EQUIVALENTE DA REGIAO - BRUTA</v>
      </c>
      <c r="E290" s="23" t="str">
        <f>VLOOKUP(B290,IF(A290="COMPOSICAO",S!$A:$E,I!$A:$E),4,FALSE)</f>
        <v>M</v>
      </c>
      <c r="F290" s="23">
        <v>6.952</v>
      </c>
      <c r="G290" s="76">
        <f>IF(A290="COMPOSICAO",VLOOKUP("TOTAL SEM BDI - "&amp;B290,CPUAUX3!$A:$J,9,FALSE),VLOOKUP(B290,I!$A:$E,5,FALSE))</f>
        <v>3.49</v>
      </c>
      <c r="H290" s="77"/>
      <c r="I290" s="76">
        <f t="shared" si="40"/>
        <v>24.26</v>
      </c>
      <c r="J290" s="77"/>
      <c r="M290" s="23">
        <f t="shared" si="41"/>
        <v>4517</v>
      </c>
      <c r="N290" s="23">
        <f>SUMIF(CPUAUX1!M:M,B284,CPUAUX1!O:O)</f>
        <v>2.9091722400000002</v>
      </c>
      <c r="O290" s="23">
        <f t="shared" si="42"/>
        <v>20.224565412480001</v>
      </c>
      <c r="Q290" s="23">
        <f ca="1">SUMIF(CPUAUX1!M:M,B284,CPUAUX1!R:R)</f>
        <v>0.9697240800000001</v>
      </c>
      <c r="R290" s="23">
        <f t="shared" ca="1" si="43"/>
        <v>6.7415218041600005</v>
      </c>
    </row>
    <row r="291" spans="1:18" ht="30" customHeight="1" x14ac:dyDescent="0.3">
      <c r="A291" s="23" t="s">
        <v>1005</v>
      </c>
      <c r="B291" s="23">
        <v>4491</v>
      </c>
      <c r="C291" s="23" t="str">
        <f>VLOOKUP(B291,IF(A291="COMPOSICAO",S!$A:$E,I!$A:$E),2,FALSE)</f>
        <v>SINAPI</v>
      </c>
      <c r="D291" s="24" t="str">
        <f>VLOOKUP(B291,IF(A291="COMPOSICAO",S!$A:$E,I!$A:$E),3,FALSE)</f>
        <v>PONTALETE *7,5 X 7,5* CM EM PINUS, MISTA OU EQUIVALENTE DA REGIAO - BRUTA</v>
      </c>
      <c r="E291" s="23" t="str">
        <f>VLOOKUP(B291,IF(A291="COMPOSICAO",S!$A:$E,I!$A:$E),4,FALSE)</f>
        <v>M</v>
      </c>
      <c r="F291" s="23">
        <v>0.16600000000000001</v>
      </c>
      <c r="G291" s="76">
        <f>IF(A291="COMPOSICAO",VLOOKUP("TOTAL SEM BDI - "&amp;B291,CPUAUX3!$A:$J,9,FALSE),VLOOKUP(B291,I!$A:$E,5,FALSE))</f>
        <v>9.98</v>
      </c>
      <c r="H291" s="77"/>
      <c r="I291" s="76">
        <f t="shared" si="40"/>
        <v>1.65</v>
      </c>
      <c r="J291" s="77"/>
      <c r="M291" s="23">
        <f t="shared" si="41"/>
        <v>4491</v>
      </c>
      <c r="N291" s="23">
        <f>SUMIF(CPUAUX1!M:M,B284,CPUAUX1!O:O)</f>
        <v>2.9091722400000002</v>
      </c>
      <c r="O291" s="23">
        <f t="shared" si="42"/>
        <v>0.48292259184000008</v>
      </c>
      <c r="Q291" s="23">
        <f ca="1">SUMIF(CPUAUX1!M:M,B284,CPUAUX1!R:R)</f>
        <v>0.9697240800000001</v>
      </c>
      <c r="R291" s="23">
        <f t="shared" ca="1" si="43"/>
        <v>0.16097419728000004</v>
      </c>
    </row>
    <row r="292" spans="1:18" ht="45" customHeight="1" x14ac:dyDescent="0.3">
      <c r="A292" s="23" t="s">
        <v>1005</v>
      </c>
      <c r="B292" s="23">
        <v>1358</v>
      </c>
      <c r="C292" s="23" t="str">
        <f>VLOOKUP(B292,IF(A292="COMPOSICAO",S!$A:$E,I!$A:$E),2,FALSE)</f>
        <v>SINAPI</v>
      </c>
      <c r="D292" s="24" t="str">
        <f>VLOOKUP(B292,IF(A292="COMPOSICAO",S!$A:$E,I!$A:$E),3,FALSE)</f>
        <v>CHAPA/PAINEL DE MADEIRA COMPENSADA RESINADA (MADEIRITE RESINADO ROSA) PARA FORMA DE CONCRETO, DE 2200 X 1100 MM, E = 17 MM</v>
      </c>
      <c r="E292" s="23" t="str">
        <f>VLOOKUP(B292,IF(A292="COMPOSICAO",S!$A:$E,I!$A:$E),4,FALSE)</f>
        <v>M2</v>
      </c>
      <c r="F292" s="23">
        <v>1.1459999999999999</v>
      </c>
      <c r="G292" s="76">
        <f>IF(A292="COMPOSICAO",VLOOKUP("TOTAL SEM BDI - "&amp;B292,CPUAUX3!$A:$J,9,FALSE),VLOOKUP(B292,I!$A:$E,5,FALSE))</f>
        <v>64.260000000000005</v>
      </c>
      <c r="H292" s="77"/>
      <c r="I292" s="76">
        <f t="shared" si="40"/>
        <v>73.64</v>
      </c>
      <c r="J292" s="77"/>
      <c r="M292" s="23">
        <f t="shared" si="41"/>
        <v>1358</v>
      </c>
      <c r="N292" s="23">
        <f>SUMIF(CPUAUX1!M:M,B284,CPUAUX1!O:O)</f>
        <v>2.9091722400000002</v>
      </c>
      <c r="O292" s="23">
        <f t="shared" si="42"/>
        <v>3.3339113870400001</v>
      </c>
      <c r="Q292" s="23">
        <f ca="1">SUMIF(CPUAUX1!M:M,B284,CPUAUX1!R:R)</f>
        <v>0.9697240800000001</v>
      </c>
      <c r="R292" s="23">
        <f t="shared" ca="1" si="43"/>
        <v>1.11130379568</v>
      </c>
    </row>
    <row r="293" spans="1:18" x14ac:dyDescent="0.3">
      <c r="A293" s="73" t="str">
        <f>"TOTAL SEM BDI - "&amp;B284</f>
        <v>TOTAL SEM BDI - 92265</v>
      </c>
      <c r="B293" s="74"/>
      <c r="C293" s="74"/>
      <c r="D293" s="74"/>
      <c r="E293" s="74"/>
      <c r="F293" s="74"/>
      <c r="G293" s="74"/>
      <c r="H293" s="75"/>
      <c r="I293" s="76">
        <f>SUM(I284:I292)</f>
        <v>139.73000000000002</v>
      </c>
      <c r="J293" s="77"/>
    </row>
    <row r="295" spans="1:18" x14ac:dyDescent="0.3">
      <c r="A295" s="4" t="s">
        <v>1000</v>
      </c>
      <c r="B295" s="4" t="s">
        <v>170</v>
      </c>
      <c r="C295" s="4" t="s">
        <v>171</v>
      </c>
      <c r="D295" s="4" t="s">
        <v>18</v>
      </c>
      <c r="E295" s="4" t="s">
        <v>172</v>
      </c>
      <c r="F295" s="4" t="s">
        <v>507</v>
      </c>
      <c r="G295" s="45" t="s">
        <v>1001</v>
      </c>
      <c r="H295" s="46"/>
      <c r="I295" s="45" t="s">
        <v>12</v>
      </c>
      <c r="J295" s="46"/>
    </row>
    <row r="296" spans="1:18" ht="30" customHeight="1" x14ac:dyDescent="0.3">
      <c r="A296" s="15" t="s">
        <v>1078</v>
      </c>
      <c r="B296" s="15">
        <v>92800</v>
      </c>
      <c r="C296" s="15" t="str">
        <f>VLOOKUP(B296,S!$A:$G,2,FALSE)</f>
        <v>SINAPI</v>
      </c>
      <c r="D296" s="22" t="str">
        <f>VLOOKUP(B296,S!$A:$G,3,FALSE)</f>
        <v>CORTE E DOBRA DE AÇO CA-60, DIÂMETRO DE 5,0 MM. AF_06/2022</v>
      </c>
      <c r="E296" s="15" t="str">
        <f>VLOOKUP(B296,S!$A:$G,4,FALSE)</f>
        <v>KG</v>
      </c>
      <c r="F296" s="15"/>
      <c r="G296" s="78">
        <f>I300</f>
        <v>10.09</v>
      </c>
      <c r="H296" s="79"/>
      <c r="I296" s="78"/>
      <c r="J296" s="79"/>
      <c r="K296" s="16">
        <f>VLOOKUP(B296,S!A:G,5,FALSE)</f>
        <v>10.09</v>
      </c>
      <c r="L296" s="15" t="str">
        <f>IF(K296=G296,"OK, CONFORME TABELA",IF(G296&gt;K296,"ACIMA DA TABELA: ","ABAIXO DA TABELA: ")&amp;TRUNC((G296*100)/K296,2)&amp;" %")</f>
        <v>OK, CONFORME TABELA</v>
      </c>
    </row>
    <row r="297" spans="1:18" x14ac:dyDescent="0.3">
      <c r="A297" s="23" t="s">
        <v>1004</v>
      </c>
      <c r="B297" s="23">
        <v>88245</v>
      </c>
      <c r="C297" s="23" t="str">
        <f>VLOOKUP(B297,IF(A297="COMPOSICAO",S!$A:$E,I!$A:$E),2,FALSE)</f>
        <v>SINAPI</v>
      </c>
      <c r="D297" s="24" t="str">
        <f>VLOOKUP(B297,IF(A297="COMPOSICAO",S!$A:$E,I!$A:$E),3,FALSE)</f>
        <v>ARMADOR COM ENCARGOS COMPLEMENTARES</v>
      </c>
      <c r="E297" s="23" t="str">
        <f>VLOOKUP(B297,IF(A297="COMPOSICAO",S!$A:$E,I!$A:$E),4,FALSE)</f>
        <v>H</v>
      </c>
      <c r="F297" s="23">
        <f>0.0581/pcf</f>
        <v>5.8099999999999999E-2</v>
      </c>
      <c r="G297" s="76">
        <f>IF(A297="COMPOSICAO",VLOOKUP("TOTAL SEM BDI - "&amp;B297,CPUAUX3!$A:$J,9,FALSE),VLOOKUP(B297,I!$A:$E,5,FALSE))</f>
        <v>27.189999999999998</v>
      </c>
      <c r="H297" s="77"/>
      <c r="I297" s="76">
        <f>TRUNC(F297*G297,2)</f>
        <v>1.57</v>
      </c>
      <c r="J297" s="77"/>
      <c r="M297" s="23">
        <f>B297</f>
        <v>88245</v>
      </c>
      <c r="N297" s="23">
        <f>SUMIF(CPUAUX1!M:M,B296,CPUAUX1!O:O)</f>
        <v>5.3296200000000011</v>
      </c>
      <c r="O297" s="23">
        <f>F297*N297</f>
        <v>0.30965092200000005</v>
      </c>
      <c r="Q297" s="23">
        <f ca="1">SUMIF(CPUAUX1!M:M,B296,CPUAUX1!R:R)</f>
        <v>1.7765400000000005</v>
      </c>
      <c r="R297" s="23">
        <f ca="1">F297*Q297</f>
        <v>0.10321697400000003</v>
      </c>
    </row>
    <row r="298" spans="1:18" ht="30" customHeight="1" x14ac:dyDescent="0.3">
      <c r="A298" s="23" t="s">
        <v>1004</v>
      </c>
      <c r="B298" s="23">
        <v>88238</v>
      </c>
      <c r="C298" s="23" t="str">
        <f>VLOOKUP(B298,IF(A298="COMPOSICAO",S!$A:$E,I!$A:$E),2,FALSE)</f>
        <v>SINAPI</v>
      </c>
      <c r="D298" s="24" t="str">
        <f>VLOOKUP(B298,IF(A298="COMPOSICAO",S!$A:$E,I!$A:$E),3,FALSE)</f>
        <v>AJUDANTE DE ARMADOR COM ENCARGOS COMPLEMENTARES</v>
      </c>
      <c r="E298" s="23" t="str">
        <f>VLOOKUP(B298,IF(A298="COMPOSICAO",S!$A:$E,I!$A:$E),4,FALSE)</f>
        <v>H</v>
      </c>
      <c r="F298" s="23">
        <f>0.0095/pcf</f>
        <v>9.4999999999999998E-3</v>
      </c>
      <c r="G298" s="76">
        <f>IF(A298="COMPOSICAO",VLOOKUP("TOTAL SEM BDI - "&amp;B298,CPUAUX3!$A:$J,9,FALSE),VLOOKUP(B298,I!$A:$E,5,FALSE))</f>
        <v>22.37</v>
      </c>
      <c r="H298" s="77"/>
      <c r="I298" s="76">
        <f>TRUNC(F298*G298,2)</f>
        <v>0.21</v>
      </c>
      <c r="J298" s="77"/>
      <c r="M298" s="23">
        <f>B298</f>
        <v>88238</v>
      </c>
      <c r="N298" s="23">
        <f>SUMIF(CPUAUX1!M:M,B296,CPUAUX1!O:O)</f>
        <v>5.3296200000000011</v>
      </c>
      <c r="O298" s="23">
        <f>F298*N298</f>
        <v>5.0631390000000012E-2</v>
      </c>
      <c r="Q298" s="23">
        <f ca="1">SUMIF(CPUAUX1!M:M,B296,CPUAUX1!R:R)</f>
        <v>1.7765400000000005</v>
      </c>
      <c r="R298" s="23">
        <f ca="1">F298*Q298</f>
        <v>1.6877130000000004E-2</v>
      </c>
    </row>
    <row r="299" spans="1:18" ht="30" customHeight="1" x14ac:dyDescent="0.3">
      <c r="A299" s="23" t="s">
        <v>1005</v>
      </c>
      <c r="B299" s="23">
        <v>43059</v>
      </c>
      <c r="C299" s="23" t="str">
        <f>VLOOKUP(B299,IF(A299="COMPOSICAO",S!$A:$E,I!$A:$E),2,FALSE)</f>
        <v>SINAPI</v>
      </c>
      <c r="D299" s="24" t="str">
        <f>VLOOKUP(B299,IF(A299="COMPOSICAO",S!$A:$E,I!$A:$E),3,FALSE)</f>
        <v>ACO CA-60, 4,2 MM, OU 5,0 MM, OU 6,0 MM, OU 7,0 MM, VERGALHAO</v>
      </c>
      <c r="E299" s="23" t="str">
        <f>VLOOKUP(B299,IF(A299="COMPOSICAO",S!$A:$E,I!$A:$E),4,FALSE)</f>
        <v>KG</v>
      </c>
      <c r="F299" s="23">
        <v>1.07</v>
      </c>
      <c r="G299" s="76">
        <f>IF(A299="COMPOSICAO",VLOOKUP("TOTAL SEM BDI - "&amp;B299,CPUAUX3!$A:$J,9,FALSE),VLOOKUP(B299,I!$A:$E,5,FALSE))</f>
        <v>7.77</v>
      </c>
      <c r="H299" s="77"/>
      <c r="I299" s="76">
        <f>TRUNC(F299*G299,2)</f>
        <v>8.31</v>
      </c>
      <c r="J299" s="77"/>
      <c r="M299" s="23">
        <f>B299</f>
        <v>43059</v>
      </c>
      <c r="N299" s="23">
        <f>SUMIF(CPUAUX1!M:M,B296,CPUAUX1!O:O)</f>
        <v>5.3296200000000011</v>
      </c>
      <c r="O299" s="23">
        <f>F299*N299</f>
        <v>5.7026934000000011</v>
      </c>
      <c r="Q299" s="23">
        <f ca="1">SUMIF(CPUAUX1!M:M,B296,CPUAUX1!R:R)</f>
        <v>1.7765400000000005</v>
      </c>
      <c r="R299" s="23">
        <f ca="1">F299*Q299</f>
        <v>1.9008978000000005</v>
      </c>
    </row>
    <row r="300" spans="1:18" x14ac:dyDescent="0.3">
      <c r="A300" s="73" t="str">
        <f>"TOTAL SEM BDI - "&amp;B296</f>
        <v>TOTAL SEM BDI - 92800</v>
      </c>
      <c r="B300" s="74"/>
      <c r="C300" s="74"/>
      <c r="D300" s="74"/>
      <c r="E300" s="74"/>
      <c r="F300" s="74"/>
      <c r="G300" s="74"/>
      <c r="H300" s="75"/>
      <c r="I300" s="76">
        <f>SUM(I296:I299)</f>
        <v>10.09</v>
      </c>
      <c r="J300" s="77"/>
    </row>
    <row r="302" spans="1:18" x14ac:dyDescent="0.3">
      <c r="A302" s="4" t="s">
        <v>1000</v>
      </c>
      <c r="B302" s="4" t="s">
        <v>170</v>
      </c>
      <c r="C302" s="4" t="s">
        <v>171</v>
      </c>
      <c r="D302" s="4" t="s">
        <v>18</v>
      </c>
      <c r="E302" s="4" t="s">
        <v>172</v>
      </c>
      <c r="F302" s="4" t="s">
        <v>507</v>
      </c>
      <c r="G302" s="45" t="s">
        <v>1001</v>
      </c>
      <c r="H302" s="46"/>
      <c r="I302" s="45" t="s">
        <v>12</v>
      </c>
      <c r="J302" s="46"/>
    </row>
    <row r="303" spans="1:18" ht="30" customHeight="1" x14ac:dyDescent="0.3">
      <c r="A303" s="15" t="s">
        <v>1078</v>
      </c>
      <c r="B303" s="15">
        <v>92801</v>
      </c>
      <c r="C303" s="15" t="str">
        <f>VLOOKUP(B303,S!$A:$G,2,FALSE)</f>
        <v>SINAPI</v>
      </c>
      <c r="D303" s="22" t="str">
        <f>VLOOKUP(B303,S!$A:$G,3,FALSE)</f>
        <v>CORTE E DOBRA DE AÇO CA-50, DIÂMETRO DE 6,3 MM. AF_06/2022</v>
      </c>
      <c r="E303" s="15" t="str">
        <f>VLOOKUP(B303,S!$A:$G,4,FALSE)</f>
        <v>KG</v>
      </c>
      <c r="F303" s="15"/>
      <c r="G303" s="78">
        <f>I307</f>
        <v>10.209999999999999</v>
      </c>
      <c r="H303" s="79"/>
      <c r="I303" s="78"/>
      <c r="J303" s="79"/>
      <c r="K303" s="16">
        <f>VLOOKUP(B303,S!A:G,5,FALSE)</f>
        <v>10.210000000000001</v>
      </c>
      <c r="L303" s="15" t="str">
        <f>IF(K303=G303,"OK, CONFORME TABELA",IF(G303&gt;K303,"ACIMA DA TABELA: ","ABAIXO DA TABELA: ")&amp;TRUNC((G303*100)/K303,2)&amp;" %")</f>
        <v>OK, CONFORME TABELA</v>
      </c>
    </row>
    <row r="304" spans="1:18" x14ac:dyDescent="0.3">
      <c r="A304" s="23" t="s">
        <v>1004</v>
      </c>
      <c r="B304" s="23">
        <v>88245</v>
      </c>
      <c r="C304" s="23" t="str">
        <f>VLOOKUP(B304,IF(A304="COMPOSICAO",S!$A:$E,I!$A:$E),2,FALSE)</f>
        <v>SINAPI</v>
      </c>
      <c r="D304" s="24" t="str">
        <f>VLOOKUP(B304,IF(A304="COMPOSICAO",S!$A:$E,I!$A:$E),3,FALSE)</f>
        <v>ARMADOR COM ENCARGOS COMPLEMENTARES</v>
      </c>
      <c r="E304" s="23" t="str">
        <f>VLOOKUP(B304,IF(A304="COMPOSICAO",S!$A:$E,I!$A:$E),4,FALSE)</f>
        <v>H</v>
      </c>
      <c r="F304" s="23">
        <f>0.031/pcf</f>
        <v>3.1E-2</v>
      </c>
      <c r="G304" s="76">
        <f>IF(A304="COMPOSICAO",VLOOKUP("TOTAL SEM BDI - "&amp;B304,CPUAUX3!$A:$J,9,FALSE),VLOOKUP(B304,I!$A:$E,5,FALSE))</f>
        <v>27.189999999999998</v>
      </c>
      <c r="H304" s="77"/>
      <c r="I304" s="76">
        <f>TRUNC(F304*G304,2)</f>
        <v>0.84</v>
      </c>
      <c r="J304" s="77"/>
      <c r="M304" s="23">
        <f>B304</f>
        <v>88245</v>
      </c>
      <c r="N304" s="23">
        <f>SUMIF(CPUAUX1!M:M,B303,CPUAUX1!O:O)</f>
        <v>5.4406800000000004</v>
      </c>
      <c r="O304" s="23">
        <f>F304*N304</f>
        <v>0.16866108000000002</v>
      </c>
      <c r="Q304" s="23">
        <f ca="1">SUMIF(CPUAUX1!M:M,B303,CPUAUX1!R:R)</f>
        <v>1.8135600000000003</v>
      </c>
      <c r="R304" s="23">
        <f ca="1">F304*Q304</f>
        <v>5.6220360000000011E-2</v>
      </c>
    </row>
    <row r="305" spans="1:18" ht="30" customHeight="1" x14ac:dyDescent="0.3">
      <c r="A305" s="23" t="s">
        <v>1004</v>
      </c>
      <c r="B305" s="23">
        <v>88238</v>
      </c>
      <c r="C305" s="23" t="str">
        <f>VLOOKUP(B305,IF(A305="COMPOSICAO",S!$A:$E,I!$A:$E),2,FALSE)</f>
        <v>SINAPI</v>
      </c>
      <c r="D305" s="24" t="str">
        <f>VLOOKUP(B305,IF(A305="COMPOSICAO",S!$A:$E,I!$A:$E),3,FALSE)</f>
        <v>AJUDANTE DE ARMADOR COM ENCARGOS COMPLEMENTARES</v>
      </c>
      <c r="E305" s="23" t="str">
        <f>VLOOKUP(B305,IF(A305="COMPOSICAO",S!$A:$E,I!$A:$E),4,FALSE)</f>
        <v>H</v>
      </c>
      <c r="F305" s="23">
        <f>0.0051/pcf</f>
        <v>5.1000000000000004E-3</v>
      </c>
      <c r="G305" s="76">
        <f>IF(A305="COMPOSICAO",VLOOKUP("TOTAL SEM BDI - "&amp;B305,CPUAUX3!$A:$J,9,FALSE),VLOOKUP(B305,I!$A:$E,5,FALSE))</f>
        <v>22.37</v>
      </c>
      <c r="H305" s="77"/>
      <c r="I305" s="76">
        <f>TRUNC(F305*G305,2)</f>
        <v>0.11</v>
      </c>
      <c r="J305" s="77"/>
      <c r="M305" s="23">
        <f>B305</f>
        <v>88238</v>
      </c>
      <c r="N305" s="23">
        <f>SUMIF(CPUAUX1!M:M,B303,CPUAUX1!O:O)</f>
        <v>5.4406800000000004</v>
      </c>
      <c r="O305" s="23">
        <f>F305*N305</f>
        <v>2.7747468000000004E-2</v>
      </c>
      <c r="Q305" s="23">
        <f ca="1">SUMIF(CPUAUX1!M:M,B303,CPUAUX1!R:R)</f>
        <v>1.8135600000000003</v>
      </c>
      <c r="R305" s="23">
        <f ca="1">F305*Q305</f>
        <v>9.2491560000000014E-3</v>
      </c>
    </row>
    <row r="306" spans="1:18" x14ac:dyDescent="0.3">
      <c r="A306" s="23" t="s">
        <v>1005</v>
      </c>
      <c r="B306" s="23">
        <v>32</v>
      </c>
      <c r="C306" s="23" t="str">
        <f>VLOOKUP(B306,IF(A306="COMPOSICAO",S!$A:$E,I!$A:$E),2,FALSE)</f>
        <v>SINAPI</v>
      </c>
      <c r="D306" s="24" t="str">
        <f>VLOOKUP(B306,IF(A306="COMPOSICAO",S!$A:$E,I!$A:$E),3,FALSE)</f>
        <v>ACO CA-50, 6,3 MM, VERGALHAO</v>
      </c>
      <c r="E306" s="23" t="str">
        <f>VLOOKUP(B306,IF(A306="COMPOSICAO",S!$A:$E,I!$A:$E),4,FALSE)</f>
        <v>KG</v>
      </c>
      <c r="F306" s="23">
        <v>1.07</v>
      </c>
      <c r="G306" s="76">
        <f>IF(A306="COMPOSICAO",VLOOKUP("TOTAL SEM BDI - "&amp;B306,CPUAUX3!$A:$J,9,FALSE),VLOOKUP(B306,I!$A:$E,5,FALSE))</f>
        <v>8.66</v>
      </c>
      <c r="H306" s="77"/>
      <c r="I306" s="76">
        <f>TRUNC(F306*G306,2)</f>
        <v>9.26</v>
      </c>
      <c r="J306" s="77"/>
      <c r="M306" s="23">
        <f>B306</f>
        <v>32</v>
      </c>
      <c r="N306" s="23">
        <f>SUMIF(CPUAUX1!M:M,B303,CPUAUX1!O:O)</f>
        <v>5.4406800000000004</v>
      </c>
      <c r="O306" s="23">
        <f>F306*N306</f>
        <v>5.8215276000000005</v>
      </c>
      <c r="Q306" s="23">
        <f ca="1">SUMIF(CPUAUX1!M:M,B303,CPUAUX1!R:R)</f>
        <v>1.8135600000000003</v>
      </c>
      <c r="R306" s="23">
        <f ca="1">F306*Q306</f>
        <v>1.9405092000000004</v>
      </c>
    </row>
    <row r="307" spans="1:18" x14ac:dyDescent="0.3">
      <c r="A307" s="73" t="str">
        <f>"TOTAL SEM BDI - "&amp;B303</f>
        <v>TOTAL SEM BDI - 92801</v>
      </c>
      <c r="B307" s="74"/>
      <c r="C307" s="74"/>
      <c r="D307" s="74"/>
      <c r="E307" s="74"/>
      <c r="F307" s="74"/>
      <c r="G307" s="74"/>
      <c r="H307" s="75"/>
      <c r="I307" s="76">
        <f>SUM(I303:I306)</f>
        <v>10.209999999999999</v>
      </c>
      <c r="J307" s="77"/>
    </row>
    <row r="309" spans="1:18" x14ac:dyDescent="0.3">
      <c r="A309" s="4" t="s">
        <v>1000</v>
      </c>
      <c r="B309" s="4" t="s">
        <v>170</v>
      </c>
      <c r="C309" s="4" t="s">
        <v>171</v>
      </c>
      <c r="D309" s="4" t="s">
        <v>18</v>
      </c>
      <c r="E309" s="4" t="s">
        <v>172</v>
      </c>
      <c r="F309" s="4" t="s">
        <v>507</v>
      </c>
      <c r="G309" s="45" t="s">
        <v>1001</v>
      </c>
      <c r="H309" s="46"/>
      <c r="I309" s="45" t="s">
        <v>12</v>
      </c>
      <c r="J309" s="46"/>
    </row>
    <row r="310" spans="1:18" ht="30" customHeight="1" x14ac:dyDescent="0.3">
      <c r="A310" s="15" t="s">
        <v>1078</v>
      </c>
      <c r="B310" s="15">
        <v>92802</v>
      </c>
      <c r="C310" s="15" t="str">
        <f>VLOOKUP(B310,S!$A:$G,2,FALSE)</f>
        <v>SINAPI</v>
      </c>
      <c r="D310" s="22" t="str">
        <f>VLOOKUP(B310,S!$A:$G,3,FALSE)</f>
        <v>CORTE E DOBRA DE AÇO CA-50, DIÂMETRO DE 8,0 MM. AF_06/2022</v>
      </c>
      <c r="E310" s="15" t="str">
        <f>VLOOKUP(B310,S!$A:$G,4,FALSE)</f>
        <v>KG</v>
      </c>
      <c r="F310" s="15"/>
      <c r="G310" s="78">
        <f>I314</f>
        <v>10.15</v>
      </c>
      <c r="H310" s="79"/>
      <c r="I310" s="78"/>
      <c r="J310" s="79"/>
      <c r="K310" s="16">
        <f>VLOOKUP(B310,S!A:G,5,FALSE)</f>
        <v>10.15</v>
      </c>
      <c r="L310" s="15" t="str">
        <f>IF(K310=G310,"OK, CONFORME TABELA",IF(G310&gt;K310,"ACIMA DA TABELA: ","ABAIXO DA TABELA: ")&amp;TRUNC((G310*100)/K310,2)&amp;" %")</f>
        <v>OK, CONFORME TABELA</v>
      </c>
    </row>
    <row r="311" spans="1:18" x14ac:dyDescent="0.3">
      <c r="A311" s="23" t="s">
        <v>1004</v>
      </c>
      <c r="B311" s="23">
        <v>88245</v>
      </c>
      <c r="C311" s="23" t="str">
        <f>VLOOKUP(B311,IF(A311="COMPOSICAO",S!$A:$E,I!$A:$E),2,FALSE)</f>
        <v>SINAPI</v>
      </c>
      <c r="D311" s="24" t="str">
        <f>VLOOKUP(B311,IF(A311="COMPOSICAO",S!$A:$E,I!$A:$E),3,FALSE)</f>
        <v>ARMADOR COM ENCARGOS COMPLEMENTARES</v>
      </c>
      <c r="E311" s="23" t="str">
        <f>VLOOKUP(B311,IF(A311="COMPOSICAO",S!$A:$E,I!$A:$E),4,FALSE)</f>
        <v>H</v>
      </c>
      <c r="F311" s="23">
        <f>0.0162/pcf</f>
        <v>1.6199999999999999E-2</v>
      </c>
      <c r="G311" s="76">
        <f>IF(A311="COMPOSICAO",VLOOKUP("TOTAL SEM BDI - "&amp;B311,CPUAUX3!$A:$J,9,FALSE),VLOOKUP(B311,I!$A:$E,5,FALSE))</f>
        <v>27.189999999999998</v>
      </c>
      <c r="H311" s="77"/>
      <c r="I311" s="76">
        <f>TRUNC(F311*G311,2)</f>
        <v>0.44</v>
      </c>
      <c r="J311" s="77"/>
      <c r="M311" s="23">
        <f>B311</f>
        <v>88245</v>
      </c>
      <c r="N311" s="23">
        <f>SUMIF(CPUAUX1!M:M,B310,CPUAUX1!O:O)</f>
        <v>2.0752200000000003</v>
      </c>
      <c r="O311" s="23">
        <f>F311*N311</f>
        <v>3.3618564000000004E-2</v>
      </c>
      <c r="Q311" s="23">
        <f ca="1">SUMIF(CPUAUX1!M:M,B310,CPUAUX1!R:R)</f>
        <v>0.69174000000000013</v>
      </c>
      <c r="R311" s="23">
        <f ca="1">F311*Q311</f>
        <v>1.1206188000000002E-2</v>
      </c>
    </row>
    <row r="312" spans="1:18" ht="30" customHeight="1" x14ac:dyDescent="0.3">
      <c r="A312" s="23" t="s">
        <v>1004</v>
      </c>
      <c r="B312" s="23">
        <v>88238</v>
      </c>
      <c r="C312" s="23" t="str">
        <f>VLOOKUP(B312,IF(A312="COMPOSICAO",S!$A:$E,I!$A:$E),2,FALSE)</f>
        <v>SINAPI</v>
      </c>
      <c r="D312" s="24" t="str">
        <f>VLOOKUP(B312,IF(A312="COMPOSICAO",S!$A:$E,I!$A:$E),3,FALSE)</f>
        <v>AJUDANTE DE ARMADOR COM ENCARGOS COMPLEMENTARES</v>
      </c>
      <c r="E312" s="23" t="str">
        <f>VLOOKUP(B312,IF(A312="COMPOSICAO",S!$A:$E,I!$A:$E),4,FALSE)</f>
        <v>H</v>
      </c>
      <c r="F312" s="23">
        <f>0.0026/pcf</f>
        <v>2.5999999999999999E-3</v>
      </c>
      <c r="G312" s="76">
        <f>IF(A312="COMPOSICAO",VLOOKUP("TOTAL SEM BDI - "&amp;B312,CPUAUX3!$A:$J,9,FALSE),VLOOKUP(B312,I!$A:$E,5,FALSE))</f>
        <v>22.37</v>
      </c>
      <c r="H312" s="77"/>
      <c r="I312" s="76">
        <f>TRUNC(F312*G312,2)</f>
        <v>0.05</v>
      </c>
      <c r="J312" s="77"/>
      <c r="M312" s="23">
        <f>B312</f>
        <v>88238</v>
      </c>
      <c r="N312" s="23">
        <f>SUMIF(CPUAUX1!M:M,B310,CPUAUX1!O:O)</f>
        <v>2.0752200000000003</v>
      </c>
      <c r="O312" s="23">
        <f>F312*N312</f>
        <v>5.3955720000000004E-3</v>
      </c>
      <c r="Q312" s="23">
        <f ca="1">SUMIF(CPUAUX1!M:M,B310,CPUAUX1!R:R)</f>
        <v>0.69174000000000013</v>
      </c>
      <c r="R312" s="23">
        <f ca="1">F312*Q312</f>
        <v>1.7985240000000003E-3</v>
      </c>
    </row>
    <row r="313" spans="1:18" x14ac:dyDescent="0.3">
      <c r="A313" s="23" t="s">
        <v>1005</v>
      </c>
      <c r="B313" s="23">
        <v>33</v>
      </c>
      <c r="C313" s="23" t="str">
        <f>VLOOKUP(B313,IF(A313="COMPOSICAO",S!$A:$E,I!$A:$E),2,FALSE)</f>
        <v>SINAPI</v>
      </c>
      <c r="D313" s="24" t="str">
        <f>VLOOKUP(B313,IF(A313="COMPOSICAO",S!$A:$E,I!$A:$E),3,FALSE)</f>
        <v>ACO CA-50, 8,0 MM, VERGALHAO</v>
      </c>
      <c r="E313" s="23" t="str">
        <f>VLOOKUP(B313,IF(A313="COMPOSICAO",S!$A:$E,I!$A:$E),4,FALSE)</f>
        <v>KG</v>
      </c>
      <c r="F313" s="23">
        <v>1.1100000000000001</v>
      </c>
      <c r="G313" s="76">
        <f>IF(A313="COMPOSICAO",VLOOKUP("TOTAL SEM BDI - "&amp;B313,CPUAUX3!$A:$J,9,FALSE),VLOOKUP(B313,I!$A:$E,5,FALSE))</f>
        <v>8.7100000000000009</v>
      </c>
      <c r="H313" s="77"/>
      <c r="I313" s="76">
        <f>TRUNC(F313*G313,2)</f>
        <v>9.66</v>
      </c>
      <c r="J313" s="77"/>
      <c r="M313" s="23">
        <f>B313</f>
        <v>33</v>
      </c>
      <c r="N313" s="23">
        <f>SUMIF(CPUAUX1!M:M,B310,CPUAUX1!O:O)</f>
        <v>2.0752200000000003</v>
      </c>
      <c r="O313" s="23">
        <f>F313*N313</f>
        <v>2.3034942000000007</v>
      </c>
      <c r="Q313" s="23">
        <f ca="1">SUMIF(CPUAUX1!M:M,B310,CPUAUX1!R:R)</f>
        <v>0.69174000000000013</v>
      </c>
      <c r="R313" s="23">
        <f ca="1">F313*Q313</f>
        <v>0.76783140000000016</v>
      </c>
    </row>
    <row r="314" spans="1:18" x14ac:dyDescent="0.3">
      <c r="A314" s="73" t="str">
        <f>"TOTAL SEM BDI - "&amp;B310</f>
        <v>TOTAL SEM BDI - 92802</v>
      </c>
      <c r="B314" s="74"/>
      <c r="C314" s="74"/>
      <c r="D314" s="74"/>
      <c r="E314" s="74"/>
      <c r="F314" s="74"/>
      <c r="G314" s="74"/>
      <c r="H314" s="75"/>
      <c r="I314" s="76">
        <f>SUM(I310:I313)</f>
        <v>10.15</v>
      </c>
      <c r="J314" s="77"/>
    </row>
    <row r="316" spans="1:18" x14ac:dyDescent="0.3">
      <c r="A316" s="4" t="s">
        <v>1000</v>
      </c>
      <c r="B316" s="4" t="s">
        <v>170</v>
      </c>
      <c r="C316" s="4" t="s">
        <v>171</v>
      </c>
      <c r="D316" s="4" t="s">
        <v>18</v>
      </c>
      <c r="E316" s="4" t="s">
        <v>172</v>
      </c>
      <c r="F316" s="4" t="s">
        <v>507</v>
      </c>
      <c r="G316" s="45" t="s">
        <v>1001</v>
      </c>
      <c r="H316" s="46"/>
      <c r="I316" s="45" t="s">
        <v>12</v>
      </c>
      <c r="J316" s="46"/>
    </row>
    <row r="317" spans="1:18" ht="30" customHeight="1" x14ac:dyDescent="0.3">
      <c r="A317" s="15" t="s">
        <v>1078</v>
      </c>
      <c r="B317" s="15">
        <v>92803</v>
      </c>
      <c r="C317" s="15" t="str">
        <f>VLOOKUP(B317,S!$A:$G,2,FALSE)</f>
        <v>SINAPI</v>
      </c>
      <c r="D317" s="22" t="str">
        <f>VLOOKUP(B317,S!$A:$G,3,FALSE)</f>
        <v>CORTE E DOBRA DE AÇO CA-50, DIÂMETRO DE 10,0 MM. AF_06/2022</v>
      </c>
      <c r="E317" s="15" t="str">
        <f>VLOOKUP(B317,S!$A:$G,4,FALSE)</f>
        <v>KG</v>
      </c>
      <c r="F317" s="15"/>
      <c r="G317" s="78">
        <f>I321</f>
        <v>9.3699999999999992</v>
      </c>
      <c r="H317" s="79"/>
      <c r="I317" s="78"/>
      <c r="J317" s="79"/>
      <c r="K317" s="16">
        <f>VLOOKUP(B317,S!A:G,5,FALSE)</f>
        <v>9.3699999999999992</v>
      </c>
      <c r="L317" s="15" t="str">
        <f>IF(K317=G317,"OK, CONFORME TABELA",IF(G317&gt;K317,"ACIMA DA TABELA: ","ABAIXO DA TABELA: ")&amp;TRUNC((G317*100)/K317,2)&amp;" %")</f>
        <v>OK, CONFORME TABELA</v>
      </c>
    </row>
    <row r="318" spans="1:18" x14ac:dyDescent="0.3">
      <c r="A318" s="23" t="s">
        <v>1004</v>
      </c>
      <c r="B318" s="23">
        <v>88245</v>
      </c>
      <c r="C318" s="23" t="str">
        <f>VLOOKUP(B318,IF(A318="COMPOSICAO",S!$A:$E,I!$A:$E),2,FALSE)</f>
        <v>SINAPI</v>
      </c>
      <c r="D318" s="24" t="str">
        <f>VLOOKUP(B318,IF(A318="COMPOSICAO",S!$A:$E,I!$A:$E),3,FALSE)</f>
        <v>ARMADOR COM ENCARGOS COMPLEMENTARES</v>
      </c>
      <c r="E318" s="23" t="str">
        <f>VLOOKUP(B318,IF(A318="COMPOSICAO",S!$A:$E,I!$A:$E),4,FALSE)</f>
        <v>H</v>
      </c>
      <c r="F318" s="23">
        <f>0.0088/pcf</f>
        <v>8.8000000000000005E-3</v>
      </c>
      <c r="G318" s="76">
        <f>IF(A318="COMPOSICAO",VLOOKUP("TOTAL SEM BDI - "&amp;B318,CPUAUX3!$A:$J,9,FALSE),VLOOKUP(B318,I!$A:$E,5,FALSE))</f>
        <v>27.189999999999998</v>
      </c>
      <c r="H318" s="77"/>
      <c r="I318" s="76">
        <f>TRUNC(F318*G318,2)</f>
        <v>0.23</v>
      </c>
      <c r="J318" s="77"/>
      <c r="M318" s="23">
        <f>B318</f>
        <v>88245</v>
      </c>
      <c r="N318" s="23">
        <f>SUMIF(CPUAUX1!M:M,B317,CPUAUX1!O:O)</f>
        <v>41.438340000000011</v>
      </c>
      <c r="O318" s="23">
        <f>F318*N318</f>
        <v>0.36465739200000014</v>
      </c>
      <c r="Q318" s="23">
        <f ca="1">SUMIF(CPUAUX1!M:M,B317,CPUAUX1!R:R)</f>
        <v>13.812780000000002</v>
      </c>
      <c r="R318" s="23">
        <f ca="1">F318*Q318</f>
        <v>0.12155246400000003</v>
      </c>
    </row>
    <row r="319" spans="1:18" ht="30" customHeight="1" x14ac:dyDescent="0.3">
      <c r="A319" s="23" t="s">
        <v>1004</v>
      </c>
      <c r="B319" s="23">
        <v>88238</v>
      </c>
      <c r="C319" s="23" t="str">
        <f>VLOOKUP(B319,IF(A319="COMPOSICAO",S!$A:$E,I!$A:$E),2,FALSE)</f>
        <v>SINAPI</v>
      </c>
      <c r="D319" s="24" t="str">
        <f>VLOOKUP(B319,IF(A319="COMPOSICAO",S!$A:$E,I!$A:$E),3,FALSE)</f>
        <v>AJUDANTE DE ARMADOR COM ENCARGOS COMPLEMENTARES</v>
      </c>
      <c r="E319" s="23" t="str">
        <f>VLOOKUP(B319,IF(A319="COMPOSICAO",S!$A:$E,I!$A:$E),4,FALSE)</f>
        <v>H</v>
      </c>
      <c r="F319" s="23">
        <f>0.0014/pcf</f>
        <v>1.4E-3</v>
      </c>
      <c r="G319" s="76">
        <f>IF(A319="COMPOSICAO",VLOOKUP("TOTAL SEM BDI - "&amp;B319,CPUAUX3!$A:$J,9,FALSE),VLOOKUP(B319,I!$A:$E,5,FALSE))</f>
        <v>22.37</v>
      </c>
      <c r="H319" s="77"/>
      <c r="I319" s="76">
        <f>TRUNC(F319*G319,2)</f>
        <v>0.03</v>
      </c>
      <c r="J319" s="77"/>
      <c r="M319" s="23">
        <f>B319</f>
        <v>88238</v>
      </c>
      <c r="N319" s="23">
        <f>SUMIF(CPUAUX1!M:M,B317,CPUAUX1!O:O)</f>
        <v>41.438340000000011</v>
      </c>
      <c r="O319" s="23">
        <f>F319*N319</f>
        <v>5.8013676000000014E-2</v>
      </c>
      <c r="Q319" s="23">
        <f ca="1">SUMIF(CPUAUX1!M:M,B317,CPUAUX1!R:R)</f>
        <v>13.812780000000002</v>
      </c>
      <c r="R319" s="23">
        <f ca="1">F319*Q319</f>
        <v>1.9337892000000002E-2</v>
      </c>
    </row>
    <row r="320" spans="1:18" x14ac:dyDescent="0.3">
      <c r="A320" s="23" t="s">
        <v>1005</v>
      </c>
      <c r="B320" s="23">
        <v>34</v>
      </c>
      <c r="C320" s="23" t="str">
        <f>VLOOKUP(B320,IF(A320="COMPOSICAO",S!$A:$E,I!$A:$E),2,FALSE)</f>
        <v>SINAPI</v>
      </c>
      <c r="D320" s="24" t="str">
        <f>VLOOKUP(B320,IF(A320="COMPOSICAO",S!$A:$E,I!$A:$E),3,FALSE)</f>
        <v>ACO CA-50, 10,0 MM, VERGALHAO</v>
      </c>
      <c r="E320" s="23" t="str">
        <f>VLOOKUP(B320,IF(A320="COMPOSICAO",S!$A:$E,I!$A:$E),4,FALSE)</f>
        <v>KG</v>
      </c>
      <c r="F320" s="23">
        <v>1.1100000000000001</v>
      </c>
      <c r="G320" s="76">
        <f>IF(A320="COMPOSICAO",VLOOKUP("TOTAL SEM BDI - "&amp;B320,CPUAUX3!$A:$J,9,FALSE),VLOOKUP(B320,I!$A:$E,5,FALSE))</f>
        <v>8.2100000000000009</v>
      </c>
      <c r="H320" s="77"/>
      <c r="I320" s="76">
        <f>TRUNC(F320*G320,2)</f>
        <v>9.11</v>
      </c>
      <c r="J320" s="77"/>
      <c r="M320" s="23">
        <f>B320</f>
        <v>34</v>
      </c>
      <c r="N320" s="23">
        <f>SUMIF(CPUAUX1!M:M,B317,CPUAUX1!O:O)</f>
        <v>41.438340000000011</v>
      </c>
      <c r="O320" s="23">
        <f>F320*N320</f>
        <v>45.996557400000015</v>
      </c>
      <c r="Q320" s="23">
        <f ca="1">SUMIF(CPUAUX1!M:M,B317,CPUAUX1!R:R)</f>
        <v>13.812780000000002</v>
      </c>
      <c r="R320" s="23">
        <f ca="1">F320*Q320</f>
        <v>15.332185800000003</v>
      </c>
    </row>
    <row r="321" spans="1:18" x14ac:dyDescent="0.3">
      <c r="A321" s="73" t="str">
        <f>"TOTAL SEM BDI - "&amp;B317</f>
        <v>TOTAL SEM BDI - 92803</v>
      </c>
      <c r="B321" s="74"/>
      <c r="C321" s="74"/>
      <c r="D321" s="74"/>
      <c r="E321" s="74"/>
      <c r="F321" s="74"/>
      <c r="G321" s="74"/>
      <c r="H321" s="75"/>
      <c r="I321" s="76">
        <f>SUM(I317:I320)</f>
        <v>9.3699999999999992</v>
      </c>
      <c r="J321" s="77"/>
    </row>
    <row r="323" spans="1:18" x14ac:dyDescent="0.3">
      <c r="A323" s="4" t="s">
        <v>1000</v>
      </c>
      <c r="B323" s="4" t="s">
        <v>170</v>
      </c>
      <c r="C323" s="4" t="s">
        <v>171</v>
      </c>
      <c r="D323" s="4" t="s">
        <v>18</v>
      </c>
      <c r="E323" s="4" t="s">
        <v>172</v>
      </c>
      <c r="F323" s="4" t="s">
        <v>507</v>
      </c>
      <c r="G323" s="45" t="s">
        <v>1001</v>
      </c>
      <c r="H323" s="46"/>
      <c r="I323" s="45" t="s">
        <v>12</v>
      </c>
      <c r="J323" s="46"/>
    </row>
    <row r="324" spans="1:18" ht="30" customHeight="1" x14ac:dyDescent="0.3">
      <c r="A324" s="15" t="s">
        <v>1078</v>
      </c>
      <c r="B324" s="15">
        <v>92804</v>
      </c>
      <c r="C324" s="15" t="str">
        <f>VLOOKUP(B324,S!$A:$G,2,FALSE)</f>
        <v>SINAPI</v>
      </c>
      <c r="D324" s="22" t="str">
        <f>VLOOKUP(B324,S!$A:$G,3,FALSE)</f>
        <v>CORTE E DOBRA DE AÇO CA-50, DIÂMETRO DE 12,5 MM. AF_06/2022</v>
      </c>
      <c r="E324" s="15" t="str">
        <f>VLOOKUP(B324,S!$A:$G,4,FALSE)</f>
        <v>KG</v>
      </c>
      <c r="F324" s="15"/>
      <c r="G324" s="78">
        <f>I328</f>
        <v>8.0299999999999994</v>
      </c>
      <c r="H324" s="79"/>
      <c r="I324" s="78"/>
      <c r="J324" s="79"/>
      <c r="K324" s="16">
        <f>VLOOKUP(B324,S!A:G,5,FALSE)</f>
        <v>8.0299999999999994</v>
      </c>
      <c r="L324" s="15" t="str">
        <f>IF(K324=G324,"OK, CONFORME TABELA",IF(G324&gt;K324,"ACIMA DA TABELA: ","ABAIXO DA TABELA: ")&amp;TRUNC((G324*100)/K324,2)&amp;" %")</f>
        <v>OK, CONFORME TABELA</v>
      </c>
    </row>
    <row r="325" spans="1:18" x14ac:dyDescent="0.3">
      <c r="A325" s="23" t="s">
        <v>1004</v>
      </c>
      <c r="B325" s="23">
        <v>88245</v>
      </c>
      <c r="C325" s="23" t="str">
        <f>VLOOKUP(B325,IF(A325="COMPOSICAO",S!$A:$E,I!$A:$E),2,FALSE)</f>
        <v>SINAPI</v>
      </c>
      <c r="D325" s="24" t="str">
        <f>VLOOKUP(B325,IF(A325="COMPOSICAO",S!$A:$E,I!$A:$E),3,FALSE)</f>
        <v>ARMADOR COM ENCARGOS COMPLEMENTARES</v>
      </c>
      <c r="E325" s="23" t="str">
        <f>VLOOKUP(B325,IF(A325="COMPOSICAO",S!$A:$E,I!$A:$E),4,FALSE)</f>
        <v>H</v>
      </c>
      <c r="F325" s="23">
        <f>0.0048/pcf</f>
        <v>4.7999999999999996E-3</v>
      </c>
      <c r="G325" s="76">
        <f>IF(A325="COMPOSICAO",VLOOKUP("TOTAL SEM BDI - "&amp;B325,CPUAUX3!$A:$J,9,FALSE),VLOOKUP(B325,I!$A:$E,5,FALSE))</f>
        <v>27.189999999999998</v>
      </c>
      <c r="H325" s="77"/>
      <c r="I325" s="76">
        <f>TRUNC(F325*G325,2)</f>
        <v>0.13</v>
      </c>
      <c r="J325" s="77"/>
      <c r="M325" s="23">
        <f>B325</f>
        <v>88245</v>
      </c>
      <c r="N325" s="23">
        <f>SUMIF(CPUAUX1!M:M,B324,CPUAUX1!O:O)</f>
        <v>16.982640000000004</v>
      </c>
      <c r="O325" s="23">
        <f>F325*N325</f>
        <v>8.1516672000000012E-2</v>
      </c>
      <c r="Q325" s="23">
        <f ca="1">SUMIF(CPUAUX1!M:M,B324,CPUAUX1!R:R)</f>
        <v>5.6608800000000006</v>
      </c>
      <c r="R325" s="23">
        <f ca="1">F325*Q325</f>
        <v>2.7172224000000002E-2</v>
      </c>
    </row>
    <row r="326" spans="1:18" ht="30" customHeight="1" x14ac:dyDescent="0.3">
      <c r="A326" s="23" t="s">
        <v>1004</v>
      </c>
      <c r="B326" s="23">
        <v>88238</v>
      </c>
      <c r="C326" s="23" t="str">
        <f>VLOOKUP(B326,IF(A326="COMPOSICAO",S!$A:$E,I!$A:$E),2,FALSE)</f>
        <v>SINAPI</v>
      </c>
      <c r="D326" s="24" t="str">
        <f>VLOOKUP(B326,IF(A326="COMPOSICAO",S!$A:$E,I!$A:$E),3,FALSE)</f>
        <v>AJUDANTE DE ARMADOR COM ENCARGOS COMPLEMENTARES</v>
      </c>
      <c r="E326" s="23" t="str">
        <f>VLOOKUP(B326,IF(A326="COMPOSICAO",S!$A:$E,I!$A:$E),4,FALSE)</f>
        <v>H</v>
      </c>
      <c r="F326" s="23">
        <f>0.0008/pcf</f>
        <v>8.0000000000000004E-4</v>
      </c>
      <c r="G326" s="76">
        <f>IF(A326="COMPOSICAO",VLOOKUP("TOTAL SEM BDI - "&amp;B326,CPUAUX3!$A:$J,9,FALSE),VLOOKUP(B326,I!$A:$E,5,FALSE))</f>
        <v>22.37</v>
      </c>
      <c r="H326" s="77"/>
      <c r="I326" s="76">
        <f>TRUNC(F326*G326,2)</f>
        <v>0.01</v>
      </c>
      <c r="J326" s="77"/>
      <c r="M326" s="23">
        <f>B326</f>
        <v>88238</v>
      </c>
      <c r="N326" s="23">
        <f>SUMIF(CPUAUX1!M:M,B324,CPUAUX1!O:O)</f>
        <v>16.982640000000004</v>
      </c>
      <c r="O326" s="23">
        <f>F326*N326</f>
        <v>1.3586112000000003E-2</v>
      </c>
      <c r="Q326" s="23">
        <f ca="1">SUMIF(CPUAUX1!M:M,B324,CPUAUX1!R:R)</f>
        <v>5.6608800000000006</v>
      </c>
      <c r="R326" s="23">
        <f ca="1">F326*Q326</f>
        <v>4.5287040000000006E-3</v>
      </c>
    </row>
    <row r="327" spans="1:18" x14ac:dyDescent="0.3">
      <c r="A327" s="23" t="s">
        <v>1005</v>
      </c>
      <c r="B327" s="23">
        <v>43055</v>
      </c>
      <c r="C327" s="23" t="str">
        <f>VLOOKUP(B327,IF(A327="COMPOSICAO",S!$A:$E,I!$A:$E),2,FALSE)</f>
        <v>SINAPI</v>
      </c>
      <c r="D327" s="24" t="str">
        <f>VLOOKUP(B327,IF(A327="COMPOSICAO",S!$A:$E,I!$A:$E),3,FALSE)</f>
        <v>ACO CA-50, 12,5 MM OU 16,0 MM, VERGALHAO</v>
      </c>
      <c r="E327" s="23" t="str">
        <f>VLOOKUP(B327,IF(A327="COMPOSICAO",S!$A:$E,I!$A:$E),4,FALSE)</f>
        <v>KG</v>
      </c>
      <c r="F327" s="23">
        <v>1.1100000000000001</v>
      </c>
      <c r="G327" s="76">
        <f>IF(A327="COMPOSICAO",VLOOKUP("TOTAL SEM BDI - "&amp;B327,CPUAUX3!$A:$J,9,FALSE),VLOOKUP(B327,I!$A:$E,5,FALSE))</f>
        <v>7.11</v>
      </c>
      <c r="H327" s="77"/>
      <c r="I327" s="76">
        <f>TRUNC(F327*G327,2)</f>
        <v>7.89</v>
      </c>
      <c r="J327" s="77"/>
      <c r="M327" s="23">
        <f>B327</f>
        <v>43055</v>
      </c>
      <c r="N327" s="23">
        <f>SUMIF(CPUAUX1!M:M,B324,CPUAUX1!O:O)</f>
        <v>16.982640000000004</v>
      </c>
      <c r="O327" s="23">
        <f>F327*N327</f>
        <v>18.850730400000007</v>
      </c>
      <c r="Q327" s="23">
        <f ca="1">SUMIF(CPUAUX1!M:M,B324,CPUAUX1!R:R)</f>
        <v>5.6608800000000006</v>
      </c>
      <c r="R327" s="23">
        <f ca="1">F327*Q327</f>
        <v>6.2835768000000014</v>
      </c>
    </row>
    <row r="328" spans="1:18" x14ac:dyDescent="0.3">
      <c r="A328" s="73" t="str">
        <f>"TOTAL SEM BDI - "&amp;B324</f>
        <v>TOTAL SEM BDI - 92804</v>
      </c>
      <c r="B328" s="74"/>
      <c r="C328" s="74"/>
      <c r="D328" s="74"/>
      <c r="E328" s="74"/>
      <c r="F328" s="74"/>
      <c r="G328" s="74"/>
      <c r="H328" s="75"/>
      <c r="I328" s="76">
        <f>SUM(I324:I327)</f>
        <v>8.0299999999999994</v>
      </c>
      <c r="J328" s="77"/>
    </row>
    <row r="330" spans="1:18" x14ac:dyDescent="0.3">
      <c r="A330" s="4" t="s">
        <v>1000</v>
      </c>
      <c r="B330" s="4" t="s">
        <v>170</v>
      </c>
      <c r="C330" s="4" t="s">
        <v>171</v>
      </c>
      <c r="D330" s="4" t="s">
        <v>18</v>
      </c>
      <c r="E330" s="4" t="s">
        <v>172</v>
      </c>
      <c r="F330" s="4" t="s">
        <v>507</v>
      </c>
      <c r="G330" s="45" t="s">
        <v>1001</v>
      </c>
      <c r="H330" s="46"/>
      <c r="I330" s="45" t="s">
        <v>12</v>
      </c>
      <c r="J330" s="46"/>
    </row>
    <row r="331" spans="1:18" ht="30" customHeight="1" x14ac:dyDescent="0.3">
      <c r="A331" s="15" t="s">
        <v>1078</v>
      </c>
      <c r="B331" s="15">
        <v>92805</v>
      </c>
      <c r="C331" s="15" t="str">
        <f>VLOOKUP(B331,S!$A:$G,2,FALSE)</f>
        <v>SINAPI</v>
      </c>
      <c r="D331" s="22" t="str">
        <f>VLOOKUP(B331,S!$A:$G,3,FALSE)</f>
        <v>CORTE E DOBRA DE AÇO CA-50, DIÂMETRO DE 16,0 MM. AF_06/2022</v>
      </c>
      <c r="E331" s="15" t="str">
        <f>VLOOKUP(B331,S!$A:$G,4,FALSE)</f>
        <v>KG</v>
      </c>
      <c r="F331" s="15"/>
      <c r="G331" s="78">
        <f>I334</f>
        <v>7.9499999999999993</v>
      </c>
      <c r="H331" s="79"/>
      <c r="I331" s="78"/>
      <c r="J331" s="79"/>
      <c r="K331" s="16">
        <f>VLOOKUP(B331,S!A:G,5,FALSE)</f>
        <v>7.95</v>
      </c>
      <c r="L331" s="15" t="str">
        <f>IF(K331=G331,"OK, CONFORME TABELA",IF(G331&gt;K331,"ACIMA DA TABELA: ","ABAIXO DA TABELA: ")&amp;TRUNC((G331*100)/K331,2)&amp;" %")</f>
        <v>OK, CONFORME TABELA</v>
      </c>
    </row>
    <row r="332" spans="1:18" x14ac:dyDescent="0.3">
      <c r="A332" s="23" t="s">
        <v>1004</v>
      </c>
      <c r="B332" s="23">
        <v>88245</v>
      </c>
      <c r="C332" s="23" t="str">
        <f>VLOOKUP(B332,IF(A332="COMPOSICAO",S!$A:$E,I!$A:$E),2,FALSE)</f>
        <v>SINAPI</v>
      </c>
      <c r="D332" s="24" t="str">
        <f>VLOOKUP(B332,IF(A332="COMPOSICAO",S!$A:$E,I!$A:$E),3,FALSE)</f>
        <v>ARMADOR COM ENCARGOS COMPLEMENTARES</v>
      </c>
      <c r="E332" s="23" t="str">
        <f>VLOOKUP(B332,IF(A332="COMPOSICAO",S!$A:$E,I!$A:$E),4,FALSE)</f>
        <v>H</v>
      </c>
      <c r="F332" s="23">
        <f>0.0025/pcf</f>
        <v>2.5000000000000001E-3</v>
      </c>
      <c r="G332" s="76">
        <f>IF(A332="COMPOSICAO",VLOOKUP("TOTAL SEM BDI - "&amp;B332,CPUAUX3!$A:$J,9,FALSE),VLOOKUP(B332,I!$A:$E,5,FALSE))</f>
        <v>27.189999999999998</v>
      </c>
      <c r="H332" s="77"/>
      <c r="I332" s="76">
        <f>TRUNC(F332*G332,2)</f>
        <v>0.06</v>
      </c>
      <c r="J332" s="77"/>
      <c r="M332" s="23">
        <f>B332</f>
        <v>88245</v>
      </c>
      <c r="N332" s="23">
        <f>SUMIF(CPUAUX1!M:M,B331,CPUAUX1!O:O)</f>
        <v>4.3709400000000009</v>
      </c>
      <c r="O332" s="23">
        <f>F332*N332</f>
        <v>1.0927350000000002E-2</v>
      </c>
      <c r="Q332" s="23">
        <f ca="1">SUMIF(CPUAUX1!M:M,B331,CPUAUX1!R:R)</f>
        <v>1.4569800000000004</v>
      </c>
      <c r="R332" s="23">
        <f ca="1">F332*Q332</f>
        <v>3.6424500000000011E-3</v>
      </c>
    </row>
    <row r="333" spans="1:18" x14ac:dyDescent="0.3">
      <c r="A333" s="23" t="s">
        <v>1005</v>
      </c>
      <c r="B333" s="23">
        <v>43055</v>
      </c>
      <c r="C333" s="23" t="str">
        <f>VLOOKUP(B333,IF(A333="COMPOSICAO",S!$A:$E,I!$A:$E),2,FALSE)</f>
        <v>SINAPI</v>
      </c>
      <c r="D333" s="24" t="str">
        <f>VLOOKUP(B333,IF(A333="COMPOSICAO",S!$A:$E,I!$A:$E),3,FALSE)</f>
        <v>ACO CA-50, 12,5 MM OU 16,0 MM, VERGALHAO</v>
      </c>
      <c r="E333" s="23" t="str">
        <f>VLOOKUP(B333,IF(A333="COMPOSICAO",S!$A:$E,I!$A:$E),4,FALSE)</f>
        <v>KG</v>
      </c>
      <c r="F333" s="23">
        <v>1.1100000000000001</v>
      </c>
      <c r="G333" s="76">
        <f>IF(A333="COMPOSICAO",VLOOKUP("TOTAL SEM BDI - "&amp;B333,CPUAUX3!$A:$J,9,FALSE),VLOOKUP(B333,I!$A:$E,5,FALSE))</f>
        <v>7.11</v>
      </c>
      <c r="H333" s="77"/>
      <c r="I333" s="76">
        <f>TRUNC(F333*G333,2)</f>
        <v>7.89</v>
      </c>
      <c r="J333" s="77"/>
      <c r="M333" s="23">
        <f>B333</f>
        <v>43055</v>
      </c>
      <c r="N333" s="23">
        <f>SUMIF(CPUAUX1!M:M,B331,CPUAUX1!O:O)</f>
        <v>4.3709400000000009</v>
      </c>
      <c r="O333" s="23">
        <f>F333*N333</f>
        <v>4.851743400000001</v>
      </c>
      <c r="Q333" s="23">
        <f ca="1">SUMIF(CPUAUX1!M:M,B331,CPUAUX1!R:R)</f>
        <v>1.4569800000000004</v>
      </c>
      <c r="R333" s="23">
        <f ca="1">F333*Q333</f>
        <v>1.6172478000000006</v>
      </c>
    </row>
    <row r="334" spans="1:18" x14ac:dyDescent="0.3">
      <c r="A334" s="73" t="str">
        <f>"TOTAL SEM BDI - "&amp;B331</f>
        <v>TOTAL SEM BDI - 92805</v>
      </c>
      <c r="B334" s="74"/>
      <c r="C334" s="74"/>
      <c r="D334" s="74"/>
      <c r="E334" s="74"/>
      <c r="F334" s="74"/>
      <c r="G334" s="74"/>
      <c r="H334" s="75"/>
      <c r="I334" s="76">
        <f>SUM(I331:I333)</f>
        <v>7.9499999999999993</v>
      </c>
      <c r="J334" s="77"/>
    </row>
    <row r="336" spans="1:18" x14ac:dyDescent="0.3">
      <c r="A336" s="4" t="s">
        <v>1000</v>
      </c>
      <c r="B336" s="4" t="s">
        <v>170</v>
      </c>
      <c r="C336" s="4" t="s">
        <v>171</v>
      </c>
      <c r="D336" s="4" t="s">
        <v>18</v>
      </c>
      <c r="E336" s="4" t="s">
        <v>172</v>
      </c>
      <c r="F336" s="4" t="s">
        <v>507</v>
      </c>
      <c r="G336" s="45" t="s">
        <v>1001</v>
      </c>
      <c r="H336" s="46"/>
      <c r="I336" s="45" t="s">
        <v>12</v>
      </c>
      <c r="J336" s="46"/>
    </row>
    <row r="337" spans="1:18" ht="30" customHeight="1" x14ac:dyDescent="0.3">
      <c r="A337" s="15" t="s">
        <v>1078</v>
      </c>
      <c r="B337" s="15">
        <v>92806</v>
      </c>
      <c r="C337" s="15" t="str">
        <f>VLOOKUP(B337,S!$A:$G,2,FALSE)</f>
        <v>SINAPI</v>
      </c>
      <c r="D337" s="22" t="str">
        <f>VLOOKUP(B337,S!$A:$G,3,FALSE)</f>
        <v>CORTE E DOBRA DE AÇO CA-50, DIÂMETRO DE 20,0 MM. AF_06/2022</v>
      </c>
      <c r="E337" s="15" t="str">
        <f>VLOOKUP(B337,S!$A:$G,4,FALSE)</f>
        <v>KG</v>
      </c>
      <c r="F337" s="15"/>
      <c r="G337" s="78">
        <f>I340</f>
        <v>9.3699999999999992</v>
      </c>
      <c r="H337" s="79"/>
      <c r="I337" s="78"/>
      <c r="J337" s="79"/>
      <c r="K337" s="16">
        <f>VLOOKUP(B337,S!A:G,5,FALSE)</f>
        <v>9.3699999999999992</v>
      </c>
      <c r="L337" s="15" t="str">
        <f>IF(K337=G337,"OK, CONFORME TABELA",IF(G337&gt;K337,"ACIMA DA TABELA: ","ABAIXO DA TABELA: ")&amp;TRUNC((G337*100)/K337,2)&amp;" %")</f>
        <v>OK, CONFORME TABELA</v>
      </c>
    </row>
    <row r="338" spans="1:18" x14ac:dyDescent="0.3">
      <c r="A338" s="23" t="s">
        <v>1004</v>
      </c>
      <c r="B338" s="23">
        <v>88245</v>
      </c>
      <c r="C338" s="23" t="str">
        <f>VLOOKUP(B338,IF(A338="COMPOSICAO",S!$A:$E,I!$A:$E),2,FALSE)</f>
        <v>SINAPI</v>
      </c>
      <c r="D338" s="24" t="str">
        <f>VLOOKUP(B338,IF(A338="COMPOSICAO",S!$A:$E,I!$A:$E),3,FALSE)</f>
        <v>ARMADOR COM ENCARGOS COMPLEMENTARES</v>
      </c>
      <c r="E338" s="23" t="str">
        <f>VLOOKUP(B338,IF(A338="COMPOSICAO",S!$A:$E,I!$A:$E),4,FALSE)</f>
        <v>H</v>
      </c>
      <c r="F338" s="23">
        <f>0.0013/pcf</f>
        <v>1.2999999999999999E-3</v>
      </c>
      <c r="G338" s="76">
        <f>IF(A338="COMPOSICAO",VLOOKUP("TOTAL SEM BDI - "&amp;B338,CPUAUX3!$A:$J,9,FALSE),VLOOKUP(B338,I!$A:$E,5,FALSE))</f>
        <v>27.189999999999998</v>
      </c>
      <c r="H338" s="77"/>
      <c r="I338" s="76">
        <f>TRUNC(F338*G338,2)</f>
        <v>0.03</v>
      </c>
      <c r="J338" s="77"/>
      <c r="M338" s="23">
        <f>B338</f>
        <v>88245</v>
      </c>
      <c r="N338" s="23">
        <f>SUMIF(CPUAUX1!M:M,B337,CPUAUX1!O:O)</f>
        <v>7.6759200000000014</v>
      </c>
      <c r="O338" s="23">
        <f>F338*N338</f>
        <v>9.9786960000000022E-3</v>
      </c>
      <c r="Q338" s="23">
        <f ca="1">SUMIF(CPUAUX1!M:M,B337,CPUAUX1!R:R)</f>
        <v>2.5586400000000005</v>
      </c>
      <c r="R338" s="23">
        <f ca="1">F338*Q338</f>
        <v>3.3262320000000006E-3</v>
      </c>
    </row>
    <row r="339" spans="1:18" x14ac:dyDescent="0.3">
      <c r="A339" s="23" t="s">
        <v>1005</v>
      </c>
      <c r="B339" s="23">
        <v>43056</v>
      </c>
      <c r="C339" s="23" t="str">
        <f>VLOOKUP(B339,IF(A339="COMPOSICAO",S!$A:$E,I!$A:$E),2,FALSE)</f>
        <v>SINAPI</v>
      </c>
      <c r="D339" s="24" t="str">
        <f>VLOOKUP(B339,IF(A339="COMPOSICAO",S!$A:$E,I!$A:$E),3,FALSE)</f>
        <v>ACO CA-50, 20,0 MM OU 25,0 MM, VERGALHAO</v>
      </c>
      <c r="E339" s="23" t="str">
        <f>VLOOKUP(B339,IF(A339="COMPOSICAO",S!$A:$E,I!$A:$E),4,FALSE)</f>
        <v>KG</v>
      </c>
      <c r="F339" s="23">
        <v>1.1399999999999999</v>
      </c>
      <c r="G339" s="76">
        <f>IF(A339="COMPOSICAO",VLOOKUP("TOTAL SEM BDI - "&amp;B339,CPUAUX3!$A:$J,9,FALSE),VLOOKUP(B339,I!$A:$E,5,FALSE))</f>
        <v>8.1999999999999993</v>
      </c>
      <c r="H339" s="77"/>
      <c r="I339" s="76">
        <f>TRUNC(F339*G339,2)</f>
        <v>9.34</v>
      </c>
      <c r="J339" s="77"/>
      <c r="M339" s="23">
        <f>B339</f>
        <v>43056</v>
      </c>
      <c r="N339" s="23">
        <f>SUMIF(CPUAUX1!M:M,B337,CPUAUX1!O:O)</f>
        <v>7.6759200000000014</v>
      </c>
      <c r="O339" s="23">
        <f>F339*N339</f>
        <v>8.7505488000000007</v>
      </c>
      <c r="Q339" s="23">
        <f ca="1">SUMIF(CPUAUX1!M:M,B337,CPUAUX1!R:R)</f>
        <v>2.5586400000000005</v>
      </c>
      <c r="R339" s="23">
        <f ca="1">F339*Q339</f>
        <v>2.9168496000000004</v>
      </c>
    </row>
    <row r="340" spans="1:18" x14ac:dyDescent="0.3">
      <c r="A340" s="73" t="str">
        <f>"TOTAL SEM BDI - "&amp;B337</f>
        <v>TOTAL SEM BDI - 92806</v>
      </c>
      <c r="B340" s="74"/>
      <c r="C340" s="74"/>
      <c r="D340" s="74"/>
      <c r="E340" s="74"/>
      <c r="F340" s="74"/>
      <c r="G340" s="74"/>
      <c r="H340" s="75"/>
      <c r="I340" s="76">
        <f>SUM(I337:I339)</f>
        <v>9.3699999999999992</v>
      </c>
      <c r="J340" s="77"/>
    </row>
    <row r="342" spans="1:18" x14ac:dyDescent="0.3">
      <c r="A342" s="4" t="s">
        <v>1000</v>
      </c>
      <c r="B342" s="4" t="s">
        <v>170</v>
      </c>
      <c r="C342" s="4" t="s">
        <v>171</v>
      </c>
      <c r="D342" s="4" t="s">
        <v>18</v>
      </c>
      <c r="E342" s="4" t="s">
        <v>172</v>
      </c>
      <c r="F342" s="4" t="s">
        <v>507</v>
      </c>
      <c r="G342" s="45" t="s">
        <v>1001</v>
      </c>
      <c r="H342" s="46"/>
      <c r="I342" s="45" t="s">
        <v>12</v>
      </c>
      <c r="J342" s="46"/>
    </row>
    <row r="343" spans="1:18" ht="30" customHeight="1" x14ac:dyDescent="0.3">
      <c r="A343" s="15" t="s">
        <v>1071</v>
      </c>
      <c r="B343" s="15">
        <v>95385</v>
      </c>
      <c r="C343" s="15" t="str">
        <f>VLOOKUP(B343,S!$A:$G,2,FALSE)</f>
        <v>SINAPI</v>
      </c>
      <c r="D343" s="22" t="str">
        <f>VLOOKUP(B343,S!$A:$G,3,FALSE)</f>
        <v>CURSO DE CAPACITAÇÃO PARA TELHADISTA (ENCARGOS COMPLEMENTARES) - HORISTA</v>
      </c>
      <c r="E343" s="15" t="str">
        <f>VLOOKUP(B343,S!$A:$G,4,FALSE)</f>
        <v>H</v>
      </c>
      <c r="F343" s="15"/>
      <c r="G343" s="78">
        <f>I345</f>
        <v>0.23</v>
      </c>
      <c r="H343" s="79"/>
      <c r="I343" s="78"/>
      <c r="J343" s="79"/>
      <c r="K343" s="16">
        <f>VLOOKUP(B343,S!A:G,5,FALSE)</f>
        <v>0.23</v>
      </c>
      <c r="L343" s="15" t="str">
        <f>IF(K343=G343,"OK, CONFORME TABELA",IF(G343&gt;K343,"ACIMA DA TABELA: ","ABAIXO DA TABELA: ")&amp;TRUNC((G343*100)/K343,2)&amp;" %")</f>
        <v>OK, CONFORME TABELA</v>
      </c>
    </row>
    <row r="344" spans="1:18" x14ac:dyDescent="0.3">
      <c r="A344" s="23" t="s">
        <v>1005</v>
      </c>
      <c r="B344" s="23">
        <v>12869</v>
      </c>
      <c r="C344" s="23" t="str">
        <f>VLOOKUP(B344,IF(A344="COMPOSICAO",S!$A:$E,I!$A:$E),2,FALSE)</f>
        <v>SINAPI</v>
      </c>
      <c r="D344" s="24" t="str">
        <f>VLOOKUP(B344,IF(A344="COMPOSICAO",S!$A:$E,I!$A:$E),3,FALSE)</f>
        <v>TELHADOR / TELHADISTA (HORISTA)</v>
      </c>
      <c r="E344" s="23" t="str">
        <f>VLOOKUP(B344,IF(A344="COMPOSICAO",S!$A:$E,I!$A:$E),4,FALSE)</f>
        <v>H</v>
      </c>
      <c r="F344" s="23">
        <v>1.154E-2</v>
      </c>
      <c r="G344" s="76">
        <f>IF(A344="COMPOSICAO",VLOOKUP("TOTAL SEM BDI - "&amp;B344,CPUAUX3!$A:$J,9,FALSE),VLOOKUP(B344,I!$A:$E,5,FALSE))</f>
        <v>20.07</v>
      </c>
      <c r="H344" s="77"/>
      <c r="I344" s="76">
        <f>TRUNC(F344*G344,2)</f>
        <v>0.23</v>
      </c>
      <c r="J344" s="77"/>
      <c r="M344" s="23">
        <f>B344</f>
        <v>12869</v>
      </c>
      <c r="N344" s="23">
        <f>SUMIF(CPUAUX1!M:M,B343,CPUAUX1!O:O)</f>
        <v>8.1635400000000011</v>
      </c>
      <c r="O344" s="23">
        <f>F344*N344</f>
        <v>9.4207251600000014E-2</v>
      </c>
      <c r="Q344" s="23">
        <f ca="1">SUMIF(CPUAUX1!M:M,B343,CPUAUX1!R:R)</f>
        <v>2.7211800000000004</v>
      </c>
      <c r="R344" s="23">
        <f ca="1">F344*Q344</f>
        <v>3.1402417200000005E-2</v>
      </c>
    </row>
    <row r="345" spans="1:18" x14ac:dyDescent="0.3">
      <c r="A345" s="73" t="str">
        <f>"TOTAL SEM BDI - "&amp;B343</f>
        <v>TOTAL SEM BDI - 95385</v>
      </c>
      <c r="B345" s="74"/>
      <c r="C345" s="74"/>
      <c r="D345" s="74"/>
      <c r="E345" s="74"/>
      <c r="F345" s="74"/>
      <c r="G345" s="74"/>
      <c r="H345" s="75"/>
      <c r="I345" s="76">
        <f>SUM(I343:I344)</f>
        <v>0.23</v>
      </c>
      <c r="J345" s="77"/>
    </row>
    <row r="347" spans="1:18" x14ac:dyDescent="0.3">
      <c r="A347" s="4" t="s">
        <v>1000</v>
      </c>
      <c r="B347" s="4" t="s">
        <v>170</v>
      </c>
      <c r="C347" s="4" t="s">
        <v>171</v>
      </c>
      <c r="D347" s="4" t="s">
        <v>18</v>
      </c>
      <c r="E347" s="4" t="s">
        <v>172</v>
      </c>
      <c r="F347" s="4" t="s">
        <v>507</v>
      </c>
      <c r="G347" s="45" t="s">
        <v>1001</v>
      </c>
      <c r="H347" s="46"/>
      <c r="I347" s="45" t="s">
        <v>12</v>
      </c>
      <c r="J347" s="46"/>
    </row>
    <row r="348" spans="1:18" ht="30" customHeight="1" x14ac:dyDescent="0.3">
      <c r="A348" s="15" t="s">
        <v>1071</v>
      </c>
      <c r="B348" s="15">
        <v>95372</v>
      </c>
      <c r="C348" s="15" t="str">
        <f>VLOOKUP(B348,S!$A:$G,2,FALSE)</f>
        <v>SINAPI</v>
      </c>
      <c r="D348" s="22" t="str">
        <f>VLOOKUP(B348,S!$A:$G,3,FALSE)</f>
        <v>CURSO DE CAPACITAÇÃO PARA PINTOR (ENCARGOS COMPLEMENTARES) - HORISTA</v>
      </c>
      <c r="E348" s="15" t="str">
        <f>VLOOKUP(B348,S!$A:$G,4,FALSE)</f>
        <v>H</v>
      </c>
      <c r="F348" s="15"/>
      <c r="G348" s="78">
        <f>I350</f>
        <v>0.3</v>
      </c>
      <c r="H348" s="79"/>
      <c r="I348" s="78"/>
      <c r="J348" s="79"/>
      <c r="K348" s="16">
        <f>VLOOKUP(B348,S!A:G,5,FALSE)</f>
        <v>0.3</v>
      </c>
      <c r="L348" s="15" t="str">
        <f>IF(K348=G348,"OK, CONFORME TABELA",IF(G348&gt;K348,"ACIMA DA TABELA: ","ABAIXO DA TABELA: ")&amp;TRUNC((G348*100)/K348,2)&amp;" %")</f>
        <v>OK, CONFORME TABELA</v>
      </c>
    </row>
    <row r="349" spans="1:18" x14ac:dyDescent="0.3">
      <c r="A349" s="23" t="s">
        <v>1005</v>
      </c>
      <c r="B349" s="23">
        <v>4783</v>
      </c>
      <c r="C349" s="23" t="str">
        <f>VLOOKUP(B349,IF(A349="COMPOSICAO",S!$A:$E,I!$A:$E),2,FALSE)</f>
        <v>SINAPI</v>
      </c>
      <c r="D349" s="24" t="str">
        <f>VLOOKUP(B349,IF(A349="COMPOSICAO",S!$A:$E,I!$A:$E),3,FALSE)</f>
        <v>PINTOR (HORISTA)</v>
      </c>
      <c r="E349" s="23" t="str">
        <f>VLOOKUP(B349,IF(A349="COMPOSICAO",S!$A:$E,I!$A:$E),4,FALSE)</f>
        <v>H</v>
      </c>
      <c r="F349" s="23">
        <v>1.4760000000000001E-2</v>
      </c>
      <c r="G349" s="76">
        <f>IF(A349="COMPOSICAO",VLOOKUP("TOTAL SEM BDI - "&amp;B349,CPUAUX3!$A:$J,9,FALSE),VLOOKUP(B349,I!$A:$E,5,FALSE))</f>
        <v>20.329999999999998</v>
      </c>
      <c r="H349" s="77"/>
      <c r="I349" s="76">
        <f>TRUNC(F349*G349,2)</f>
        <v>0.3</v>
      </c>
      <c r="J349" s="77"/>
      <c r="M349" s="23">
        <f>B349</f>
        <v>4783</v>
      </c>
      <c r="N349" s="23">
        <f>SUMIF(CPUAUX1!M:M,B348,CPUAUX1!O:O)</f>
        <v>96.850943999999998</v>
      </c>
      <c r="O349" s="23">
        <f>F349*N349</f>
        <v>1.4295199334399999</v>
      </c>
      <c r="Q349" s="23">
        <f ca="1">SUMIF(CPUAUX1!M:M,B348,CPUAUX1!R:R)</f>
        <v>32.283647999999999</v>
      </c>
      <c r="R349" s="23">
        <f ca="1">F349*Q349</f>
        <v>0.47650664448000002</v>
      </c>
    </row>
    <row r="350" spans="1:18" x14ac:dyDescent="0.3">
      <c r="A350" s="73" t="str">
        <f>"TOTAL SEM BDI - "&amp;B348</f>
        <v>TOTAL SEM BDI - 95372</v>
      </c>
      <c r="B350" s="74"/>
      <c r="C350" s="74"/>
      <c r="D350" s="74"/>
      <c r="E350" s="74"/>
      <c r="F350" s="74"/>
      <c r="G350" s="74"/>
      <c r="H350" s="75"/>
      <c r="I350" s="76">
        <f>SUM(I348:I349)</f>
        <v>0.3</v>
      </c>
      <c r="J350" s="77"/>
    </row>
    <row r="352" spans="1:18" x14ac:dyDescent="0.3">
      <c r="A352" s="4" t="s">
        <v>1000</v>
      </c>
      <c r="B352" s="4" t="s">
        <v>170</v>
      </c>
      <c r="C352" s="4" t="s">
        <v>171</v>
      </c>
      <c r="D352" s="4" t="s">
        <v>18</v>
      </c>
      <c r="E352" s="4" t="s">
        <v>172</v>
      </c>
      <c r="F352" s="4" t="s">
        <v>507</v>
      </c>
      <c r="G352" s="45" t="s">
        <v>1001</v>
      </c>
      <c r="H352" s="46"/>
      <c r="I352" s="45" t="s">
        <v>12</v>
      </c>
      <c r="J352" s="46"/>
    </row>
    <row r="353" spans="1:18" x14ac:dyDescent="0.3">
      <c r="A353" s="15" t="s">
        <v>1031</v>
      </c>
      <c r="B353" s="15">
        <v>93358</v>
      </c>
      <c r="C353" s="15" t="str">
        <f>VLOOKUP(B353,S!$A:$G,2,FALSE)</f>
        <v>SINAPI</v>
      </c>
      <c r="D353" s="22" t="str">
        <f>VLOOKUP(B353,S!$A:$G,3,FALSE)</f>
        <v>ESCAVAÇÃO MANUAL DE VALA. AF_09/2024</v>
      </c>
      <c r="E353" s="15" t="str">
        <f>VLOOKUP(B353,S!$A:$G,4,FALSE)</f>
        <v>M3</v>
      </c>
      <c r="F353" s="15"/>
      <c r="G353" s="78">
        <f>I355</f>
        <v>85.87</v>
      </c>
      <c r="H353" s="79"/>
      <c r="I353" s="78"/>
      <c r="J353" s="79"/>
      <c r="K353" s="16">
        <f>VLOOKUP(B353,S!A:G,5,FALSE)</f>
        <v>85.87</v>
      </c>
      <c r="L353" s="15" t="str">
        <f>IF(K353=G353,"OK, CONFORME TABELA",IF(G353&gt;K353,"ACIMA DA TABELA: ","ABAIXO DA TABELA: ")&amp;TRUNC((G353*100)/K353,2)&amp;" %")</f>
        <v>OK, CONFORME TABELA</v>
      </c>
    </row>
    <row r="354" spans="1:18" x14ac:dyDescent="0.3">
      <c r="A354" s="23" t="s">
        <v>1004</v>
      </c>
      <c r="B354" s="23">
        <v>88316</v>
      </c>
      <c r="C354" s="23" t="str">
        <f>VLOOKUP(B354,IF(A354="COMPOSICAO",S!$A:$E,I!$A:$E),2,FALSE)</f>
        <v>SINAPI</v>
      </c>
      <c r="D354" s="24" t="str">
        <f>VLOOKUP(B354,IF(A354="COMPOSICAO",S!$A:$E,I!$A:$E),3,FALSE)</f>
        <v>SERVENTE COM ENCARGOS COMPLEMENTARES</v>
      </c>
      <c r="E354" s="23" t="str">
        <f>VLOOKUP(B354,IF(A354="COMPOSICAO",S!$A:$E,I!$A:$E),4,FALSE)</f>
        <v>H</v>
      </c>
      <c r="F354" s="23">
        <f>3.9557667/pcf</f>
        <v>3.9557666999999999</v>
      </c>
      <c r="G354" s="76">
        <f>IF(A354="COMPOSICAO",VLOOKUP("TOTAL SEM BDI - "&amp;B354,CPUAUX3!$A:$J,9,FALSE),VLOOKUP(B354,I!$A:$E,5,FALSE))</f>
        <v>21.709999999999997</v>
      </c>
      <c r="H354" s="77"/>
      <c r="I354" s="76">
        <f>TRUNC(F354*G354,2)</f>
        <v>85.87</v>
      </c>
      <c r="J354" s="77"/>
      <c r="M354" s="23">
        <f>B354</f>
        <v>88316</v>
      </c>
      <c r="N354" s="23">
        <f>SUMIF(CPUAUX1!M:M,B353,CPUAUX1!O:O)</f>
        <v>1.1339999999999999</v>
      </c>
      <c r="O354" s="23">
        <f>F354*N354</f>
        <v>4.4858394377999993</v>
      </c>
      <c r="Q354" s="23">
        <f ca="1">SUMIF(CPUAUX1!M:M,B353,CPUAUX1!R:R)</f>
        <v>0.378</v>
      </c>
      <c r="R354" s="23">
        <f ca="1">F354*Q354</f>
        <v>1.4952798126</v>
      </c>
    </row>
    <row r="355" spans="1:18" x14ac:dyDescent="0.3">
      <c r="A355" s="73" t="str">
        <f>"TOTAL SEM BDI - "&amp;B353</f>
        <v>TOTAL SEM BDI - 93358</v>
      </c>
      <c r="B355" s="74"/>
      <c r="C355" s="74"/>
      <c r="D355" s="74"/>
      <c r="E355" s="74"/>
      <c r="F355" s="74"/>
      <c r="G355" s="74"/>
      <c r="H355" s="75"/>
      <c r="I355" s="76">
        <f>SUM(I353:I354)</f>
        <v>85.87</v>
      </c>
      <c r="J355" s="77"/>
    </row>
    <row r="357" spans="1:18" x14ac:dyDescent="0.3">
      <c r="A357" s="4" t="s">
        <v>1000</v>
      </c>
      <c r="B357" s="4" t="s">
        <v>170</v>
      </c>
      <c r="C357" s="4" t="s">
        <v>171</v>
      </c>
      <c r="D357" s="4" t="s">
        <v>18</v>
      </c>
      <c r="E357" s="4" t="s">
        <v>172</v>
      </c>
      <c r="F357" s="4" t="s">
        <v>507</v>
      </c>
      <c r="G357" s="45" t="s">
        <v>1001</v>
      </c>
      <c r="H357" s="46"/>
      <c r="I357" s="45" t="s">
        <v>12</v>
      </c>
      <c r="J357" s="46"/>
    </row>
    <row r="358" spans="1:18" ht="45" customHeight="1" x14ac:dyDescent="0.3">
      <c r="A358" s="15" t="s">
        <v>1073</v>
      </c>
      <c r="B358" s="15">
        <v>102487</v>
      </c>
      <c r="C358" s="15" t="str">
        <f>VLOOKUP(B358,S!$A:$G,2,FALSE)</f>
        <v>SINAPI</v>
      </c>
      <c r="D358" s="22" t="str">
        <f>VLOOKUP(B358,S!$A:$G,3,FALSE)</f>
        <v>CONCRETO CICLÓPICO FCK = 15MPA, 30% PEDRA DE MÃO EM VOLUME REAL, INCLUSIVE LANÇAMENTO. AF_05/2021</v>
      </c>
      <c r="E358" s="15" t="str">
        <f>VLOOKUP(B358,S!$A:$G,4,FALSE)</f>
        <v>M3</v>
      </c>
      <c r="F358" s="15"/>
      <c r="G358" s="78">
        <f>I365</f>
        <v>748.75</v>
      </c>
      <c r="H358" s="79"/>
      <c r="I358" s="78"/>
      <c r="J358" s="79"/>
      <c r="K358" s="16">
        <f>VLOOKUP(B358,S!A:G,5,FALSE)</f>
        <v>748.75</v>
      </c>
      <c r="L358" s="15" t="str">
        <f>IF(K358=G358,"OK, CONFORME TABELA",IF(G358&gt;K358,"ACIMA DA TABELA: ","ABAIXO DA TABELA: ")&amp;TRUNC((G358*100)/K358,2)&amp;" %")</f>
        <v>OK, CONFORME TABELA</v>
      </c>
    </row>
    <row r="359" spans="1:18" ht="60" customHeight="1" x14ac:dyDescent="0.3">
      <c r="A359" s="23" t="s">
        <v>1004</v>
      </c>
      <c r="B359" s="23">
        <v>94963</v>
      </c>
      <c r="C359" s="23" t="str">
        <f>VLOOKUP(B359,IF(A359="COMPOSICAO",S!$A:$E,I!$A:$E),2,FALSE)</f>
        <v>SINAPI</v>
      </c>
      <c r="D359" s="24" t="str">
        <f>VLOOKUP(B359,IF(A359="COMPOSICAO",S!$A:$E,I!$A:$E),3,FALSE)</f>
        <v>CONCRETO FCK = 15MPA, TRAÇO 1:3,4:3,5 (EM MASSA SECA DE CIMENTO/ AREIA MÉDIA/ BRITA 1) - PREPARO MECÂNICO COM BETONEIRA 400 L. AF_05/2021</v>
      </c>
      <c r="E359" s="23" t="str">
        <f>VLOOKUP(B359,IF(A359="COMPOSICAO",S!$A:$E,I!$A:$E),4,FALSE)</f>
        <v>M3</v>
      </c>
      <c r="F359" s="23">
        <v>0.80500000000000005</v>
      </c>
      <c r="G359" s="76">
        <f>IF(A359="COMPOSICAO",VLOOKUP("TOTAL SEM BDI - "&amp;B359,CPUAUX3!$A:$J,9,FALSE),VLOOKUP(B359,I!$A:$E,5,FALSE))</f>
        <v>573.71999999999991</v>
      </c>
      <c r="H359" s="77"/>
      <c r="I359" s="76">
        <f t="shared" ref="I359:I364" si="44">TRUNC(F359*G359,2)</f>
        <v>461.84</v>
      </c>
      <c r="J359" s="77"/>
      <c r="M359" s="23">
        <f t="shared" ref="M359:M364" si="45">B359</f>
        <v>94963</v>
      </c>
      <c r="N359" s="23">
        <f>SUMIF(CPUAUX1!M:M,B358,CPUAUX1!O:O)</f>
        <v>1.1339999999999999</v>
      </c>
      <c r="O359" s="23">
        <f t="shared" ref="O359:O364" si="46">F359*N359</f>
        <v>0.91286999999999996</v>
      </c>
      <c r="Q359" s="23">
        <f ca="1">SUMIF(CPUAUX1!M:M,B358,CPUAUX1!R:R)</f>
        <v>0.378</v>
      </c>
      <c r="R359" s="23">
        <f t="shared" ref="R359:R364" ca="1" si="47">F359*Q359</f>
        <v>0.30429</v>
      </c>
    </row>
    <row r="360" spans="1:18" ht="45" customHeight="1" x14ac:dyDescent="0.3">
      <c r="A360" s="23" t="s">
        <v>1004</v>
      </c>
      <c r="B360" s="23">
        <v>90587</v>
      </c>
      <c r="C360" s="23" t="str">
        <f>VLOOKUP(B360,IF(A360="COMPOSICAO",S!$A:$E,I!$A:$E),2,FALSE)</f>
        <v>SINAPI</v>
      </c>
      <c r="D360" s="24" t="str">
        <f>VLOOKUP(B360,IF(A360="COMPOSICAO",S!$A:$E,I!$A:$E),3,FALSE)</f>
        <v>VIBRADOR DE IMERSÃO, DIÂMETRO DE PONTEIRA 45MM, MOTOR ELÉTRICO TRIFÁSICO POTÊNCIA DE 2 CV - CHI DIURNO. AF_06/2015</v>
      </c>
      <c r="E360" s="23" t="str">
        <f>VLOOKUP(B360,IF(A360="COMPOSICAO",S!$A:$E,I!$A:$E),4,FALSE)</f>
        <v>CHI</v>
      </c>
      <c r="F360" s="23">
        <v>0.63770000000000004</v>
      </c>
      <c r="G360" s="76">
        <f>IF(A360="COMPOSICAO",VLOOKUP("TOTAL SEM BDI - "&amp;B360,CPUAUX3!$A:$J,9,FALSE),VLOOKUP(B360,I!$A:$E,5,FALSE))</f>
        <v>0.48</v>
      </c>
      <c r="H360" s="77"/>
      <c r="I360" s="76">
        <f t="shared" si="44"/>
        <v>0.3</v>
      </c>
      <c r="J360" s="77"/>
      <c r="M360" s="23">
        <f t="shared" si="45"/>
        <v>90587</v>
      </c>
      <c r="N360" s="23">
        <f>SUMIF(CPUAUX1!M:M,B358,CPUAUX1!O:O)</f>
        <v>1.1339999999999999</v>
      </c>
      <c r="O360" s="23">
        <f t="shared" si="46"/>
        <v>0.72315180000000001</v>
      </c>
      <c r="Q360" s="23">
        <f ca="1">SUMIF(CPUAUX1!M:M,B358,CPUAUX1!R:R)</f>
        <v>0.378</v>
      </c>
      <c r="R360" s="23">
        <f t="shared" ca="1" si="47"/>
        <v>0.24105060000000003</v>
      </c>
    </row>
    <row r="361" spans="1:18" ht="45" customHeight="1" x14ac:dyDescent="0.3">
      <c r="A361" s="23" t="s">
        <v>1004</v>
      </c>
      <c r="B361" s="23">
        <v>90586</v>
      </c>
      <c r="C361" s="23" t="str">
        <f>VLOOKUP(B361,IF(A361="COMPOSICAO",S!$A:$E,I!$A:$E),2,FALSE)</f>
        <v>SINAPI</v>
      </c>
      <c r="D361" s="24" t="str">
        <f>VLOOKUP(B361,IF(A361="COMPOSICAO",S!$A:$E,I!$A:$E),3,FALSE)</f>
        <v>VIBRADOR DE IMERSÃO, DIÂMETRO DE PONTEIRA 45MM, MOTOR ELÉTRICO TRIFÁSICO POTÊNCIA DE 2 CV - CHP DIURNO. AF_06/2015</v>
      </c>
      <c r="E361" s="23" t="str">
        <f>VLOOKUP(B361,IF(A361="COMPOSICAO",S!$A:$E,I!$A:$E),4,FALSE)</f>
        <v>CHP</v>
      </c>
      <c r="F361" s="23">
        <v>0.2198</v>
      </c>
      <c r="G361" s="76">
        <f>IF(A361="COMPOSICAO",VLOOKUP("TOTAL SEM BDI - "&amp;B361,CPUAUX3!$A:$J,9,FALSE),VLOOKUP(B361,I!$A:$E,5,FALSE))</f>
        <v>1.3599999999999999</v>
      </c>
      <c r="H361" s="77"/>
      <c r="I361" s="76">
        <f t="shared" si="44"/>
        <v>0.28999999999999998</v>
      </c>
      <c r="J361" s="77"/>
      <c r="M361" s="23">
        <f t="shared" si="45"/>
        <v>90586</v>
      </c>
      <c r="N361" s="23">
        <f>SUMIF(CPUAUX1!M:M,B358,CPUAUX1!O:O)</f>
        <v>1.1339999999999999</v>
      </c>
      <c r="O361" s="23">
        <f t="shared" si="46"/>
        <v>0.24925319999999998</v>
      </c>
      <c r="Q361" s="23">
        <f ca="1">SUMIF(CPUAUX1!M:M,B358,CPUAUX1!R:R)</f>
        <v>0.378</v>
      </c>
      <c r="R361" s="23">
        <f t="shared" ca="1" si="47"/>
        <v>8.3084400000000003E-2</v>
      </c>
    </row>
    <row r="362" spans="1:18" x14ac:dyDescent="0.3">
      <c r="A362" s="23" t="s">
        <v>1004</v>
      </c>
      <c r="B362" s="23">
        <v>88316</v>
      </c>
      <c r="C362" s="23" t="str">
        <f>VLOOKUP(B362,IF(A362="COMPOSICAO",S!$A:$E,I!$A:$E),2,FALSE)</f>
        <v>SINAPI</v>
      </c>
      <c r="D362" s="24" t="str">
        <f>VLOOKUP(B362,IF(A362="COMPOSICAO",S!$A:$E,I!$A:$E),3,FALSE)</f>
        <v>SERVENTE COM ENCARGOS COMPLEMENTARES</v>
      </c>
      <c r="E362" s="23" t="str">
        <f>VLOOKUP(B362,IF(A362="COMPOSICAO",S!$A:$E,I!$A:$E),4,FALSE)</f>
        <v>H</v>
      </c>
      <c r="F362" s="23">
        <f>6.4684/pcf</f>
        <v>6.4683999999999999</v>
      </c>
      <c r="G362" s="76">
        <f>IF(A362="COMPOSICAO",VLOOKUP("TOTAL SEM BDI - "&amp;B362,CPUAUX3!$A:$J,9,FALSE),VLOOKUP(B362,I!$A:$E,5,FALSE))</f>
        <v>21.709999999999997</v>
      </c>
      <c r="H362" s="77"/>
      <c r="I362" s="76">
        <f t="shared" si="44"/>
        <v>140.41999999999999</v>
      </c>
      <c r="J362" s="77"/>
      <c r="M362" s="23">
        <f t="shared" si="45"/>
        <v>88316</v>
      </c>
      <c r="N362" s="23">
        <f>SUMIF(CPUAUX1!M:M,B358,CPUAUX1!O:O)</f>
        <v>1.1339999999999999</v>
      </c>
      <c r="O362" s="23">
        <f t="shared" si="46"/>
        <v>7.335165599999999</v>
      </c>
      <c r="Q362" s="23">
        <f ca="1">SUMIF(CPUAUX1!M:M,B358,CPUAUX1!R:R)</f>
        <v>0.378</v>
      </c>
      <c r="R362" s="23">
        <f t="shared" ca="1" si="47"/>
        <v>2.4450552000000001</v>
      </c>
    </row>
    <row r="363" spans="1:18" x14ac:dyDescent="0.3">
      <c r="A363" s="23" t="s">
        <v>1004</v>
      </c>
      <c r="B363" s="23">
        <v>88309</v>
      </c>
      <c r="C363" s="23" t="str">
        <f>VLOOKUP(B363,IF(A363="COMPOSICAO",S!$A:$E,I!$A:$E),2,FALSE)</f>
        <v>SINAPI</v>
      </c>
      <c r="D363" s="24" t="str">
        <f>VLOOKUP(B363,IF(A363="COMPOSICAO",S!$A:$E,I!$A:$E),3,FALSE)</f>
        <v>PEDREIRO COM ENCARGOS COMPLEMENTARES</v>
      </c>
      <c r="E363" s="23" t="str">
        <f>VLOOKUP(B363,IF(A363="COMPOSICAO",S!$A:$E,I!$A:$E),4,FALSE)</f>
        <v>H</v>
      </c>
      <c r="F363" s="23">
        <f>1.6702/pcf</f>
        <v>1.6701999999999999</v>
      </c>
      <c r="G363" s="76">
        <f>IF(A363="COMPOSICAO",VLOOKUP("TOTAL SEM BDI - "&amp;B363,CPUAUX3!$A:$J,9,FALSE),VLOOKUP(B363,I!$A:$E,5,FALSE))</f>
        <v>27.389999999999997</v>
      </c>
      <c r="H363" s="77"/>
      <c r="I363" s="76">
        <f t="shared" si="44"/>
        <v>45.74</v>
      </c>
      <c r="J363" s="77"/>
      <c r="M363" s="23">
        <f t="shared" si="45"/>
        <v>88309</v>
      </c>
      <c r="N363" s="23">
        <f>SUMIF(CPUAUX1!M:M,B358,CPUAUX1!O:O)</f>
        <v>1.1339999999999999</v>
      </c>
      <c r="O363" s="23">
        <f t="shared" si="46"/>
        <v>1.8940067999999997</v>
      </c>
      <c r="Q363" s="23">
        <f ca="1">SUMIF(CPUAUX1!M:M,B358,CPUAUX1!R:R)</f>
        <v>0.378</v>
      </c>
      <c r="R363" s="23">
        <f t="shared" ca="1" si="47"/>
        <v>0.6313356</v>
      </c>
    </row>
    <row r="364" spans="1:18" ht="30" customHeight="1" x14ac:dyDescent="0.3">
      <c r="A364" s="23" t="s">
        <v>1005</v>
      </c>
      <c r="B364" s="23">
        <v>4730</v>
      </c>
      <c r="C364" s="23" t="str">
        <f>VLOOKUP(B364,IF(A364="COMPOSICAO",S!$A:$E,I!$A:$E),2,FALSE)</f>
        <v>SINAPI</v>
      </c>
      <c r="D364" s="24" t="str">
        <f>VLOOKUP(B364,IF(A364="COMPOSICAO",S!$A:$E,I!$A:$E),3,FALSE)</f>
        <v>PEDRA DE MAO OU PEDRA RACHAO PARA ARRIMO/FUNDACAO (POSTO PEDREIRA/FORNECEDOR, SEM FRETE)</v>
      </c>
      <c r="E364" s="23" t="str">
        <f>VLOOKUP(B364,IF(A364="COMPOSICAO",S!$A:$E,I!$A:$E),4,FALSE)</f>
        <v>M3</v>
      </c>
      <c r="F364" s="23">
        <v>0.45429999999999998</v>
      </c>
      <c r="G364" s="76">
        <f>IF(A364="COMPOSICAO",VLOOKUP("TOTAL SEM BDI - "&amp;B364,CPUAUX3!$A:$J,9,FALSE),VLOOKUP(B364,I!$A:$E,5,FALSE))</f>
        <v>220.48</v>
      </c>
      <c r="H364" s="77"/>
      <c r="I364" s="76">
        <f t="shared" si="44"/>
        <v>100.16</v>
      </c>
      <c r="J364" s="77"/>
      <c r="M364" s="23">
        <f t="shared" si="45"/>
        <v>4730</v>
      </c>
      <c r="N364" s="23">
        <f>SUMIF(CPUAUX1!M:M,B358,CPUAUX1!O:O)</f>
        <v>1.1339999999999999</v>
      </c>
      <c r="O364" s="23">
        <f t="shared" si="46"/>
        <v>0.51517619999999997</v>
      </c>
      <c r="Q364" s="23">
        <f ca="1">SUMIF(CPUAUX1!M:M,B358,CPUAUX1!R:R)</f>
        <v>0.378</v>
      </c>
      <c r="R364" s="23">
        <f t="shared" ca="1" si="47"/>
        <v>0.1717254</v>
      </c>
    </row>
    <row r="365" spans="1:18" x14ac:dyDescent="0.3">
      <c r="A365" s="73" t="str">
        <f>"TOTAL SEM BDI - "&amp;B358</f>
        <v>TOTAL SEM BDI - 102487</v>
      </c>
      <c r="B365" s="74"/>
      <c r="C365" s="74"/>
      <c r="D365" s="74"/>
      <c r="E365" s="74"/>
      <c r="F365" s="74"/>
      <c r="G365" s="74"/>
      <c r="H365" s="75"/>
      <c r="I365" s="76">
        <f>SUM(I358:I364)</f>
        <v>748.75</v>
      </c>
      <c r="J365" s="77"/>
    </row>
    <row r="367" spans="1:18" x14ac:dyDescent="0.3">
      <c r="A367" s="4" t="s">
        <v>1000</v>
      </c>
      <c r="B367" s="4" t="s">
        <v>170</v>
      </c>
      <c r="C367" s="4" t="s">
        <v>171</v>
      </c>
      <c r="D367" s="4" t="s">
        <v>18</v>
      </c>
      <c r="E367" s="4" t="s">
        <v>172</v>
      </c>
      <c r="F367" s="4" t="s">
        <v>507</v>
      </c>
      <c r="G367" s="45" t="s">
        <v>1001</v>
      </c>
      <c r="H367" s="46"/>
      <c r="I367" s="45" t="s">
        <v>12</v>
      </c>
      <c r="J367" s="46"/>
    </row>
    <row r="368" spans="1:18" ht="30" customHeight="1" x14ac:dyDescent="0.3">
      <c r="A368" s="15" t="s">
        <v>1071</v>
      </c>
      <c r="B368" s="15">
        <v>95315</v>
      </c>
      <c r="C368" s="15" t="str">
        <f>VLOOKUP(B368,S!$A:$G,2,FALSE)</f>
        <v>SINAPI</v>
      </c>
      <c r="D368" s="22" t="str">
        <f>VLOOKUP(B368,S!$A:$G,3,FALSE)</f>
        <v>CURSO DE CAPACITAÇÃO PARA ASSENTADOR DE TUBOS (ENCARGOS COMPLEMENTARES) - HORISTA</v>
      </c>
      <c r="E368" s="15" t="str">
        <f>VLOOKUP(B368,S!$A:$G,4,FALSE)</f>
        <v>H</v>
      </c>
      <c r="F368" s="15"/>
      <c r="G368" s="78">
        <f>I370</f>
        <v>0.2</v>
      </c>
      <c r="H368" s="79"/>
      <c r="I368" s="78"/>
      <c r="J368" s="79"/>
      <c r="K368" s="16">
        <f>VLOOKUP(B368,S!A:G,5,FALSE)</f>
        <v>0.2</v>
      </c>
      <c r="L368" s="15" t="str">
        <f>IF(K368=G368,"OK, CONFORME TABELA",IF(G368&gt;K368,"ACIMA DA TABELA: ","ABAIXO DA TABELA: ")&amp;TRUNC((G368*100)/K368,2)&amp;" %")</f>
        <v>OK, CONFORME TABELA</v>
      </c>
    </row>
    <row r="369" spans="1:18" x14ac:dyDescent="0.3">
      <c r="A369" s="23" t="s">
        <v>1005</v>
      </c>
      <c r="B369" s="23">
        <v>40331</v>
      </c>
      <c r="C369" s="23" t="str">
        <f>VLOOKUP(B369,IF(A369="COMPOSICAO",S!$A:$E,I!$A:$E),2,FALSE)</f>
        <v>SINAPI</v>
      </c>
      <c r="D369" s="24" t="str">
        <f>VLOOKUP(B369,IF(A369="COMPOSICAO",S!$A:$E,I!$A:$E),3,FALSE)</f>
        <v>ASSENTADOR DE MANILHAS (HORISTA)</v>
      </c>
      <c r="E369" s="23" t="str">
        <f>VLOOKUP(B369,IF(A369="COMPOSICAO",S!$A:$E,I!$A:$E),4,FALSE)</f>
        <v>H</v>
      </c>
      <c r="F369" s="23">
        <v>1.4760000000000001E-2</v>
      </c>
      <c r="G369" s="76">
        <f>IF(A369="COMPOSICAO",VLOOKUP("TOTAL SEM BDI - "&amp;B369,CPUAUX3!$A:$J,9,FALSE),VLOOKUP(B369,I!$A:$E,5,FALSE))</f>
        <v>13.99</v>
      </c>
      <c r="H369" s="77"/>
      <c r="I369" s="76">
        <f>TRUNC(F369*G369,2)</f>
        <v>0.2</v>
      </c>
      <c r="J369" s="77"/>
      <c r="M369" s="23">
        <f>B369</f>
        <v>40331</v>
      </c>
      <c r="N369" s="23">
        <f>SUMIF(CPUAUX1!M:M,B368,CPUAUX1!O:O)</f>
        <v>486.59700000000004</v>
      </c>
      <c r="O369" s="23">
        <f>F369*N369</f>
        <v>7.1821717200000004</v>
      </c>
      <c r="Q369" s="23">
        <f ca="1">SUMIF(CPUAUX1!M:M,B368,CPUAUX1!R:R)</f>
        <v>128.54999999999998</v>
      </c>
      <c r="R369" s="23">
        <f ca="1">F369*Q369</f>
        <v>1.8973979999999999</v>
      </c>
    </row>
    <row r="370" spans="1:18" x14ac:dyDescent="0.3">
      <c r="A370" s="73" t="str">
        <f>"TOTAL SEM BDI - "&amp;B368</f>
        <v>TOTAL SEM BDI - 95315</v>
      </c>
      <c r="B370" s="74"/>
      <c r="C370" s="74"/>
      <c r="D370" s="74"/>
      <c r="E370" s="74"/>
      <c r="F370" s="74"/>
      <c r="G370" s="74"/>
      <c r="H370" s="75"/>
      <c r="I370" s="76">
        <f>SUM(I368:I369)</f>
        <v>0.2</v>
      </c>
      <c r="J370" s="77"/>
    </row>
    <row r="372" spans="1:18" x14ac:dyDescent="0.3">
      <c r="A372" s="4" t="s">
        <v>1000</v>
      </c>
      <c r="B372" s="4" t="s">
        <v>170</v>
      </c>
      <c r="C372" s="4" t="s">
        <v>171</v>
      </c>
      <c r="D372" s="4" t="s">
        <v>18</v>
      </c>
      <c r="E372" s="4" t="s">
        <v>172</v>
      </c>
      <c r="F372" s="4" t="s">
        <v>507</v>
      </c>
      <c r="G372" s="45" t="s">
        <v>1001</v>
      </c>
      <c r="H372" s="46"/>
      <c r="I372" s="45" t="s">
        <v>12</v>
      </c>
      <c r="J372" s="46"/>
    </row>
    <row r="373" spans="1:18" x14ac:dyDescent="0.3">
      <c r="A373" s="15" t="s">
        <v>1071</v>
      </c>
      <c r="B373" s="15">
        <v>88310</v>
      </c>
      <c r="C373" s="15" t="str">
        <f>VLOOKUP(B373,S!$A:$G,2,FALSE)</f>
        <v>SINAPI</v>
      </c>
      <c r="D373" s="22" t="str">
        <f>VLOOKUP(B373,S!$A:$G,3,FALSE)</f>
        <v>PINTOR COM ENCARGOS COMPLEMENTARES</v>
      </c>
      <c r="E373" s="15" t="str">
        <f>VLOOKUP(B373,S!$A:$G,4,FALSE)</f>
        <v>H</v>
      </c>
      <c r="F373" s="15"/>
      <c r="G373" s="78">
        <f>I382</f>
        <v>29.069999999999997</v>
      </c>
      <c r="H373" s="79"/>
      <c r="I373" s="78"/>
      <c r="J373" s="79"/>
      <c r="K373" s="16">
        <f>VLOOKUP(B373,S!A:G,5,FALSE)</f>
        <v>29.07</v>
      </c>
      <c r="L373" s="15" t="str">
        <f>IF(K373=G373,"OK, CONFORME TABELA",IF(G373&gt;K373,"ACIMA DA TABELA: ","ABAIXO DA TABELA: ")&amp;TRUNC((G373*100)/K373,2)&amp;" %")</f>
        <v>OK, CONFORME TABELA</v>
      </c>
    </row>
    <row r="374" spans="1:18" ht="30" customHeight="1" x14ac:dyDescent="0.3">
      <c r="A374" s="23" t="s">
        <v>1004</v>
      </c>
      <c r="B374" s="23">
        <v>95372</v>
      </c>
      <c r="C374" s="23" t="str">
        <f>VLOOKUP(B374,IF(A374="COMPOSICAO",S!$A:$E,I!$A:$E),2,FALSE)</f>
        <v>SINAPI</v>
      </c>
      <c r="D374" s="24" t="str">
        <f>VLOOKUP(B374,IF(A374="COMPOSICAO",S!$A:$E,I!$A:$E),3,FALSE)</f>
        <v>CURSO DE CAPACITAÇÃO PARA PINTOR (ENCARGOS COMPLEMENTARES) - HORISTA</v>
      </c>
      <c r="E374" s="23" t="str">
        <f>VLOOKUP(B374,IF(A374="COMPOSICAO",S!$A:$E,I!$A:$E),4,FALSE)</f>
        <v>H</v>
      </c>
      <c r="F374" s="23">
        <v>1</v>
      </c>
      <c r="G374" s="76">
        <f>IF(A374="COMPOSICAO",VLOOKUP("TOTAL SEM BDI - "&amp;B374,CPUAUX3!$A:$J,9,FALSE),VLOOKUP(B374,I!$A:$E,5,FALSE))</f>
        <v>0.3</v>
      </c>
      <c r="H374" s="77"/>
      <c r="I374" s="76">
        <f t="shared" ref="I374:I381" si="48">TRUNC(F374*G374,2)</f>
        <v>0.3</v>
      </c>
      <c r="J374" s="77"/>
      <c r="M374" s="23">
        <f t="shared" ref="M374:M381" si="49">B374</f>
        <v>95372</v>
      </c>
      <c r="N374" s="23">
        <f>SUMIF(CPUAUX1!M:M,B373,CPUAUX1!O:O)</f>
        <v>14</v>
      </c>
      <c r="O374" s="23">
        <f t="shared" ref="O374:O381" si="50">F374*N374</f>
        <v>14</v>
      </c>
      <c r="Q374" s="23">
        <f ca="1">SUMIF(CPUAUX1!M:M,B373,CPUAUX1!R:R)</f>
        <v>6</v>
      </c>
      <c r="R374" s="23">
        <f t="shared" ref="R374:R381" ca="1" si="51">F374*Q374</f>
        <v>6</v>
      </c>
    </row>
    <row r="375" spans="1:18" ht="30" customHeight="1" x14ac:dyDescent="0.3">
      <c r="A375" s="23" t="s">
        <v>1005</v>
      </c>
      <c r="B375" s="23">
        <v>43490</v>
      </c>
      <c r="C375" s="23" t="str">
        <f>VLOOKUP(B375,IF(A375="COMPOSICAO",S!$A:$E,I!$A:$E),2,FALSE)</f>
        <v>SINAPI</v>
      </c>
      <c r="D375" s="24" t="str">
        <f>VLOOKUP(B375,IF(A375="COMPOSICAO",S!$A:$E,I!$A:$E),3,FALSE)</f>
        <v>EPI - FAMILIA PINTOR - HORISTA (ENCARGOS COMPLEMENTARES - COLETADO CAIXA)</v>
      </c>
      <c r="E375" s="23" t="str">
        <f>VLOOKUP(B375,IF(A375="COMPOSICAO",S!$A:$E,I!$A:$E),4,FALSE)</f>
        <v>H</v>
      </c>
      <c r="F375" s="23">
        <v>1</v>
      </c>
      <c r="G375" s="76">
        <f>IF(A375="COMPOSICAO",VLOOKUP("TOTAL SEM BDI - "&amp;B375,CPUAUX3!$A:$J,9,FALSE),VLOOKUP(B375,I!$A:$E,5,FALSE))</f>
        <v>1.85</v>
      </c>
      <c r="H375" s="77"/>
      <c r="I375" s="76">
        <f t="shared" si="48"/>
        <v>1.85</v>
      </c>
      <c r="J375" s="77"/>
      <c r="M375" s="23">
        <f t="shared" si="49"/>
        <v>43490</v>
      </c>
      <c r="N375" s="23">
        <f>SUMIF(CPUAUX1!M:M,B373,CPUAUX1!O:O)</f>
        <v>14</v>
      </c>
      <c r="O375" s="23">
        <f t="shared" si="50"/>
        <v>14</v>
      </c>
      <c r="Q375" s="23">
        <f ca="1">SUMIF(CPUAUX1!M:M,B373,CPUAUX1!R:R)</f>
        <v>6</v>
      </c>
      <c r="R375" s="23">
        <f t="shared" ca="1" si="51"/>
        <v>6</v>
      </c>
    </row>
    <row r="376" spans="1:18" ht="30" customHeight="1" x14ac:dyDescent="0.3">
      <c r="A376" s="23" t="s">
        <v>1005</v>
      </c>
      <c r="B376" s="23">
        <v>43466</v>
      </c>
      <c r="C376" s="23" t="str">
        <f>VLOOKUP(B376,IF(A376="COMPOSICAO",S!$A:$E,I!$A:$E),2,FALSE)</f>
        <v>SINAPI</v>
      </c>
      <c r="D376" s="24" t="str">
        <f>VLOOKUP(B376,IF(A376="COMPOSICAO",S!$A:$E,I!$A:$E),3,FALSE)</f>
        <v>FERRAMENTAS - FAMILIA PINTOR - HORISTA (ENCARGOS COMPLEMENTARES - COLETADO CAIXA)</v>
      </c>
      <c r="E376" s="23" t="str">
        <f>VLOOKUP(B376,IF(A376="COMPOSICAO",S!$A:$E,I!$A:$E),4,FALSE)</f>
        <v>H</v>
      </c>
      <c r="F376" s="23">
        <v>1</v>
      </c>
      <c r="G376" s="76">
        <f>IF(A376="COMPOSICAO",VLOOKUP("TOTAL SEM BDI - "&amp;B376,CPUAUX3!$A:$J,9,FALSE),VLOOKUP(B376,I!$A:$E,5,FALSE))</f>
        <v>2.0499999999999998</v>
      </c>
      <c r="H376" s="77"/>
      <c r="I376" s="76">
        <f t="shared" si="48"/>
        <v>2.0499999999999998</v>
      </c>
      <c r="J376" s="77"/>
      <c r="M376" s="23">
        <f t="shared" si="49"/>
        <v>43466</v>
      </c>
      <c r="N376" s="23">
        <f>SUMIF(CPUAUX1!M:M,B373,CPUAUX1!O:O)</f>
        <v>14</v>
      </c>
      <c r="O376" s="23">
        <f t="shared" si="50"/>
        <v>14</v>
      </c>
      <c r="Q376" s="23">
        <f ca="1">SUMIF(CPUAUX1!M:M,B373,CPUAUX1!R:R)</f>
        <v>6</v>
      </c>
      <c r="R376" s="23">
        <f t="shared" ca="1" si="51"/>
        <v>6</v>
      </c>
    </row>
    <row r="377" spans="1:18" ht="30" customHeight="1" x14ac:dyDescent="0.3">
      <c r="A377" s="23" t="s">
        <v>1005</v>
      </c>
      <c r="B377" s="23">
        <v>37373</v>
      </c>
      <c r="C377" s="23" t="str">
        <f>VLOOKUP(B377,IF(A377="COMPOSICAO",S!$A:$E,I!$A:$E),2,FALSE)</f>
        <v>SINAPI</v>
      </c>
      <c r="D377" s="24" t="str">
        <f>VLOOKUP(B377,IF(A377="COMPOSICAO",S!$A:$E,I!$A:$E),3,FALSE)</f>
        <v>SEGURO - HORISTA (COLETADO CAIXA - ENCARGOS COMPLEMENTARES)</v>
      </c>
      <c r="E377" s="23" t="str">
        <f>VLOOKUP(B377,IF(A377="COMPOSICAO",S!$A:$E,I!$A:$E),4,FALSE)</f>
        <v>H</v>
      </c>
      <c r="F377" s="23">
        <v>1</v>
      </c>
      <c r="G377" s="76">
        <f>IF(A377="COMPOSICAO",VLOOKUP("TOTAL SEM BDI - "&amp;B377,CPUAUX3!$A:$J,9,FALSE),VLOOKUP(B377,I!$A:$E,5,FALSE))</f>
        <v>0.08</v>
      </c>
      <c r="H377" s="77"/>
      <c r="I377" s="76">
        <f t="shared" si="48"/>
        <v>0.08</v>
      </c>
      <c r="J377" s="77"/>
      <c r="M377" s="23">
        <f t="shared" si="49"/>
        <v>37373</v>
      </c>
      <c r="N377" s="23">
        <f>SUMIF(CPUAUX1!M:M,B373,CPUAUX1!O:O)</f>
        <v>14</v>
      </c>
      <c r="O377" s="23">
        <f t="shared" si="50"/>
        <v>14</v>
      </c>
      <c r="Q377" s="23">
        <f ca="1">SUMIF(CPUAUX1!M:M,B373,CPUAUX1!R:R)</f>
        <v>6</v>
      </c>
      <c r="R377" s="23">
        <f t="shared" ca="1" si="51"/>
        <v>6</v>
      </c>
    </row>
    <row r="378" spans="1:18" ht="30" customHeight="1" x14ac:dyDescent="0.3">
      <c r="A378" s="23" t="s">
        <v>1005</v>
      </c>
      <c r="B378" s="23">
        <v>37372</v>
      </c>
      <c r="C378" s="23" t="str">
        <f>VLOOKUP(B378,IF(A378="COMPOSICAO",S!$A:$E,I!$A:$E),2,FALSE)</f>
        <v>SINAPI</v>
      </c>
      <c r="D378" s="24" t="str">
        <f>VLOOKUP(B378,IF(A378="COMPOSICAO",S!$A:$E,I!$A:$E),3,FALSE)</f>
        <v>EXAMES - HORISTA (COLETADO CAIXA - ENCARGOS COMPLEMENTARES)</v>
      </c>
      <c r="E378" s="23" t="str">
        <f>VLOOKUP(B378,IF(A378="COMPOSICAO",S!$A:$E,I!$A:$E),4,FALSE)</f>
        <v>H</v>
      </c>
      <c r="F378" s="23">
        <v>1</v>
      </c>
      <c r="G378" s="76">
        <f>IF(A378="COMPOSICAO",VLOOKUP("TOTAL SEM BDI - "&amp;B378,CPUAUX3!$A:$J,9,FALSE),VLOOKUP(B378,I!$A:$E,5,FALSE))</f>
        <v>1.43</v>
      </c>
      <c r="H378" s="77"/>
      <c r="I378" s="76">
        <f t="shared" si="48"/>
        <v>1.43</v>
      </c>
      <c r="J378" s="77"/>
      <c r="M378" s="23">
        <f t="shared" si="49"/>
        <v>37372</v>
      </c>
      <c r="N378" s="23">
        <f>SUMIF(CPUAUX1!M:M,B373,CPUAUX1!O:O)</f>
        <v>14</v>
      </c>
      <c r="O378" s="23">
        <f t="shared" si="50"/>
        <v>14</v>
      </c>
      <c r="Q378" s="23">
        <f ca="1">SUMIF(CPUAUX1!M:M,B373,CPUAUX1!R:R)</f>
        <v>6</v>
      </c>
      <c r="R378" s="23">
        <f t="shared" ca="1" si="51"/>
        <v>6</v>
      </c>
    </row>
    <row r="379" spans="1:18" ht="30" customHeight="1" x14ac:dyDescent="0.3">
      <c r="A379" s="23" t="s">
        <v>1005</v>
      </c>
      <c r="B379" s="23">
        <v>37371</v>
      </c>
      <c r="C379" s="23" t="str">
        <f>VLOOKUP(B379,IF(A379="COMPOSICAO",S!$A:$E,I!$A:$E),2,FALSE)</f>
        <v>SINAPI</v>
      </c>
      <c r="D379" s="24" t="str">
        <f>VLOOKUP(B379,IF(A379="COMPOSICAO",S!$A:$E,I!$A:$E),3,FALSE)</f>
        <v>TRANSPORTE - HORISTA (COLETADO CAIXA - ENCARGOS COMPLEMENTARES)</v>
      </c>
      <c r="E379" s="23" t="str">
        <f>VLOOKUP(B379,IF(A379="COMPOSICAO",S!$A:$E,I!$A:$E),4,FALSE)</f>
        <v>H</v>
      </c>
      <c r="F379" s="23">
        <v>1</v>
      </c>
      <c r="G379" s="76">
        <f>IF(A379="COMPOSICAO",VLOOKUP("TOTAL SEM BDI - "&amp;B379,CPUAUX3!$A:$J,9,FALSE),VLOOKUP(B379,I!$A:$E,5,FALSE))</f>
        <v>0.56999999999999995</v>
      </c>
      <c r="H379" s="77"/>
      <c r="I379" s="76">
        <f t="shared" si="48"/>
        <v>0.56999999999999995</v>
      </c>
      <c r="J379" s="77"/>
      <c r="M379" s="23">
        <f t="shared" si="49"/>
        <v>37371</v>
      </c>
      <c r="N379" s="23">
        <f>SUMIF(CPUAUX1!M:M,B373,CPUAUX1!O:O)</f>
        <v>14</v>
      </c>
      <c r="O379" s="23">
        <f t="shared" si="50"/>
        <v>14</v>
      </c>
      <c r="Q379" s="23">
        <f ca="1">SUMIF(CPUAUX1!M:M,B373,CPUAUX1!R:R)</f>
        <v>6</v>
      </c>
      <c r="R379" s="23">
        <f t="shared" ca="1" si="51"/>
        <v>6</v>
      </c>
    </row>
    <row r="380" spans="1:18" ht="30" customHeight="1" x14ac:dyDescent="0.3">
      <c r="A380" s="23" t="s">
        <v>1005</v>
      </c>
      <c r="B380" s="23">
        <v>37370</v>
      </c>
      <c r="C380" s="23" t="str">
        <f>VLOOKUP(B380,IF(A380="COMPOSICAO",S!$A:$E,I!$A:$E),2,FALSE)</f>
        <v>SINAPI</v>
      </c>
      <c r="D380" s="24" t="str">
        <f>VLOOKUP(B380,IF(A380="COMPOSICAO",S!$A:$E,I!$A:$E),3,FALSE)</f>
        <v>ALIMENTACAO - HORISTA (COLETADO CAIXA - ENCARGOS COMPLEMENTARES)</v>
      </c>
      <c r="E380" s="23" t="str">
        <f>VLOOKUP(B380,IF(A380="COMPOSICAO",S!$A:$E,I!$A:$E),4,FALSE)</f>
        <v>H</v>
      </c>
      <c r="F380" s="23">
        <v>1</v>
      </c>
      <c r="G380" s="76">
        <f>IF(A380="COMPOSICAO",VLOOKUP("TOTAL SEM BDI - "&amp;B380,CPUAUX3!$A:$J,9,FALSE),VLOOKUP(B380,I!$A:$E,5,FALSE))</f>
        <v>2.46</v>
      </c>
      <c r="H380" s="77"/>
      <c r="I380" s="76">
        <f t="shared" si="48"/>
        <v>2.46</v>
      </c>
      <c r="J380" s="77"/>
      <c r="M380" s="23">
        <f t="shared" si="49"/>
        <v>37370</v>
      </c>
      <c r="N380" s="23">
        <f>SUMIF(CPUAUX1!M:M,B373,CPUAUX1!O:O)</f>
        <v>14</v>
      </c>
      <c r="O380" s="23">
        <f t="shared" si="50"/>
        <v>14</v>
      </c>
      <c r="Q380" s="23">
        <f ca="1">SUMIF(CPUAUX1!M:M,B373,CPUAUX1!R:R)</f>
        <v>6</v>
      </c>
      <c r="R380" s="23">
        <f t="shared" ca="1" si="51"/>
        <v>6</v>
      </c>
    </row>
    <row r="381" spans="1:18" x14ac:dyDescent="0.3">
      <c r="A381" s="23" t="s">
        <v>1005</v>
      </c>
      <c r="B381" s="23">
        <v>4783</v>
      </c>
      <c r="C381" s="23" t="str">
        <f>VLOOKUP(B381,IF(A381="COMPOSICAO",S!$A:$E,I!$A:$E),2,FALSE)</f>
        <v>SINAPI</v>
      </c>
      <c r="D381" s="24" t="str">
        <f>VLOOKUP(B381,IF(A381="COMPOSICAO",S!$A:$E,I!$A:$E),3,FALSE)</f>
        <v>PINTOR (HORISTA)</v>
      </c>
      <c r="E381" s="23" t="str">
        <f>VLOOKUP(B381,IF(A381="COMPOSICAO",S!$A:$E,I!$A:$E),4,FALSE)</f>
        <v>H</v>
      </c>
      <c r="F381" s="23">
        <v>1</v>
      </c>
      <c r="G381" s="76">
        <f>IF(A381="COMPOSICAO",VLOOKUP("TOTAL SEM BDI - "&amp;B381,CPUAUX3!$A:$J,9,FALSE),VLOOKUP(B381,I!$A:$E,5,FALSE))</f>
        <v>20.329999999999998</v>
      </c>
      <c r="H381" s="77"/>
      <c r="I381" s="76">
        <f t="shared" si="48"/>
        <v>20.329999999999998</v>
      </c>
      <c r="J381" s="77"/>
      <c r="M381" s="23">
        <f t="shared" si="49"/>
        <v>4783</v>
      </c>
      <c r="N381" s="23">
        <f>SUMIF(CPUAUX1!M:M,B373,CPUAUX1!O:O)</f>
        <v>14</v>
      </c>
      <c r="O381" s="23">
        <f t="shared" si="50"/>
        <v>14</v>
      </c>
      <c r="Q381" s="23">
        <f ca="1">SUMIF(CPUAUX1!M:M,B373,CPUAUX1!R:R)</f>
        <v>6</v>
      </c>
      <c r="R381" s="23">
        <f t="shared" ca="1" si="51"/>
        <v>6</v>
      </c>
    </row>
    <row r="382" spans="1:18" x14ac:dyDescent="0.3">
      <c r="A382" s="73" t="str">
        <f>"TOTAL SEM BDI - "&amp;B373</f>
        <v>TOTAL SEM BDI - 88310</v>
      </c>
      <c r="B382" s="74"/>
      <c r="C382" s="74"/>
      <c r="D382" s="74"/>
      <c r="E382" s="74"/>
      <c r="F382" s="74"/>
      <c r="G382" s="74"/>
      <c r="H382" s="75"/>
      <c r="I382" s="76">
        <f>SUM(I373:I381)</f>
        <v>29.069999999999997</v>
      </c>
      <c r="J382" s="77"/>
    </row>
    <row r="384" spans="1:18" x14ac:dyDescent="0.3">
      <c r="A384" s="4" t="s">
        <v>1000</v>
      </c>
      <c r="B384" s="4" t="s">
        <v>170</v>
      </c>
      <c r="C384" s="4" t="s">
        <v>171</v>
      </c>
      <c r="D384" s="4" t="s">
        <v>18</v>
      </c>
      <c r="E384" s="4" t="s">
        <v>172</v>
      </c>
      <c r="F384" s="4" t="s">
        <v>507</v>
      </c>
      <c r="G384" s="45" t="s">
        <v>1001</v>
      </c>
      <c r="H384" s="46"/>
      <c r="I384" s="45" t="s">
        <v>12</v>
      </c>
      <c r="J384" s="46"/>
    </row>
    <row r="385" spans="1:18" ht="30" customHeight="1" x14ac:dyDescent="0.3">
      <c r="A385" s="15" t="s">
        <v>1071</v>
      </c>
      <c r="B385" s="15">
        <v>88294</v>
      </c>
      <c r="C385" s="15" t="str">
        <f>VLOOKUP(B385,S!$A:$G,2,FALSE)</f>
        <v>SINAPI</v>
      </c>
      <c r="D385" s="22" t="str">
        <f>VLOOKUP(B385,S!$A:$G,3,FALSE)</f>
        <v>OPERADOR DE ESCAVADEIRA COM ENCARGOS COMPLEMENTARES</v>
      </c>
      <c r="E385" s="15" t="str">
        <f>VLOOKUP(B385,S!$A:$G,4,FALSE)</f>
        <v>H</v>
      </c>
      <c r="F385" s="15"/>
      <c r="G385" s="78">
        <f>I394</f>
        <v>30.25</v>
      </c>
      <c r="H385" s="79"/>
      <c r="I385" s="78"/>
      <c r="J385" s="79"/>
      <c r="K385" s="16">
        <f>VLOOKUP(B385,S!A:G,5,FALSE)</f>
        <v>30.25</v>
      </c>
      <c r="L385" s="15" t="str">
        <f>IF(K385=G385,"OK, CONFORME TABELA",IF(G385&gt;K385,"ACIMA DA TABELA: ","ABAIXO DA TABELA: ")&amp;TRUNC((G385*100)/K385,2)&amp;" %")</f>
        <v>OK, CONFORME TABELA</v>
      </c>
    </row>
    <row r="386" spans="1:18" ht="30" customHeight="1" x14ac:dyDescent="0.3">
      <c r="A386" s="23" t="s">
        <v>1004</v>
      </c>
      <c r="B386" s="23">
        <v>95357</v>
      </c>
      <c r="C386" s="23" t="str">
        <f>VLOOKUP(B386,IF(A386="COMPOSICAO",S!$A:$E,I!$A:$E),2,FALSE)</f>
        <v>SINAPI</v>
      </c>
      <c r="D386" s="24" t="str">
        <f>VLOOKUP(B386,IF(A386="COMPOSICAO",S!$A:$E,I!$A:$E),3,FALSE)</f>
        <v>CURSO DE CAPACITAÇÃO PARA OPERADOR DE ESCAVADEIRA (ENCARGOS COMPLEMENTARES) - HORISTA</v>
      </c>
      <c r="E386" s="23" t="str">
        <f>VLOOKUP(B386,IF(A386="COMPOSICAO",S!$A:$E,I!$A:$E),4,FALSE)</f>
        <v>H</v>
      </c>
      <c r="F386" s="23">
        <v>1</v>
      </c>
      <c r="G386" s="76">
        <f>IF(A386="COMPOSICAO",VLOOKUP("TOTAL SEM BDI - "&amp;B386,CPUAUX3!$A:$J,9,FALSE),VLOOKUP(B386,I!$A:$E,5,FALSE))</f>
        <v>0.28000000000000003</v>
      </c>
      <c r="H386" s="77"/>
      <c r="I386" s="76">
        <f t="shared" ref="I386:I393" si="52">TRUNC(F386*G386,2)</f>
        <v>0.28000000000000003</v>
      </c>
      <c r="J386" s="77"/>
      <c r="M386" s="23">
        <f t="shared" ref="M386:M393" si="53">B386</f>
        <v>95357</v>
      </c>
      <c r="N386" s="23">
        <f>SUMIF(CPUAUX1!M:M,B385,CPUAUX1!O:O)</f>
        <v>1169.3439379919998</v>
      </c>
      <c r="O386" s="23">
        <f t="shared" ref="O386:O393" si="54">F386*N386</f>
        <v>1169.3439379919998</v>
      </c>
      <c r="Q386" s="23">
        <f ca="1">SUMIF(CPUAUX1!M:M,B385,CPUAUX1!R:R)</f>
        <v>304.19590137600005</v>
      </c>
      <c r="R386" s="23">
        <f t="shared" ref="R386:R393" ca="1" si="55">F386*Q386</f>
        <v>304.19590137600005</v>
      </c>
    </row>
    <row r="387" spans="1:18" ht="30" customHeight="1" x14ac:dyDescent="0.3">
      <c r="A387" s="23" t="s">
        <v>1005</v>
      </c>
      <c r="B387" s="23">
        <v>43488</v>
      </c>
      <c r="C387" s="23" t="str">
        <f>VLOOKUP(B387,IF(A387="COMPOSICAO",S!$A:$E,I!$A:$E),2,FALSE)</f>
        <v>SINAPI</v>
      </c>
      <c r="D387" s="24" t="str">
        <f>VLOOKUP(B387,IF(A387="COMPOSICAO",S!$A:$E,I!$A:$E),3,FALSE)</f>
        <v>EPI - FAMILIA OPERADOR ESCAVADEIRA - HORISTA (ENCARGOS COMPLEMENTARES - COLETADO CAIXA)</v>
      </c>
      <c r="E387" s="23" t="str">
        <f>VLOOKUP(B387,IF(A387="COMPOSICAO",S!$A:$E,I!$A:$E),4,FALSE)</f>
        <v>H</v>
      </c>
      <c r="F387" s="23">
        <v>1</v>
      </c>
      <c r="G387" s="76">
        <f>IF(A387="COMPOSICAO",VLOOKUP("TOTAL SEM BDI - "&amp;B387,CPUAUX3!$A:$J,9,FALSE),VLOOKUP(B387,I!$A:$E,5,FALSE))</f>
        <v>0.89</v>
      </c>
      <c r="H387" s="77"/>
      <c r="I387" s="76">
        <f t="shared" si="52"/>
        <v>0.89</v>
      </c>
      <c r="J387" s="77"/>
      <c r="M387" s="23">
        <f t="shared" si="53"/>
        <v>43488</v>
      </c>
      <c r="N387" s="23">
        <f>SUMIF(CPUAUX1!M:M,B385,CPUAUX1!O:O)</f>
        <v>1169.3439379919998</v>
      </c>
      <c r="O387" s="23">
        <f t="shared" si="54"/>
        <v>1169.3439379919998</v>
      </c>
      <c r="Q387" s="23">
        <f ca="1">SUMIF(CPUAUX1!M:M,B385,CPUAUX1!R:R)</f>
        <v>304.19590137600005</v>
      </c>
      <c r="R387" s="23">
        <f t="shared" ca="1" si="55"/>
        <v>304.19590137600005</v>
      </c>
    </row>
    <row r="388" spans="1:18" ht="45" customHeight="1" x14ac:dyDescent="0.3">
      <c r="A388" s="23" t="s">
        <v>1005</v>
      </c>
      <c r="B388" s="23">
        <v>43464</v>
      </c>
      <c r="C388" s="23" t="str">
        <f>VLOOKUP(B388,IF(A388="COMPOSICAO",S!$A:$E,I!$A:$E),2,FALSE)</f>
        <v>SINAPI</v>
      </c>
      <c r="D388" s="24" t="str">
        <f>VLOOKUP(B388,IF(A388="COMPOSICAO",S!$A:$E,I!$A:$E),3,FALSE)</f>
        <v>FERRAMENTAS - FAMILIA OPERADOR ESCAVADEIRA - HORISTA (ENCARGOS COMPLEMENTARES - COLETADO CAIXA)</v>
      </c>
      <c r="E388" s="23" t="str">
        <f>VLOOKUP(B388,IF(A388="COMPOSICAO",S!$A:$E,I!$A:$E),4,FALSE)</f>
        <v>H</v>
      </c>
      <c r="F388" s="23">
        <v>1</v>
      </c>
      <c r="G388" s="76">
        <f>IF(A388="COMPOSICAO",VLOOKUP("TOTAL SEM BDI - "&amp;B388,CPUAUX3!$A:$J,9,FALSE),VLOOKUP(B388,I!$A:$E,5,FALSE))</f>
        <v>0.01</v>
      </c>
      <c r="H388" s="77"/>
      <c r="I388" s="76">
        <f t="shared" si="52"/>
        <v>0.01</v>
      </c>
      <c r="J388" s="77"/>
      <c r="M388" s="23">
        <f t="shared" si="53"/>
        <v>43464</v>
      </c>
      <c r="N388" s="23">
        <f>SUMIF(CPUAUX1!M:M,B385,CPUAUX1!O:O)</f>
        <v>1169.3439379919998</v>
      </c>
      <c r="O388" s="23">
        <f t="shared" si="54"/>
        <v>1169.3439379919998</v>
      </c>
      <c r="Q388" s="23">
        <f ca="1">SUMIF(CPUAUX1!M:M,B385,CPUAUX1!R:R)</f>
        <v>304.19590137600005</v>
      </c>
      <c r="R388" s="23">
        <f t="shared" ca="1" si="55"/>
        <v>304.19590137600005</v>
      </c>
    </row>
    <row r="389" spans="1:18" ht="30" customHeight="1" x14ac:dyDescent="0.3">
      <c r="A389" s="23" t="s">
        <v>1005</v>
      </c>
      <c r="B389" s="23">
        <v>37373</v>
      </c>
      <c r="C389" s="23" t="str">
        <f>VLOOKUP(B389,IF(A389="COMPOSICAO",S!$A:$E,I!$A:$E),2,FALSE)</f>
        <v>SINAPI</v>
      </c>
      <c r="D389" s="24" t="str">
        <f>VLOOKUP(B389,IF(A389="COMPOSICAO",S!$A:$E,I!$A:$E),3,FALSE)</f>
        <v>SEGURO - HORISTA (COLETADO CAIXA - ENCARGOS COMPLEMENTARES)</v>
      </c>
      <c r="E389" s="23" t="str">
        <f>VLOOKUP(B389,IF(A389="COMPOSICAO",S!$A:$E,I!$A:$E),4,FALSE)</f>
        <v>H</v>
      </c>
      <c r="F389" s="23">
        <v>1</v>
      </c>
      <c r="G389" s="76">
        <f>IF(A389="COMPOSICAO",VLOOKUP("TOTAL SEM BDI - "&amp;B389,CPUAUX3!$A:$J,9,FALSE),VLOOKUP(B389,I!$A:$E,5,FALSE))</f>
        <v>0.08</v>
      </c>
      <c r="H389" s="77"/>
      <c r="I389" s="76">
        <f t="shared" si="52"/>
        <v>0.08</v>
      </c>
      <c r="J389" s="77"/>
      <c r="M389" s="23">
        <f t="shared" si="53"/>
        <v>37373</v>
      </c>
      <c r="N389" s="23">
        <f>SUMIF(CPUAUX1!M:M,B385,CPUAUX1!O:O)</f>
        <v>1169.3439379919998</v>
      </c>
      <c r="O389" s="23">
        <f t="shared" si="54"/>
        <v>1169.3439379919998</v>
      </c>
      <c r="Q389" s="23">
        <f ca="1">SUMIF(CPUAUX1!M:M,B385,CPUAUX1!R:R)</f>
        <v>304.19590137600005</v>
      </c>
      <c r="R389" s="23">
        <f t="shared" ca="1" si="55"/>
        <v>304.19590137600005</v>
      </c>
    </row>
    <row r="390" spans="1:18" ht="30" customHeight="1" x14ac:dyDescent="0.3">
      <c r="A390" s="23" t="s">
        <v>1005</v>
      </c>
      <c r="B390" s="23">
        <v>37372</v>
      </c>
      <c r="C390" s="23" t="str">
        <f>VLOOKUP(B390,IF(A390="COMPOSICAO",S!$A:$E,I!$A:$E),2,FALSE)</f>
        <v>SINAPI</v>
      </c>
      <c r="D390" s="24" t="str">
        <f>VLOOKUP(B390,IF(A390="COMPOSICAO",S!$A:$E,I!$A:$E),3,FALSE)</f>
        <v>EXAMES - HORISTA (COLETADO CAIXA - ENCARGOS COMPLEMENTARES)</v>
      </c>
      <c r="E390" s="23" t="str">
        <f>VLOOKUP(B390,IF(A390="COMPOSICAO",S!$A:$E,I!$A:$E),4,FALSE)</f>
        <v>H</v>
      </c>
      <c r="F390" s="23">
        <v>1</v>
      </c>
      <c r="G390" s="76">
        <f>IF(A390="COMPOSICAO",VLOOKUP("TOTAL SEM BDI - "&amp;B390,CPUAUX3!$A:$J,9,FALSE),VLOOKUP(B390,I!$A:$E,5,FALSE))</f>
        <v>1.43</v>
      </c>
      <c r="H390" s="77"/>
      <c r="I390" s="76">
        <f t="shared" si="52"/>
        <v>1.43</v>
      </c>
      <c r="J390" s="77"/>
      <c r="M390" s="23">
        <f t="shared" si="53"/>
        <v>37372</v>
      </c>
      <c r="N390" s="23">
        <f>SUMIF(CPUAUX1!M:M,B385,CPUAUX1!O:O)</f>
        <v>1169.3439379919998</v>
      </c>
      <c r="O390" s="23">
        <f t="shared" si="54"/>
        <v>1169.3439379919998</v>
      </c>
      <c r="Q390" s="23">
        <f ca="1">SUMIF(CPUAUX1!M:M,B385,CPUAUX1!R:R)</f>
        <v>304.19590137600005</v>
      </c>
      <c r="R390" s="23">
        <f t="shared" ca="1" si="55"/>
        <v>304.19590137600005</v>
      </c>
    </row>
    <row r="391" spans="1:18" ht="30" customHeight="1" x14ac:dyDescent="0.3">
      <c r="A391" s="23" t="s">
        <v>1005</v>
      </c>
      <c r="B391" s="23">
        <v>37371</v>
      </c>
      <c r="C391" s="23" t="str">
        <f>VLOOKUP(B391,IF(A391="COMPOSICAO",S!$A:$E,I!$A:$E),2,FALSE)</f>
        <v>SINAPI</v>
      </c>
      <c r="D391" s="24" t="str">
        <f>VLOOKUP(B391,IF(A391="COMPOSICAO",S!$A:$E,I!$A:$E),3,FALSE)</f>
        <v>TRANSPORTE - HORISTA (COLETADO CAIXA - ENCARGOS COMPLEMENTARES)</v>
      </c>
      <c r="E391" s="23" t="str">
        <f>VLOOKUP(B391,IF(A391="COMPOSICAO",S!$A:$E,I!$A:$E),4,FALSE)</f>
        <v>H</v>
      </c>
      <c r="F391" s="23">
        <v>1</v>
      </c>
      <c r="G391" s="76">
        <f>IF(A391="COMPOSICAO",VLOOKUP("TOTAL SEM BDI - "&amp;B391,CPUAUX3!$A:$J,9,FALSE),VLOOKUP(B391,I!$A:$E,5,FALSE))</f>
        <v>0.56999999999999995</v>
      </c>
      <c r="H391" s="77"/>
      <c r="I391" s="76">
        <f t="shared" si="52"/>
        <v>0.56999999999999995</v>
      </c>
      <c r="J391" s="77"/>
      <c r="M391" s="23">
        <f t="shared" si="53"/>
        <v>37371</v>
      </c>
      <c r="N391" s="23">
        <f>SUMIF(CPUAUX1!M:M,B385,CPUAUX1!O:O)</f>
        <v>1169.3439379919998</v>
      </c>
      <c r="O391" s="23">
        <f t="shared" si="54"/>
        <v>1169.3439379919998</v>
      </c>
      <c r="Q391" s="23">
        <f ca="1">SUMIF(CPUAUX1!M:M,B385,CPUAUX1!R:R)</f>
        <v>304.19590137600005</v>
      </c>
      <c r="R391" s="23">
        <f t="shared" ca="1" si="55"/>
        <v>304.19590137600005</v>
      </c>
    </row>
    <row r="392" spans="1:18" ht="30" customHeight="1" x14ac:dyDescent="0.3">
      <c r="A392" s="23" t="s">
        <v>1005</v>
      </c>
      <c r="B392" s="23">
        <v>37370</v>
      </c>
      <c r="C392" s="23" t="str">
        <f>VLOOKUP(B392,IF(A392="COMPOSICAO",S!$A:$E,I!$A:$E),2,FALSE)</f>
        <v>SINAPI</v>
      </c>
      <c r="D392" s="24" t="str">
        <f>VLOOKUP(B392,IF(A392="COMPOSICAO",S!$A:$E,I!$A:$E),3,FALSE)</f>
        <v>ALIMENTACAO - HORISTA (COLETADO CAIXA - ENCARGOS COMPLEMENTARES)</v>
      </c>
      <c r="E392" s="23" t="str">
        <f>VLOOKUP(B392,IF(A392="COMPOSICAO",S!$A:$E,I!$A:$E),4,FALSE)</f>
        <v>H</v>
      </c>
      <c r="F392" s="23">
        <v>1</v>
      </c>
      <c r="G392" s="76">
        <f>IF(A392="COMPOSICAO",VLOOKUP("TOTAL SEM BDI - "&amp;B392,CPUAUX3!$A:$J,9,FALSE),VLOOKUP(B392,I!$A:$E,5,FALSE))</f>
        <v>2.46</v>
      </c>
      <c r="H392" s="77"/>
      <c r="I392" s="76">
        <f t="shared" si="52"/>
        <v>2.46</v>
      </c>
      <c r="J392" s="77"/>
      <c r="M392" s="23">
        <f t="shared" si="53"/>
        <v>37370</v>
      </c>
      <c r="N392" s="23">
        <f>SUMIF(CPUAUX1!M:M,B385,CPUAUX1!O:O)</f>
        <v>1169.3439379919998</v>
      </c>
      <c r="O392" s="23">
        <f t="shared" si="54"/>
        <v>1169.3439379919998</v>
      </c>
      <c r="Q392" s="23">
        <f ca="1">SUMIF(CPUAUX1!M:M,B385,CPUAUX1!R:R)</f>
        <v>304.19590137600005</v>
      </c>
      <c r="R392" s="23">
        <f t="shared" ca="1" si="55"/>
        <v>304.19590137600005</v>
      </c>
    </row>
    <row r="393" spans="1:18" x14ac:dyDescent="0.3">
      <c r="A393" s="23" t="s">
        <v>1005</v>
      </c>
      <c r="B393" s="23">
        <v>4234</v>
      </c>
      <c r="C393" s="23" t="str">
        <f>VLOOKUP(B393,IF(A393="COMPOSICAO",S!$A:$E,I!$A:$E),2,FALSE)</f>
        <v>SINAPI</v>
      </c>
      <c r="D393" s="24" t="str">
        <f>VLOOKUP(B393,IF(A393="COMPOSICAO",S!$A:$E,I!$A:$E),3,FALSE)</f>
        <v>OPERADOR DE ESCAVADEIRA (HORISTA)</v>
      </c>
      <c r="E393" s="23" t="str">
        <f>VLOOKUP(B393,IF(A393="COMPOSICAO",S!$A:$E,I!$A:$E),4,FALSE)</f>
        <v>H</v>
      </c>
      <c r="F393" s="23">
        <v>1</v>
      </c>
      <c r="G393" s="76">
        <f>IF(A393="COMPOSICAO",VLOOKUP("TOTAL SEM BDI - "&amp;B393,CPUAUX3!$A:$J,9,FALSE),VLOOKUP(B393,I!$A:$E,5,FALSE))</f>
        <v>24.53</v>
      </c>
      <c r="H393" s="77"/>
      <c r="I393" s="76">
        <f t="shared" si="52"/>
        <v>24.53</v>
      </c>
      <c r="J393" s="77"/>
      <c r="M393" s="23">
        <f t="shared" si="53"/>
        <v>4234</v>
      </c>
      <c r="N393" s="23">
        <f>SUMIF(CPUAUX1!M:M,B385,CPUAUX1!O:O)</f>
        <v>1169.3439379919998</v>
      </c>
      <c r="O393" s="23">
        <f t="shared" si="54"/>
        <v>1169.3439379919998</v>
      </c>
      <c r="Q393" s="23">
        <f ca="1">SUMIF(CPUAUX1!M:M,B385,CPUAUX1!R:R)</f>
        <v>304.19590137600005</v>
      </c>
      <c r="R393" s="23">
        <f t="shared" ca="1" si="55"/>
        <v>304.19590137600005</v>
      </c>
    </row>
    <row r="394" spans="1:18" x14ac:dyDescent="0.3">
      <c r="A394" s="73" t="str">
        <f>"TOTAL SEM BDI - "&amp;B385</f>
        <v>TOTAL SEM BDI - 88294</v>
      </c>
      <c r="B394" s="74"/>
      <c r="C394" s="74"/>
      <c r="D394" s="74"/>
      <c r="E394" s="74"/>
      <c r="F394" s="74"/>
      <c r="G394" s="74"/>
      <c r="H394" s="75"/>
      <c r="I394" s="76">
        <f>SUM(I385:I393)</f>
        <v>30.25</v>
      </c>
      <c r="J394" s="77"/>
    </row>
    <row r="396" spans="1:18" x14ac:dyDescent="0.3">
      <c r="A396" s="4" t="s">
        <v>1000</v>
      </c>
      <c r="B396" s="4" t="s">
        <v>170</v>
      </c>
      <c r="C396" s="4" t="s">
        <v>171</v>
      </c>
      <c r="D396" s="4" t="s">
        <v>18</v>
      </c>
      <c r="E396" s="4" t="s">
        <v>172</v>
      </c>
      <c r="F396" s="4" t="s">
        <v>507</v>
      </c>
      <c r="G396" s="45" t="s">
        <v>1001</v>
      </c>
      <c r="H396" s="46"/>
      <c r="I396" s="45" t="s">
        <v>12</v>
      </c>
      <c r="J396" s="46"/>
    </row>
    <row r="397" spans="1:18" ht="45" customHeight="1" x14ac:dyDescent="0.3">
      <c r="A397" s="15" t="s">
        <v>1096</v>
      </c>
      <c r="B397" s="15">
        <v>5628</v>
      </c>
      <c r="C397" s="15" t="str">
        <f>VLOOKUP(B397,S!$A:$G,2,FALSE)</f>
        <v>SINAPI</v>
      </c>
      <c r="D397" s="22" t="str">
        <f>VLOOKUP(B397,S!$A:$G,3,FALSE)</f>
        <v>ESCAVADEIRA HIDRÁULICA SOBRE ESTEIRAS, CAÇAMBA 0,80 M3, PESO OPERACIONAL 17 T, POTENCIA BRUTA 111 HP - JUROS. AF_06/2014</v>
      </c>
      <c r="E397" s="15" t="str">
        <f>VLOOKUP(B397,S!$A:$G,4,FALSE)</f>
        <v>H</v>
      </c>
      <c r="F397" s="15"/>
      <c r="G397" s="78">
        <f>I399</f>
        <v>12.72</v>
      </c>
      <c r="H397" s="79"/>
      <c r="I397" s="78"/>
      <c r="J397" s="79"/>
      <c r="K397" s="16">
        <f>VLOOKUP(B397,S!A:G,5,FALSE)</f>
        <v>12.72</v>
      </c>
      <c r="L397" s="15" t="str">
        <f>IF(K397=G397,"OK, CONFORME TABELA",IF(G397&gt;K397,"ACIMA DA TABELA: ","ABAIXO DA TABELA: ")&amp;TRUNC((G397*100)/K397,2)&amp;" %")</f>
        <v>OK, CONFORME TABELA</v>
      </c>
    </row>
    <row r="398" spans="1:18" ht="45" customHeight="1" x14ac:dyDescent="0.3">
      <c r="A398" s="23" t="s">
        <v>1005</v>
      </c>
      <c r="B398" s="23">
        <v>10685</v>
      </c>
      <c r="C398" s="23" t="str">
        <f>VLOOKUP(B398,IF(A398="COMPOSICAO",S!$A:$E,I!$A:$E),2,FALSE)</f>
        <v>SINAPI</v>
      </c>
      <c r="D398" s="24" t="str">
        <f>VLOOKUP(B398,IF(A398="COMPOSICAO",S!$A:$E,I!$A:$E),3,FALSE)</f>
        <v>ESCAVADEIRA HIDRAULICA SOBRE ESTEIRAS, CACAMBA 0,80M3, PESO OPERACIONAL 17T, POTENCIA BRUTA 111HP</v>
      </c>
      <c r="E398" s="23" t="str">
        <f>VLOOKUP(B398,IF(A398="COMPOSICAO",S!$A:$E,I!$A:$E),4,FALSE)</f>
        <v>UN</v>
      </c>
      <c r="F398" s="23">
        <v>1.4800000000000001E-5</v>
      </c>
      <c r="G398" s="76">
        <f>IF(A398="COMPOSICAO",VLOOKUP("TOTAL SEM BDI - "&amp;B398,CPUAUX3!$A:$J,9,FALSE),VLOOKUP(B398,I!$A:$E,5,FALSE))</f>
        <v>859948.31</v>
      </c>
      <c r="H398" s="77"/>
      <c r="I398" s="76">
        <f>TRUNC(F398*G398,2)</f>
        <v>12.72</v>
      </c>
      <c r="J398" s="77"/>
      <c r="M398" s="23">
        <f>B398</f>
        <v>10685</v>
      </c>
      <c r="N398" s="23">
        <f>SUMIF(CPUAUX1!M:M,B397,CPUAUX1!O:O)</f>
        <v>307.01427799199996</v>
      </c>
      <c r="O398" s="23">
        <f>F398*N398</f>
        <v>4.5438113142815999E-3</v>
      </c>
      <c r="Q398" s="23">
        <f ca="1">SUMIF(CPUAUX1!M:M,B397,CPUAUX1!R:R)</f>
        <v>79.86742137600001</v>
      </c>
      <c r="R398" s="23">
        <f ca="1">F398*Q398</f>
        <v>1.1820378363648003E-3</v>
      </c>
    </row>
    <row r="399" spans="1:18" x14ac:dyDescent="0.3">
      <c r="A399" s="73" t="str">
        <f>"TOTAL SEM BDI - "&amp;B397</f>
        <v>TOTAL SEM BDI - 5628</v>
      </c>
      <c r="B399" s="74"/>
      <c r="C399" s="74"/>
      <c r="D399" s="74"/>
      <c r="E399" s="74"/>
      <c r="F399" s="74"/>
      <c r="G399" s="74"/>
      <c r="H399" s="75"/>
      <c r="I399" s="76">
        <f>SUM(I397:I398)</f>
        <v>12.72</v>
      </c>
      <c r="J399" s="77"/>
    </row>
    <row r="401" spans="1:18" x14ac:dyDescent="0.3">
      <c r="A401" s="4" t="s">
        <v>1000</v>
      </c>
      <c r="B401" s="4" t="s">
        <v>170</v>
      </c>
      <c r="C401" s="4" t="s">
        <v>171</v>
      </c>
      <c r="D401" s="4" t="s">
        <v>18</v>
      </c>
      <c r="E401" s="4" t="s">
        <v>172</v>
      </c>
      <c r="F401" s="4" t="s">
        <v>507</v>
      </c>
      <c r="G401" s="45" t="s">
        <v>1001</v>
      </c>
      <c r="H401" s="46"/>
      <c r="I401" s="45" t="s">
        <v>12</v>
      </c>
      <c r="J401" s="46"/>
    </row>
    <row r="402" spans="1:18" ht="45" customHeight="1" x14ac:dyDescent="0.3">
      <c r="A402" s="15" t="s">
        <v>1096</v>
      </c>
      <c r="B402" s="15">
        <v>5627</v>
      </c>
      <c r="C402" s="15" t="str">
        <f>VLOOKUP(B402,S!$A:$G,2,FALSE)</f>
        <v>SINAPI</v>
      </c>
      <c r="D402" s="22" t="str">
        <f>VLOOKUP(B402,S!$A:$G,3,FALSE)</f>
        <v>ESCAVADEIRA HIDRÁULICA SOBRE ESTEIRAS, CAÇAMBA 0,80 M3, PESO OPERACIONAL 17 T, POTENCIA BRUTA 111 HP - DEPRECIAÇÃO. AF_06/2014</v>
      </c>
      <c r="E402" s="15" t="str">
        <f>VLOOKUP(B402,S!$A:$G,4,FALSE)</f>
        <v>H</v>
      </c>
      <c r="F402" s="15"/>
      <c r="G402" s="78">
        <f>I404</f>
        <v>48.15</v>
      </c>
      <c r="H402" s="79"/>
      <c r="I402" s="78"/>
      <c r="J402" s="79"/>
      <c r="K402" s="16">
        <f>VLOOKUP(B402,S!A:G,5,FALSE)</f>
        <v>48.15</v>
      </c>
      <c r="L402" s="15" t="str">
        <f>IF(K402=G402,"OK, CONFORME TABELA",IF(G402&gt;K402,"ACIMA DA TABELA: ","ABAIXO DA TABELA: ")&amp;TRUNC((G402*100)/K402,2)&amp;" %")</f>
        <v>OK, CONFORME TABELA</v>
      </c>
    </row>
    <row r="403" spans="1:18" ht="45" customHeight="1" x14ac:dyDescent="0.3">
      <c r="A403" s="23" t="s">
        <v>1005</v>
      </c>
      <c r="B403" s="23">
        <v>10685</v>
      </c>
      <c r="C403" s="23" t="str">
        <f>VLOOKUP(B403,IF(A403="COMPOSICAO",S!$A:$E,I!$A:$E),2,FALSE)</f>
        <v>SINAPI</v>
      </c>
      <c r="D403" s="24" t="str">
        <f>VLOOKUP(B403,IF(A403="COMPOSICAO",S!$A:$E,I!$A:$E),3,FALSE)</f>
        <v>ESCAVADEIRA HIDRAULICA SOBRE ESTEIRAS, CACAMBA 0,80M3, PESO OPERACIONAL 17T, POTENCIA BRUTA 111HP</v>
      </c>
      <c r="E403" s="23" t="str">
        <f>VLOOKUP(B403,IF(A403="COMPOSICAO",S!$A:$E,I!$A:$E),4,FALSE)</f>
        <v>UN</v>
      </c>
      <c r="F403" s="23">
        <v>5.5999999999999999E-5</v>
      </c>
      <c r="G403" s="76">
        <f>IF(A403="COMPOSICAO",VLOOKUP("TOTAL SEM BDI - "&amp;B403,CPUAUX3!$A:$J,9,FALSE),VLOOKUP(B403,I!$A:$E,5,FALSE))</f>
        <v>859948.31</v>
      </c>
      <c r="H403" s="77"/>
      <c r="I403" s="76">
        <f>TRUNC(F403*G403,2)</f>
        <v>48.15</v>
      </c>
      <c r="J403" s="77"/>
      <c r="M403" s="23">
        <f>B403</f>
        <v>10685</v>
      </c>
      <c r="N403" s="23">
        <f>SUMIF(CPUAUX1!M:M,B402,CPUAUX1!O:O)</f>
        <v>307.01427799199996</v>
      </c>
      <c r="O403" s="23">
        <f>F403*N403</f>
        <v>1.7192799567551997E-2</v>
      </c>
      <c r="Q403" s="23">
        <f ca="1">SUMIF(CPUAUX1!M:M,B402,CPUAUX1!R:R)</f>
        <v>79.86742137600001</v>
      </c>
      <c r="R403" s="23">
        <f ca="1">F403*Q403</f>
        <v>4.4725755970560005E-3</v>
      </c>
    </row>
    <row r="404" spans="1:18" x14ac:dyDescent="0.3">
      <c r="A404" s="73" t="str">
        <f>"TOTAL SEM BDI - "&amp;B402</f>
        <v>TOTAL SEM BDI - 5627</v>
      </c>
      <c r="B404" s="74"/>
      <c r="C404" s="74"/>
      <c r="D404" s="74"/>
      <c r="E404" s="74"/>
      <c r="F404" s="74"/>
      <c r="G404" s="74"/>
      <c r="H404" s="75"/>
      <c r="I404" s="76">
        <f>SUM(I402:I403)</f>
        <v>48.15</v>
      </c>
      <c r="J404" s="77"/>
    </row>
    <row r="406" spans="1:18" x14ac:dyDescent="0.3">
      <c r="A406" s="4" t="s">
        <v>1000</v>
      </c>
      <c r="B406" s="4" t="s">
        <v>170</v>
      </c>
      <c r="C406" s="4" t="s">
        <v>171</v>
      </c>
      <c r="D406" s="4" t="s">
        <v>18</v>
      </c>
      <c r="E406" s="4" t="s">
        <v>172</v>
      </c>
      <c r="F406" s="4" t="s">
        <v>507</v>
      </c>
      <c r="G406" s="45" t="s">
        <v>1001</v>
      </c>
      <c r="H406" s="46"/>
      <c r="I406" s="45" t="s">
        <v>12</v>
      </c>
      <c r="J406" s="46"/>
    </row>
    <row r="407" spans="1:18" ht="60" customHeight="1" x14ac:dyDescent="0.3">
      <c r="A407" s="15" t="s">
        <v>1096</v>
      </c>
      <c r="B407" s="15">
        <v>5630</v>
      </c>
      <c r="C407" s="15" t="str">
        <f>VLOOKUP(B407,S!$A:$G,2,FALSE)</f>
        <v>SINAPI</v>
      </c>
      <c r="D407" s="22" t="str">
        <f>VLOOKUP(B407,S!$A:$G,3,FALSE)</f>
        <v>ESCAVADEIRA HIDRÁULICA SOBRE ESTEIRAS, CAÇAMBA 0,80 M3, PESO OPERACIONAL 17 T, POTENCIA BRUTA 111 HP - MATERIAIS NA OPERAÇÃO. AF_06/2014</v>
      </c>
      <c r="E407" s="15" t="str">
        <f>VLOOKUP(B407,S!$A:$G,4,FALSE)</f>
        <v>H</v>
      </c>
      <c r="F407" s="15"/>
      <c r="G407" s="78">
        <f>I409</f>
        <v>63.32</v>
      </c>
      <c r="H407" s="79"/>
      <c r="I407" s="78"/>
      <c r="J407" s="79"/>
      <c r="K407" s="16">
        <f>VLOOKUP(B407,S!A:G,5,FALSE)</f>
        <v>63.32</v>
      </c>
      <c r="L407" s="15" t="str">
        <f>IF(K407=G407,"OK, CONFORME TABELA",IF(G407&gt;K407,"ACIMA DA TABELA: ","ABAIXO DA TABELA: ")&amp;TRUNC((G407*100)/K407,2)&amp;" %")</f>
        <v>OK, CONFORME TABELA</v>
      </c>
    </row>
    <row r="408" spans="1:18" ht="30" customHeight="1" x14ac:dyDescent="0.3">
      <c r="A408" s="23" t="s">
        <v>1005</v>
      </c>
      <c r="B408" s="23">
        <v>4221</v>
      </c>
      <c r="C408" s="23" t="str">
        <f>VLOOKUP(B408,IF(A408="COMPOSICAO",S!$A:$E,I!$A:$E),2,FALSE)</f>
        <v>SINAPI</v>
      </c>
      <c r="D408" s="24" t="str">
        <f>VLOOKUP(B408,IF(A408="COMPOSICAO",S!$A:$E,I!$A:$E),3,FALSE)</f>
        <v>OLEO DIESEL COMBUSTIVEL COMUM METROPOLITANO S-10 OU S-500</v>
      </c>
      <c r="E408" s="23" t="str">
        <f>VLOOKUP(B408,IF(A408="COMPOSICAO",S!$A:$E,I!$A:$E),4,FALSE)</f>
        <v>L</v>
      </c>
      <c r="F408" s="23">
        <v>10.77</v>
      </c>
      <c r="G408" s="76">
        <f>IF(A408="COMPOSICAO",VLOOKUP("TOTAL SEM BDI - "&amp;B408,CPUAUX3!$A:$J,9,FALSE),VLOOKUP(B408,I!$A:$E,5,FALSE))</f>
        <v>5.88</v>
      </c>
      <c r="H408" s="77"/>
      <c r="I408" s="76">
        <f>TRUNC(F408*G408,2)</f>
        <v>63.32</v>
      </c>
      <c r="J408" s="77"/>
      <c r="M408" s="23">
        <f>B408</f>
        <v>4221</v>
      </c>
      <c r="N408" s="23">
        <f>SUMIF(CPUAUX1!M:M,B407,CPUAUX1!O:O)</f>
        <v>171.73606666799995</v>
      </c>
      <c r="O408" s="23">
        <f>F408*N408</f>
        <v>1849.5974380143593</v>
      </c>
      <c r="Q408" s="23">
        <f ca="1">SUMIF(CPUAUX1!M:M,B407,CPUAUX1!R:R)</f>
        <v>44.675827104</v>
      </c>
      <c r="R408" s="23">
        <f ca="1">F408*Q408</f>
        <v>481.15865791007997</v>
      </c>
    </row>
    <row r="409" spans="1:18" x14ac:dyDescent="0.3">
      <c r="A409" s="73" t="str">
        <f>"TOTAL SEM BDI - "&amp;B407</f>
        <v>TOTAL SEM BDI - 5630</v>
      </c>
      <c r="B409" s="74"/>
      <c r="C409" s="74"/>
      <c r="D409" s="74"/>
      <c r="E409" s="74"/>
      <c r="F409" s="74"/>
      <c r="G409" s="74"/>
      <c r="H409" s="75"/>
      <c r="I409" s="76">
        <f>SUM(I407:I408)</f>
        <v>63.32</v>
      </c>
      <c r="J409" s="77"/>
    </row>
    <row r="411" spans="1:18" x14ac:dyDescent="0.3">
      <c r="A411" s="4" t="s">
        <v>1000</v>
      </c>
      <c r="B411" s="4" t="s">
        <v>170</v>
      </c>
      <c r="C411" s="4" t="s">
        <v>171</v>
      </c>
      <c r="D411" s="4" t="s">
        <v>18</v>
      </c>
      <c r="E411" s="4" t="s">
        <v>172</v>
      </c>
      <c r="F411" s="4" t="s">
        <v>507</v>
      </c>
      <c r="G411" s="45" t="s">
        <v>1001</v>
      </c>
      <c r="H411" s="46"/>
      <c r="I411" s="45" t="s">
        <v>12</v>
      </c>
      <c r="J411" s="46"/>
    </row>
    <row r="412" spans="1:18" ht="45" customHeight="1" x14ac:dyDescent="0.3">
      <c r="A412" s="15" t="s">
        <v>1096</v>
      </c>
      <c r="B412" s="15">
        <v>5629</v>
      </c>
      <c r="C412" s="15" t="str">
        <f>VLOOKUP(B412,S!$A:$G,2,FALSE)</f>
        <v>SINAPI</v>
      </c>
      <c r="D412" s="22" t="str">
        <f>VLOOKUP(B412,S!$A:$G,3,FALSE)</f>
        <v>ESCAVADEIRA HIDRÁULICA SOBRE ESTEIRAS, CAÇAMBA 0,80 M3, PESO OPERACIONAL 17 T, POTENCIA BRUTA 111 HP - MANUTENÇÃO. AF_06/2014</v>
      </c>
      <c r="E412" s="15" t="str">
        <f>VLOOKUP(B412,S!$A:$G,4,FALSE)</f>
        <v>H</v>
      </c>
      <c r="F412" s="15"/>
      <c r="G412" s="78">
        <f>I414</f>
        <v>60.19</v>
      </c>
      <c r="H412" s="79"/>
      <c r="I412" s="78"/>
      <c r="J412" s="79"/>
      <c r="K412" s="16">
        <f>VLOOKUP(B412,S!A:G,5,FALSE)</f>
        <v>60.19</v>
      </c>
      <c r="L412" s="15" t="str">
        <f>IF(K412=G412,"OK, CONFORME TABELA",IF(G412&gt;K412,"ACIMA DA TABELA: ","ABAIXO DA TABELA: ")&amp;TRUNC((G412*100)/K412,2)&amp;" %")</f>
        <v>OK, CONFORME TABELA</v>
      </c>
    </row>
    <row r="413" spans="1:18" ht="45" customHeight="1" x14ac:dyDescent="0.3">
      <c r="A413" s="23" t="s">
        <v>1005</v>
      </c>
      <c r="B413" s="23">
        <v>10685</v>
      </c>
      <c r="C413" s="23" t="str">
        <f>VLOOKUP(B413,IF(A413="COMPOSICAO",S!$A:$E,I!$A:$E),2,FALSE)</f>
        <v>SINAPI</v>
      </c>
      <c r="D413" s="24" t="str">
        <f>VLOOKUP(B413,IF(A413="COMPOSICAO",S!$A:$E,I!$A:$E),3,FALSE)</f>
        <v>ESCAVADEIRA HIDRAULICA SOBRE ESTEIRAS, CACAMBA 0,80M3, PESO OPERACIONAL 17T, POTENCIA BRUTA 111HP</v>
      </c>
      <c r="E413" s="23" t="str">
        <f>VLOOKUP(B413,IF(A413="COMPOSICAO",S!$A:$E,I!$A:$E),4,FALSE)</f>
        <v>UN</v>
      </c>
      <c r="F413" s="23">
        <v>6.9999999999999994E-5</v>
      </c>
      <c r="G413" s="76">
        <f>IF(A413="COMPOSICAO",VLOOKUP("TOTAL SEM BDI - "&amp;B413,CPUAUX3!$A:$J,9,FALSE),VLOOKUP(B413,I!$A:$E,5,FALSE))</f>
        <v>859948.31</v>
      </c>
      <c r="H413" s="77"/>
      <c r="I413" s="76">
        <f>TRUNC(F413*G413,2)</f>
        <v>60.19</v>
      </c>
      <c r="J413" s="77"/>
      <c r="M413" s="23">
        <f>B413</f>
        <v>10685</v>
      </c>
      <c r="N413" s="23">
        <f>SUMIF(CPUAUX1!M:M,B412,CPUAUX1!O:O)</f>
        <v>171.73606666799995</v>
      </c>
      <c r="O413" s="23">
        <f>F413*N413</f>
        <v>1.2021524666759995E-2</v>
      </c>
      <c r="Q413" s="23">
        <f ca="1">SUMIF(CPUAUX1!M:M,B412,CPUAUX1!R:R)</f>
        <v>44.675827104</v>
      </c>
      <c r="R413" s="23">
        <f ca="1">F413*Q413</f>
        <v>3.1273078972799996E-3</v>
      </c>
    </row>
    <row r="414" spans="1:18" x14ac:dyDescent="0.3">
      <c r="A414" s="73" t="str">
        <f>"TOTAL SEM BDI - "&amp;B412</f>
        <v>TOTAL SEM BDI - 5629</v>
      </c>
      <c r="B414" s="74"/>
      <c r="C414" s="74"/>
      <c r="D414" s="74"/>
      <c r="E414" s="74"/>
      <c r="F414" s="74"/>
      <c r="G414" s="74"/>
      <c r="H414" s="75"/>
      <c r="I414" s="76">
        <f>SUM(I412:I413)</f>
        <v>60.19</v>
      </c>
      <c r="J414" s="77"/>
    </row>
    <row r="416" spans="1:18" x14ac:dyDescent="0.3">
      <c r="A416" s="4" t="s">
        <v>1000</v>
      </c>
      <c r="B416" s="4" t="s">
        <v>170</v>
      </c>
      <c r="C416" s="4" t="s">
        <v>171</v>
      </c>
      <c r="D416" s="4" t="s">
        <v>18</v>
      </c>
      <c r="E416" s="4" t="s">
        <v>172</v>
      </c>
      <c r="F416" s="4" t="s">
        <v>507</v>
      </c>
      <c r="G416" s="45" t="s">
        <v>1001</v>
      </c>
      <c r="H416" s="46"/>
      <c r="I416" s="45" t="s">
        <v>12</v>
      </c>
      <c r="J416" s="46"/>
    </row>
    <row r="417" spans="1:18" ht="90" customHeight="1" x14ac:dyDescent="0.3">
      <c r="A417" s="15" t="s">
        <v>1096</v>
      </c>
      <c r="B417" s="15">
        <v>88858</v>
      </c>
      <c r="C417" s="15" t="str">
        <f>VLOOKUP(B417,S!$A:$G,2,FALSE)</f>
        <v>SINAPI</v>
      </c>
      <c r="D417" s="22" t="str">
        <f>VLOOKUP(B417,S!$A:$G,3,FALSE)</f>
        <v>RETROESCAVADEIRA SOBRE RODAS COM CARREGADEIRA, TRAÇÃO 4X4, POTÊNCIA LÍQ. 88 HP, CAÇAMBA CARREG. CAP. MÍN. 1 M3, CAÇAMBA RETRO CAP. 0,26 M3, PESO OPERACIONAL MÍN. 6.674 KG, PROFUNDIDADE ESCAVAÇÃO MÁX. 4,37 M - JUROS. AF_06/2014</v>
      </c>
      <c r="E417" s="15" t="str">
        <f>VLOOKUP(B417,S!$A:$G,4,FALSE)</f>
        <v>H</v>
      </c>
      <c r="F417" s="15"/>
      <c r="G417" s="78">
        <f>I419</f>
        <v>6.9</v>
      </c>
      <c r="H417" s="79"/>
      <c r="I417" s="78"/>
      <c r="J417" s="79"/>
      <c r="K417" s="16">
        <f>VLOOKUP(B417,S!A:G,5,FALSE)</f>
        <v>6.9</v>
      </c>
      <c r="L417" s="15" t="str">
        <f>IF(K417=G417,"OK, CONFORME TABELA",IF(G417&gt;K417,"ACIMA DA TABELA: ","ABAIXO DA TABELA: ")&amp;TRUNC((G417*100)/K417,2)&amp;" %")</f>
        <v>OK, CONFORME TABELA</v>
      </c>
    </row>
    <row r="418" spans="1:18" ht="90" customHeight="1" x14ac:dyDescent="0.3">
      <c r="A418" s="23" t="s">
        <v>1005</v>
      </c>
      <c r="B418" s="23">
        <v>36531</v>
      </c>
      <c r="C418" s="23" t="str">
        <f>VLOOKUP(B418,IF(A418="COMPOSICAO",S!$A:$E,I!$A:$E),2,FALSE)</f>
        <v>SINAPI</v>
      </c>
      <c r="D418" s="24" t="str">
        <f>VLOOKUP(B418,IF(A418="COMPOSICAO",S!$A:$E,I!$A:$E),3,FALSE)</f>
        <v>RETROESCAVADEIRA SOBRE RODAS COM CARREGADEIRA, TRACAO 4 X 4, POTENCIA LIQUIDA 88 HP, PESO OPERACIONAL MINIMO DE 6674 KG, CAPACIDADE DA CARREGADEIRA DE 1,00 M3 E DA RETROESCAVADEIRA MINIMA DE 0,26 M3, PROFUNDIDADE DE ESCAVACAO MAXIMA DE 4,37 M</v>
      </c>
      <c r="E418" s="23" t="str">
        <f>VLOOKUP(B418,IF(A418="COMPOSICAO",S!$A:$E,I!$A:$E),4,FALSE)</f>
        <v>UN</v>
      </c>
      <c r="F418" s="23">
        <v>1.4800000000000001E-5</v>
      </c>
      <c r="G418" s="76">
        <f>IF(A418="COMPOSICAO",VLOOKUP("TOTAL SEM BDI - "&amp;B418,CPUAUX3!$A:$J,9,FALSE),VLOOKUP(B418,I!$A:$E,5,FALSE))</f>
        <v>466463.38</v>
      </c>
      <c r="H418" s="77"/>
      <c r="I418" s="76">
        <f>TRUNC(F418*G418,2)</f>
        <v>6.9</v>
      </c>
      <c r="J418" s="77"/>
      <c r="M418" s="23">
        <f>B418</f>
        <v>36531</v>
      </c>
      <c r="N418" s="23">
        <f>SUMIF(CPUAUX1!M:M,B417,CPUAUX1!O:O)</f>
        <v>862.32965999999988</v>
      </c>
      <c r="O418" s="23">
        <f>F418*N418</f>
        <v>1.2762478967999999E-2</v>
      </c>
      <c r="Q418" s="23">
        <f ca="1">SUMIF(CPUAUX1!M:M,B417,CPUAUX1!R:R)</f>
        <v>224.32848000000001</v>
      </c>
      <c r="R418" s="23">
        <f ca="1">F418*Q418</f>
        <v>3.3200615040000002E-3</v>
      </c>
    </row>
    <row r="419" spans="1:18" x14ac:dyDescent="0.3">
      <c r="A419" s="73" t="str">
        <f>"TOTAL SEM BDI - "&amp;B417</f>
        <v>TOTAL SEM BDI - 88858</v>
      </c>
      <c r="B419" s="74"/>
      <c r="C419" s="74"/>
      <c r="D419" s="74"/>
      <c r="E419" s="74"/>
      <c r="F419" s="74"/>
      <c r="G419" s="74"/>
      <c r="H419" s="75"/>
      <c r="I419" s="76">
        <f>SUM(I417:I418)</f>
        <v>6.9</v>
      </c>
      <c r="J419" s="77"/>
    </row>
    <row r="421" spans="1:18" x14ac:dyDescent="0.3">
      <c r="A421" s="4" t="s">
        <v>1000</v>
      </c>
      <c r="B421" s="4" t="s">
        <v>170</v>
      </c>
      <c r="C421" s="4" t="s">
        <v>171</v>
      </c>
      <c r="D421" s="4" t="s">
        <v>18</v>
      </c>
      <c r="E421" s="4" t="s">
        <v>172</v>
      </c>
      <c r="F421" s="4" t="s">
        <v>507</v>
      </c>
      <c r="G421" s="45" t="s">
        <v>1001</v>
      </c>
      <c r="H421" s="46"/>
      <c r="I421" s="45" t="s">
        <v>12</v>
      </c>
      <c r="J421" s="46"/>
    </row>
    <row r="422" spans="1:18" ht="90" customHeight="1" x14ac:dyDescent="0.3">
      <c r="A422" s="15" t="s">
        <v>1096</v>
      </c>
      <c r="B422" s="15">
        <v>88857</v>
      </c>
      <c r="C422" s="15" t="str">
        <f>VLOOKUP(B422,S!$A:$G,2,FALSE)</f>
        <v>SINAPI</v>
      </c>
      <c r="D422" s="22" t="str">
        <f>VLOOKUP(B422,S!$A:$G,3,FALSE)</f>
        <v>RETROESCAVADEIRA SOBRE RODAS COM CARREGADEIRA, TRAÇÃO 4X4, POTÊNCIA LÍQ. 88 HP, CAÇAMBA CARREG. CAP. MÍN. 1 M3, CAÇAMBA RETRO CAP. 0,26 M3, PESO OPERACIONAL MÍN. 6.674 KG, PROFUNDIDADE ESCAVAÇÃO MÁX. 4,37 M - DEPRECIAÇÃO. AF_06/2014</v>
      </c>
      <c r="E422" s="15" t="str">
        <f>VLOOKUP(B422,S!$A:$G,4,FALSE)</f>
        <v>H</v>
      </c>
      <c r="F422" s="15"/>
      <c r="G422" s="78">
        <f>I424</f>
        <v>26.12</v>
      </c>
      <c r="H422" s="79"/>
      <c r="I422" s="78"/>
      <c r="J422" s="79"/>
      <c r="K422" s="16">
        <f>VLOOKUP(B422,S!A:G,5,FALSE)</f>
        <v>26.12</v>
      </c>
      <c r="L422" s="15" t="str">
        <f>IF(K422=G422,"OK, CONFORME TABELA",IF(G422&gt;K422,"ACIMA DA TABELA: ","ABAIXO DA TABELA: ")&amp;TRUNC((G422*100)/K422,2)&amp;" %")</f>
        <v>OK, CONFORME TABELA</v>
      </c>
    </row>
    <row r="423" spans="1:18" ht="90" customHeight="1" x14ac:dyDescent="0.3">
      <c r="A423" s="23" t="s">
        <v>1005</v>
      </c>
      <c r="B423" s="23">
        <v>36531</v>
      </c>
      <c r="C423" s="23" t="str">
        <f>VLOOKUP(B423,IF(A423="COMPOSICAO",S!$A:$E,I!$A:$E),2,FALSE)</f>
        <v>SINAPI</v>
      </c>
      <c r="D423" s="24" t="str">
        <f>VLOOKUP(B423,IF(A423="COMPOSICAO",S!$A:$E,I!$A:$E),3,FALSE)</f>
        <v>RETROESCAVADEIRA SOBRE RODAS COM CARREGADEIRA, TRACAO 4 X 4, POTENCIA LIQUIDA 88 HP, PESO OPERACIONAL MINIMO DE 6674 KG, CAPACIDADE DA CARREGADEIRA DE 1,00 M3 E DA RETROESCAVADEIRA MINIMA DE 0,26 M3, PROFUNDIDADE DE ESCAVACAO MAXIMA DE 4,37 M</v>
      </c>
      <c r="E423" s="23" t="str">
        <f>VLOOKUP(B423,IF(A423="COMPOSICAO",S!$A:$E,I!$A:$E),4,FALSE)</f>
        <v>UN</v>
      </c>
      <c r="F423" s="23">
        <v>5.5999999999999999E-5</v>
      </c>
      <c r="G423" s="76">
        <f>IF(A423="COMPOSICAO",VLOOKUP("TOTAL SEM BDI - "&amp;B423,CPUAUX3!$A:$J,9,FALSE),VLOOKUP(B423,I!$A:$E,5,FALSE))</f>
        <v>466463.38</v>
      </c>
      <c r="H423" s="77"/>
      <c r="I423" s="76">
        <f>TRUNC(F423*G423,2)</f>
        <v>26.12</v>
      </c>
      <c r="J423" s="77"/>
      <c r="M423" s="23">
        <f>B423</f>
        <v>36531</v>
      </c>
      <c r="N423" s="23">
        <f>SUMIF(CPUAUX1!M:M,B422,CPUAUX1!O:O)</f>
        <v>862.32965999999988</v>
      </c>
      <c r="O423" s="23">
        <f>F423*N423</f>
        <v>4.829046095999999E-2</v>
      </c>
      <c r="Q423" s="23">
        <f ca="1">SUMIF(CPUAUX1!M:M,B422,CPUAUX1!R:R)</f>
        <v>224.32848000000001</v>
      </c>
      <c r="R423" s="23">
        <f ca="1">F423*Q423</f>
        <v>1.2562394880000001E-2</v>
      </c>
    </row>
    <row r="424" spans="1:18" x14ac:dyDescent="0.3">
      <c r="A424" s="73" t="str">
        <f>"TOTAL SEM BDI - "&amp;B422</f>
        <v>TOTAL SEM BDI - 88857</v>
      </c>
      <c r="B424" s="74"/>
      <c r="C424" s="74"/>
      <c r="D424" s="74"/>
      <c r="E424" s="74"/>
      <c r="F424" s="74"/>
      <c r="G424" s="74"/>
      <c r="H424" s="75"/>
      <c r="I424" s="76">
        <f>SUM(I422:I423)</f>
        <v>26.12</v>
      </c>
      <c r="J424" s="77"/>
    </row>
    <row r="426" spans="1:18" x14ac:dyDescent="0.3">
      <c r="A426" s="4" t="s">
        <v>1000</v>
      </c>
      <c r="B426" s="4" t="s">
        <v>170</v>
      </c>
      <c r="C426" s="4" t="s">
        <v>171</v>
      </c>
      <c r="D426" s="4" t="s">
        <v>18</v>
      </c>
      <c r="E426" s="4" t="s">
        <v>172</v>
      </c>
      <c r="F426" s="4" t="s">
        <v>507</v>
      </c>
      <c r="G426" s="45" t="s">
        <v>1001</v>
      </c>
      <c r="H426" s="46"/>
      <c r="I426" s="45" t="s">
        <v>12</v>
      </c>
      <c r="J426" s="46"/>
    </row>
    <row r="427" spans="1:18" ht="90" customHeight="1" x14ac:dyDescent="0.3">
      <c r="A427" s="15" t="s">
        <v>1096</v>
      </c>
      <c r="B427" s="15">
        <v>53786</v>
      </c>
      <c r="C427" s="15" t="str">
        <f>VLOOKUP(B427,S!$A:$G,2,FALSE)</f>
        <v>SINAPI</v>
      </c>
      <c r="D427" s="22" t="str">
        <f>VLOOKUP(B427,S!$A:$G,3,FALSE)</f>
        <v>RETROESCAVADEIRA SOBRE RODAS COM CARREGADEIRA, TRAÇÃO 4X4, POTÊNCIA LÍQ. 88 HP, CAÇAMBA CARREG. CAP. MÍN. 1 M3, CAÇAMBA RETRO CAP. 0,26 M3, PESO OPERACIONAL MÍN. 6.674 KG, PROFUNDIDADE ESCAVAÇÃO MÁX. 4,37 M - MATERIAIS NA OPERAÇÃO. AF_06/2014</v>
      </c>
      <c r="E427" s="15" t="str">
        <f>VLOOKUP(B427,S!$A:$G,4,FALSE)</f>
        <v>H</v>
      </c>
      <c r="F427" s="15"/>
      <c r="G427" s="78">
        <f>I429</f>
        <v>50.15</v>
      </c>
      <c r="H427" s="79"/>
      <c r="I427" s="78"/>
      <c r="J427" s="79"/>
      <c r="K427" s="16">
        <f>VLOOKUP(B427,S!A:G,5,FALSE)</f>
        <v>50.15</v>
      </c>
      <c r="L427" s="15" t="str">
        <f>IF(K427=G427,"OK, CONFORME TABELA",IF(G427&gt;K427,"ACIMA DA TABELA: ","ABAIXO DA TABELA: ")&amp;TRUNC((G427*100)/K427,2)&amp;" %")</f>
        <v>OK, CONFORME TABELA</v>
      </c>
    </row>
    <row r="428" spans="1:18" ht="30" customHeight="1" x14ac:dyDescent="0.3">
      <c r="A428" s="23" t="s">
        <v>1005</v>
      </c>
      <c r="B428" s="23">
        <v>4221</v>
      </c>
      <c r="C428" s="23" t="str">
        <f>VLOOKUP(B428,IF(A428="COMPOSICAO",S!$A:$E,I!$A:$E),2,FALSE)</f>
        <v>SINAPI</v>
      </c>
      <c r="D428" s="24" t="str">
        <f>VLOOKUP(B428,IF(A428="COMPOSICAO",S!$A:$E,I!$A:$E),3,FALSE)</f>
        <v>OLEO DIESEL COMBUSTIVEL COMUM METROPOLITANO S-10 OU S-500</v>
      </c>
      <c r="E428" s="23" t="str">
        <f>VLOOKUP(B428,IF(A428="COMPOSICAO",S!$A:$E,I!$A:$E),4,FALSE)</f>
        <v>L</v>
      </c>
      <c r="F428" s="23">
        <v>8.5299999999999994</v>
      </c>
      <c r="G428" s="76">
        <f>IF(A428="COMPOSICAO",VLOOKUP("TOTAL SEM BDI - "&amp;B428,CPUAUX3!$A:$J,9,FALSE),VLOOKUP(B428,I!$A:$E,5,FALSE))</f>
        <v>5.88</v>
      </c>
      <c r="H428" s="77"/>
      <c r="I428" s="76">
        <f>TRUNC(F428*G428,2)</f>
        <v>50.15</v>
      </c>
      <c r="J428" s="77"/>
      <c r="M428" s="23">
        <f>B428</f>
        <v>4221</v>
      </c>
      <c r="N428" s="23">
        <f>SUMIF(CPUAUX1!M:M,B427,CPUAUX1!O:O)</f>
        <v>352.80103199999991</v>
      </c>
      <c r="O428" s="23">
        <f>F428*N428</f>
        <v>3009.3928029599988</v>
      </c>
      <c r="Q428" s="23">
        <f ca="1">SUMIF(CPUAUX1!M:M,B427,CPUAUX1!R:R)</f>
        <v>91.778496000000004</v>
      </c>
      <c r="R428" s="23">
        <f ca="1">F428*Q428</f>
        <v>782.87057087999995</v>
      </c>
    </row>
    <row r="429" spans="1:18" x14ac:dyDescent="0.3">
      <c r="A429" s="73" t="str">
        <f>"TOTAL SEM BDI - "&amp;B427</f>
        <v>TOTAL SEM BDI - 53786</v>
      </c>
      <c r="B429" s="74"/>
      <c r="C429" s="74"/>
      <c r="D429" s="74"/>
      <c r="E429" s="74"/>
      <c r="F429" s="74"/>
      <c r="G429" s="74"/>
      <c r="H429" s="75"/>
      <c r="I429" s="76">
        <f>SUM(I427:I428)</f>
        <v>50.15</v>
      </c>
      <c r="J429" s="77"/>
    </row>
    <row r="431" spans="1:18" x14ac:dyDescent="0.3">
      <c r="A431" s="4" t="s">
        <v>1000</v>
      </c>
      <c r="B431" s="4" t="s">
        <v>170</v>
      </c>
      <c r="C431" s="4" t="s">
        <v>171</v>
      </c>
      <c r="D431" s="4" t="s">
        <v>18</v>
      </c>
      <c r="E431" s="4" t="s">
        <v>172</v>
      </c>
      <c r="F431" s="4" t="s">
        <v>507</v>
      </c>
      <c r="G431" s="45" t="s">
        <v>1001</v>
      </c>
      <c r="H431" s="46"/>
      <c r="I431" s="45" t="s">
        <v>12</v>
      </c>
      <c r="J431" s="46"/>
    </row>
    <row r="432" spans="1:18" ht="90" customHeight="1" x14ac:dyDescent="0.3">
      <c r="A432" s="15" t="s">
        <v>1096</v>
      </c>
      <c r="B432" s="15">
        <v>5664</v>
      </c>
      <c r="C432" s="15" t="str">
        <f>VLOOKUP(B432,S!$A:$G,2,FALSE)</f>
        <v>SINAPI</v>
      </c>
      <c r="D432" s="22" t="str">
        <f>VLOOKUP(B432,S!$A:$G,3,FALSE)</f>
        <v>RETROESCAVADEIRA SOBRE RODAS COM CARREGADEIRA, TRAÇÃO 4X4, POTÊNCIA LÍQ. 88 HP, CAÇAMBA CARREG. CAP. MÍN. 1 M3, CAÇAMBA RETRO CAP. 0,26 M3, PESO OPERACIONAL MÍN. 6.674 KG, PROFUNDIDADE ESCAVAÇÃO MÁX. 4,37 M - MANUTENÇÃO. AF_06/2014</v>
      </c>
      <c r="E432" s="15" t="str">
        <f>VLOOKUP(B432,S!$A:$G,4,FALSE)</f>
        <v>H</v>
      </c>
      <c r="F432" s="15"/>
      <c r="G432" s="78">
        <f>I434</f>
        <v>32.65</v>
      </c>
      <c r="H432" s="79"/>
      <c r="I432" s="78"/>
      <c r="J432" s="79"/>
      <c r="K432" s="16">
        <f>VLOOKUP(B432,S!A:G,5,FALSE)</f>
        <v>32.65</v>
      </c>
      <c r="L432" s="15" t="str">
        <f>IF(K432=G432,"OK, CONFORME TABELA",IF(G432&gt;K432,"ACIMA DA TABELA: ","ABAIXO DA TABELA: ")&amp;TRUNC((G432*100)/K432,2)&amp;" %")</f>
        <v>OK, CONFORME TABELA</v>
      </c>
    </row>
    <row r="433" spans="1:18" ht="90" customHeight="1" x14ac:dyDescent="0.3">
      <c r="A433" s="23" t="s">
        <v>1005</v>
      </c>
      <c r="B433" s="23">
        <v>36531</v>
      </c>
      <c r="C433" s="23" t="str">
        <f>VLOOKUP(B433,IF(A433="COMPOSICAO",S!$A:$E,I!$A:$E),2,FALSE)</f>
        <v>SINAPI</v>
      </c>
      <c r="D433" s="24" t="str">
        <f>VLOOKUP(B433,IF(A433="COMPOSICAO",S!$A:$E,I!$A:$E),3,FALSE)</f>
        <v>RETROESCAVADEIRA SOBRE RODAS COM CARREGADEIRA, TRACAO 4 X 4, POTENCIA LIQUIDA 88 HP, PESO OPERACIONAL MINIMO DE 6674 KG, CAPACIDADE DA CARREGADEIRA DE 1,00 M3 E DA RETROESCAVADEIRA MINIMA DE 0,26 M3, PROFUNDIDADE DE ESCAVACAO MAXIMA DE 4,37 M</v>
      </c>
      <c r="E433" s="23" t="str">
        <f>VLOOKUP(B433,IF(A433="COMPOSICAO",S!$A:$E,I!$A:$E),4,FALSE)</f>
        <v>UN</v>
      </c>
      <c r="F433" s="23">
        <v>6.9999999999999994E-5</v>
      </c>
      <c r="G433" s="76">
        <f>IF(A433="COMPOSICAO",VLOOKUP("TOTAL SEM BDI - "&amp;B433,CPUAUX3!$A:$J,9,FALSE),VLOOKUP(B433,I!$A:$E,5,FALSE))</f>
        <v>466463.38</v>
      </c>
      <c r="H433" s="77"/>
      <c r="I433" s="76">
        <f>TRUNC(F433*G433,2)</f>
        <v>32.65</v>
      </c>
      <c r="J433" s="77"/>
      <c r="M433" s="23">
        <f>B433</f>
        <v>36531</v>
      </c>
      <c r="N433" s="23">
        <f>SUMIF(CPUAUX1!M:M,B432,CPUAUX1!O:O)</f>
        <v>352.80103199999991</v>
      </c>
      <c r="O433" s="23">
        <f>F433*N433</f>
        <v>2.4696072239999992E-2</v>
      </c>
      <c r="Q433" s="23">
        <f ca="1">SUMIF(CPUAUX1!M:M,B432,CPUAUX1!R:R)</f>
        <v>91.778496000000004</v>
      </c>
      <c r="R433" s="23">
        <f ca="1">F433*Q433</f>
        <v>6.4244947199999999E-3</v>
      </c>
    </row>
    <row r="434" spans="1:18" x14ac:dyDescent="0.3">
      <c r="A434" s="73" t="str">
        <f>"TOTAL SEM BDI - "&amp;B432</f>
        <v>TOTAL SEM BDI - 5664</v>
      </c>
      <c r="B434" s="74"/>
      <c r="C434" s="74"/>
      <c r="D434" s="74"/>
      <c r="E434" s="74"/>
      <c r="F434" s="74"/>
      <c r="G434" s="74"/>
      <c r="H434" s="75"/>
      <c r="I434" s="76">
        <f>SUM(I432:I433)</f>
        <v>32.65</v>
      </c>
      <c r="J434" s="77"/>
    </row>
  </sheetData>
  <mergeCells count="743">
    <mergeCell ref="N4:P4"/>
    <mergeCell ref="Q4:S4"/>
    <mergeCell ref="G6:H6"/>
    <mergeCell ref="I6:J6"/>
    <mergeCell ref="G7:H7"/>
    <mergeCell ref="I7:J7"/>
    <mergeCell ref="G8:H8"/>
    <mergeCell ref="I8:J8"/>
    <mergeCell ref="A9:H9"/>
    <mergeCell ref="I9:J9"/>
    <mergeCell ref="A1:J1"/>
    <mergeCell ref="A2:J2"/>
    <mergeCell ref="A3:J3"/>
    <mergeCell ref="A14:H14"/>
    <mergeCell ref="I14:J14"/>
    <mergeCell ref="G16:H16"/>
    <mergeCell ref="I16:J16"/>
    <mergeCell ref="G17:H17"/>
    <mergeCell ref="I17:J17"/>
    <mergeCell ref="G11:H11"/>
    <mergeCell ref="I11:J11"/>
    <mergeCell ref="G12:H12"/>
    <mergeCell ref="I12:J12"/>
    <mergeCell ref="G13:H13"/>
    <mergeCell ref="I13:J13"/>
    <mergeCell ref="G22:H22"/>
    <mergeCell ref="I22:J22"/>
    <mergeCell ref="G23:H23"/>
    <mergeCell ref="I23:J23"/>
    <mergeCell ref="A24:H24"/>
    <mergeCell ref="I24:J24"/>
    <mergeCell ref="G18:H18"/>
    <mergeCell ref="I18:J18"/>
    <mergeCell ref="A19:H19"/>
    <mergeCell ref="I19:J19"/>
    <mergeCell ref="G21:H21"/>
    <mergeCell ref="I21:J21"/>
    <mergeCell ref="A29:H29"/>
    <mergeCell ref="I29:J29"/>
    <mergeCell ref="G31:H31"/>
    <mergeCell ref="I31:J31"/>
    <mergeCell ref="G32:H32"/>
    <mergeCell ref="I32:J32"/>
    <mergeCell ref="G26:H26"/>
    <mergeCell ref="I26:J26"/>
    <mergeCell ref="G27:H27"/>
    <mergeCell ref="I27:J27"/>
    <mergeCell ref="G28:H28"/>
    <mergeCell ref="I28:J28"/>
    <mergeCell ref="G37:H37"/>
    <mergeCell ref="I37:J37"/>
    <mergeCell ref="G38:H38"/>
    <mergeCell ref="I38:J38"/>
    <mergeCell ref="A39:H39"/>
    <mergeCell ref="I39:J39"/>
    <mergeCell ref="G33:H33"/>
    <mergeCell ref="I33:J33"/>
    <mergeCell ref="A34:H34"/>
    <mergeCell ref="I34:J34"/>
    <mergeCell ref="G36:H36"/>
    <mergeCell ref="I36:J36"/>
    <mergeCell ref="A44:H44"/>
    <mergeCell ref="I44:J44"/>
    <mergeCell ref="G46:H46"/>
    <mergeCell ref="I46:J46"/>
    <mergeCell ref="G47:H47"/>
    <mergeCell ref="I47:J47"/>
    <mergeCell ref="G41:H41"/>
    <mergeCell ref="I41:J41"/>
    <mergeCell ref="G42:H42"/>
    <mergeCell ref="I42:J42"/>
    <mergeCell ref="G43:H43"/>
    <mergeCell ref="I43:J43"/>
    <mergeCell ref="G52:H52"/>
    <mergeCell ref="I52:J52"/>
    <mergeCell ref="G53:H53"/>
    <mergeCell ref="I53:J53"/>
    <mergeCell ref="G54:H54"/>
    <mergeCell ref="I54:J54"/>
    <mergeCell ref="G48:H48"/>
    <mergeCell ref="I48:J48"/>
    <mergeCell ref="G49:H49"/>
    <mergeCell ref="I49:J49"/>
    <mergeCell ref="A50:H50"/>
    <mergeCell ref="I50:J50"/>
    <mergeCell ref="A58:H58"/>
    <mergeCell ref="I58:J58"/>
    <mergeCell ref="G60:H60"/>
    <mergeCell ref="I60:J60"/>
    <mergeCell ref="G61:H61"/>
    <mergeCell ref="I61:J61"/>
    <mergeCell ref="G55:H55"/>
    <mergeCell ref="I55:J55"/>
    <mergeCell ref="G56:H56"/>
    <mergeCell ref="I56:J56"/>
    <mergeCell ref="G57:H57"/>
    <mergeCell ref="I57:J57"/>
    <mergeCell ref="G65:H65"/>
    <mergeCell ref="I65:J65"/>
    <mergeCell ref="G66:H66"/>
    <mergeCell ref="I66:J66"/>
    <mergeCell ref="G67:H67"/>
    <mergeCell ref="I67:J67"/>
    <mergeCell ref="G62:H62"/>
    <mergeCell ref="I62:J62"/>
    <mergeCell ref="G63:H63"/>
    <mergeCell ref="I63:J63"/>
    <mergeCell ref="G64:H64"/>
    <mergeCell ref="I64:J64"/>
    <mergeCell ref="G72:H72"/>
    <mergeCell ref="I72:J72"/>
    <mergeCell ref="G73:H73"/>
    <mergeCell ref="I73:J73"/>
    <mergeCell ref="G74:H74"/>
    <mergeCell ref="I74:J74"/>
    <mergeCell ref="G68:H68"/>
    <mergeCell ref="I68:J68"/>
    <mergeCell ref="G69:H69"/>
    <mergeCell ref="I69:J69"/>
    <mergeCell ref="A70:H70"/>
    <mergeCell ref="I70:J70"/>
    <mergeCell ref="G78:H78"/>
    <mergeCell ref="I78:J78"/>
    <mergeCell ref="G79:H79"/>
    <mergeCell ref="I79:J79"/>
    <mergeCell ref="G80:H80"/>
    <mergeCell ref="I80:J80"/>
    <mergeCell ref="G75:H75"/>
    <mergeCell ref="I75:J75"/>
    <mergeCell ref="G76:H76"/>
    <mergeCell ref="I76:J76"/>
    <mergeCell ref="G77:H77"/>
    <mergeCell ref="I77:J77"/>
    <mergeCell ref="G85:H85"/>
    <mergeCell ref="I85:J85"/>
    <mergeCell ref="G86:H86"/>
    <mergeCell ref="I86:J86"/>
    <mergeCell ref="G87:H87"/>
    <mergeCell ref="I87:J87"/>
    <mergeCell ref="G81:H81"/>
    <mergeCell ref="I81:J81"/>
    <mergeCell ref="A82:H82"/>
    <mergeCell ref="I82:J82"/>
    <mergeCell ref="G84:H84"/>
    <mergeCell ref="I84:J84"/>
    <mergeCell ref="G91:H91"/>
    <mergeCell ref="I91:J91"/>
    <mergeCell ref="G92:H92"/>
    <mergeCell ref="I92:J92"/>
    <mergeCell ref="G93:H93"/>
    <mergeCell ref="I93:J93"/>
    <mergeCell ref="G88:H88"/>
    <mergeCell ref="I88:J88"/>
    <mergeCell ref="G89:H89"/>
    <mergeCell ref="I89:J89"/>
    <mergeCell ref="G90:H90"/>
    <mergeCell ref="I90:J90"/>
    <mergeCell ref="G98:H98"/>
    <mergeCell ref="I98:J98"/>
    <mergeCell ref="G99:H99"/>
    <mergeCell ref="I99:J99"/>
    <mergeCell ref="G100:H100"/>
    <mergeCell ref="I100:J100"/>
    <mergeCell ref="A94:H94"/>
    <mergeCell ref="I94:J94"/>
    <mergeCell ref="G96:H96"/>
    <mergeCell ref="I96:J96"/>
    <mergeCell ref="G97:H97"/>
    <mergeCell ref="I97:J97"/>
    <mergeCell ref="G104:H104"/>
    <mergeCell ref="I104:J104"/>
    <mergeCell ref="G105:H105"/>
    <mergeCell ref="I105:J105"/>
    <mergeCell ref="A106:H106"/>
    <mergeCell ref="I106:J106"/>
    <mergeCell ref="G101:H101"/>
    <mergeCell ref="I101:J101"/>
    <mergeCell ref="G102:H102"/>
    <mergeCell ref="I102:J102"/>
    <mergeCell ref="G103:H103"/>
    <mergeCell ref="I103:J103"/>
    <mergeCell ref="A111:H111"/>
    <mergeCell ref="I111:J111"/>
    <mergeCell ref="G113:H113"/>
    <mergeCell ref="I113:J113"/>
    <mergeCell ref="G114:H114"/>
    <mergeCell ref="I114:J114"/>
    <mergeCell ref="G108:H108"/>
    <mergeCell ref="I108:J108"/>
    <mergeCell ref="G109:H109"/>
    <mergeCell ref="I109:J109"/>
    <mergeCell ref="G110:H110"/>
    <mergeCell ref="I110:J110"/>
    <mergeCell ref="G119:H119"/>
    <mergeCell ref="I119:J119"/>
    <mergeCell ref="G120:H120"/>
    <mergeCell ref="I120:J120"/>
    <mergeCell ref="A121:H121"/>
    <mergeCell ref="I121:J121"/>
    <mergeCell ref="G115:H115"/>
    <mergeCell ref="I115:J115"/>
    <mergeCell ref="A116:H116"/>
    <mergeCell ref="I116:J116"/>
    <mergeCell ref="G118:H118"/>
    <mergeCell ref="I118:J118"/>
    <mergeCell ref="A126:H126"/>
    <mergeCell ref="I126:J126"/>
    <mergeCell ref="G128:H128"/>
    <mergeCell ref="I128:J128"/>
    <mergeCell ref="G129:H129"/>
    <mergeCell ref="I129:J129"/>
    <mergeCell ref="G123:H123"/>
    <mergeCell ref="I123:J123"/>
    <mergeCell ref="G124:H124"/>
    <mergeCell ref="I124:J124"/>
    <mergeCell ref="G125:H125"/>
    <mergeCell ref="I125:J125"/>
    <mergeCell ref="G134:H134"/>
    <mergeCell ref="I134:J134"/>
    <mergeCell ref="G135:H135"/>
    <mergeCell ref="I135:J135"/>
    <mergeCell ref="A136:H136"/>
    <mergeCell ref="I136:J136"/>
    <mergeCell ref="G130:H130"/>
    <mergeCell ref="I130:J130"/>
    <mergeCell ref="A131:H131"/>
    <mergeCell ref="I131:J131"/>
    <mergeCell ref="G133:H133"/>
    <mergeCell ref="I133:J133"/>
    <mergeCell ref="A141:H141"/>
    <mergeCell ref="I141:J141"/>
    <mergeCell ref="G143:H143"/>
    <mergeCell ref="I143:J143"/>
    <mergeCell ref="G144:H144"/>
    <mergeCell ref="I144:J144"/>
    <mergeCell ref="G138:H138"/>
    <mergeCell ref="I138:J138"/>
    <mergeCell ref="G139:H139"/>
    <mergeCell ref="I139:J139"/>
    <mergeCell ref="G140:H140"/>
    <mergeCell ref="I140:J140"/>
    <mergeCell ref="G149:H149"/>
    <mergeCell ref="I149:J149"/>
    <mergeCell ref="G150:H150"/>
    <mergeCell ref="I150:J150"/>
    <mergeCell ref="G151:H151"/>
    <mergeCell ref="I151:J151"/>
    <mergeCell ref="G145:H145"/>
    <mergeCell ref="I145:J145"/>
    <mergeCell ref="A146:H146"/>
    <mergeCell ref="I146:J146"/>
    <mergeCell ref="G148:H148"/>
    <mergeCell ref="I148:J148"/>
    <mergeCell ref="G155:H155"/>
    <mergeCell ref="I155:J155"/>
    <mergeCell ref="G156:H156"/>
    <mergeCell ref="I156:J156"/>
    <mergeCell ref="G157:H157"/>
    <mergeCell ref="I157:J157"/>
    <mergeCell ref="G152:H152"/>
    <mergeCell ref="I152:J152"/>
    <mergeCell ref="G153:H153"/>
    <mergeCell ref="I153:J153"/>
    <mergeCell ref="G154:H154"/>
    <mergeCell ref="I154:J154"/>
    <mergeCell ref="G162:H162"/>
    <mergeCell ref="I162:J162"/>
    <mergeCell ref="A163:H163"/>
    <mergeCell ref="I163:J163"/>
    <mergeCell ref="G165:H165"/>
    <mergeCell ref="I165:J165"/>
    <mergeCell ref="A158:H158"/>
    <mergeCell ref="I158:J158"/>
    <mergeCell ref="G160:H160"/>
    <mergeCell ref="I160:J160"/>
    <mergeCell ref="G161:H161"/>
    <mergeCell ref="I161:J161"/>
    <mergeCell ref="G170:H170"/>
    <mergeCell ref="I170:J170"/>
    <mergeCell ref="G171:H171"/>
    <mergeCell ref="I171:J171"/>
    <mergeCell ref="G172:H172"/>
    <mergeCell ref="I172:J172"/>
    <mergeCell ref="G166:H166"/>
    <mergeCell ref="I166:J166"/>
    <mergeCell ref="G167:H167"/>
    <mergeCell ref="I167:J167"/>
    <mergeCell ref="A168:H168"/>
    <mergeCell ref="I168:J168"/>
    <mergeCell ref="G177:H177"/>
    <mergeCell ref="I177:J177"/>
    <mergeCell ref="A178:H178"/>
    <mergeCell ref="I178:J178"/>
    <mergeCell ref="G180:H180"/>
    <mergeCell ref="I180:J180"/>
    <mergeCell ref="A173:H173"/>
    <mergeCell ref="I173:J173"/>
    <mergeCell ref="G175:H175"/>
    <mergeCell ref="I175:J175"/>
    <mergeCell ref="G176:H176"/>
    <mergeCell ref="I176:J176"/>
    <mergeCell ref="A184:H184"/>
    <mergeCell ref="I184:J184"/>
    <mergeCell ref="G186:H186"/>
    <mergeCell ref="I186:J186"/>
    <mergeCell ref="G187:H187"/>
    <mergeCell ref="I187:J187"/>
    <mergeCell ref="G181:H181"/>
    <mergeCell ref="I181:J181"/>
    <mergeCell ref="G182:H182"/>
    <mergeCell ref="I182:J182"/>
    <mergeCell ref="G183:H183"/>
    <mergeCell ref="I183:J183"/>
    <mergeCell ref="G191:H191"/>
    <mergeCell ref="I191:J191"/>
    <mergeCell ref="A192:H192"/>
    <mergeCell ref="I192:J192"/>
    <mergeCell ref="G194:H194"/>
    <mergeCell ref="I194:J194"/>
    <mergeCell ref="G188:H188"/>
    <mergeCell ref="I188:J188"/>
    <mergeCell ref="G189:H189"/>
    <mergeCell ref="I189:J189"/>
    <mergeCell ref="G190:H190"/>
    <mergeCell ref="I190:J190"/>
    <mergeCell ref="G198:H198"/>
    <mergeCell ref="I198:J198"/>
    <mergeCell ref="A199:H199"/>
    <mergeCell ref="I199:J199"/>
    <mergeCell ref="G201:H201"/>
    <mergeCell ref="I201:J201"/>
    <mergeCell ref="G195:H195"/>
    <mergeCell ref="I195:J195"/>
    <mergeCell ref="G196:H196"/>
    <mergeCell ref="I196:J196"/>
    <mergeCell ref="G197:H197"/>
    <mergeCell ref="I197:J197"/>
    <mergeCell ref="G205:H205"/>
    <mergeCell ref="I205:J205"/>
    <mergeCell ref="G206:H206"/>
    <mergeCell ref="I206:J206"/>
    <mergeCell ref="G207:H207"/>
    <mergeCell ref="I207:J207"/>
    <mergeCell ref="G202:H202"/>
    <mergeCell ref="I202:J202"/>
    <mergeCell ref="G203:H203"/>
    <mergeCell ref="I203:J203"/>
    <mergeCell ref="G204:H204"/>
    <mergeCell ref="I204:J204"/>
    <mergeCell ref="G212:H212"/>
    <mergeCell ref="I212:J212"/>
    <mergeCell ref="G213:H213"/>
    <mergeCell ref="I213:J213"/>
    <mergeCell ref="G214:H214"/>
    <mergeCell ref="I214:J214"/>
    <mergeCell ref="A208:H208"/>
    <mergeCell ref="I208:J208"/>
    <mergeCell ref="G210:H210"/>
    <mergeCell ref="I210:J210"/>
    <mergeCell ref="G211:H211"/>
    <mergeCell ref="I211:J211"/>
    <mergeCell ref="G218:H218"/>
    <mergeCell ref="I218:J218"/>
    <mergeCell ref="G219:H219"/>
    <mergeCell ref="I219:J219"/>
    <mergeCell ref="A220:H220"/>
    <mergeCell ref="I220:J220"/>
    <mergeCell ref="G215:H215"/>
    <mergeCell ref="I215:J215"/>
    <mergeCell ref="G216:H216"/>
    <mergeCell ref="I216:J216"/>
    <mergeCell ref="G217:H217"/>
    <mergeCell ref="I217:J217"/>
    <mergeCell ref="G225:H225"/>
    <mergeCell ref="I225:J225"/>
    <mergeCell ref="G226:H226"/>
    <mergeCell ref="I226:J226"/>
    <mergeCell ref="G227:H227"/>
    <mergeCell ref="I227:J227"/>
    <mergeCell ref="G222:H222"/>
    <mergeCell ref="I222:J222"/>
    <mergeCell ref="G223:H223"/>
    <mergeCell ref="I223:J223"/>
    <mergeCell ref="G224:H224"/>
    <mergeCell ref="I224:J224"/>
    <mergeCell ref="G231:H231"/>
    <mergeCell ref="I231:J231"/>
    <mergeCell ref="A232:H232"/>
    <mergeCell ref="I232:J232"/>
    <mergeCell ref="G234:H234"/>
    <mergeCell ref="I234:J234"/>
    <mergeCell ref="G228:H228"/>
    <mergeCell ref="I228:J228"/>
    <mergeCell ref="G229:H229"/>
    <mergeCell ref="I229:J229"/>
    <mergeCell ref="G230:H230"/>
    <mergeCell ref="I230:J230"/>
    <mergeCell ref="A238:H238"/>
    <mergeCell ref="I238:J238"/>
    <mergeCell ref="G240:H240"/>
    <mergeCell ref="I240:J240"/>
    <mergeCell ref="G241:H241"/>
    <mergeCell ref="I241:J241"/>
    <mergeCell ref="G235:H235"/>
    <mergeCell ref="I235:J235"/>
    <mergeCell ref="G236:H236"/>
    <mergeCell ref="I236:J236"/>
    <mergeCell ref="G237:H237"/>
    <mergeCell ref="I237:J237"/>
    <mergeCell ref="G245:H245"/>
    <mergeCell ref="I245:J245"/>
    <mergeCell ref="A246:H246"/>
    <mergeCell ref="I246:J246"/>
    <mergeCell ref="G248:H248"/>
    <mergeCell ref="I248:J248"/>
    <mergeCell ref="G242:H242"/>
    <mergeCell ref="I242:J242"/>
    <mergeCell ref="G243:H243"/>
    <mergeCell ref="I243:J243"/>
    <mergeCell ref="G244:H244"/>
    <mergeCell ref="I244:J244"/>
    <mergeCell ref="G252:H252"/>
    <mergeCell ref="I252:J252"/>
    <mergeCell ref="G253:H253"/>
    <mergeCell ref="I253:J253"/>
    <mergeCell ref="G254:H254"/>
    <mergeCell ref="I254:J254"/>
    <mergeCell ref="G249:H249"/>
    <mergeCell ref="I249:J249"/>
    <mergeCell ref="G250:H250"/>
    <mergeCell ref="I250:J250"/>
    <mergeCell ref="G251:H251"/>
    <mergeCell ref="I251:J251"/>
    <mergeCell ref="A258:H258"/>
    <mergeCell ref="I258:J258"/>
    <mergeCell ref="G260:H260"/>
    <mergeCell ref="I260:J260"/>
    <mergeCell ref="G261:H261"/>
    <mergeCell ref="I261:J261"/>
    <mergeCell ref="G255:H255"/>
    <mergeCell ref="I255:J255"/>
    <mergeCell ref="G256:H256"/>
    <mergeCell ref="I256:J256"/>
    <mergeCell ref="G257:H257"/>
    <mergeCell ref="I257:J257"/>
    <mergeCell ref="G265:H265"/>
    <mergeCell ref="I265:J265"/>
    <mergeCell ref="G266:H266"/>
    <mergeCell ref="I266:J266"/>
    <mergeCell ref="G267:H267"/>
    <mergeCell ref="I267:J267"/>
    <mergeCell ref="G262:H262"/>
    <mergeCell ref="I262:J262"/>
    <mergeCell ref="G263:H263"/>
    <mergeCell ref="I263:J263"/>
    <mergeCell ref="G264:H264"/>
    <mergeCell ref="I264:J264"/>
    <mergeCell ref="G272:H272"/>
    <mergeCell ref="I272:J272"/>
    <mergeCell ref="G273:H273"/>
    <mergeCell ref="I273:J273"/>
    <mergeCell ref="G274:H274"/>
    <mergeCell ref="I274:J274"/>
    <mergeCell ref="G268:H268"/>
    <mergeCell ref="I268:J268"/>
    <mergeCell ref="G269:H269"/>
    <mergeCell ref="I269:J269"/>
    <mergeCell ref="A270:H270"/>
    <mergeCell ref="I270:J270"/>
    <mergeCell ref="G278:H278"/>
    <mergeCell ref="I278:J278"/>
    <mergeCell ref="G279:H279"/>
    <mergeCell ref="I279:J279"/>
    <mergeCell ref="G280:H280"/>
    <mergeCell ref="I280:J280"/>
    <mergeCell ref="G275:H275"/>
    <mergeCell ref="I275:J275"/>
    <mergeCell ref="G276:H276"/>
    <mergeCell ref="I276:J276"/>
    <mergeCell ref="G277:H277"/>
    <mergeCell ref="I277:J277"/>
    <mergeCell ref="G285:H285"/>
    <mergeCell ref="I285:J285"/>
    <mergeCell ref="G286:H286"/>
    <mergeCell ref="I286:J286"/>
    <mergeCell ref="G287:H287"/>
    <mergeCell ref="I287:J287"/>
    <mergeCell ref="A281:H281"/>
    <mergeCell ref="I281:J281"/>
    <mergeCell ref="G283:H283"/>
    <mergeCell ref="I283:J283"/>
    <mergeCell ref="G284:H284"/>
    <mergeCell ref="I284:J284"/>
    <mergeCell ref="G291:H291"/>
    <mergeCell ref="I291:J291"/>
    <mergeCell ref="G292:H292"/>
    <mergeCell ref="I292:J292"/>
    <mergeCell ref="A293:H293"/>
    <mergeCell ref="I293:J293"/>
    <mergeCell ref="G288:H288"/>
    <mergeCell ref="I288:J288"/>
    <mergeCell ref="G289:H289"/>
    <mergeCell ref="I289:J289"/>
    <mergeCell ref="G290:H290"/>
    <mergeCell ref="I290:J290"/>
    <mergeCell ref="G298:H298"/>
    <mergeCell ref="I298:J298"/>
    <mergeCell ref="G299:H299"/>
    <mergeCell ref="I299:J299"/>
    <mergeCell ref="A300:H300"/>
    <mergeCell ref="I300:J300"/>
    <mergeCell ref="G295:H295"/>
    <mergeCell ref="I295:J295"/>
    <mergeCell ref="G296:H296"/>
    <mergeCell ref="I296:J296"/>
    <mergeCell ref="G297:H297"/>
    <mergeCell ref="I297:J297"/>
    <mergeCell ref="G305:H305"/>
    <mergeCell ref="I305:J305"/>
    <mergeCell ref="G306:H306"/>
    <mergeCell ref="I306:J306"/>
    <mergeCell ref="A307:H307"/>
    <mergeCell ref="I307:J307"/>
    <mergeCell ref="G302:H302"/>
    <mergeCell ref="I302:J302"/>
    <mergeCell ref="G303:H303"/>
    <mergeCell ref="I303:J303"/>
    <mergeCell ref="G304:H304"/>
    <mergeCell ref="I304:J304"/>
    <mergeCell ref="G312:H312"/>
    <mergeCell ref="I312:J312"/>
    <mergeCell ref="G313:H313"/>
    <mergeCell ref="I313:J313"/>
    <mergeCell ref="A314:H314"/>
    <mergeCell ref="I314:J314"/>
    <mergeCell ref="G309:H309"/>
    <mergeCell ref="I309:J309"/>
    <mergeCell ref="G310:H310"/>
    <mergeCell ref="I310:J310"/>
    <mergeCell ref="G311:H311"/>
    <mergeCell ref="I311:J311"/>
    <mergeCell ref="G319:H319"/>
    <mergeCell ref="I319:J319"/>
    <mergeCell ref="G320:H320"/>
    <mergeCell ref="I320:J320"/>
    <mergeCell ref="A321:H321"/>
    <mergeCell ref="I321:J321"/>
    <mergeCell ref="G316:H316"/>
    <mergeCell ref="I316:J316"/>
    <mergeCell ref="G317:H317"/>
    <mergeCell ref="I317:J317"/>
    <mergeCell ref="G318:H318"/>
    <mergeCell ref="I318:J318"/>
    <mergeCell ref="G326:H326"/>
    <mergeCell ref="I326:J326"/>
    <mergeCell ref="G327:H327"/>
    <mergeCell ref="I327:J327"/>
    <mergeCell ref="A328:H328"/>
    <mergeCell ref="I328:J328"/>
    <mergeCell ref="G323:H323"/>
    <mergeCell ref="I323:J323"/>
    <mergeCell ref="G324:H324"/>
    <mergeCell ref="I324:J324"/>
    <mergeCell ref="G325:H325"/>
    <mergeCell ref="I325:J325"/>
    <mergeCell ref="G333:H333"/>
    <mergeCell ref="I333:J333"/>
    <mergeCell ref="A334:H334"/>
    <mergeCell ref="I334:J334"/>
    <mergeCell ref="G336:H336"/>
    <mergeCell ref="I336:J336"/>
    <mergeCell ref="G330:H330"/>
    <mergeCell ref="I330:J330"/>
    <mergeCell ref="G331:H331"/>
    <mergeCell ref="I331:J331"/>
    <mergeCell ref="G332:H332"/>
    <mergeCell ref="I332:J332"/>
    <mergeCell ref="A340:H340"/>
    <mergeCell ref="I340:J340"/>
    <mergeCell ref="G342:H342"/>
    <mergeCell ref="I342:J342"/>
    <mergeCell ref="G343:H343"/>
    <mergeCell ref="I343:J343"/>
    <mergeCell ref="G337:H337"/>
    <mergeCell ref="I337:J337"/>
    <mergeCell ref="G338:H338"/>
    <mergeCell ref="I338:J338"/>
    <mergeCell ref="G339:H339"/>
    <mergeCell ref="I339:J339"/>
    <mergeCell ref="G348:H348"/>
    <mergeCell ref="I348:J348"/>
    <mergeCell ref="G349:H349"/>
    <mergeCell ref="I349:J349"/>
    <mergeCell ref="A350:H350"/>
    <mergeCell ref="I350:J350"/>
    <mergeCell ref="G344:H344"/>
    <mergeCell ref="I344:J344"/>
    <mergeCell ref="A345:H345"/>
    <mergeCell ref="I345:J345"/>
    <mergeCell ref="G347:H347"/>
    <mergeCell ref="I347:J347"/>
    <mergeCell ref="A355:H355"/>
    <mergeCell ref="I355:J355"/>
    <mergeCell ref="G357:H357"/>
    <mergeCell ref="I357:J357"/>
    <mergeCell ref="G358:H358"/>
    <mergeCell ref="I358:J358"/>
    <mergeCell ref="G352:H352"/>
    <mergeCell ref="I352:J352"/>
    <mergeCell ref="G353:H353"/>
    <mergeCell ref="I353:J353"/>
    <mergeCell ref="G354:H354"/>
    <mergeCell ref="I354:J354"/>
    <mergeCell ref="G362:H362"/>
    <mergeCell ref="I362:J362"/>
    <mergeCell ref="G363:H363"/>
    <mergeCell ref="I363:J363"/>
    <mergeCell ref="G364:H364"/>
    <mergeCell ref="I364:J364"/>
    <mergeCell ref="G359:H359"/>
    <mergeCell ref="I359:J359"/>
    <mergeCell ref="G360:H360"/>
    <mergeCell ref="I360:J360"/>
    <mergeCell ref="G361:H361"/>
    <mergeCell ref="I361:J361"/>
    <mergeCell ref="G369:H369"/>
    <mergeCell ref="I369:J369"/>
    <mergeCell ref="A370:H370"/>
    <mergeCell ref="I370:J370"/>
    <mergeCell ref="G372:H372"/>
    <mergeCell ref="I372:J372"/>
    <mergeCell ref="A365:H365"/>
    <mergeCell ref="I365:J365"/>
    <mergeCell ref="G367:H367"/>
    <mergeCell ref="I367:J367"/>
    <mergeCell ref="G368:H368"/>
    <mergeCell ref="I368:J368"/>
    <mergeCell ref="G376:H376"/>
    <mergeCell ref="I376:J376"/>
    <mergeCell ref="G377:H377"/>
    <mergeCell ref="I377:J377"/>
    <mergeCell ref="G378:H378"/>
    <mergeCell ref="I378:J378"/>
    <mergeCell ref="G373:H373"/>
    <mergeCell ref="I373:J373"/>
    <mergeCell ref="G374:H374"/>
    <mergeCell ref="I374:J374"/>
    <mergeCell ref="G375:H375"/>
    <mergeCell ref="I375:J375"/>
    <mergeCell ref="A382:H382"/>
    <mergeCell ref="I382:J382"/>
    <mergeCell ref="G384:H384"/>
    <mergeCell ref="I384:J384"/>
    <mergeCell ref="G385:H385"/>
    <mergeCell ref="I385:J385"/>
    <mergeCell ref="G379:H379"/>
    <mergeCell ref="I379:J379"/>
    <mergeCell ref="G380:H380"/>
    <mergeCell ref="I380:J380"/>
    <mergeCell ref="G381:H381"/>
    <mergeCell ref="I381:J381"/>
    <mergeCell ref="G389:H389"/>
    <mergeCell ref="I389:J389"/>
    <mergeCell ref="G390:H390"/>
    <mergeCell ref="I390:J390"/>
    <mergeCell ref="G391:H391"/>
    <mergeCell ref="I391:J391"/>
    <mergeCell ref="G386:H386"/>
    <mergeCell ref="I386:J386"/>
    <mergeCell ref="G387:H387"/>
    <mergeCell ref="I387:J387"/>
    <mergeCell ref="G388:H388"/>
    <mergeCell ref="I388:J388"/>
    <mergeCell ref="G396:H396"/>
    <mergeCell ref="I396:J396"/>
    <mergeCell ref="G397:H397"/>
    <mergeCell ref="I397:J397"/>
    <mergeCell ref="G398:H398"/>
    <mergeCell ref="I398:J398"/>
    <mergeCell ref="G392:H392"/>
    <mergeCell ref="I392:J392"/>
    <mergeCell ref="G393:H393"/>
    <mergeCell ref="I393:J393"/>
    <mergeCell ref="A394:H394"/>
    <mergeCell ref="I394:J394"/>
    <mergeCell ref="G403:H403"/>
    <mergeCell ref="I403:J403"/>
    <mergeCell ref="A404:H404"/>
    <mergeCell ref="I404:J404"/>
    <mergeCell ref="G406:H406"/>
    <mergeCell ref="I406:J406"/>
    <mergeCell ref="A399:H399"/>
    <mergeCell ref="I399:J399"/>
    <mergeCell ref="G401:H401"/>
    <mergeCell ref="I401:J401"/>
    <mergeCell ref="G402:H402"/>
    <mergeCell ref="I402:J402"/>
    <mergeCell ref="G411:H411"/>
    <mergeCell ref="I411:J411"/>
    <mergeCell ref="G412:H412"/>
    <mergeCell ref="I412:J412"/>
    <mergeCell ref="G413:H413"/>
    <mergeCell ref="I413:J413"/>
    <mergeCell ref="G407:H407"/>
    <mergeCell ref="I407:J407"/>
    <mergeCell ref="G408:H408"/>
    <mergeCell ref="I408:J408"/>
    <mergeCell ref="A409:H409"/>
    <mergeCell ref="I409:J409"/>
    <mergeCell ref="G418:H418"/>
    <mergeCell ref="I418:J418"/>
    <mergeCell ref="A419:H419"/>
    <mergeCell ref="I419:J419"/>
    <mergeCell ref="G421:H421"/>
    <mergeCell ref="I421:J421"/>
    <mergeCell ref="A414:H414"/>
    <mergeCell ref="I414:J414"/>
    <mergeCell ref="G416:H416"/>
    <mergeCell ref="I416:J416"/>
    <mergeCell ref="G417:H417"/>
    <mergeCell ref="I417:J417"/>
    <mergeCell ref="G426:H426"/>
    <mergeCell ref="I426:J426"/>
    <mergeCell ref="G427:H427"/>
    <mergeCell ref="I427:J427"/>
    <mergeCell ref="G428:H428"/>
    <mergeCell ref="I428:J428"/>
    <mergeCell ref="G422:H422"/>
    <mergeCell ref="I422:J422"/>
    <mergeCell ref="G423:H423"/>
    <mergeCell ref="I423:J423"/>
    <mergeCell ref="A424:H424"/>
    <mergeCell ref="I424:J424"/>
    <mergeCell ref="G433:H433"/>
    <mergeCell ref="I433:J433"/>
    <mergeCell ref="A434:H434"/>
    <mergeCell ref="I434:J434"/>
    <mergeCell ref="A429:H429"/>
    <mergeCell ref="I429:J429"/>
    <mergeCell ref="G431:H431"/>
    <mergeCell ref="I431:J431"/>
    <mergeCell ref="G432:H432"/>
    <mergeCell ref="I432:J432"/>
  </mergeCells>
  <pageMargins left="0.78740157480314965" right="0.39370078740157483" top="1.1811023622047245" bottom="0.78740157480314965" header="0.31496062992125984" footer="0.31496062992125984"/>
  <pageSetup paperSize="9" scale="44" fitToHeight="0" orientation="portrait" r:id="rId1"/>
  <headerFooter>
    <oddHeader>&amp;C&amp;G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20</vt:i4>
      </vt:variant>
      <vt:variant>
        <vt:lpstr>Intervalos Nomeados</vt:lpstr>
      </vt:variant>
      <vt:variant>
        <vt:i4>48</vt:i4>
      </vt:variant>
    </vt:vector>
  </HeadingPairs>
  <TitlesOfParts>
    <vt:vector size="68" baseType="lpstr">
      <vt:lpstr>DADOS</vt:lpstr>
      <vt:lpstr>RESUMO</vt:lpstr>
      <vt:lpstr>ORCAMENTO</vt:lpstr>
      <vt:lpstr>CO</vt:lpstr>
      <vt:lpstr>CFF</vt:lpstr>
      <vt:lpstr>MEMORIA</vt:lpstr>
      <vt:lpstr>CPU</vt:lpstr>
      <vt:lpstr>CPUAUX1</vt:lpstr>
      <vt:lpstr>CPUAUX2</vt:lpstr>
      <vt:lpstr>CPUAUX3</vt:lpstr>
      <vt:lpstr>CPUAUX4</vt:lpstr>
      <vt:lpstr>CPUAUX5</vt:lpstr>
      <vt:lpstr>BDI</vt:lpstr>
      <vt:lpstr>LSINAPI</vt:lpstr>
      <vt:lpstr>ABC_S</vt:lpstr>
      <vt:lpstr>ABC_I</vt:lpstr>
      <vt:lpstr>COMPRAS</vt:lpstr>
      <vt:lpstr>CONTRATOS</vt:lpstr>
      <vt:lpstr>S</vt:lpstr>
      <vt:lpstr>I</vt:lpstr>
      <vt:lpstr>ABC_I!Area_de_impressao</vt:lpstr>
      <vt:lpstr>ABC_S!Area_de_impressao</vt:lpstr>
      <vt:lpstr>BDI!Area_de_impressao</vt:lpstr>
      <vt:lpstr>CFF!Area_de_impressao</vt:lpstr>
      <vt:lpstr>CO!Area_de_impressao</vt:lpstr>
      <vt:lpstr>COMPRAS!Area_de_impressao</vt:lpstr>
      <vt:lpstr>CONTRATOS!Area_de_impressao</vt:lpstr>
      <vt:lpstr>CPU!Area_de_impressao</vt:lpstr>
      <vt:lpstr>CPUAUX1!Area_de_impressao</vt:lpstr>
      <vt:lpstr>CPUAUX2!Area_de_impressao</vt:lpstr>
      <vt:lpstr>CPUAUX3!Area_de_impressao</vt:lpstr>
      <vt:lpstr>CPUAUX4!Area_de_impressao</vt:lpstr>
      <vt:lpstr>CPUAUX5!Area_de_impressao</vt:lpstr>
      <vt:lpstr>DADOS!Area_de_impressao</vt:lpstr>
      <vt:lpstr>I!Area_de_impressao</vt:lpstr>
      <vt:lpstr>LSINAPI!Area_de_impressao</vt:lpstr>
      <vt:lpstr>MEMORIA!Area_de_impressao</vt:lpstr>
      <vt:lpstr>ORCAMENTO!Area_de_impressao</vt:lpstr>
      <vt:lpstr>RESUMO!Area_de_impressao</vt:lpstr>
      <vt:lpstr>S!Area_de_impressao</vt:lpstr>
      <vt:lpstr>BDI</vt:lpstr>
      <vt:lpstr>CIDADE</vt:lpstr>
      <vt:lpstr>ETAPA</vt:lpstr>
      <vt:lpstr>FOLHA</vt:lpstr>
      <vt:lpstr>FONTE</vt:lpstr>
      <vt:lpstr>icf</vt:lpstr>
      <vt:lpstr>LEI</vt:lpstr>
      <vt:lpstr>OBRA</vt:lpstr>
      <vt:lpstr>pcf</vt:lpstr>
      <vt:lpstr>ABC_I!Titulos_de_impressao</vt:lpstr>
      <vt:lpstr>ABC_S!Titulos_de_impressao</vt:lpstr>
      <vt:lpstr>BDI!Titulos_de_impressao</vt:lpstr>
      <vt:lpstr>CFF!Titulos_de_impressao</vt:lpstr>
      <vt:lpstr>CO!Titulos_de_impressao</vt:lpstr>
      <vt:lpstr>COMPRAS!Titulos_de_impressao</vt:lpstr>
      <vt:lpstr>CONTRATOS!Titulos_de_impressao</vt:lpstr>
      <vt:lpstr>CPU!Titulos_de_impressao</vt:lpstr>
      <vt:lpstr>CPUAUX1!Titulos_de_impressao</vt:lpstr>
      <vt:lpstr>CPUAUX2!Titulos_de_impressao</vt:lpstr>
      <vt:lpstr>CPUAUX3!Titulos_de_impressao</vt:lpstr>
      <vt:lpstr>CPUAUX4!Titulos_de_impressao</vt:lpstr>
      <vt:lpstr>CPUAUX5!Titulos_de_impressao</vt:lpstr>
      <vt:lpstr>I!Titulos_de_impressao</vt:lpstr>
      <vt:lpstr>LSINAPI!Titulos_de_impressao</vt:lpstr>
      <vt:lpstr>MEMORIA!Titulos_de_impressao</vt:lpstr>
      <vt:lpstr>ORCAMENTO!Titulos_de_impressao</vt:lpstr>
      <vt:lpstr>RESUMO!Titulos_de_impressao</vt:lpstr>
      <vt:lpstr>S!Titulos_de_impressao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Planilha Orçamentária</dc:title>
  <dc:creator>joaquimhgn</dc:creator>
  <dc:description>Gerada em www.planodaobra.com</dc:description>
  <cp:lastModifiedBy>Joaquim Henrique</cp:lastModifiedBy>
  <cp:lastPrinted>2025-08-31T21:43:22Z</cp:lastPrinted>
  <dcterms:created xsi:type="dcterms:W3CDTF">2025-08-18T00:40:19Z</dcterms:created>
  <dcterms:modified xsi:type="dcterms:W3CDTF">2025-08-31T21:47:44Z</dcterms:modified>
</cp:coreProperties>
</file>